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PSB1\REGULATN\ER\_2022\Washington\WA 2024-2025 Rate Plan Filing\__Final Order\Models\RY2\RY2 Compliance Models\Cleaned-up workpapers\"/>
    </mc:Choice>
  </mc:AlternateContent>
  <xr:revisionPtr revIDLastSave="0" documentId="13_ncr:1_{2A789504-EFDC-449D-BC62-D9480B7FE04E}" xr6:coauthVersionLast="47" xr6:coauthVersionMax="47" xr10:uidLastSave="{00000000-0000-0000-0000-000000000000}"/>
  <bookViews>
    <workbookView xWindow="-120" yWindow="480" windowWidth="29040" windowHeight="15840" tabRatio="890" activeTab="1" autoFilterDateGrouping="0" xr2:uid="{00000000-000D-0000-FFFF-FFFF00000000}"/>
  </bookViews>
  <sheets>
    <sheet name="Summary" sheetId="4" r:id="rId1"/>
    <sheet name="Pro Forma Adj" sheetId="1" r:id="rId2"/>
    <sheet name="Interest Calc" sheetId="7" r:id="rId3"/>
    <sheet name="Variables" sheetId="3" r:id="rId4"/>
    <sheet name="Adj Summary_C" sheetId="16" r:id="rId5"/>
    <sheet name="Summary by Tab_C" sheetId="15" r:id="rId6"/>
    <sheet name="PRO Adj_C" sheetId="11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Cost_Debt">Variables!$D$8</definedName>
    <definedName name="Cost_equity">Variables!$D$10</definedName>
    <definedName name="Cost_pref">Variables!$D$9</definedName>
    <definedName name="gross_up_factor">Variables!$D$34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_xlnm.Print_Area" localSheetId="4">'Adj Summary_C'!$A$1:$G$51</definedName>
    <definedName name="_xlnm.Print_Area" localSheetId="6">'PRO Adj_C'!$A$1:$G$80</definedName>
    <definedName name="_xlnm.Print_Area" localSheetId="1">'Pro Forma Adj'!$A$7:$AB$87</definedName>
    <definedName name="_xlnm.Print_Area" localSheetId="0">Summary!$A$1:$N$84</definedName>
    <definedName name="_xlnm.Print_Area" localSheetId="5">'Summary by Tab_C'!$A$1:$L$83</definedName>
    <definedName name="_xlnm.Print_Area" localSheetId="3">Variables!$A$1:$H$34</definedName>
    <definedName name="_xlnm.Print_Titles" localSheetId="1">'Pro Forma Adj'!$A:$A</definedName>
    <definedName name="_xlnm.Print_Titles" localSheetId="5">'Summary by Tab_C'!$A:$B,'Summary by Tab_C'!$1:$4</definedName>
    <definedName name="Restated_Op_revenue">Summary!$J$37</definedName>
    <definedName name="Restated_rate_base">Summary!$J$64</definedName>
    <definedName name="Restated_ROE">Summary!$J$67</definedName>
    <definedName name="Unadj_Op_revenue">Summary!$F$37</definedName>
    <definedName name="Unadj_rate_base">Summary!$F$64</definedName>
    <definedName name="Unadj_ROE">Summary!$F$67</definedName>
    <definedName name="uncollectible_perc">Variables!$D$20</definedName>
    <definedName name="WA_rev_tax_perc">Variables!$D$22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6" i="1" l="1"/>
  <c r="AB57" i="1"/>
  <c r="AB43" i="1"/>
  <c r="AB32" i="1"/>
  <c r="AB30" i="1"/>
  <c r="AB23" i="1"/>
  <c r="AB22" i="1"/>
  <c r="AB19" i="1"/>
  <c r="AB15" i="1"/>
  <c r="Y32" i="1" l="1"/>
  <c r="X86" i="1" l="1"/>
  <c r="F23" i="1" l="1"/>
  <c r="F22" i="1"/>
  <c r="F19" i="1"/>
  <c r="F14" i="1"/>
  <c r="C40" i="16" l="1" a="1"/>
  <c r="C40" i="16" s="1"/>
  <c r="B40" i="16" a="1"/>
  <c r="B41" i="16" s="1"/>
  <c r="C30" i="16" a="1"/>
  <c r="C30" i="16" s="1"/>
  <c r="B30" i="16" a="1"/>
  <c r="B30" i="16" s="1"/>
  <c r="C17" i="16" a="1"/>
  <c r="C18" i="16" s="1"/>
  <c r="B17" i="16" a="1"/>
  <c r="B18" i="16" s="1"/>
  <c r="E11" i="16" a="1"/>
  <c r="E11" i="16" s="1"/>
  <c r="C11" i="16" a="1"/>
  <c r="C11" i="16" s="1"/>
  <c r="B11" i="16" a="1"/>
  <c r="B11" i="16" s="1"/>
  <c r="C42" i="16" l="1"/>
  <c r="C41" i="16"/>
  <c r="B40" i="16"/>
  <c r="B42" i="16"/>
  <c r="C34" i="16"/>
  <c r="C32" i="16"/>
  <c r="C31" i="16"/>
  <c r="C37" i="16"/>
  <c r="C36" i="16"/>
  <c r="C35" i="16"/>
  <c r="C33" i="16"/>
  <c r="B36" i="16"/>
  <c r="B32" i="16"/>
  <c r="B37" i="16"/>
  <c r="B31" i="16"/>
  <c r="B35" i="16"/>
  <c r="B34" i="16"/>
  <c r="B33" i="16"/>
  <c r="C25" i="16"/>
  <c r="C24" i="16"/>
  <c r="C23" i="16"/>
  <c r="C22" i="16"/>
  <c r="C21" i="16"/>
  <c r="C20" i="16"/>
  <c r="C27" i="16"/>
  <c r="C19" i="16"/>
  <c r="C17" i="16"/>
  <c r="C26" i="16"/>
  <c r="B23" i="16"/>
  <c r="B17" i="16"/>
  <c r="B27" i="16"/>
  <c r="B19" i="16"/>
  <c r="B25" i="16"/>
  <c r="B24" i="16"/>
  <c r="B22" i="16"/>
  <c r="B21" i="16"/>
  <c r="B20" i="16"/>
  <c r="B26" i="16"/>
  <c r="E14" i="16"/>
  <c r="E13" i="16"/>
  <c r="E12" i="16"/>
  <c r="E15" i="16" s="1"/>
  <c r="C12" i="16"/>
  <c r="C14" i="16"/>
  <c r="C13" i="16"/>
  <c r="B14" i="16"/>
  <c r="B13" i="16"/>
  <c r="B12" i="16"/>
  <c r="F79" i="11"/>
  <c r="F69" i="11"/>
  <c r="F68" i="11"/>
  <c r="F57" i="11"/>
  <c r="F56" i="11"/>
  <c r="F55" i="11"/>
  <c r="F54" i="11"/>
  <c r="F52" i="11"/>
  <c r="F51" i="11"/>
  <c r="F47" i="11"/>
  <c r="F46" i="11"/>
  <c r="F45" i="11"/>
  <c r="F44" i="11"/>
  <c r="F43" i="11"/>
  <c r="F42" i="11"/>
  <c r="F41" i="11"/>
  <c r="F40" i="11"/>
  <c r="F39" i="11"/>
  <c r="F38" i="11"/>
  <c r="F37" i="11"/>
  <c r="F31" i="11"/>
  <c r="F30" i="11"/>
  <c r="F28" i="11"/>
  <c r="F26" i="11"/>
  <c r="F25" i="11"/>
  <c r="F24" i="11"/>
  <c r="F22" i="11"/>
  <c r="F21" i="11"/>
  <c r="F20" i="11"/>
  <c r="F19" i="11"/>
  <c r="F18" i="11"/>
  <c r="F17" i="11"/>
  <c r="F16" i="11"/>
  <c r="F15" i="11"/>
  <c r="F14" i="11"/>
  <c r="F13" i="11"/>
  <c r="F9" i="11"/>
  <c r="F8" i="11"/>
  <c r="F7" i="11"/>
  <c r="F6" i="11"/>
  <c r="G79" i="11"/>
  <c r="G72" i="11"/>
  <c r="G71" i="11"/>
  <c r="G70" i="11"/>
  <c r="G69" i="11"/>
  <c r="G68" i="11"/>
  <c r="G57" i="11"/>
  <c r="G56" i="11"/>
  <c r="G55" i="11"/>
  <c r="G54" i="11"/>
  <c r="G53" i="11"/>
  <c r="G52" i="11"/>
  <c r="G51" i="11"/>
  <c r="G47" i="11"/>
  <c r="G46" i="11"/>
  <c r="G45" i="11"/>
  <c r="G44" i="11"/>
  <c r="G43" i="11"/>
  <c r="G42" i="11"/>
  <c r="G41" i="11"/>
  <c r="G40" i="11"/>
  <c r="G39" i="11"/>
  <c r="G38" i="11"/>
  <c r="G37" i="11"/>
  <c r="G31" i="11"/>
  <c r="G30" i="11"/>
  <c r="G29" i="11"/>
  <c r="G28" i="11"/>
  <c r="G26" i="11"/>
  <c r="G25" i="11"/>
  <c r="G24" i="11"/>
  <c r="G22" i="11"/>
  <c r="G21" i="11"/>
  <c r="G20" i="11"/>
  <c r="G19" i="11"/>
  <c r="G18" i="11"/>
  <c r="G17" i="11"/>
  <c r="G16" i="11"/>
  <c r="G15" i="11"/>
  <c r="G14" i="11"/>
  <c r="G13" i="11"/>
  <c r="G9" i="11"/>
  <c r="G8" i="11"/>
  <c r="G7" i="11"/>
  <c r="G6" i="11"/>
  <c r="D79" i="11"/>
  <c r="D72" i="11"/>
  <c r="D71" i="11"/>
  <c r="D70" i="11"/>
  <c r="D69" i="11"/>
  <c r="D68" i="11"/>
  <c r="D57" i="11"/>
  <c r="D56" i="11"/>
  <c r="D55" i="11"/>
  <c r="D54" i="11"/>
  <c r="D53" i="11"/>
  <c r="D52" i="11"/>
  <c r="D51" i="11"/>
  <c r="D47" i="11"/>
  <c r="D46" i="11"/>
  <c r="D45" i="11"/>
  <c r="D44" i="11"/>
  <c r="D43" i="11"/>
  <c r="D42" i="11"/>
  <c r="D41" i="11"/>
  <c r="D40" i="11"/>
  <c r="D39" i="11"/>
  <c r="D38" i="11"/>
  <c r="D37" i="11"/>
  <c r="D31" i="11"/>
  <c r="D30" i="11"/>
  <c r="D29" i="11"/>
  <c r="D28" i="11"/>
  <c r="D26" i="11"/>
  <c r="D25" i="11"/>
  <c r="D24" i="11"/>
  <c r="D22" i="11"/>
  <c r="D21" i="11"/>
  <c r="D20" i="11"/>
  <c r="D19" i="11"/>
  <c r="D18" i="11"/>
  <c r="D17" i="11"/>
  <c r="D16" i="11"/>
  <c r="D15" i="11"/>
  <c r="D14" i="11"/>
  <c r="D13" i="11"/>
  <c r="D9" i="11"/>
  <c r="D8" i="11"/>
  <c r="D7" i="11"/>
  <c r="D6" i="11"/>
  <c r="AB65" i="1" l="1"/>
  <c r="AB54" i="1"/>
  <c r="AB16" i="1"/>
  <c r="AB29" i="1" l="1"/>
  <c r="AB74" i="1" s="1"/>
  <c r="AB80" i="1" s="1"/>
  <c r="AB83" i="1" s="1"/>
  <c r="AB85" i="1" s="1"/>
  <c r="AB87" i="1" s="1"/>
  <c r="AB33" i="1" s="1"/>
  <c r="AB67" i="1"/>
  <c r="E40" i="16" s="1" a="1"/>
  <c r="E40" i="16" l="1"/>
  <c r="E42" i="16"/>
  <c r="E41" i="16"/>
  <c r="AB38" i="1"/>
  <c r="AB40" i="1" s="1"/>
  <c r="D40" i="16" s="1" a="1"/>
  <c r="G27" i="11"/>
  <c r="AB71" i="1"/>
  <c r="E43" i="16" l="1"/>
  <c r="D40" i="16"/>
  <c r="D42" i="16"/>
  <c r="F42" i="16" s="1"/>
  <c r="D41" i="16"/>
  <c r="Y74" i="1"/>
  <c r="Y80" i="1" s="1"/>
  <c r="Y83" i="1" s="1"/>
  <c r="Y85" i="1" s="1"/>
  <c r="Y87" i="1" s="1"/>
  <c r="Y33" i="1" s="1"/>
  <c r="Y38" i="1" s="1"/>
  <c r="Y40" i="1" s="1"/>
  <c r="Y65" i="1"/>
  <c r="Y67" i="1" s="1"/>
  <c r="Y54" i="1"/>
  <c r="X54" i="1"/>
  <c r="Y29" i="1"/>
  <c r="Y16" i="1"/>
  <c r="D43" i="16" l="1"/>
  <c r="Y71" i="1"/>
  <c r="X65" i="1" l="1"/>
  <c r="X67" i="1" s="1"/>
  <c r="X29" i="1"/>
  <c r="X16" i="1"/>
  <c r="X74" i="1" s="1"/>
  <c r="F65" i="1"/>
  <c r="F67" i="1"/>
  <c r="F54" i="1"/>
  <c r="F29" i="1"/>
  <c r="F16" i="1"/>
  <c r="N65" i="1"/>
  <c r="N54" i="1"/>
  <c r="N29" i="1"/>
  <c r="N74" i="1" s="1"/>
  <c r="N80" i="1" s="1"/>
  <c r="N83" i="1" s="1"/>
  <c r="N85" i="1" s="1"/>
  <c r="N87" i="1" s="1"/>
  <c r="N33" i="1" s="1"/>
  <c r="N16" i="1"/>
  <c r="N67" i="1"/>
  <c r="F41" i="3"/>
  <c r="K57" i="1"/>
  <c r="K43" i="1"/>
  <c r="F74" i="4"/>
  <c r="F73" i="4"/>
  <c r="F59" i="4"/>
  <c r="F54" i="4"/>
  <c r="F50" i="4"/>
  <c r="F48" i="4"/>
  <c r="F43" i="4"/>
  <c r="F42" i="4"/>
  <c r="F40" i="4"/>
  <c r="F31" i="4"/>
  <c r="F27" i="4"/>
  <c r="F21" i="4"/>
  <c r="F20" i="4"/>
  <c r="F18" i="4"/>
  <c r="F12" i="4"/>
  <c r="F11" i="4"/>
  <c r="F10" i="4"/>
  <c r="E10" i="3"/>
  <c r="E8" i="3"/>
  <c r="E9" i="3"/>
  <c r="U35" i="1"/>
  <c r="W35" i="1" s="1"/>
  <c r="F29" i="11" s="1"/>
  <c r="U59" i="1"/>
  <c r="W59" i="1" s="1"/>
  <c r="F53" i="11" s="1"/>
  <c r="U79" i="1"/>
  <c r="F72" i="11" s="1"/>
  <c r="U78" i="1"/>
  <c r="F71" i="11" s="1"/>
  <c r="G76" i="15" s="1"/>
  <c r="E11" i="3"/>
  <c r="G77" i="15"/>
  <c r="G60" i="15"/>
  <c r="G43" i="15"/>
  <c r="G33" i="15"/>
  <c r="G27" i="15"/>
  <c r="G19" i="15"/>
  <c r="G18" i="15"/>
  <c r="G14" i="15"/>
  <c r="C73" i="15"/>
  <c r="H80" i="15"/>
  <c r="G80" i="15"/>
  <c r="F80" i="15"/>
  <c r="E80" i="15"/>
  <c r="J80" i="15"/>
  <c r="G74" i="15"/>
  <c r="G73" i="15"/>
  <c r="H63" i="15"/>
  <c r="G63" i="15"/>
  <c r="F63" i="15"/>
  <c r="E63" i="15"/>
  <c r="G59" i="15"/>
  <c r="G57" i="15"/>
  <c r="G56" i="15"/>
  <c r="G52" i="15"/>
  <c r="G51" i="15"/>
  <c r="G49" i="15"/>
  <c r="G48" i="15"/>
  <c r="G47" i="15"/>
  <c r="G46" i="15"/>
  <c r="G45" i="15"/>
  <c r="G44" i="15"/>
  <c r="G35" i="15"/>
  <c r="G30" i="15"/>
  <c r="G29" i="15"/>
  <c r="G22" i="15"/>
  <c r="G24" i="15"/>
  <c r="G21" i="15"/>
  <c r="G20" i="15"/>
  <c r="G11" i="15"/>
  <c r="G13" i="15"/>
  <c r="E79" i="11"/>
  <c r="H77" i="15"/>
  <c r="E77" i="15"/>
  <c r="H76" i="15"/>
  <c r="E76" i="15"/>
  <c r="H75" i="15"/>
  <c r="E70" i="11"/>
  <c r="F75" i="15" s="1"/>
  <c r="E75" i="15"/>
  <c r="H74" i="15"/>
  <c r="E69" i="11"/>
  <c r="F74" i="15" s="1"/>
  <c r="E74" i="15"/>
  <c r="H73" i="15"/>
  <c r="E68" i="11"/>
  <c r="F73" i="15"/>
  <c r="E73" i="15"/>
  <c r="H62" i="15"/>
  <c r="G62" i="15"/>
  <c r="E57" i="11"/>
  <c r="F62" i="15" s="1"/>
  <c r="E62" i="15"/>
  <c r="H61" i="15"/>
  <c r="E56" i="11"/>
  <c r="F61" i="15"/>
  <c r="E61" i="15"/>
  <c r="E55" i="11"/>
  <c r="C55" i="11" s="1"/>
  <c r="E60" i="15"/>
  <c r="H59" i="15"/>
  <c r="E54" i="11"/>
  <c r="F59" i="15"/>
  <c r="E59" i="15"/>
  <c r="H58" i="15"/>
  <c r="E58" i="15"/>
  <c r="H57" i="15"/>
  <c r="E52" i="11"/>
  <c r="F57" i="15" s="1"/>
  <c r="D59" i="11"/>
  <c r="E56" i="15"/>
  <c r="H52" i="15"/>
  <c r="E47" i="11"/>
  <c r="F52" i="15" s="1"/>
  <c r="E52" i="15"/>
  <c r="H51" i="15"/>
  <c r="E46" i="11"/>
  <c r="F51" i="15" s="1"/>
  <c r="E51" i="15"/>
  <c r="H50" i="15"/>
  <c r="E45" i="11"/>
  <c r="F50" i="15"/>
  <c r="E50" i="15"/>
  <c r="H49" i="15"/>
  <c r="E44" i="11"/>
  <c r="F49" i="15" s="1"/>
  <c r="E49" i="15"/>
  <c r="H48" i="15"/>
  <c r="E43" i="11"/>
  <c r="F48" i="15" s="1"/>
  <c r="E48" i="15"/>
  <c r="H47" i="15"/>
  <c r="E42" i="11"/>
  <c r="F47" i="15" s="1"/>
  <c r="E47" i="15"/>
  <c r="H46" i="15"/>
  <c r="E41" i="11"/>
  <c r="C41" i="11" s="1"/>
  <c r="E46" i="15"/>
  <c r="H45" i="15"/>
  <c r="E40" i="11"/>
  <c r="F45" i="15" s="1"/>
  <c r="E45" i="15"/>
  <c r="H44" i="15"/>
  <c r="E39" i="11"/>
  <c r="F44" i="15"/>
  <c r="E44" i="15"/>
  <c r="H43" i="15"/>
  <c r="E38" i="11"/>
  <c r="F43" i="15" s="1"/>
  <c r="E43" i="15"/>
  <c r="H42" i="15"/>
  <c r="E42" i="15"/>
  <c r="H36" i="15"/>
  <c r="E31" i="11"/>
  <c r="F36" i="15" s="1"/>
  <c r="E36" i="15"/>
  <c r="H35" i="15"/>
  <c r="E30" i="11"/>
  <c r="F35" i="15" s="1"/>
  <c r="E35" i="15"/>
  <c r="E34" i="15"/>
  <c r="H33" i="15"/>
  <c r="E28" i="11"/>
  <c r="F33" i="15" s="1"/>
  <c r="E33" i="15"/>
  <c r="H31" i="15"/>
  <c r="G31" i="15"/>
  <c r="E26" i="11"/>
  <c r="F31" i="15" s="1"/>
  <c r="E31" i="15"/>
  <c r="H30" i="15"/>
  <c r="E25" i="11"/>
  <c r="F30" i="15"/>
  <c r="E30" i="15"/>
  <c r="H29" i="15"/>
  <c r="E24" i="11"/>
  <c r="F29" i="15" s="1"/>
  <c r="E29" i="15"/>
  <c r="H27" i="15"/>
  <c r="E22" i="11"/>
  <c r="F27" i="15" s="1"/>
  <c r="H26" i="15"/>
  <c r="E21" i="11"/>
  <c r="F26" i="15"/>
  <c r="E26" i="15"/>
  <c r="H25" i="15"/>
  <c r="E20" i="11"/>
  <c r="F25" i="15"/>
  <c r="H24" i="15"/>
  <c r="E19" i="11"/>
  <c r="F24" i="15" s="1"/>
  <c r="H23" i="15"/>
  <c r="E18" i="11"/>
  <c r="F23" i="15" s="1"/>
  <c r="E17" i="11"/>
  <c r="C17" i="11" s="1"/>
  <c r="F22" i="15"/>
  <c r="H21" i="15"/>
  <c r="E16" i="11"/>
  <c r="F21" i="15" s="1"/>
  <c r="H20" i="15"/>
  <c r="E15" i="11"/>
  <c r="F20" i="15" s="1"/>
  <c r="H19" i="15"/>
  <c r="E14" i="11"/>
  <c r="F19" i="15" s="1"/>
  <c r="E19" i="15"/>
  <c r="H18" i="15"/>
  <c r="E13" i="11"/>
  <c r="F18" i="15" s="1"/>
  <c r="H14" i="15"/>
  <c r="E9" i="11"/>
  <c r="F14" i="15" s="1"/>
  <c r="E14" i="15"/>
  <c r="H13" i="15"/>
  <c r="E8" i="11"/>
  <c r="F13" i="15" s="1"/>
  <c r="E13" i="15"/>
  <c r="H12" i="15"/>
  <c r="E7" i="11"/>
  <c r="F12" i="15" s="1"/>
  <c r="E12" i="15"/>
  <c r="H11" i="15"/>
  <c r="E6" i="11"/>
  <c r="E11" i="15"/>
  <c r="G75" i="11"/>
  <c r="F75" i="11"/>
  <c r="E75" i="11"/>
  <c r="D75" i="11"/>
  <c r="E57" i="15"/>
  <c r="H34" i="15"/>
  <c r="H22" i="15"/>
  <c r="Q65" i="1"/>
  <c r="Q54" i="1"/>
  <c r="Q29" i="1"/>
  <c r="Q16" i="1"/>
  <c r="Q74" i="1"/>
  <c r="Q80" i="1"/>
  <c r="Q83" i="1"/>
  <c r="Q85" i="1"/>
  <c r="Q87" i="1"/>
  <c r="Q33" i="1"/>
  <c r="Q38" i="1"/>
  <c r="Q40" i="1"/>
  <c r="Q67" i="1"/>
  <c r="E51" i="11"/>
  <c r="F56" i="15" s="1"/>
  <c r="E29" i="11"/>
  <c r="F34" i="15" s="1"/>
  <c r="E72" i="11"/>
  <c r="F77" i="15"/>
  <c r="E71" i="11"/>
  <c r="F76" i="15" s="1"/>
  <c r="E37" i="11"/>
  <c r="F42" i="15"/>
  <c r="F79" i="4"/>
  <c r="D62" i="4"/>
  <c r="D64" i="4"/>
  <c r="F61" i="4"/>
  <c r="D51" i="4"/>
  <c r="J72" i="4"/>
  <c r="P29" i="1"/>
  <c r="M65" i="1"/>
  <c r="L65" i="1"/>
  <c r="E65" i="1"/>
  <c r="E54" i="1"/>
  <c r="E67" i="1"/>
  <c r="E29" i="1"/>
  <c r="E16" i="1"/>
  <c r="E27" i="15"/>
  <c r="E23" i="15"/>
  <c r="E22" i="15"/>
  <c r="E20" i="15"/>
  <c r="B2" i="7"/>
  <c r="A2" i="1"/>
  <c r="N61" i="4"/>
  <c r="B86" i="1"/>
  <c r="H83" i="4" s="1"/>
  <c r="B82" i="1"/>
  <c r="B76" i="1"/>
  <c r="H73" i="4" s="1"/>
  <c r="B75" i="1"/>
  <c r="B64" i="1"/>
  <c r="B63" i="1"/>
  <c r="H60" i="4" s="1"/>
  <c r="B62" i="1"/>
  <c r="H59" i="4" s="1"/>
  <c r="B61" i="1"/>
  <c r="H58" i="4" s="1"/>
  <c r="B60" i="1"/>
  <c r="H57" i="4" s="1"/>
  <c r="B58" i="1"/>
  <c r="H55" i="4" s="1"/>
  <c r="B53" i="1"/>
  <c r="H50" i="4" s="1"/>
  <c r="B52" i="1"/>
  <c r="H49" i="4" s="1"/>
  <c r="B51" i="1"/>
  <c r="H48" i="4" s="1"/>
  <c r="B50" i="1"/>
  <c r="H47" i="4" s="1"/>
  <c r="B49" i="1"/>
  <c r="H46" i="4" s="1"/>
  <c r="B48" i="1"/>
  <c r="H45" i="4" s="1"/>
  <c r="B47" i="1"/>
  <c r="H44" i="4" s="1"/>
  <c r="B46" i="1"/>
  <c r="H43" i="4" s="1"/>
  <c r="B45" i="1"/>
  <c r="H42" i="4" s="1"/>
  <c r="B44" i="1"/>
  <c r="H41" i="4" s="1"/>
  <c r="B37" i="1"/>
  <c r="H34" i="4" s="1"/>
  <c r="B36" i="1"/>
  <c r="H33" i="4" s="1"/>
  <c r="B34" i="1"/>
  <c r="B32" i="1"/>
  <c r="H29" i="4" s="1"/>
  <c r="B31" i="1"/>
  <c r="H28" i="4" s="1"/>
  <c r="B28" i="1"/>
  <c r="H25" i="4" s="1"/>
  <c r="B27" i="1"/>
  <c r="H24" i="4" s="1"/>
  <c r="B25" i="1"/>
  <c r="H22" i="4" s="1"/>
  <c r="B24" i="1"/>
  <c r="H21" i="4" s="1"/>
  <c r="B23" i="1"/>
  <c r="H20" i="4" s="1"/>
  <c r="B20" i="1"/>
  <c r="H17" i="4" s="1"/>
  <c r="B15" i="1"/>
  <c r="H12" i="4" s="1"/>
  <c r="B14" i="1"/>
  <c r="H11" i="4" s="1"/>
  <c r="B13" i="1"/>
  <c r="H10" i="4" s="1"/>
  <c r="B12" i="1"/>
  <c r="H9" i="4" s="1"/>
  <c r="AA65" i="1"/>
  <c r="AA54" i="1"/>
  <c r="AA29" i="1"/>
  <c r="AA74" i="1" s="1"/>
  <c r="AA80" i="1" s="1"/>
  <c r="AA83" i="1" s="1"/>
  <c r="AA85" i="1" s="1"/>
  <c r="AA87" i="1" s="1"/>
  <c r="AA33" i="1" s="1"/>
  <c r="AA16" i="1"/>
  <c r="V65" i="1"/>
  <c r="W54" i="1"/>
  <c r="V54" i="1"/>
  <c r="V67" i="1" s="1"/>
  <c r="W29" i="1"/>
  <c r="W16" i="1"/>
  <c r="V16" i="1"/>
  <c r="V29" i="1"/>
  <c r="I29" i="1"/>
  <c r="C79" i="11"/>
  <c r="M30" i="4"/>
  <c r="B39" i="1"/>
  <c r="C25" i="11"/>
  <c r="C72" i="11"/>
  <c r="C24" i="11"/>
  <c r="C44" i="11"/>
  <c r="Z54" i="1"/>
  <c r="Z29" i="1"/>
  <c r="Z16" i="1"/>
  <c r="L54" i="1"/>
  <c r="L29" i="1"/>
  <c r="L16" i="1"/>
  <c r="K65" i="1"/>
  <c r="K54" i="1"/>
  <c r="K29" i="1"/>
  <c r="K16" i="1"/>
  <c r="A12" i="16"/>
  <c r="A13" i="16" s="1"/>
  <c r="L63" i="15"/>
  <c r="U54" i="1"/>
  <c r="U29" i="1"/>
  <c r="R65" i="1"/>
  <c r="S65" i="1"/>
  <c r="T65" i="1"/>
  <c r="R54" i="1"/>
  <c r="S54" i="1"/>
  <c r="T54" i="1"/>
  <c r="T67" i="1" s="1"/>
  <c r="R29" i="1"/>
  <c r="S29" i="1"/>
  <c r="T29" i="1"/>
  <c r="R16" i="1"/>
  <c r="S16" i="1"/>
  <c r="T16" i="1"/>
  <c r="L80" i="15"/>
  <c r="C75" i="11"/>
  <c r="L62" i="4"/>
  <c r="L51" i="4"/>
  <c r="L31" i="4"/>
  <c r="L64" i="4"/>
  <c r="H31" i="4"/>
  <c r="U16" i="1"/>
  <c r="P65" i="1"/>
  <c r="P16" i="1"/>
  <c r="D16" i="1"/>
  <c r="J29" i="1"/>
  <c r="O16" i="1"/>
  <c r="O54" i="1"/>
  <c r="O65" i="1"/>
  <c r="O67" i="1" s="1"/>
  <c r="M16" i="1"/>
  <c r="M54" i="1"/>
  <c r="J16" i="1"/>
  <c r="J54" i="1"/>
  <c r="I16" i="1"/>
  <c r="I54" i="1"/>
  <c r="I67" i="1" s="1"/>
  <c r="I65" i="1"/>
  <c r="H16" i="1"/>
  <c r="B16" i="1" s="1"/>
  <c r="H29" i="1"/>
  <c r="H54" i="1"/>
  <c r="H65" i="1"/>
  <c r="G16" i="1"/>
  <c r="G29" i="1"/>
  <c r="G54" i="1"/>
  <c r="G65" i="1"/>
  <c r="D54" i="1"/>
  <c r="D65" i="1"/>
  <c r="C16" i="1"/>
  <c r="C29" i="1"/>
  <c r="C54" i="1"/>
  <c r="C65" i="1"/>
  <c r="M29" i="1"/>
  <c r="O29" i="1"/>
  <c r="C74" i="1"/>
  <c r="C80" i="1"/>
  <c r="C83" i="1"/>
  <c r="C85" i="1"/>
  <c r="C87" i="1"/>
  <c r="C33" i="1"/>
  <c r="H67" i="1"/>
  <c r="D67" i="1"/>
  <c r="I74" i="1"/>
  <c r="I80" i="1"/>
  <c r="I83" i="1" s="1"/>
  <c r="I85" i="1" s="1"/>
  <c r="I87" i="1" s="1"/>
  <c r="I33" i="1" s="1"/>
  <c r="I38" i="1" s="1"/>
  <c r="I40" i="1" s="1"/>
  <c r="I71" i="1" s="1"/>
  <c r="S67" i="1"/>
  <c r="S74" i="1"/>
  <c r="S80" i="1"/>
  <c r="S83" i="1"/>
  <c r="S85" i="1"/>
  <c r="S87" i="1" s="1"/>
  <c r="S33" i="1" s="1"/>
  <c r="S38" i="1" s="1"/>
  <c r="S40" i="1" s="1"/>
  <c r="S71" i="1" s="1"/>
  <c r="U74" i="1"/>
  <c r="U80" i="1"/>
  <c r="U83" i="1" s="1"/>
  <c r="U85" i="1" s="1"/>
  <c r="U87" i="1" s="1"/>
  <c r="U33" i="1" s="1"/>
  <c r="U38" i="1" s="1"/>
  <c r="U40" i="1" s="1"/>
  <c r="U71" i="1" s="1"/>
  <c r="T74" i="1"/>
  <c r="T80" i="1"/>
  <c r="T83" i="1"/>
  <c r="T85" i="1" s="1"/>
  <c r="T87" i="1" s="1"/>
  <c r="T33" i="1" s="1"/>
  <c r="T38" i="1" s="1"/>
  <c r="T40" i="1" s="1"/>
  <c r="T71" i="1" s="1"/>
  <c r="L74" i="1"/>
  <c r="L80" i="1"/>
  <c r="L83" i="1"/>
  <c r="L85" i="1"/>
  <c r="L87" i="1"/>
  <c r="L33" i="1"/>
  <c r="L38" i="1"/>
  <c r="L40" i="1"/>
  <c r="M74" i="1"/>
  <c r="M80" i="1"/>
  <c r="M83" i="1"/>
  <c r="M85" i="1"/>
  <c r="M87" i="1"/>
  <c r="M33" i="1"/>
  <c r="M38" i="1"/>
  <c r="M40" i="1"/>
  <c r="C67" i="1"/>
  <c r="R74" i="1"/>
  <c r="G74" i="1"/>
  <c r="G80" i="1"/>
  <c r="G83" i="1"/>
  <c r="G85" i="1"/>
  <c r="G87" i="1"/>
  <c r="G33" i="1"/>
  <c r="G38" i="1"/>
  <c r="G40" i="1"/>
  <c r="L67" i="1"/>
  <c r="O74" i="1"/>
  <c r="O80" i="1"/>
  <c r="O83" i="1" s="1"/>
  <c r="O85" i="1" s="1"/>
  <c r="O87" i="1" s="1"/>
  <c r="O33" i="1" s="1"/>
  <c r="O38" i="1" s="1"/>
  <c r="O40" i="1" s="1"/>
  <c r="O71" i="1" s="1"/>
  <c r="R67" i="1"/>
  <c r="E74" i="1"/>
  <c r="E80" i="1"/>
  <c r="E83" i="1"/>
  <c r="E85" i="1"/>
  <c r="E87" i="1"/>
  <c r="E33" i="1"/>
  <c r="E38" i="1"/>
  <c r="E40" i="1"/>
  <c r="M67" i="1"/>
  <c r="P74" i="1"/>
  <c r="P80" i="1"/>
  <c r="P83" i="1"/>
  <c r="P85" i="1"/>
  <c r="P87" i="1"/>
  <c r="P33" i="1"/>
  <c r="G67" i="1"/>
  <c r="AA67" i="1"/>
  <c r="K67" i="1"/>
  <c r="C18" i="11"/>
  <c r="C15" i="11"/>
  <c r="B19" i="1"/>
  <c r="H16" i="4" s="1"/>
  <c r="E18" i="15"/>
  <c r="B26" i="1"/>
  <c r="H23" i="4" s="1"/>
  <c r="D29" i="1"/>
  <c r="D74" i="1"/>
  <c r="D80" i="1"/>
  <c r="D83" i="1"/>
  <c r="D85" i="1"/>
  <c r="D87" i="1"/>
  <c r="D33" i="1"/>
  <c r="B57" i="1"/>
  <c r="H54" i="4" s="1"/>
  <c r="C38" i="1"/>
  <c r="C40" i="1"/>
  <c r="Z74" i="1"/>
  <c r="Z80" i="1" s="1"/>
  <c r="Z83" i="1" s="1"/>
  <c r="Z85" i="1" s="1"/>
  <c r="Z87" i="1" s="1"/>
  <c r="Z33" i="1" s="1"/>
  <c r="V74" i="1"/>
  <c r="V80" i="1" s="1"/>
  <c r="V83" i="1" s="1"/>
  <c r="V85" i="1" s="1"/>
  <c r="V87" i="1" s="1"/>
  <c r="V33" i="1" s="1"/>
  <c r="V38" i="1" s="1"/>
  <c r="K74" i="1"/>
  <c r="K80" i="1"/>
  <c r="K83" i="1"/>
  <c r="K85" i="1"/>
  <c r="K87" i="1"/>
  <c r="K33" i="1"/>
  <c r="K38" i="1"/>
  <c r="K40" i="1"/>
  <c r="B21" i="1"/>
  <c r="H18" i="4" s="1"/>
  <c r="B30" i="1"/>
  <c r="H27" i="4" s="1"/>
  <c r="U65" i="1"/>
  <c r="U67" i="1" s="1"/>
  <c r="Z65" i="1"/>
  <c r="Z67" i="1"/>
  <c r="J74" i="1"/>
  <c r="J80" i="1"/>
  <c r="J83" i="1"/>
  <c r="J85" i="1"/>
  <c r="J87" i="1"/>
  <c r="J33" i="1"/>
  <c r="J38" i="1"/>
  <c r="J40" i="1"/>
  <c r="B22" i="1"/>
  <c r="H19" i="4" s="1"/>
  <c r="B79" i="1"/>
  <c r="H76" i="4" s="1"/>
  <c r="B78" i="1"/>
  <c r="H75" i="4" s="1"/>
  <c r="B43" i="1"/>
  <c r="H40" i="4" s="1"/>
  <c r="P38" i="1"/>
  <c r="P40" i="1"/>
  <c r="P54" i="1"/>
  <c r="P67" i="1"/>
  <c r="D38" i="1"/>
  <c r="D40" i="1"/>
  <c r="E25" i="15"/>
  <c r="C11" i="7"/>
  <c r="F58" i="4"/>
  <c r="D26" i="3"/>
  <c r="D30" i="3"/>
  <c r="D32" i="3"/>
  <c r="D34" i="3"/>
  <c r="F33" i="4"/>
  <c r="G68" i="4"/>
  <c r="P71" i="1"/>
  <c r="M71" i="1"/>
  <c r="G71" i="1"/>
  <c r="L71" i="1"/>
  <c r="Q71" i="1"/>
  <c r="E71" i="1"/>
  <c r="D71" i="1"/>
  <c r="K71" i="1"/>
  <c r="C71" i="1"/>
  <c r="F44" i="4"/>
  <c r="F17" i="4"/>
  <c r="F24" i="4"/>
  <c r="F60" i="4"/>
  <c r="F23" i="4"/>
  <c r="F46" i="4"/>
  <c r="F56" i="4"/>
  <c r="C58" i="15"/>
  <c r="F45" i="4"/>
  <c r="F41" i="4"/>
  <c r="F49" i="4"/>
  <c r="F55" i="4"/>
  <c r="F25" i="4"/>
  <c r="F28" i="4"/>
  <c r="F19" i="4"/>
  <c r="F32" i="4"/>
  <c r="F76" i="4"/>
  <c r="F57" i="4"/>
  <c r="F34" i="4"/>
  <c r="F47" i="4"/>
  <c r="F75" i="4"/>
  <c r="F16" i="4"/>
  <c r="E15" i="15" l="1"/>
  <c r="F74" i="1"/>
  <c r="F46" i="15"/>
  <c r="F60" i="15"/>
  <c r="E10" i="11"/>
  <c r="C40" i="11"/>
  <c r="F53" i="15"/>
  <c r="E17" i="16" a="1"/>
  <c r="C51" i="11"/>
  <c r="E48" i="11"/>
  <c r="H74" i="1"/>
  <c r="H80" i="1" s="1"/>
  <c r="H83" i="1" s="1"/>
  <c r="H85" i="1" s="1"/>
  <c r="H87" i="1" s="1"/>
  <c r="H33" i="1" s="1"/>
  <c r="H38" i="1" s="1"/>
  <c r="H40" i="1" s="1"/>
  <c r="J22" i="15"/>
  <c r="F11" i="15"/>
  <c r="A14" i="16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3" i="16" s="1"/>
  <c r="A44" i="16" s="1"/>
  <c r="A45" i="16" s="1"/>
  <c r="A46" i="16" s="1"/>
  <c r="A47" i="16" s="1"/>
  <c r="A48" i="16" s="1"/>
  <c r="A49" i="16" s="1"/>
  <c r="A50" i="16" s="1"/>
  <c r="A51" i="16" s="1"/>
  <c r="J11" i="15"/>
  <c r="C52" i="15"/>
  <c r="C22" i="15"/>
  <c r="C44" i="15"/>
  <c r="C23" i="15"/>
  <c r="C75" i="15"/>
  <c r="C59" i="15"/>
  <c r="C43" i="15"/>
  <c r="C12" i="15"/>
  <c r="C74" i="15"/>
  <c r="C35" i="15"/>
  <c r="C18" i="15"/>
  <c r="C21" i="15"/>
  <c r="C47" i="15"/>
  <c r="C26" i="15"/>
  <c r="C77" i="15"/>
  <c r="C56" i="15"/>
  <c r="C34" i="15"/>
  <c r="C30" i="15"/>
  <c r="C62" i="15"/>
  <c r="C51" i="15"/>
  <c r="C45" i="15"/>
  <c r="C19" i="15"/>
  <c r="C76" i="15"/>
  <c r="C49" i="15"/>
  <c r="C27" i="15"/>
  <c r="C48" i="15"/>
  <c r="C46" i="15"/>
  <c r="C42" i="15"/>
  <c r="C36" i="15"/>
  <c r="C57" i="15"/>
  <c r="C25" i="15"/>
  <c r="C60" i="15"/>
  <c r="E23" i="11"/>
  <c r="N38" i="1"/>
  <c r="N40" i="1" s="1"/>
  <c r="F28" i="15"/>
  <c r="B13" i="4"/>
  <c r="J65" i="1"/>
  <c r="J67" i="1" s="1"/>
  <c r="J25" i="4"/>
  <c r="N25" i="4" s="1"/>
  <c r="J43" i="4"/>
  <c r="N43" i="4" s="1"/>
  <c r="B26" i="4"/>
  <c r="B35" i="4" s="1"/>
  <c r="B62" i="4"/>
  <c r="E53" i="11"/>
  <c r="F58" i="15" s="1"/>
  <c r="F64" i="15" s="1"/>
  <c r="F66" i="15" s="1"/>
  <c r="C33" i="15"/>
  <c r="J31" i="4"/>
  <c r="N31" i="4" s="1"/>
  <c r="J10" i="4"/>
  <c r="N10" i="4" s="1"/>
  <c r="J23" i="4"/>
  <c r="N23" i="4" s="1"/>
  <c r="J50" i="4"/>
  <c r="N50" i="4" s="1"/>
  <c r="J28" i="4"/>
  <c r="N28" i="4" s="1"/>
  <c r="J44" i="4"/>
  <c r="N44" i="4" s="1"/>
  <c r="L22" i="15"/>
  <c r="C6" i="7"/>
  <c r="J19" i="4"/>
  <c r="N19" i="4" s="1"/>
  <c r="J45" i="4"/>
  <c r="N45" i="4" s="1"/>
  <c r="J58" i="4"/>
  <c r="N58" i="4" s="1"/>
  <c r="C14" i="7"/>
  <c r="J46" i="4"/>
  <c r="N46" i="4" s="1"/>
  <c r="J33" i="4"/>
  <c r="N33" i="4" s="1"/>
  <c r="J47" i="4"/>
  <c r="N47" i="4" s="1"/>
  <c r="J60" i="4"/>
  <c r="N60" i="4" s="1"/>
  <c r="B51" i="4"/>
  <c r="J55" i="4"/>
  <c r="N55" i="4" s="1"/>
  <c r="J34" i="4"/>
  <c r="N34" i="4" s="1"/>
  <c r="J41" i="4"/>
  <c r="N41" i="4" s="1"/>
  <c r="J49" i="4"/>
  <c r="N49" i="4" s="1"/>
  <c r="C52" i="11"/>
  <c r="C6" i="11"/>
  <c r="J48" i="15"/>
  <c r="L48" i="15" s="1"/>
  <c r="J52" i="15"/>
  <c r="L52" i="15" s="1"/>
  <c r="H60" i="15"/>
  <c r="J60" i="15" s="1"/>
  <c r="L60" i="15" s="1"/>
  <c r="Z38" i="1"/>
  <c r="Z40" i="1" s="1"/>
  <c r="H32" i="15"/>
  <c r="AA38" i="1"/>
  <c r="AA40" i="1" s="1"/>
  <c r="AA71" i="1" s="1"/>
  <c r="C26" i="11"/>
  <c r="C54" i="11"/>
  <c r="C57" i="11"/>
  <c r="J77" i="15"/>
  <c r="L77" i="15" s="1"/>
  <c r="B29" i="1"/>
  <c r="G48" i="11"/>
  <c r="B59" i="1"/>
  <c r="H56" i="4" s="1"/>
  <c r="J56" i="4" s="1"/>
  <c r="N56" i="4" s="1"/>
  <c r="G59" i="11"/>
  <c r="J62" i="15"/>
  <c r="L62" i="15" s="1"/>
  <c r="G10" i="11"/>
  <c r="J43" i="15"/>
  <c r="L43" i="15" s="1"/>
  <c r="W65" i="1"/>
  <c r="H15" i="15"/>
  <c r="C38" i="11"/>
  <c r="J45" i="15"/>
  <c r="C30" i="11"/>
  <c r="F15" i="15"/>
  <c r="E24" i="15"/>
  <c r="J24" i="15" s="1"/>
  <c r="C19" i="11"/>
  <c r="E53" i="15"/>
  <c r="E21" i="15"/>
  <c r="E28" i="15" s="1"/>
  <c r="D23" i="11"/>
  <c r="C16" i="11"/>
  <c r="E67" i="11"/>
  <c r="H28" i="15"/>
  <c r="H37" i="15" s="1"/>
  <c r="J44" i="15"/>
  <c r="L44" i="15" s="1"/>
  <c r="H53" i="15"/>
  <c r="J57" i="15"/>
  <c r="L57" i="15" s="1"/>
  <c r="J76" i="15"/>
  <c r="L76" i="15" s="1"/>
  <c r="D48" i="11"/>
  <c r="D61" i="11" s="1"/>
  <c r="J46" i="15"/>
  <c r="L46" i="15" s="1"/>
  <c r="J33" i="15"/>
  <c r="C13" i="11"/>
  <c r="C39" i="11"/>
  <c r="G23" i="11"/>
  <c r="G32" i="11" s="1"/>
  <c r="J31" i="15"/>
  <c r="J47" i="15"/>
  <c r="C47" i="11"/>
  <c r="C14" i="11"/>
  <c r="H56" i="15"/>
  <c r="J29" i="15"/>
  <c r="J14" i="15"/>
  <c r="C20" i="11"/>
  <c r="C31" i="11"/>
  <c r="C69" i="11"/>
  <c r="C46" i="11"/>
  <c r="J30" i="15"/>
  <c r="L30" i="15" s="1"/>
  <c r="J49" i="15"/>
  <c r="L49" i="15" s="1"/>
  <c r="J18" i="15"/>
  <c r="L18" i="15" s="1"/>
  <c r="C21" i="11"/>
  <c r="C37" i="11"/>
  <c r="C45" i="11"/>
  <c r="C56" i="11"/>
  <c r="C8" i="11"/>
  <c r="J13" i="15"/>
  <c r="J35" i="15"/>
  <c r="L35" i="15" s="1"/>
  <c r="J51" i="15"/>
  <c r="J19" i="15"/>
  <c r="L19" i="15" s="1"/>
  <c r="J27" i="15"/>
  <c r="E64" i="15"/>
  <c r="C43" i="11"/>
  <c r="C7" i="11"/>
  <c r="D10" i="11"/>
  <c r="C42" i="11"/>
  <c r="J20" i="15"/>
  <c r="J74" i="15"/>
  <c r="L74" i="15" s="1"/>
  <c r="B35" i="1"/>
  <c r="H32" i="4" s="1"/>
  <c r="J32" i="4" s="1"/>
  <c r="N32" i="4" s="1"/>
  <c r="G36" i="15"/>
  <c r="J36" i="15" s="1"/>
  <c r="L36" i="15" s="1"/>
  <c r="G26" i="15"/>
  <c r="J26" i="15" s="1"/>
  <c r="L26" i="15" s="1"/>
  <c r="W74" i="1"/>
  <c r="W80" i="1" s="1"/>
  <c r="W83" i="1" s="1"/>
  <c r="W85" i="1" s="1"/>
  <c r="W87" i="1" s="1"/>
  <c r="W33" i="1" s="1"/>
  <c r="W38" i="1" s="1"/>
  <c r="W40" i="1" s="1"/>
  <c r="G25" i="15"/>
  <c r="J25" i="15" s="1"/>
  <c r="L25" i="15" s="1"/>
  <c r="C9" i="11"/>
  <c r="F10" i="11"/>
  <c r="C29" i="11"/>
  <c r="G34" i="15"/>
  <c r="J34" i="15" s="1"/>
  <c r="L34" i="15" s="1"/>
  <c r="V40" i="1"/>
  <c r="V71" i="1" s="1"/>
  <c r="J20" i="4"/>
  <c r="N20" i="4" s="1"/>
  <c r="C22" i="11"/>
  <c r="H13" i="4"/>
  <c r="J59" i="15"/>
  <c r="L59" i="15" s="1"/>
  <c r="G61" i="15"/>
  <c r="J61" i="15" s="1"/>
  <c r="G42" i="15"/>
  <c r="G50" i="15"/>
  <c r="J50" i="15" s="1"/>
  <c r="F23" i="11"/>
  <c r="F48" i="11"/>
  <c r="F59" i="11"/>
  <c r="B54" i="1"/>
  <c r="C71" i="11"/>
  <c r="G12" i="15"/>
  <c r="G23" i="15"/>
  <c r="C28" i="11"/>
  <c r="H51" i="4"/>
  <c r="J54" i="4"/>
  <c r="N54" i="4" s="1"/>
  <c r="H26" i="4"/>
  <c r="X80" i="1"/>
  <c r="X83" i="1" s="1"/>
  <c r="B74" i="1"/>
  <c r="J57" i="4"/>
  <c r="N57" i="4" s="1"/>
  <c r="J24" i="4"/>
  <c r="N24" i="4" s="1"/>
  <c r="J21" i="4"/>
  <c r="N21" i="4" s="1"/>
  <c r="J40" i="4"/>
  <c r="N40" i="4" s="1"/>
  <c r="J11" i="4"/>
  <c r="N11" i="4" s="1"/>
  <c r="J17" i="4"/>
  <c r="N17" i="4" s="1"/>
  <c r="J73" i="4"/>
  <c r="N73" i="4" s="1"/>
  <c r="J16" i="4"/>
  <c r="N16" i="4" s="1"/>
  <c r="C50" i="15"/>
  <c r="J48" i="4"/>
  <c r="N48" i="4" s="1"/>
  <c r="C20" i="15"/>
  <c r="J18" i="4"/>
  <c r="N18" i="4" s="1"/>
  <c r="C61" i="15"/>
  <c r="F62" i="4"/>
  <c r="J59" i="4"/>
  <c r="N59" i="4" s="1"/>
  <c r="C29" i="15"/>
  <c r="J27" i="4"/>
  <c r="N27" i="4" s="1"/>
  <c r="J12" i="4"/>
  <c r="N12" i="4" s="1"/>
  <c r="C14" i="15"/>
  <c r="J42" i="4"/>
  <c r="N42" i="4" s="1"/>
  <c r="F51" i="4"/>
  <c r="C13" i="15"/>
  <c r="J75" i="4"/>
  <c r="N75" i="4" s="1"/>
  <c r="J76" i="4"/>
  <c r="N76" i="4" s="1"/>
  <c r="G67" i="11" l="1"/>
  <c r="F80" i="1"/>
  <c r="F83" i="1" s="1"/>
  <c r="F85" i="1" s="1"/>
  <c r="F87" i="1" s="1"/>
  <c r="F33" i="1" s="1"/>
  <c r="D67" i="11"/>
  <c r="L13" i="15"/>
  <c r="D17" i="16" a="1"/>
  <c r="H71" i="1"/>
  <c r="E27" i="11"/>
  <c r="E18" i="16"/>
  <c r="E19" i="16"/>
  <c r="E17" i="16"/>
  <c r="E24" i="16"/>
  <c r="E23" i="16"/>
  <c r="E21" i="16"/>
  <c r="E25" i="16"/>
  <c r="E26" i="16"/>
  <c r="E22" i="16"/>
  <c r="E20" i="16"/>
  <c r="E27" i="16"/>
  <c r="E59" i="11"/>
  <c r="E61" i="11" s="1"/>
  <c r="L14" i="15"/>
  <c r="H39" i="15"/>
  <c r="G34" i="11"/>
  <c r="C10" i="11"/>
  <c r="B71" i="4"/>
  <c r="B77" i="4" s="1"/>
  <c r="B80" i="4" s="1"/>
  <c r="B82" i="4" s="1"/>
  <c r="L47" i="15"/>
  <c r="L51" i="15"/>
  <c r="L27" i="15"/>
  <c r="C53" i="15"/>
  <c r="L45" i="15"/>
  <c r="L33" i="15"/>
  <c r="B37" i="4"/>
  <c r="B65" i="1"/>
  <c r="N71" i="1"/>
  <c r="B64" i="4"/>
  <c r="J71" i="1"/>
  <c r="G61" i="11"/>
  <c r="H62" i="4"/>
  <c r="H64" i="4" s="1"/>
  <c r="G64" i="11"/>
  <c r="H69" i="15" s="1"/>
  <c r="L29" i="15"/>
  <c r="C48" i="11"/>
  <c r="W67" i="1"/>
  <c r="E30" i="16" s="1" a="1"/>
  <c r="G58" i="15"/>
  <c r="C53" i="11"/>
  <c r="C59" i="11" s="1"/>
  <c r="Z71" i="1"/>
  <c r="F72" i="15"/>
  <c r="E73" i="11"/>
  <c r="E66" i="15"/>
  <c r="L20" i="15"/>
  <c r="H64" i="15"/>
  <c r="H66" i="15" s="1"/>
  <c r="J56" i="15"/>
  <c r="L56" i="15" s="1"/>
  <c r="J21" i="15"/>
  <c r="L21" i="15" s="1"/>
  <c r="C23" i="11"/>
  <c r="H71" i="4"/>
  <c r="F67" i="11"/>
  <c r="G72" i="15" s="1"/>
  <c r="G53" i="15"/>
  <c r="J42" i="15"/>
  <c r="L50" i="15"/>
  <c r="F61" i="11"/>
  <c r="J23" i="15"/>
  <c r="G28" i="15"/>
  <c r="J12" i="15"/>
  <c r="G15" i="15"/>
  <c r="J51" i="4"/>
  <c r="N51" i="4"/>
  <c r="L61" i="15"/>
  <c r="C64" i="15"/>
  <c r="J62" i="4"/>
  <c r="F64" i="4"/>
  <c r="E8" i="16" s="1"/>
  <c r="N62" i="4"/>
  <c r="X85" i="1"/>
  <c r="F38" i="1" l="1"/>
  <c r="F40" i="1" s="1"/>
  <c r="D27" i="11"/>
  <c r="F32" i="15"/>
  <c r="F37" i="15" s="1"/>
  <c r="F39" i="15" s="1"/>
  <c r="E32" i="11"/>
  <c r="E34" i="11" s="1"/>
  <c r="E64" i="11" s="1"/>
  <c r="F69" i="15" s="1"/>
  <c r="D18" i="16"/>
  <c r="D21" i="16"/>
  <c r="D20" i="16"/>
  <c r="D19" i="16"/>
  <c r="F19" i="16" s="1"/>
  <c r="D17" i="16"/>
  <c r="D23" i="16"/>
  <c r="D22" i="16"/>
  <c r="D24" i="16"/>
  <c r="D25" i="16"/>
  <c r="D27" i="16"/>
  <c r="F27" i="16" s="1"/>
  <c r="D26" i="16"/>
  <c r="F26" i="16" s="1"/>
  <c r="E30" i="16"/>
  <c r="E35" i="16"/>
  <c r="E34" i="16"/>
  <c r="E33" i="16"/>
  <c r="E36" i="16"/>
  <c r="E31" i="16"/>
  <c r="E37" i="16"/>
  <c r="E32" i="16"/>
  <c r="C61" i="11"/>
  <c r="C67" i="11"/>
  <c r="D9" i="4"/>
  <c r="C66" i="15"/>
  <c r="D22" i="4"/>
  <c r="F22" i="4" s="1"/>
  <c r="D29" i="4"/>
  <c r="F29" i="4" s="1"/>
  <c r="F9" i="4"/>
  <c r="D13" i="4"/>
  <c r="D71" i="4"/>
  <c r="D77" i="4" s="1"/>
  <c r="D80" i="4" s="1"/>
  <c r="C69" i="15"/>
  <c r="B66" i="4"/>
  <c r="B67" i="4" s="1"/>
  <c r="B68" i="4"/>
  <c r="F41" i="16"/>
  <c r="J58" i="15"/>
  <c r="L58" i="15" s="1"/>
  <c r="L64" i="15" s="1"/>
  <c r="G64" i="15"/>
  <c r="G66" i="15" s="1"/>
  <c r="B67" i="1"/>
  <c r="W71" i="1"/>
  <c r="F78" i="15"/>
  <c r="E76" i="11"/>
  <c r="D73" i="11"/>
  <c r="E72" i="15"/>
  <c r="G73" i="11"/>
  <c r="H72" i="15"/>
  <c r="L42" i="15"/>
  <c r="L53" i="15" s="1"/>
  <c r="J53" i="15"/>
  <c r="J15" i="15"/>
  <c r="L12" i="15"/>
  <c r="L23" i="15"/>
  <c r="J28" i="15"/>
  <c r="N64" i="4"/>
  <c r="J29" i="4"/>
  <c r="B83" i="4"/>
  <c r="F83" i="4" s="1"/>
  <c r="J83" i="4" s="1"/>
  <c r="N83" i="4" s="1"/>
  <c r="J64" i="4"/>
  <c r="C10" i="7" s="1"/>
  <c r="C12" i="7" s="1"/>
  <c r="C16" i="7" s="1"/>
  <c r="R77" i="1" s="1"/>
  <c r="F70" i="11" s="1"/>
  <c r="D26" i="4"/>
  <c r="X87" i="1"/>
  <c r="E32" i="15" l="1"/>
  <c r="E37" i="15" s="1"/>
  <c r="E39" i="15" s="1"/>
  <c r="D32" i="11"/>
  <c r="D34" i="11" s="1"/>
  <c r="D64" i="11" s="1"/>
  <c r="E69" i="15" s="1"/>
  <c r="F71" i="1"/>
  <c r="D11" i="16" a="1"/>
  <c r="E38" i="16"/>
  <c r="F18" i="16"/>
  <c r="F20" i="16"/>
  <c r="J72" i="15"/>
  <c r="C11" i="15"/>
  <c r="C31" i="15"/>
  <c r="L31" i="15" s="1"/>
  <c r="J9" i="4"/>
  <c r="J13" i="4" s="1"/>
  <c r="F13" i="4"/>
  <c r="F71" i="4"/>
  <c r="F77" i="4" s="1"/>
  <c r="C78" i="15" s="1"/>
  <c r="F25" i="16"/>
  <c r="F24" i="16"/>
  <c r="F22" i="16"/>
  <c r="F23" i="16"/>
  <c r="F21" i="16"/>
  <c r="D28" i="16"/>
  <c r="F17" i="16"/>
  <c r="E28" i="16"/>
  <c r="J64" i="15"/>
  <c r="J66" i="15" s="1"/>
  <c r="L66" i="15"/>
  <c r="F40" i="16"/>
  <c r="F43" i="16" s="1"/>
  <c r="H43" i="16" s="1"/>
  <c r="D76" i="11"/>
  <c r="E78" i="15"/>
  <c r="F81" i="15"/>
  <c r="E78" i="11"/>
  <c r="G76" i="11"/>
  <c r="H78" i="15"/>
  <c r="D82" i="4"/>
  <c r="F80" i="4"/>
  <c r="C81" i="15" s="1"/>
  <c r="C15" i="15"/>
  <c r="L11" i="15"/>
  <c r="L15" i="15" s="1"/>
  <c r="J22" i="4"/>
  <c r="J26" i="4" s="1"/>
  <c r="C24" i="15"/>
  <c r="F26" i="4"/>
  <c r="R80" i="1"/>
  <c r="B77" i="1"/>
  <c r="H74" i="4" s="1"/>
  <c r="X33" i="1"/>
  <c r="D11" i="16" l="1"/>
  <c r="D14" i="16"/>
  <c r="F14" i="16" s="1"/>
  <c r="D12" i="16"/>
  <c r="F12" i="16" s="1"/>
  <c r="D13" i="16"/>
  <c r="F13" i="16" s="1"/>
  <c r="C72" i="15"/>
  <c r="F28" i="16"/>
  <c r="H28" i="16" s="1"/>
  <c r="E45" i="16"/>
  <c r="E47" i="16" s="1"/>
  <c r="F83" i="15"/>
  <c r="E80" i="11"/>
  <c r="G78" i="11"/>
  <c r="H81" i="15"/>
  <c r="D78" i="11"/>
  <c r="E81" i="15"/>
  <c r="J71" i="4"/>
  <c r="C70" i="11"/>
  <c r="G75" i="15"/>
  <c r="J75" i="15" s="1"/>
  <c r="L75" i="15" s="1"/>
  <c r="F73" i="11"/>
  <c r="D30" i="4"/>
  <c r="D84" i="4"/>
  <c r="F84" i="4" s="1"/>
  <c r="F82" i="4"/>
  <c r="R83" i="1"/>
  <c r="B80" i="1"/>
  <c r="L24" i="15"/>
  <c r="L28" i="15" s="1"/>
  <c r="C28" i="15"/>
  <c r="J74" i="4"/>
  <c r="N74" i="4" s="1"/>
  <c r="H77" i="4"/>
  <c r="H80" i="4" s="1"/>
  <c r="H82" i="4" s="1"/>
  <c r="H84" i="4" s="1"/>
  <c r="H30" i="4" s="1"/>
  <c r="H35" i="4" s="1"/>
  <c r="H37" i="4" s="1"/>
  <c r="H68" i="4" s="1"/>
  <c r="X38" i="1"/>
  <c r="D15" i="16" l="1"/>
  <c r="F11" i="16"/>
  <c r="F15" i="16" s="1"/>
  <c r="H15" i="16" s="1"/>
  <c r="G80" i="11"/>
  <c r="H83" i="15"/>
  <c r="E83" i="15"/>
  <c r="D80" i="11"/>
  <c r="J77" i="4"/>
  <c r="J80" i="4" s="1"/>
  <c r="J82" i="4" s="1"/>
  <c r="R85" i="1"/>
  <c r="B83" i="1"/>
  <c r="G78" i="15"/>
  <c r="J78" i="15" s="1"/>
  <c r="L78" i="15" s="1"/>
  <c r="C73" i="11"/>
  <c r="F76" i="11"/>
  <c r="C83" i="15"/>
  <c r="J84" i="4"/>
  <c r="L72" i="15"/>
  <c r="F30" i="4"/>
  <c r="D35" i="4"/>
  <c r="D37" i="4" s="1"/>
  <c r="X40" i="1"/>
  <c r="C32" i="15" l="1"/>
  <c r="J30" i="4"/>
  <c r="J35" i="4" s="1"/>
  <c r="J37" i="4" s="1"/>
  <c r="F35" i="4"/>
  <c r="F37" i="4" s="1"/>
  <c r="F68" i="4" s="1"/>
  <c r="C76" i="11"/>
  <c r="G81" i="15"/>
  <c r="J81" i="15" s="1"/>
  <c r="L81" i="15" s="1"/>
  <c r="F78" i="11"/>
  <c r="R87" i="1"/>
  <c r="B85" i="1"/>
  <c r="X71" i="1"/>
  <c r="J68" i="4" l="1"/>
  <c r="P68" i="4" s="1"/>
  <c r="D8" i="16"/>
  <c r="F66" i="4"/>
  <c r="G83" i="15"/>
  <c r="J83" i="15" s="1"/>
  <c r="L83" i="15" s="1"/>
  <c r="C78" i="11"/>
  <c r="F80" i="11"/>
  <c r="C80" i="11" s="1"/>
  <c r="C27" i="11" s="1"/>
  <c r="C32" i="11" s="1"/>
  <c r="C34" i="11" s="1"/>
  <c r="R33" i="1"/>
  <c r="F27" i="11" s="1"/>
  <c r="B87" i="1"/>
  <c r="J66" i="4"/>
  <c r="J67" i="4" s="1"/>
  <c r="C37" i="15"/>
  <c r="C39" i="15" s="1"/>
  <c r="C64" i="11" l="1"/>
  <c r="F67" i="4"/>
  <c r="D66" i="4"/>
  <c r="F8" i="16"/>
  <c r="L9" i="4"/>
  <c r="R38" i="1"/>
  <c r="B33" i="1"/>
  <c r="H66" i="4"/>
  <c r="L68" i="15"/>
  <c r="AB70" i="1" l="1"/>
  <c r="Y70" i="1"/>
  <c r="H67" i="4"/>
  <c r="C68" i="15"/>
  <c r="D67" i="4"/>
  <c r="L70" i="1"/>
  <c r="N70" i="1"/>
  <c r="V70" i="1"/>
  <c r="E63" i="11"/>
  <c r="F68" i="15" s="1"/>
  <c r="AA70" i="1"/>
  <c r="I70" i="1"/>
  <c r="P70" i="1"/>
  <c r="S70" i="1"/>
  <c r="H70" i="1"/>
  <c r="C70" i="1"/>
  <c r="X70" i="1"/>
  <c r="J70" i="1"/>
  <c r="M70" i="1"/>
  <c r="D63" i="11"/>
  <c r="E68" i="15" s="1"/>
  <c r="T70" i="1"/>
  <c r="Z70" i="1"/>
  <c r="G63" i="11"/>
  <c r="H68" i="15" s="1"/>
  <c r="D70" i="1"/>
  <c r="O70" i="1"/>
  <c r="K70" i="1"/>
  <c r="Q70" i="1"/>
  <c r="F70" i="1"/>
  <c r="E70" i="1"/>
  <c r="W70" i="1"/>
  <c r="G70" i="1"/>
  <c r="U70" i="1"/>
  <c r="C63" i="11"/>
  <c r="R40" i="1"/>
  <c r="D30" i="16" s="1" a="1"/>
  <c r="B38" i="1"/>
  <c r="G32" i="15"/>
  <c r="F32" i="11"/>
  <c r="F34" i="11" s="1"/>
  <c r="N9" i="4"/>
  <c r="N13" i="4" s="1"/>
  <c r="L29" i="4"/>
  <c r="N29" i="4" s="1"/>
  <c r="L13" i="4"/>
  <c r="L22" i="4"/>
  <c r="P9" i="4"/>
  <c r="D30" i="16" l="1"/>
  <c r="D32" i="16"/>
  <c r="D37" i="16"/>
  <c r="F37" i="16" s="1"/>
  <c r="D31" i="16"/>
  <c r="D35" i="16"/>
  <c r="D34" i="16"/>
  <c r="D36" i="16"/>
  <c r="F36" i="16" s="1"/>
  <c r="D33" i="16"/>
  <c r="R71" i="1"/>
  <c r="R70" i="1"/>
  <c r="B40" i="1"/>
  <c r="B70" i="1" s="1"/>
  <c r="F63" i="11"/>
  <c r="G68" i="15" s="1"/>
  <c r="F64" i="11"/>
  <c r="G69" i="15" s="1"/>
  <c r="N22" i="4"/>
  <c r="N26" i="4" s="1"/>
  <c r="L26" i="4"/>
  <c r="J32" i="15"/>
  <c r="G37" i="15"/>
  <c r="G39" i="15" s="1"/>
  <c r="D38" i="16" l="1"/>
  <c r="N71" i="4"/>
  <c r="N77" i="4" s="1"/>
  <c r="N80" i="4" s="1"/>
  <c r="N82" i="4" s="1"/>
  <c r="N84" i="4" s="1"/>
  <c r="B71" i="1"/>
  <c r="J37" i="15"/>
  <c r="J39" i="15" s="1"/>
  <c r="J69" i="15" s="1"/>
  <c r="L32" i="15"/>
  <c r="L37" i="15" s="1"/>
  <c r="L39" i="15" s="1"/>
  <c r="L69" i="15" s="1"/>
  <c r="F34" i="16"/>
  <c r="F33" i="16"/>
  <c r="F32" i="16"/>
  <c r="F35" i="16"/>
  <c r="F31" i="16"/>
  <c r="L71" i="4"/>
  <c r="L77" i="4" s="1"/>
  <c r="L80" i="4" s="1"/>
  <c r="L82" i="4" s="1"/>
  <c r="L84" i="4" s="1"/>
  <c r="L30" i="4" s="1"/>
  <c r="N30" i="4" s="1"/>
  <c r="N35" i="4" s="1"/>
  <c r="N37" i="4" s="1"/>
  <c r="N66" i="4" s="1"/>
  <c r="N67" i="4" l="1"/>
  <c r="L67" i="4" s="1"/>
  <c r="L66" i="4"/>
  <c r="F30" i="16"/>
  <c r="F38" i="16" s="1"/>
  <c r="H38" i="16" s="1"/>
  <c r="D45" i="16"/>
  <c r="D47" i="16" s="1"/>
  <c r="L35" i="4"/>
  <c r="L37" i="4" s="1"/>
  <c r="F45" i="16" l="1"/>
  <c r="F47" i="16" l="1"/>
  <c r="H45" i="16"/>
</calcChain>
</file>

<file path=xl/sharedStrings.xml><?xml version="1.0" encoding="utf-8"?>
<sst xmlns="http://schemas.openxmlformats.org/spreadsheetml/2006/main" count="453" uniqueCount="247">
  <si>
    <t xml:space="preserve">Capital Structure </t>
  </si>
  <si>
    <t>Embedded Cost</t>
  </si>
  <si>
    <t>Weighted Cost</t>
  </si>
  <si>
    <t>DEBT%</t>
  </si>
  <si>
    <t>PREFERRED %</t>
  </si>
  <si>
    <t>COMMON %</t>
  </si>
  <si>
    <t>PacifiCorp</t>
  </si>
  <si>
    <t>Estimated Price Change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</si>
  <si>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</si>
  <si>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</si>
  <si>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</si>
  <si>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</si>
  <si>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</si>
  <si>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</si>
  <si>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</si>
  <si>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</si>
  <si>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</si>
  <si>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</si>
  <si>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</si>
  <si>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</si>
  <si>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</si>
  <si>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</si>
  <si>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</si>
  <si>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</si>
  <si>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</si>
  <si>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</si>
  <si>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</si>
  <si>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</si>
  <si>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</si>
  <si>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</si>
  <si>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</si>
  <si>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</si>
  <si>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</si>
  <si>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</si>
  <si>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</si>
  <si>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</si>
  <si>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</si>
  <si>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</si>
  <si>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</si>
  <si>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</si>
  <si>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</si>
  <si>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</si>
  <si>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</si>
  <si>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</si>
  <si>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</si>
  <si>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</si>
  <si>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</si>
  <si>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</si>
  <si>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</si>
  <si>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</si>
  <si>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</si>
  <si>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</si>
  <si>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</si>
  <si>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</si>
  <si>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</si>
  <si>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</si>
  <si>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</si>
  <si>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</si>
  <si>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</si>
  <si>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</si>
  <si>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</si>
  <si>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</si>
  <si>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</si>
  <si>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</si>
  <si>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</si>
  <si>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</si>
  <si>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</si>
  <si>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</si>
  <si>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</si>
  <si>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</si>
  <si>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</si>
  <si>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(1)</t>
  </si>
  <si>
    <t>(2)</t>
  </si>
  <si>
    <t>(3)</t>
  </si>
  <si>
    <t>(4)</t>
  </si>
  <si>
    <t>(5)</t>
  </si>
  <si>
    <t>(3) + (4)</t>
  </si>
  <si>
    <t>Unadjusted Interest Expense</t>
  </si>
  <si>
    <t>Restated Washington Allocated Rate Base</t>
  </si>
  <si>
    <t>Weighted Cost of Debt</t>
  </si>
  <si>
    <t>Restated Interest Expense</t>
  </si>
  <si>
    <t>Federal Income Taxes Before Credits</t>
  </si>
  <si>
    <t>Energy Tax Credits</t>
  </si>
  <si>
    <t>Federal Income Taxes</t>
  </si>
  <si>
    <t>Price Change</t>
  </si>
  <si>
    <t>WUTC Regulatory Fee</t>
  </si>
  <si>
    <t>Operating Deductions</t>
  </si>
  <si>
    <t>Uncollectable Accounts</t>
  </si>
  <si>
    <t>Taxes Other - Resource Supplier</t>
  </si>
  <si>
    <t>Taxes Other - Gross Receipts</t>
  </si>
  <si>
    <t>Sub-Total</t>
  </si>
  <si>
    <t>Net Operating Income</t>
  </si>
  <si>
    <t>State Taxes</t>
  </si>
  <si>
    <t>Estimated Return on Equity Impact</t>
  </si>
  <si>
    <t>Variables</t>
  </si>
  <si>
    <t>Above</t>
  </si>
  <si>
    <t>Reference</t>
  </si>
  <si>
    <t>Total Adjustments</t>
  </si>
  <si>
    <t>Income Taxes:  Federal</t>
  </si>
  <si>
    <t xml:space="preserve">                         State</t>
  </si>
  <si>
    <t>Deferred Income Taxes</t>
  </si>
  <si>
    <t>Weatherization Loans</t>
  </si>
  <si>
    <t xml:space="preserve">   Deductions:</t>
  </si>
  <si>
    <t>Miscellaneous Deductions</t>
  </si>
  <si>
    <t xml:space="preserve">   Total Deductions:</t>
  </si>
  <si>
    <t>Estimated ROE impact</t>
  </si>
  <si>
    <t>NOI</t>
  </si>
  <si>
    <t>Rate Base</t>
  </si>
  <si>
    <t>Rev. Req.</t>
  </si>
  <si>
    <t xml:space="preserve">Notes: </t>
  </si>
  <si>
    <t>Total Adjusted Results</t>
  </si>
  <si>
    <t>Revenue Requirement Adjustment Summary</t>
  </si>
  <si>
    <t>Summary</t>
  </si>
  <si>
    <t>Total</t>
  </si>
  <si>
    <t>Federal Income Taxes + Other</t>
  </si>
  <si>
    <t>Adj. No.</t>
  </si>
  <si>
    <t>Line No.</t>
  </si>
  <si>
    <t>A</t>
  </si>
  <si>
    <t>B</t>
  </si>
  <si>
    <t>C</t>
  </si>
  <si>
    <t>D</t>
  </si>
  <si>
    <t>E</t>
  </si>
  <si>
    <t>F</t>
  </si>
  <si>
    <t>Subtotal Normalizing Adjustments</t>
  </si>
  <si>
    <t>Check</t>
  </si>
  <si>
    <t>WUTC Public Utility Tax</t>
  </si>
  <si>
    <t>Federal Income Tax @ 21.00%</t>
  </si>
  <si>
    <t>Washington 2023 General Rate Case</t>
  </si>
  <si>
    <t>Energy &amp; Other Tax Credits</t>
  </si>
  <si>
    <t>13.1</t>
  </si>
  <si>
    <t>Tab 13 - Revenues &amp; Expenses (Year 2)</t>
  </si>
  <si>
    <t>Pro Forma Major Plant Additions - Year 2</t>
  </si>
  <si>
    <t>Pro Forma Depreciation &amp; Amortization Reserve - 
Year 2</t>
  </si>
  <si>
    <t>Pro Forma Depreciation &amp; Amortization Expense - 
Year 2</t>
  </si>
  <si>
    <t>14.5</t>
  </si>
  <si>
    <t>14.9</t>
  </si>
  <si>
    <t>Property Taxes - 
Year 2</t>
  </si>
  <si>
    <t>15.2</t>
  </si>
  <si>
    <t>15.3</t>
  </si>
  <si>
    <t>Permanent Schedule M Adjustment - Year 2</t>
  </si>
  <si>
    <t>15.5</t>
  </si>
  <si>
    <t>Tab 15 - Taxes (Year 2)</t>
  </si>
  <si>
    <t>Regulatory Assets &amp; Liabilities Amortization - Year 2</t>
  </si>
  <si>
    <t>Remove Deferred State Tax Expense &amp; Balance - 
Year 2</t>
  </si>
  <si>
    <t>16.2</t>
  </si>
  <si>
    <t>Klamath Hydroelectric Assets Amortization - Year 2</t>
  </si>
  <si>
    <t>Interest True-Up - Year 2</t>
  </si>
  <si>
    <t>2024 (Year 1) Results</t>
  </si>
  <si>
    <t>2025 (Year 2) Provisional Results</t>
  </si>
  <si>
    <t>Provisional Adjustment</t>
  </si>
  <si>
    <t>Wheeling Revenues - 
Year 2</t>
  </si>
  <si>
    <t xml:space="preserve">General Wage Increase (Pro Forma) - 
Year 2 </t>
  </si>
  <si>
    <t>2024 (Year 1) Interest Expense</t>
  </si>
  <si>
    <t>Pryor Mountain REC Revenues - Year 2</t>
  </si>
  <si>
    <t>Year 1 Adjusted Results</t>
  </si>
  <si>
    <t>Year 1 
Price Change</t>
  </si>
  <si>
    <t>Year 1 Results with Price Change</t>
  </si>
  <si>
    <t>PowerTax ADIT Balance Adjustment - Year 2</t>
  </si>
  <si>
    <t>(6)</t>
  </si>
  <si>
    <t>(7)</t>
  </si>
  <si>
    <t>(5) + (6)</t>
  </si>
  <si>
    <t>Year 2 
Price Change</t>
  </si>
  <si>
    <t>Year 2 Results with Price Change</t>
  </si>
  <si>
    <t>14.10</t>
  </si>
  <si>
    <t>Major Transmission Capital Additions - 
Year 2</t>
  </si>
  <si>
    <t>Removal of TCJA Balances Adjustment - Year 2</t>
  </si>
  <si>
    <t>check</t>
  </si>
  <si>
    <t>Pro Forma JB Units 1 &amp; 2 Additions - Year 2</t>
  </si>
  <si>
    <t>Revenue &amp; Expense Adjustments - Year 2
(Tab 13)</t>
  </si>
  <si>
    <t>Capital Additions / Depreciation &amp; Amortization - Year 2
(Tab 14)</t>
  </si>
  <si>
    <t>Tax Adjustments - Year 2
(Tab 15)</t>
  </si>
  <si>
    <t>Other Adjustments - Year 2
(Tab 16)</t>
  </si>
  <si>
    <t>Tab 13</t>
  </si>
  <si>
    <t>Tab 14</t>
  </si>
  <si>
    <t>Tab 16</t>
  </si>
  <si>
    <t>Tab 15</t>
  </si>
  <si>
    <t>Revenue &amp; Expense Adjustments - Year 2</t>
  </si>
  <si>
    <t>Tax Adjustments - Year 2</t>
  </si>
  <si>
    <t>Other Adjustments - Year 2</t>
  </si>
  <si>
    <t>Tabs 13-16</t>
  </si>
  <si>
    <t>Provisional Adjustments</t>
  </si>
  <si>
    <t>12 Months Ended June 2022</t>
  </si>
  <si>
    <t>Washington Allocated Year 1 Adjusted Results with Price Change</t>
  </si>
  <si>
    <t>Tab 16 - Other Adj. (Year 2)</t>
  </si>
  <si>
    <t>Existing Coal-Fired Generation Assets - 
Year 2</t>
  </si>
  <si>
    <t>Jim Bridger Mine Rate Base - 
Year 2</t>
  </si>
  <si>
    <t>Decommissioning and Other Plant Closure Costs - 
Year 2</t>
  </si>
  <si>
    <t>Rate Year 1 Washington Allocated Data (Per Books)</t>
  </si>
  <si>
    <t>Tab 13 - Revenue &amp; Expenses RY2 - Subtotal</t>
  </si>
  <si>
    <t>Tab 14 - Capital Additions &amp; Depreciation RY2 - Subtotal</t>
  </si>
  <si>
    <t>Tab 15 - Interest &amp; Taxes RY2 - Subtotal</t>
  </si>
  <si>
    <t>Tab 16 - Other Adjustments RY2 - Subtotal</t>
  </si>
  <si>
    <t>Capital Additions / Depr. &amp; Amort. - 
Year 2</t>
  </si>
  <si>
    <t>Total Pro Forma Adjustments</t>
  </si>
  <si>
    <t>Year 2 Pro Forma Adjustments</t>
  </si>
  <si>
    <t>Total Year 2 Adjusted Results</t>
  </si>
  <si>
    <t>Summary of 2025 Pro Forma Adjustments</t>
  </si>
  <si>
    <t>Rate Year 2 Pro Forma Results of Operations</t>
  </si>
  <si>
    <t>13.2_R</t>
  </si>
  <si>
    <t>13.3_R</t>
  </si>
  <si>
    <t>14.1_R</t>
  </si>
  <si>
    <t>14.2_R</t>
  </si>
  <si>
    <t>14.3_R</t>
  </si>
  <si>
    <t>14.4_R</t>
  </si>
  <si>
    <t>14.8_R</t>
  </si>
  <si>
    <t>15.4_R</t>
  </si>
  <si>
    <t>16.1_R</t>
  </si>
  <si>
    <t>Confidential Wind Generation Captial Additions - 
Year 2</t>
  </si>
  <si>
    <t>Rebuttal Interest True-up Calculation - Year 2</t>
  </si>
  <si>
    <t>(From Year 1 Non-Coal Compliance - Summary Tab)</t>
  </si>
  <si>
    <t>Def State Tax Rate in the Combined Deferred Tax Rate</t>
  </si>
  <si>
    <t>Combined Deferred Tax Rate</t>
  </si>
  <si>
    <t>Ratio of Deferred State Tax Rate to Combined Deferred Tax rate</t>
  </si>
  <si>
    <t>S1</t>
  </si>
  <si>
    <t>15.6_C</t>
  </si>
  <si>
    <r>
      <t xml:space="preserve">Pro Forma JB Units 3, 4 and </t>
    </r>
    <r>
      <rPr>
        <b/>
        <strike/>
        <sz val="10"/>
        <rFont val="Arial"/>
        <family val="2"/>
      </rPr>
      <t>Colstrip 4</t>
    </r>
    <r>
      <rPr>
        <b/>
        <sz val="10"/>
        <rFont val="Arial"/>
        <family val="2"/>
      </rPr>
      <t xml:space="preserve"> Additions - 
Year 2</t>
    </r>
  </si>
  <si>
    <t>Settlement Adjustment for Exclusion of Colstrip 4 Pro forma Capital</t>
  </si>
  <si>
    <t>Calc.</t>
  </si>
  <si>
    <t>13.4</t>
  </si>
  <si>
    <t>Net Power Cost - Year 2</t>
  </si>
  <si>
    <t>15.7</t>
  </si>
  <si>
    <t>Production Tax Credits - Year 2</t>
  </si>
  <si>
    <t>15.8</t>
  </si>
  <si>
    <t>Wyoming Wind Generation Tax - Year 2</t>
  </si>
  <si>
    <t>Compliance Filing</t>
  </si>
  <si>
    <t>16.3</t>
  </si>
  <si>
    <t>Production Factor - Year 2</t>
  </si>
  <si>
    <t>RY2-NEW</t>
  </si>
  <si>
    <t>WASHINGTON SUMMARY OF ADJUSTMENTS - PRO FORMA (COMPLIANCE)</t>
  </si>
  <si>
    <t>Rate Year 2 - Compliance Filing</t>
  </si>
  <si>
    <t xml:space="preserve">Washington Allocated  Year 2 Provisional Results </t>
  </si>
  <si>
    <t>The table below presents the Company's pro forma ratemaking adjustments for Rate Year 2 (non-coal resource costs) and their impact on net operating income (NOI), rate base, and the Washington revenue requirement.</t>
  </si>
  <si>
    <t>Tab 15 - Tax (Year 2) cont.</t>
  </si>
  <si>
    <t>Tab 14 - Capital Additions / Depreciation &amp; Amortization (Year 2)</t>
  </si>
  <si>
    <t>Tab 14 - Capital / Depreciation &amp; Amortization (Year 2) - cont.</t>
  </si>
  <si>
    <t>14.6_C</t>
  </si>
  <si>
    <t>14.7_C</t>
  </si>
  <si>
    <t>15.1_C</t>
  </si>
  <si>
    <t>SETTLEMENT</t>
  </si>
  <si>
    <t>Page 1_C</t>
  </si>
  <si>
    <t>Rate Year 1 Compliance Filing</t>
  </si>
  <si>
    <t>"Pro Forma Adj" tab</t>
  </si>
  <si>
    <t>"Variables" Tab</t>
  </si>
  <si>
    <t>Capital Structure and Cost</t>
  </si>
  <si>
    <t xml:space="preserve">Net to Gross Bump-up Factor </t>
  </si>
  <si>
    <t>The development of these percentages can be foundon the "Variables" tab.</t>
  </si>
  <si>
    <t>(1) The revenue requirement column is calculated using the Company's proposed return on rate base of 7.29% and the NOI conversion factor of 75.182%.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</si>
</sst>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_(* #,##0.0_);_(* \(#,##0.0\);_(* &quot;-&quot;??_);_(@_)"/>
  </numFmts>
  <fonts count="27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3" tint="0.39997558519241921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trike/>
      <sz val="10"/>
      <name val="Arial"/>
      <family val="2"/>
    </font>
    <font>
      <b/>
      <sz val="10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0"/>
      <color theme="2" tint="-0.249977111117893"/>
      <name val="Arial"/>
      <family val="2"/>
    </font>
    <font>
      <b/>
      <sz val="10"/>
      <color theme="8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1" fontId="21" fillId="0" borderId="0" applyFont="0" applyFill="0" applyBorder="0" applyAlignment="0" applyProtection="0"/>
  </cellStyleXfs>
  <cellXfs count="286">
    <xf numFmtId="0" fontId="0" fillId="0" borderId="0" xfId="0"/>
    <xf numFmtId="164" fontId="6" fillId="0" borderId="0" xfId="1" applyNumberFormat="1" applyFont="1" applyAlignment="1">
      <alignment horizontal="left"/>
    </xf>
    <xf numFmtId="164" fontId="4" fillId="0" borderId="0" xfId="1" applyNumberFormat="1" applyFont="1" applyFill="1" applyBorder="1"/>
    <xf numFmtId="164" fontId="4" fillId="0" borderId="0" xfId="1" applyNumberFormat="1" applyFont="1"/>
    <xf numFmtId="164" fontId="6" fillId="0" borderId="0" xfId="1" applyNumberFormat="1" applyFont="1" applyFill="1" applyBorder="1"/>
    <xf numFmtId="164" fontId="6" fillId="0" borderId="0" xfId="1" applyNumberFormat="1" applyFont="1"/>
    <xf numFmtId="164" fontId="6" fillId="0" borderId="0" xfId="1" applyNumberFormat="1" applyFont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Fill="1" applyBorder="1" applyProtection="1">
      <protection locked="0"/>
    </xf>
    <xf numFmtId="164" fontId="4" fillId="0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/>
    <xf numFmtId="165" fontId="4" fillId="0" borderId="0" xfId="2" applyNumberFormat="1" applyFont="1" applyFill="1" applyBorder="1" applyAlignment="1">
      <alignment vertical="center"/>
    </xf>
    <xf numFmtId="165" fontId="4" fillId="0" borderId="10" xfId="2" applyNumberFormat="1" applyFont="1" applyFill="1" applyBorder="1" applyAlignment="1">
      <alignment vertical="center"/>
    </xf>
    <xf numFmtId="165" fontId="4" fillId="0" borderId="11" xfId="2" applyNumberFormat="1" applyFont="1" applyFill="1" applyBorder="1" applyAlignment="1">
      <alignment vertical="center"/>
    </xf>
    <xf numFmtId="0" fontId="4" fillId="0" borderId="0" xfId="0" applyFont="1"/>
    <xf numFmtId="165" fontId="4" fillId="0" borderId="0" xfId="2" applyNumberFormat="1" applyFont="1" applyBorder="1" applyAlignment="1">
      <alignment vertical="center"/>
    </xf>
    <xf numFmtId="164" fontId="6" fillId="0" borderId="0" xfId="1" quotePrefix="1" applyNumberFormat="1" applyFont="1" applyBorder="1" applyAlignment="1">
      <alignment horizontal="left" vertical="center"/>
    </xf>
    <xf numFmtId="10" fontId="4" fillId="0" borderId="0" xfId="2" applyNumberFormat="1" applyFont="1" applyBorder="1" applyAlignment="1">
      <alignment vertical="center"/>
    </xf>
    <xf numFmtId="0" fontId="6" fillId="0" borderId="0" xfId="0" applyFont="1"/>
    <xf numFmtId="0" fontId="6" fillId="0" borderId="2" xfId="0" applyFont="1" applyBorder="1"/>
    <xf numFmtId="164" fontId="4" fillId="0" borderId="10" xfId="1" applyNumberFormat="1" applyFont="1" applyFill="1" applyBorder="1" applyProtection="1">
      <protection locked="0"/>
    </xf>
    <xf numFmtId="164" fontId="4" fillId="0" borderId="10" xfId="1" quotePrefix="1" applyNumberFormat="1" applyFont="1" applyFill="1" applyBorder="1" applyAlignment="1" applyProtection="1">
      <alignment horizontal="left"/>
      <protection locked="0"/>
    </xf>
    <xf numFmtId="164" fontId="4" fillId="0" borderId="10" xfId="1" applyNumberFormat="1" applyFont="1" applyFill="1" applyBorder="1" applyAlignment="1" applyProtection="1">
      <alignment horizontal="left"/>
      <protection locked="0"/>
    </xf>
    <xf numFmtId="164" fontId="4" fillId="0" borderId="14" xfId="1" applyNumberFormat="1" applyFont="1" applyFill="1" applyBorder="1" applyAlignment="1" applyProtection="1">
      <alignment horizontal="left"/>
      <protection locked="0"/>
    </xf>
    <xf numFmtId="164" fontId="4" fillId="0" borderId="10" xfId="0" applyNumberFormat="1" applyFont="1" applyBorder="1"/>
    <xf numFmtId="164" fontId="4" fillId="0" borderId="10" xfId="1" applyNumberFormat="1" applyFont="1" applyFill="1" applyBorder="1"/>
    <xf numFmtId="165" fontId="4" fillId="0" borderId="0" xfId="2" applyNumberFormat="1" applyFont="1"/>
    <xf numFmtId="165" fontId="4" fillId="0" borderId="2" xfId="2" applyNumberFormat="1" applyFont="1" applyBorder="1"/>
    <xf numFmtId="0" fontId="6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4" fillId="0" borderId="0" xfId="0" quotePrefix="1" applyFont="1" applyAlignment="1">
      <alignment horizontal="centerContinuous"/>
    </xf>
    <xf numFmtId="165" fontId="4" fillId="0" borderId="0" xfId="2" quotePrefix="1" applyNumberFormat="1" applyFont="1"/>
    <xf numFmtId="10" fontId="4" fillId="0" borderId="0" xfId="2" applyNumberFormat="1" applyFont="1"/>
    <xf numFmtId="165" fontId="4" fillId="0" borderId="3" xfId="2" quotePrefix="1" applyNumberFormat="1" applyFont="1" applyBorder="1"/>
    <xf numFmtId="165" fontId="4" fillId="0" borderId="0" xfId="2" quotePrefix="1" applyNumberFormat="1" applyFont="1" applyBorder="1"/>
    <xf numFmtId="0" fontId="4" fillId="0" borderId="0" xfId="0" quotePrefix="1" applyFont="1" applyAlignment="1">
      <alignment horizontal="left"/>
    </xf>
    <xf numFmtId="0" fontId="6" fillId="0" borderId="2" xfId="0" applyFont="1" applyBorder="1" applyAlignment="1">
      <alignment horizontal="center"/>
    </xf>
    <xf numFmtId="164" fontId="5" fillId="0" borderId="0" xfId="1" applyNumberFormat="1" applyFont="1"/>
    <xf numFmtId="164" fontId="5" fillId="0" borderId="0" xfId="1" applyNumberFormat="1" applyFont="1" applyFill="1"/>
    <xf numFmtId="0" fontId="5" fillId="0" borderId="0" xfId="0" applyFont="1"/>
    <xf numFmtId="164" fontId="5" fillId="0" borderId="2" xfId="1" applyNumberFormat="1" applyFont="1" applyFill="1" applyBorder="1"/>
    <xf numFmtId="43" fontId="5" fillId="0" borderId="0" xfId="0" applyNumberFormat="1" applyFont="1"/>
    <xf numFmtId="164" fontId="4" fillId="0" borderId="0" xfId="1" quotePrefix="1" applyNumberFormat="1" applyFont="1" applyFill="1" applyBorder="1" applyAlignment="1" applyProtection="1">
      <alignment horizontal="center"/>
      <protection locked="0"/>
    </xf>
    <xf numFmtId="164" fontId="4" fillId="0" borderId="11" xfId="1" quotePrefix="1" applyNumberFormat="1" applyFont="1" applyFill="1" applyBorder="1" applyAlignment="1" applyProtection="1">
      <alignment horizontal="center"/>
      <protection locked="0"/>
    </xf>
    <xf numFmtId="164" fontId="4" fillId="0" borderId="10" xfId="1" quotePrefix="1" applyNumberFormat="1" applyFont="1" applyFill="1" applyBorder="1" applyAlignment="1" applyProtection="1">
      <alignment horizontal="center"/>
      <protection locked="0"/>
    </xf>
    <xf numFmtId="164" fontId="4" fillId="0" borderId="11" xfId="1" applyNumberFormat="1" applyFont="1" applyFill="1" applyBorder="1" applyProtection="1">
      <protection locked="0"/>
    </xf>
    <xf numFmtId="164" fontId="4" fillId="0" borderId="0" xfId="1" quotePrefix="1" applyNumberFormat="1" applyFont="1" applyFill="1" applyBorder="1" applyAlignment="1" applyProtection="1">
      <alignment horizontal="left"/>
      <protection locked="0"/>
    </xf>
    <xf numFmtId="164" fontId="4" fillId="0" borderId="11" xfId="1" quotePrefix="1" applyNumberFormat="1" applyFont="1" applyFill="1" applyBorder="1" applyAlignment="1" applyProtection="1">
      <alignment horizontal="left"/>
      <protection locked="0"/>
    </xf>
    <xf numFmtId="164" fontId="4" fillId="0" borderId="0" xfId="1" applyNumberFormat="1" applyFont="1" applyFill="1" applyBorder="1" applyAlignment="1" applyProtection="1">
      <alignment horizontal="left"/>
      <protection locked="0"/>
    </xf>
    <xf numFmtId="164" fontId="4" fillId="0" borderId="11" xfId="1" applyNumberFormat="1" applyFont="1" applyFill="1" applyBorder="1" applyAlignment="1" applyProtection="1">
      <alignment horizontal="left"/>
      <protection locked="0"/>
    </xf>
    <xf numFmtId="164" fontId="4" fillId="0" borderId="11" xfId="1" applyNumberFormat="1" applyFont="1" applyFill="1" applyBorder="1"/>
    <xf numFmtId="164" fontId="4" fillId="0" borderId="2" xfId="1" applyNumberFormat="1" applyFont="1" applyFill="1" applyBorder="1" applyAlignment="1" applyProtection="1">
      <alignment horizontal="left"/>
      <protection locked="0"/>
    </xf>
    <xf numFmtId="164" fontId="4" fillId="0" borderId="2" xfId="1" quotePrefix="1" applyNumberFormat="1" applyFont="1" applyFill="1" applyBorder="1" applyAlignment="1" applyProtection="1">
      <alignment horizontal="left"/>
      <protection locked="0"/>
    </xf>
    <xf numFmtId="164" fontId="4" fillId="0" borderId="15" xfId="1" applyNumberFormat="1" applyFont="1" applyFill="1" applyBorder="1" applyAlignment="1" applyProtection="1">
      <alignment horizontal="left"/>
      <protection locked="0"/>
    </xf>
    <xf numFmtId="164" fontId="4" fillId="0" borderId="14" xfId="1" quotePrefix="1" applyNumberFormat="1" applyFont="1" applyFill="1" applyBorder="1" applyAlignment="1" applyProtection="1">
      <alignment horizontal="left"/>
      <protection locked="0"/>
    </xf>
    <xf numFmtId="164" fontId="4" fillId="0" borderId="15" xfId="1" quotePrefix="1" applyNumberFormat="1" applyFont="1" applyFill="1" applyBorder="1" applyAlignment="1" applyProtection="1">
      <alignment horizontal="left"/>
      <protection locked="0"/>
    </xf>
    <xf numFmtId="164" fontId="6" fillId="0" borderId="10" xfId="1" applyNumberFormat="1" applyFont="1" applyFill="1" applyBorder="1" applyAlignment="1" applyProtection="1">
      <alignment horizontal="center" wrapText="1"/>
      <protection locked="0"/>
    </xf>
    <xf numFmtId="164" fontId="6" fillId="0" borderId="11" xfId="1" applyNumberFormat="1" applyFont="1" applyFill="1" applyBorder="1" applyAlignment="1" applyProtection="1">
      <alignment horizontal="center" wrapText="1"/>
      <protection locked="0"/>
    </xf>
    <xf numFmtId="164" fontId="6" fillId="0" borderId="0" xfId="1" applyNumberFormat="1" applyFont="1" applyFill="1" applyBorder="1" applyAlignment="1" applyProtection="1">
      <alignment horizontal="center" wrapText="1"/>
      <protection locked="0"/>
    </xf>
    <xf numFmtId="0" fontId="12" fillId="0" borderId="0" xfId="6" applyFont="1"/>
    <xf numFmtId="0" fontId="13" fillId="0" borderId="0" xfId="6" applyFont="1"/>
    <xf numFmtId="0" fontId="5" fillId="0" borderId="0" xfId="6" applyFont="1"/>
    <xf numFmtId="0" fontId="5" fillId="0" borderId="0" xfId="6" applyFont="1" applyAlignment="1">
      <alignment horizontal="left"/>
    </xf>
    <xf numFmtId="0" fontId="12" fillId="0" borderId="0" xfId="6" quotePrefix="1" applyFont="1"/>
    <xf numFmtId="0" fontId="9" fillId="0" borderId="0" xfId="6" applyFont="1"/>
    <xf numFmtId="0" fontId="5" fillId="0" borderId="2" xfId="6" applyFont="1" applyBorder="1" applyAlignment="1">
      <alignment horizontal="centerContinuous"/>
    </xf>
    <xf numFmtId="0" fontId="15" fillId="0" borderId="2" xfId="6" applyFont="1" applyBorder="1" applyAlignment="1">
      <alignment horizontal="centerContinuous"/>
    </xf>
    <xf numFmtId="0" fontId="5" fillId="0" borderId="0" xfId="6" applyFont="1" applyAlignment="1">
      <alignment horizontal="center"/>
    </xf>
    <xf numFmtId="0" fontId="9" fillId="0" borderId="0" xfId="6" applyFont="1" applyAlignment="1">
      <alignment horizontal="center"/>
    </xf>
    <xf numFmtId="17" fontId="9" fillId="0" borderId="2" xfId="6" applyNumberFormat="1" applyFont="1" applyBorder="1" applyAlignment="1">
      <alignment horizontal="center" wrapText="1"/>
    </xf>
    <xf numFmtId="17" fontId="5" fillId="0" borderId="0" xfId="6" applyNumberFormat="1" applyFont="1" applyAlignment="1">
      <alignment horizontal="center" wrapText="1"/>
    </xf>
    <xf numFmtId="0" fontId="5" fillId="0" borderId="0" xfId="6" applyFont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0" xfId="6" applyNumberFormat="1" applyFont="1"/>
    <xf numFmtId="164" fontId="5" fillId="0" borderId="1" xfId="1" applyNumberFormat="1" applyFont="1" applyBorder="1"/>
    <xf numFmtId="164" fontId="5" fillId="0" borderId="0" xfId="1" applyNumberFormat="1" applyFont="1" applyBorder="1" applyAlignment="1">
      <alignment vertical="center"/>
    </xf>
    <xf numFmtId="0" fontId="4" fillId="0" borderId="0" xfId="6"/>
    <xf numFmtId="0" fontId="5" fillId="0" borderId="0" xfId="6" applyFont="1" applyAlignment="1">
      <alignment horizontal="right" vertical="center"/>
    </xf>
    <xf numFmtId="164" fontId="5" fillId="0" borderId="2" xfId="1" applyNumberFormat="1" applyFont="1" applyBorder="1"/>
    <xf numFmtId="164" fontId="5" fillId="0" borderId="4" xfId="1" applyNumberFormat="1" applyFont="1" applyBorder="1" applyAlignment="1">
      <alignment vertical="center"/>
    </xf>
    <xf numFmtId="164" fontId="5" fillId="0" borderId="1" xfId="6" applyNumberFormat="1" applyFont="1" applyBorder="1"/>
    <xf numFmtId="164" fontId="5" fillId="0" borderId="3" xfId="6" applyNumberFormat="1" applyFont="1" applyBorder="1"/>
    <xf numFmtId="164" fontId="5" fillId="0" borderId="0" xfId="1" applyNumberFormat="1" applyFont="1" applyBorder="1" applyAlignment="1"/>
    <xf numFmtId="165" fontId="5" fillId="0" borderId="0" xfId="2" applyNumberFormat="1" applyFont="1" applyAlignment="1">
      <alignment vertical="center"/>
    </xf>
    <xf numFmtId="164" fontId="5" fillId="0" borderId="0" xfId="1" quotePrefix="1" applyNumberFormat="1" applyFont="1"/>
    <xf numFmtId="0" fontId="5" fillId="0" borderId="0" xfId="6" quotePrefix="1" applyFont="1" applyAlignment="1">
      <alignment horizontal="left" vertical="center"/>
    </xf>
    <xf numFmtId="164" fontId="5" fillId="0" borderId="2" xfId="6" applyNumberFormat="1" applyFont="1" applyBorder="1"/>
    <xf numFmtId="164" fontId="5" fillId="0" borderId="0" xfId="1" applyNumberFormat="1" applyFont="1" applyBorder="1"/>
    <xf numFmtId="164" fontId="5" fillId="0" borderId="2" xfId="1" applyNumberFormat="1" applyFont="1" applyBorder="1" applyAlignment="1">
      <alignment vertical="center"/>
    </xf>
    <xf numFmtId="164" fontId="5" fillId="0" borderId="5" xfId="6" applyNumberFormat="1" applyFont="1" applyBorder="1"/>
    <xf numFmtId="164" fontId="5" fillId="0" borderId="5" xfId="1" applyNumberFormat="1" applyFont="1" applyBorder="1" applyAlignment="1">
      <alignment vertical="center"/>
    </xf>
    <xf numFmtId="10" fontId="5" fillId="0" borderId="0" xfId="2" applyNumberFormat="1" applyFont="1" applyFill="1"/>
    <xf numFmtId="10" fontId="5" fillId="0" borderId="0" xfId="2" applyNumberFormat="1" applyFont="1" applyFill="1" applyAlignment="1">
      <alignment vertical="center"/>
    </xf>
    <xf numFmtId="10" fontId="5" fillId="0" borderId="0" xfId="6" applyNumberFormat="1" applyFont="1"/>
    <xf numFmtId="164" fontId="5" fillId="0" borderId="4" xfId="6" applyNumberFormat="1" applyFont="1" applyBorder="1"/>
    <xf numFmtId="164" fontId="5" fillId="0" borderId="4" xfId="1" applyNumberFormat="1" applyFont="1" applyBorder="1"/>
    <xf numFmtId="164" fontId="6" fillId="0" borderId="0" xfId="1" applyNumberFormat="1" applyFont="1" applyFill="1" applyAlignment="1">
      <alignment horizontal="left"/>
    </xf>
    <xf numFmtId="164" fontId="6" fillId="0" borderId="0" xfId="1" applyNumberFormat="1" applyFont="1" applyFill="1" applyBorder="1" applyAlignment="1">
      <alignment horizontal="left"/>
    </xf>
    <xf numFmtId="164" fontId="6" fillId="0" borderId="0" xfId="1" applyNumberFormat="1" applyFont="1" applyFill="1"/>
    <xf numFmtId="164" fontId="6" fillId="0" borderId="0" xfId="1" applyNumberFormat="1" applyFont="1" applyFill="1" applyAlignment="1">
      <alignment vertical="center"/>
    </xf>
    <xf numFmtId="164" fontId="6" fillId="0" borderId="0" xfId="1" quotePrefix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64" fontId="9" fillId="0" borderId="0" xfId="1" applyNumberFormat="1" applyFont="1" applyFill="1"/>
    <xf numFmtId="164" fontId="5" fillId="0" borderId="0" xfId="1" applyNumberFormat="1" applyFont="1" applyFill="1" applyBorder="1"/>
    <xf numFmtId="164" fontId="9" fillId="0" borderId="0" xfId="1" applyNumberFormat="1" applyFont="1" applyFill="1" applyBorder="1"/>
    <xf numFmtId="0" fontId="9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9" fillId="0" borderId="1" xfId="0" applyNumberFormat="1" applyFont="1" applyBorder="1"/>
    <xf numFmtId="0" fontId="9" fillId="0" borderId="0" xfId="0" applyFont="1" applyAlignment="1">
      <alignment horizontal="center"/>
    </xf>
    <xf numFmtId="165" fontId="4" fillId="0" borderId="6" xfId="2" applyNumberFormat="1" applyFont="1" applyFill="1" applyBorder="1"/>
    <xf numFmtId="165" fontId="4" fillId="0" borderId="0" xfId="2" applyNumberFormat="1" applyFont="1" applyFill="1" applyBorder="1"/>
    <xf numFmtId="165" fontId="4" fillId="0" borderId="7" xfId="2" applyNumberFormat="1" applyFont="1" applyFill="1" applyBorder="1"/>
    <xf numFmtId="165" fontId="4" fillId="0" borderId="2" xfId="2" applyNumberFormat="1" applyFont="1" applyFill="1" applyBorder="1"/>
    <xf numFmtId="165" fontId="4" fillId="0" borderId="0" xfId="2" applyNumberFormat="1" applyFont="1" applyFill="1"/>
    <xf numFmtId="164" fontId="5" fillId="0" borderId="0" xfId="0" applyNumberFormat="1" applyFont="1"/>
    <xf numFmtId="0" fontId="5" fillId="0" borderId="0" xfId="0" quotePrefix="1" applyFont="1" applyAlignment="1">
      <alignment horizontal="center"/>
    </xf>
    <xf numFmtId="0" fontId="17" fillId="0" borderId="0" xfId="3" applyFont="1"/>
    <xf numFmtId="0" fontId="4" fillId="0" borderId="0" xfId="3" applyFont="1" applyAlignment="1">
      <alignment horizontal="center" wrapText="1"/>
    </xf>
    <xf numFmtId="164" fontId="4" fillId="0" borderId="0" xfId="4" applyNumberFormat="1" applyFont="1"/>
    <xf numFmtId="164" fontId="4" fillId="0" borderId="0" xfId="3" applyNumberFormat="1" applyFont="1"/>
    <xf numFmtId="164" fontId="4" fillId="0" borderId="1" xfId="3" applyNumberFormat="1" applyFont="1" applyBorder="1"/>
    <xf numFmtId="164" fontId="4" fillId="0" borderId="3" xfId="3" applyNumberFormat="1" applyFont="1" applyBorder="1"/>
    <xf numFmtId="0" fontId="4" fillId="0" borderId="0" xfId="3" applyFont="1" applyAlignment="1">
      <alignment vertical="center"/>
    </xf>
    <xf numFmtId="164" fontId="4" fillId="0" borderId="5" xfId="3" applyNumberFormat="1" applyFont="1" applyBorder="1"/>
    <xf numFmtId="0" fontId="4" fillId="0" borderId="0" xfId="3" applyFont="1"/>
    <xf numFmtId="164" fontId="4" fillId="0" borderId="0" xfId="4" applyNumberFormat="1" applyFont="1" applyFill="1"/>
    <xf numFmtId="164" fontId="4" fillId="0" borderId="1" xfId="4" applyNumberFormat="1" applyFont="1" applyFill="1" applyBorder="1"/>
    <xf numFmtId="164" fontId="4" fillId="0" borderId="0" xfId="4" applyNumberFormat="1" applyFont="1" applyFill="1" applyBorder="1"/>
    <xf numFmtId="0" fontId="4" fillId="0" borderId="0" xfId="3" quotePrefix="1" applyFont="1" applyAlignment="1">
      <alignment horizontal="left"/>
    </xf>
    <xf numFmtId="164" fontId="4" fillId="0" borderId="2" xfId="4" applyNumberFormat="1" applyFont="1" applyFill="1" applyBorder="1"/>
    <xf numFmtId="10" fontId="4" fillId="0" borderId="0" xfId="5" quotePrefix="1" applyNumberFormat="1" applyFont="1" applyFill="1" applyAlignment="1">
      <alignment horizontal="left"/>
    </xf>
    <xf numFmtId="10" fontId="4" fillId="0" borderId="0" xfId="5" applyNumberFormat="1" applyFont="1" applyFill="1"/>
    <xf numFmtId="164" fontId="4" fillId="0" borderId="0" xfId="4" quotePrefix="1" applyNumberFormat="1" applyFont="1" applyFill="1"/>
    <xf numFmtId="164" fontId="4" fillId="0" borderId="4" xfId="4" applyNumberFormat="1" applyFont="1" applyFill="1" applyBorder="1"/>
    <xf numFmtId="164" fontId="4" fillId="0" borderId="2" xfId="3" applyNumberFormat="1" applyFont="1" applyBorder="1"/>
    <xf numFmtId="0" fontId="5" fillId="0" borderId="0" xfId="6" applyFont="1" applyAlignment="1">
      <alignment horizontal="centerContinuous"/>
    </xf>
    <xf numFmtId="0" fontId="15" fillId="0" borderId="0" xfId="6" applyFont="1" applyAlignment="1">
      <alignment horizontal="centerContinuous"/>
    </xf>
    <xf numFmtId="0" fontId="9" fillId="0" borderId="0" xfId="6" applyFont="1" applyAlignment="1">
      <alignment horizontal="centerContinuous"/>
    </xf>
    <xf numFmtId="0" fontId="5" fillId="0" borderId="2" xfId="6" applyFont="1" applyBorder="1"/>
    <xf numFmtId="0" fontId="18" fillId="0" borderId="0" xfId="0" applyFont="1"/>
    <xf numFmtId="0" fontId="7" fillId="0" borderId="0" xfId="0" applyFont="1"/>
    <xf numFmtId="0" fontId="14" fillId="0" borderId="0" xfId="6" applyFont="1"/>
    <xf numFmtId="0" fontId="14" fillId="0" borderId="0" xfId="6" applyFont="1" applyAlignment="1">
      <alignment horizontal="center"/>
    </xf>
    <xf numFmtId="17" fontId="16" fillId="0" borderId="0" xfId="6" applyNumberFormat="1" applyFont="1" applyAlignment="1">
      <alignment horizontal="center" wrapText="1"/>
    </xf>
    <xf numFmtId="164" fontId="14" fillId="0" borderId="0" xfId="6" applyNumberFormat="1" applyFont="1"/>
    <xf numFmtId="164" fontId="14" fillId="0" borderId="0" xfId="1" applyNumberFormat="1" applyFont="1" applyBorder="1"/>
    <xf numFmtId="164" fontId="14" fillId="0" borderId="0" xfId="1" applyNumberFormat="1" applyFont="1" applyBorder="1" applyAlignment="1">
      <alignment vertical="center"/>
    </xf>
    <xf numFmtId="164" fontId="14" fillId="0" borderId="0" xfId="1" applyNumberFormat="1" applyFont="1" applyBorder="1" applyAlignment="1"/>
    <xf numFmtId="165" fontId="14" fillId="0" borderId="0" xfId="2" applyNumberFormat="1" applyFont="1" applyFill="1" applyBorder="1"/>
    <xf numFmtId="165" fontId="14" fillId="0" borderId="0" xfId="2" applyNumberFormat="1" applyFont="1" applyBorder="1"/>
    <xf numFmtId="0" fontId="9" fillId="0" borderId="0" xfId="6" applyFont="1" applyAlignment="1">
      <alignment horizontal="right"/>
    </xf>
    <xf numFmtId="0" fontId="5" fillId="0" borderId="0" xfId="6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164" fontId="4" fillId="0" borderId="24" xfId="1" quotePrefix="1" applyNumberFormat="1" applyFont="1" applyFill="1" applyBorder="1" applyAlignment="1" applyProtection="1">
      <alignment horizontal="center"/>
      <protection locked="0"/>
    </xf>
    <xf numFmtId="164" fontId="6" fillId="0" borderId="24" xfId="1" applyNumberFormat="1" applyFont="1" applyFill="1" applyBorder="1" applyAlignment="1">
      <alignment horizontal="center"/>
    </xf>
    <xf numFmtId="164" fontId="6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0" xfId="1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164" fontId="4" fillId="0" borderId="0" xfId="1" applyNumberFormat="1" applyFont="1" applyBorder="1"/>
    <xf numFmtId="10" fontId="4" fillId="0" borderId="0" xfId="2" applyNumberFormat="1" applyFont="1" applyBorder="1"/>
    <xf numFmtId="164" fontId="4" fillId="0" borderId="0" xfId="0" applyNumberFormat="1" applyFont="1"/>
    <xf numFmtId="0" fontId="17" fillId="0" borderId="0" xfId="3" applyFont="1" applyAlignment="1">
      <alignment horizontal="center" wrapText="1"/>
    </xf>
    <xf numFmtId="164" fontId="4" fillId="0" borderId="4" xfId="3" applyNumberFormat="1" applyFont="1" applyBorder="1"/>
    <xf numFmtId="0" fontId="7" fillId="0" borderId="0" xfId="0" applyFont="1" applyAlignment="1">
      <alignment horizontal="center"/>
    </xf>
    <xf numFmtId="164" fontId="4" fillId="0" borderId="11" xfId="0" applyNumberFormat="1" applyFont="1" applyBorder="1"/>
    <xf numFmtId="0" fontId="4" fillId="0" borderId="0" xfId="0" applyFont="1" applyAlignment="1">
      <alignment horizontal="right"/>
    </xf>
    <xf numFmtId="164" fontId="17" fillId="0" borderId="0" xfId="3" applyNumberFormat="1" applyFont="1"/>
    <xf numFmtId="0" fontId="19" fillId="0" borderId="0" xfId="0" applyFont="1"/>
    <xf numFmtId="0" fontId="20" fillId="0" borderId="0" xfId="0" applyFont="1"/>
    <xf numFmtId="10" fontId="4" fillId="0" borderId="0" xfId="5" applyNumberFormat="1" applyFont="1" applyFill="1" applyBorder="1"/>
    <xf numFmtId="164" fontId="6" fillId="2" borderId="0" xfId="1" applyNumberFormat="1" applyFont="1" applyFill="1" applyBorder="1" applyAlignment="1">
      <alignment vertical="center"/>
    </xf>
    <xf numFmtId="164" fontId="4" fillId="2" borderId="12" xfId="1" applyNumberFormat="1" applyFont="1" applyFill="1" applyBorder="1" applyProtection="1">
      <protection locked="0"/>
    </xf>
    <xf numFmtId="164" fontId="4" fillId="2" borderId="1" xfId="1" applyNumberFormat="1" applyFont="1" applyFill="1" applyBorder="1" applyProtection="1">
      <protection locked="0"/>
    </xf>
    <xf numFmtId="164" fontId="4" fillId="2" borderId="13" xfId="1" applyNumberFormat="1" applyFont="1" applyFill="1" applyBorder="1" applyProtection="1">
      <protection locked="0"/>
    </xf>
    <xf numFmtId="164" fontId="4" fillId="2" borderId="0" xfId="1" applyNumberFormat="1" applyFont="1" applyFill="1" applyBorder="1" applyProtection="1">
      <protection locked="0"/>
    </xf>
    <xf numFmtId="164" fontId="4" fillId="2" borderId="0" xfId="1" applyNumberFormat="1" applyFont="1" applyFill="1"/>
    <xf numFmtId="164" fontId="4" fillId="2" borderId="25" xfId="1" applyNumberFormat="1" applyFont="1" applyFill="1" applyBorder="1" applyProtection="1">
      <protection locked="0"/>
    </xf>
    <xf numFmtId="164" fontId="4" fillId="2" borderId="10" xfId="1" applyNumberFormat="1" applyFont="1" applyFill="1" applyBorder="1" applyProtection="1">
      <protection locked="0"/>
    </xf>
    <xf numFmtId="164" fontId="4" fillId="2" borderId="11" xfId="1" applyNumberFormat="1" applyFont="1" applyFill="1" applyBorder="1" applyProtection="1">
      <protection locked="0"/>
    </xf>
    <xf numFmtId="164" fontId="4" fillId="2" borderId="10" xfId="1" quotePrefix="1" applyNumberFormat="1" applyFont="1" applyFill="1" applyBorder="1" applyAlignment="1" applyProtection="1">
      <alignment horizontal="left"/>
      <protection locked="0"/>
    </xf>
    <xf numFmtId="164" fontId="4" fillId="2" borderId="10" xfId="1" applyNumberFormat="1" applyFont="1" applyFill="1" applyBorder="1" applyAlignment="1" applyProtection="1">
      <alignment horizontal="left"/>
      <protection locked="0"/>
    </xf>
    <xf numFmtId="164" fontId="4" fillId="2" borderId="0" xfId="1" applyNumberFormat="1" applyFont="1" applyFill="1" applyBorder="1" applyAlignment="1" applyProtection="1">
      <alignment horizontal="left"/>
      <protection locked="0"/>
    </xf>
    <xf numFmtId="164" fontId="4" fillId="2" borderId="11" xfId="1" applyNumberFormat="1" applyFont="1" applyFill="1" applyBorder="1" applyAlignment="1" applyProtection="1">
      <alignment horizontal="left"/>
      <protection locked="0"/>
    </xf>
    <xf numFmtId="164" fontId="4" fillId="2" borderId="16" xfId="1" applyNumberFormat="1" applyFont="1" applyFill="1" applyBorder="1" applyAlignment="1"/>
    <xf numFmtId="164" fontId="4" fillId="2" borderId="3" xfId="1" applyNumberFormat="1" applyFont="1" applyFill="1" applyBorder="1" applyAlignment="1"/>
    <xf numFmtId="164" fontId="4" fillId="2" borderId="17" xfId="1" applyNumberFormat="1" applyFont="1" applyFill="1" applyBorder="1" applyAlignment="1"/>
    <xf numFmtId="164" fontId="4" fillId="2" borderId="12" xfId="1" quotePrefix="1" applyNumberFormat="1" applyFont="1" applyFill="1" applyBorder="1" applyAlignment="1" applyProtection="1">
      <alignment horizontal="left"/>
      <protection locked="0"/>
    </xf>
    <xf numFmtId="164" fontId="4" fillId="2" borderId="1" xfId="1" quotePrefix="1" applyNumberFormat="1" applyFont="1" applyFill="1" applyBorder="1" applyAlignment="1" applyProtection="1">
      <alignment horizontal="left"/>
      <protection locked="0"/>
    </xf>
    <xf numFmtId="164" fontId="4" fillId="2" borderId="13" xfId="1" quotePrefix="1" applyNumberFormat="1" applyFont="1" applyFill="1" applyBorder="1" applyAlignment="1" applyProtection="1">
      <alignment horizontal="left"/>
      <protection locked="0"/>
    </xf>
    <xf numFmtId="164" fontId="4" fillId="2" borderId="16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vertical="center"/>
    </xf>
    <xf numFmtId="164" fontId="4" fillId="2" borderId="17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165" fontId="4" fillId="2" borderId="10" xfId="2" applyNumberFormat="1" applyFont="1" applyFill="1" applyBorder="1" applyAlignment="1">
      <alignment vertical="center"/>
    </xf>
    <xf numFmtId="165" fontId="4" fillId="2" borderId="0" xfId="2" applyNumberFormat="1" applyFont="1" applyFill="1" applyBorder="1" applyAlignment="1">
      <alignment vertical="center"/>
    </xf>
    <xf numFmtId="165" fontId="4" fillId="2" borderId="11" xfId="2" applyNumberFormat="1" applyFont="1" applyFill="1" applyBorder="1" applyAlignment="1">
      <alignment vertical="center"/>
    </xf>
    <xf numFmtId="165" fontId="4" fillId="2" borderId="0" xfId="2" applyNumberFormat="1" applyFont="1" applyFill="1"/>
    <xf numFmtId="164" fontId="4" fillId="2" borderId="10" xfId="0" applyNumberFormat="1" applyFont="1" applyFill="1" applyBorder="1"/>
    <xf numFmtId="164" fontId="4" fillId="2" borderId="0" xfId="0" applyNumberFormat="1" applyFont="1" applyFill="1"/>
    <xf numFmtId="164" fontId="4" fillId="2" borderId="11" xfId="0" applyNumberFormat="1" applyFont="1" applyFill="1" applyBorder="1"/>
    <xf numFmtId="164" fontId="4" fillId="2" borderId="25" xfId="1" applyNumberFormat="1" applyFont="1" applyFill="1" applyBorder="1" applyAlignment="1">
      <alignment vertical="center"/>
    </xf>
    <xf numFmtId="164" fontId="4" fillId="2" borderId="10" xfId="1" applyNumberFormat="1" applyFont="1" applyFill="1" applyBorder="1" applyAlignment="1">
      <alignment vertical="center"/>
    </xf>
    <xf numFmtId="164" fontId="4" fillId="2" borderId="11" xfId="1" applyNumberFormat="1" applyFont="1" applyFill="1" applyBorder="1" applyAlignment="1">
      <alignment vertical="center"/>
    </xf>
    <xf numFmtId="164" fontId="4" fillId="2" borderId="10" xfId="1" applyNumberFormat="1" applyFont="1" applyFill="1" applyBorder="1"/>
    <xf numFmtId="164" fontId="4" fillId="2" borderId="18" xfId="1" applyNumberFormat="1" applyFont="1" applyFill="1" applyBorder="1"/>
    <xf numFmtId="164" fontId="4" fillId="2" borderId="18" xfId="1" applyNumberFormat="1" applyFont="1" applyFill="1" applyBorder="1" applyProtection="1">
      <protection locked="0"/>
    </xf>
    <xf numFmtId="164" fontId="4" fillId="2" borderId="19" xfId="1" applyNumberFormat="1" applyFont="1" applyFill="1" applyBorder="1" applyProtection="1">
      <protection locked="0"/>
    </xf>
    <xf numFmtId="164" fontId="4" fillId="2" borderId="20" xfId="1" applyNumberFormat="1" applyFont="1" applyFill="1" applyBorder="1" applyProtection="1">
      <protection locked="0"/>
    </xf>
    <xf numFmtId="164" fontId="4" fillId="2" borderId="0" xfId="1" applyNumberFormat="1" applyFont="1" applyFill="1" applyBorder="1"/>
    <xf numFmtId="164" fontId="4" fillId="0" borderId="26" xfId="1" quotePrefix="1" applyNumberFormat="1" applyFont="1" applyFill="1" applyBorder="1" applyAlignment="1" applyProtection="1">
      <alignment horizontal="center"/>
      <protection locked="0"/>
    </xf>
    <xf numFmtId="164" fontId="4" fillId="0" borderId="1" xfId="1" applyNumberFormat="1" applyFont="1" applyFill="1" applyBorder="1" applyAlignment="1">
      <alignment vertical="center"/>
    </xf>
    <xf numFmtId="164" fontId="4" fillId="0" borderId="5" xfId="1" applyNumberFormat="1" applyFont="1" applyFill="1" applyBorder="1" applyAlignment="1">
      <alignment vertical="center"/>
    </xf>
    <xf numFmtId="166" fontId="4" fillId="0" borderId="8" xfId="0" applyNumberFormat="1" applyFont="1" applyBorder="1"/>
    <xf numFmtId="166" fontId="4" fillId="0" borderId="6" xfId="2" applyNumberFormat="1" applyFont="1" applyBorder="1"/>
    <xf numFmtId="166" fontId="4" fillId="0" borderId="7" xfId="2" applyNumberFormat="1" applyFont="1" applyBorder="1"/>
    <xf numFmtId="0" fontId="4" fillId="3" borderId="0" xfId="0" applyFont="1" applyFill="1"/>
    <xf numFmtId="0" fontId="6" fillId="3" borderId="0" xfId="0" quotePrefix="1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Continuous"/>
    </xf>
    <xf numFmtId="0" fontId="6" fillId="3" borderId="0" xfId="0" applyFont="1" applyFill="1" applyAlignment="1">
      <alignment horizontal="center" vertical="center" wrapText="1"/>
    </xf>
    <xf numFmtId="43" fontId="4" fillId="3" borderId="0" xfId="1" applyFont="1" applyFill="1" applyBorder="1" applyAlignment="1">
      <alignment vertical="center"/>
    </xf>
    <xf numFmtId="164" fontId="4" fillId="3" borderId="0" xfId="1" applyNumberFormat="1" applyFont="1" applyFill="1" applyBorder="1" applyAlignment="1">
      <alignment vertical="center"/>
    </xf>
    <xf numFmtId="164" fontId="4" fillId="3" borderId="5" xfId="1" applyNumberFormat="1" applyFont="1" applyFill="1" applyBorder="1" applyAlignment="1">
      <alignment vertical="center"/>
    </xf>
    <xf numFmtId="164" fontId="4" fillId="3" borderId="1" xfId="1" applyNumberFormat="1" applyFont="1" applyFill="1" applyBorder="1" applyAlignment="1">
      <alignment vertical="center"/>
    </xf>
    <xf numFmtId="10" fontId="4" fillId="3" borderId="0" xfId="2" applyNumberFormat="1" applyFont="1" applyFill="1" applyBorder="1" applyAlignment="1">
      <alignment vertical="center"/>
    </xf>
    <xf numFmtId="164" fontId="4" fillId="3" borderId="0" xfId="0" applyNumberFormat="1" applyFont="1" applyFill="1"/>
    <xf numFmtId="164" fontId="4" fillId="3" borderId="0" xfId="2" applyNumberFormat="1" applyFont="1" applyFill="1" applyBorder="1" applyAlignment="1">
      <alignment vertical="center"/>
    </xf>
    <xf numFmtId="164" fontId="4" fillId="3" borderId="2" xfId="1" applyNumberFormat="1" applyFont="1" applyFill="1" applyBorder="1" applyAlignment="1">
      <alignment vertical="center"/>
    </xf>
    <xf numFmtId="164" fontId="6" fillId="3" borderId="0" xfId="1" applyNumberFormat="1" applyFont="1" applyFill="1" applyAlignment="1">
      <alignment vertical="center"/>
    </xf>
    <xf numFmtId="43" fontId="6" fillId="3" borderId="0" xfId="1" applyFont="1" applyFill="1" applyAlignment="1">
      <alignment vertical="center"/>
    </xf>
    <xf numFmtId="43" fontId="4" fillId="3" borderId="0" xfId="1" applyFont="1" applyFill="1"/>
    <xf numFmtId="164" fontId="7" fillId="0" borderId="0" xfId="1" applyNumberFormat="1" applyFont="1"/>
    <xf numFmtId="164" fontId="4" fillId="0" borderId="0" xfId="1" applyNumberFormat="1" applyFont="1" applyFill="1" applyBorder="1" applyAlignment="1">
      <alignment horizontal="center"/>
    </xf>
    <xf numFmtId="164" fontId="24" fillId="0" borderId="0" xfId="1" applyNumberFormat="1" applyFont="1" applyFill="1"/>
    <xf numFmtId="167" fontId="4" fillId="0" borderId="0" xfId="1" quotePrefix="1" applyNumberFormat="1" applyFont="1" applyFill="1" applyBorder="1" applyAlignment="1" applyProtection="1">
      <alignment horizontal="center"/>
      <protection locked="0"/>
    </xf>
    <xf numFmtId="164" fontId="25" fillId="3" borderId="0" xfId="1" applyNumberFormat="1" applyFont="1" applyFill="1" applyBorder="1" applyAlignment="1">
      <alignment vertical="center"/>
    </xf>
    <xf numFmtId="164" fontId="26" fillId="4" borderId="0" xfId="1" applyNumberFormat="1" applyFont="1" applyFill="1" applyBorder="1" applyAlignment="1">
      <alignment vertical="center"/>
    </xf>
    <xf numFmtId="164" fontId="6" fillId="0" borderId="23" xfId="1" applyNumberFormat="1" applyFont="1" applyFill="1" applyBorder="1" applyAlignment="1">
      <alignment horizontal="center"/>
    </xf>
    <xf numFmtId="164" fontId="6" fillId="0" borderId="21" xfId="1" applyNumberFormat="1" applyFont="1" applyFill="1" applyBorder="1" applyAlignment="1">
      <alignment horizontal="center"/>
    </xf>
    <xf numFmtId="164" fontId="6" fillId="0" borderId="22" xfId="1" applyNumberFormat="1" applyFont="1" applyFill="1" applyBorder="1" applyAlignment="1">
      <alignment horizontal="center"/>
    </xf>
    <xf numFmtId="164" fontId="6" fillId="0" borderId="23" xfId="1" applyNumberFormat="1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12" fillId="0" borderId="0" xfId="6" applyFont="1" applyAlignment="1">
      <alignment horizontal="left" wrapText="1"/>
    </xf>
    <xf numFmtId="0" fontId="13" fillId="0" borderId="0" xfId="6" applyFont="1"/>
    <xf numFmtId="0" fontId="12" fillId="0" borderId="0" xfId="6" applyFont="1" applyAlignment="1">
      <alignment wrapText="1"/>
    </xf>
    <xf numFmtId="0" fontId="9" fillId="0" borderId="2" xfId="6" applyFont="1" applyBorder="1" applyAlignment="1">
      <alignment horizontal="center"/>
    </xf>
    <xf numFmtId="0" fontId="17" fillId="0" borderId="0" xfId="3" applyFont="1" applyAlignment="1">
      <alignment horizontal="center"/>
    </xf>
    <xf numFmtId="0" fontId="1" fillId="0" borderId="0" xfId="3" applyFont="1" applyAlignment="1">
      <alignment horizont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/>
    <xf numFmtId="164" fontId="4" fillId="0" borderId="0" xfId="0" applyNumberFormat="1" applyFont="1" applyBorder="1"/>
    <xf numFmtId="0" fontId="4" fillId="0" borderId="0" xfId="0" applyFont="1" applyFill="1"/>
    <xf numFmtId="165" fontId="2" fillId="0" borderId="0" xfId="5" applyNumberFormat="1" applyFont="1" applyFill="1" applyBorder="1" applyAlignment="1">
      <alignment horizontal="center"/>
    </xf>
    <xf numFmtId="17" fontId="2" fillId="0" borderId="0" xfId="0" applyNumberFormat="1" applyFont="1" applyFill="1"/>
    <xf numFmtId="41" fontId="2" fillId="0" borderId="0" xfId="7" applyFont="1" applyFill="1" applyBorder="1" applyAlignment="1">
      <alignment horizontal="center"/>
    </xf>
    <xf numFmtId="0" fontId="2" fillId="0" borderId="0" xfId="0" applyFont="1" applyFill="1"/>
    <xf numFmtId="0" fontId="4" fillId="0" borderId="21" xfId="0" applyFont="1" applyFill="1" applyBorder="1"/>
    <xf numFmtId="0" fontId="4" fillId="0" borderId="22" xfId="0" applyFont="1" applyFill="1" applyBorder="1"/>
    <xf numFmtId="165" fontId="2" fillId="0" borderId="23" xfId="5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23" fillId="0" borderId="0" xfId="0" applyFont="1" applyFill="1" applyAlignment="1">
      <alignment horizontal="right"/>
    </xf>
    <xf numFmtId="0" fontId="19" fillId="0" borderId="0" xfId="0" applyFont="1" applyFill="1"/>
    <xf numFmtId="0" fontId="24" fillId="0" borderId="0" xfId="0" applyFont="1" applyFill="1"/>
    <xf numFmtId="164" fontId="4" fillId="0" borderId="0" xfId="0" applyNumberFormat="1" applyFont="1" applyFill="1"/>
  </cellXfs>
  <cellStyles count="8">
    <cellStyle name="Comma" xfId="1" builtinId="3"/>
    <cellStyle name="Comma [0]" xfId="7" builtinId="6"/>
    <cellStyle name="Comma 2" xfId="4" xr:uid="{00000000-0005-0000-0000-000001000000}"/>
    <cellStyle name="Normal" xfId="0" builtinId="0"/>
    <cellStyle name="Normal 2" xfId="3" xr:uid="{00000000-0005-0000-0000-000003000000}"/>
    <cellStyle name="Normal 3" xfId="6" xr:uid="{00000000-0005-0000-0000-000004000000}"/>
    <cellStyle name="Percent" xfId="2" builtinId="5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DXCO/PSB1/REGULATN/ER/_2022/Washington/WA%202024-2025%20Rate%20Plan%20Filing/Rebuttal/Rebuttal%20Adjustments/Cleaned-up%20Adjustments/Non-Confidential/230172-PAC-SLC-15.4RPowerTaxADITAdjustmentY2-ExhSLC1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acificorp.us\dfs\PDXCO\PSB1\REGULATN\ER\_2022\Washington\WA%202024-2025%20Rate%20Plan%20Filing\__Final%20Order\Models\RY2\RY2%20Compliance%20Models\Cleaned-up%20workpapers\230172-PAC-SLC-13-4NetPowerCostsProFormaYear2.xlsx" TargetMode="External"/><Relationship Id="rId1" Type="http://schemas.openxmlformats.org/officeDocument/2006/relationships/externalLinkPath" Target="230172-PAC-SLC-13-4NetPowerCostsProFormaYear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acificorp.us\dfs\PDXCO\PSB1\REGULATN\ER\_2022\Washington\WA%202024-2025%20Rate%20Plan%20Filing\__Final%20Order\Models\RY2\RY2%20Compliance%20Models\Cleaned-up%20workpapers\230172-PAC-SLC-15-7ProductionTaxCreditYear2.xlsx" TargetMode="External"/><Relationship Id="rId1" Type="http://schemas.openxmlformats.org/officeDocument/2006/relationships/externalLinkPath" Target="230172-PAC-SLC-15-7ProductionTaxCreditYear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acificorp.us\dfs\PDXCO\PSB1\REGULATN\ER\_2022\Washington\WA%202024-2025%20Rate%20Plan%20Filing\__Final%20Order\Models\RY2\RY2%20Compliance%20Models\Cleaned-up%20workpapers\230172-PAC-SLC-15-8WYWindGenerationTaxYear2.xlsx" TargetMode="External"/><Relationship Id="rId1" Type="http://schemas.openxmlformats.org/officeDocument/2006/relationships/externalLinkPath" Target="230172-PAC-SLC-15-8WYWindGenerationTaxYear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acificorp.us\dfs\PDXCO\PSB1\REGULATN\ER\_2022\Washington\WA%202024-2025%20Rate%20Plan%20Filing\__Final%20Order\Models\RY2\RY2%20Compliance%20Models\Cleaned-up%20workpapers\230172-PAC-SLC-16-3ProductionFactorAdjYear2.xlsx" TargetMode="External"/><Relationship Id="rId1" Type="http://schemas.openxmlformats.org/officeDocument/2006/relationships/externalLinkPath" Target="230172-PAC-SLC-16-3ProductionFactorAdjYea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.4_R"/>
      <sheetName val="15.4.1_R"/>
      <sheetName val="15.4.2_R"/>
    </sheetNames>
    <sheetDataSet>
      <sheetData sheetId="0"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-24510338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1">
          <cell r="I21">
            <v>8603248.2125462163</v>
          </cell>
        </row>
        <row r="22">
          <cell r="I22">
            <v>-34420.578580988164</v>
          </cell>
        </row>
        <row r="23">
          <cell r="I23">
            <v>-1015250.7845440047</v>
          </cell>
        </row>
        <row r="24">
          <cell r="I24">
            <v>2603559.4998386051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193733.58888243139</v>
          </cell>
        </row>
        <row r="28">
          <cell r="I28">
            <v>0</v>
          </cell>
        </row>
        <row r="29">
          <cell r="I29">
            <v>18903514.802586529</v>
          </cell>
        </row>
        <row r="30">
          <cell r="I30">
            <v>-2205664.9333720403</v>
          </cell>
        </row>
        <row r="31">
          <cell r="I31">
            <v>199933.28237700797</v>
          </cell>
        </row>
        <row r="33">
          <cell r="I33">
            <v>-2115246.2562716934</v>
          </cell>
        </row>
        <row r="34">
          <cell r="I34">
            <v>8462.8154164752668</v>
          </cell>
        </row>
        <row r="35">
          <cell r="I35">
            <v>249615.6723957088</v>
          </cell>
        </row>
        <row r="36">
          <cell r="I36">
            <v>-640126.77230759757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47632.503497748905</v>
          </cell>
        </row>
        <row r="40">
          <cell r="I40">
            <v>0</v>
          </cell>
        </row>
        <row r="41">
          <cell r="I41">
            <v>4647731.6002689274</v>
          </cell>
        </row>
        <row r="42">
          <cell r="I42">
            <v>-542298.04552290041</v>
          </cell>
        </row>
        <row r="43">
          <cell r="I43">
            <v>49156.790510270577</v>
          </cell>
        </row>
        <row r="44">
          <cell r="I44">
            <v>652783.75999999978</v>
          </cell>
        </row>
      </sheetData>
      <sheetData sheetId="1"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4">
          <cell r="I14">
            <v>24814.875534495357</v>
          </cell>
        </row>
        <row r="15">
          <cell r="I15">
            <v>0</v>
          </cell>
        </row>
        <row r="16">
          <cell r="I16">
            <v>-7791.1750150079097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2">
          <cell r="I22">
            <v>6101.1317525626309</v>
          </cell>
        </row>
        <row r="23">
          <cell r="I23">
            <v>0</v>
          </cell>
        </row>
        <row r="24">
          <cell r="I24">
            <v>-1915.5466136062287</v>
          </cell>
        </row>
        <row r="26">
          <cell r="I26">
            <v>46872.657881477709</v>
          </cell>
        </row>
        <row r="27">
          <cell r="I27">
            <v>0</v>
          </cell>
        </row>
        <row r="28">
          <cell r="I28">
            <v>-23905.403224319485</v>
          </cell>
        </row>
        <row r="30">
          <cell r="I30">
            <v>0</v>
          </cell>
        </row>
        <row r="31">
          <cell r="I31">
            <v>-81012.038110216861</v>
          </cell>
        </row>
        <row r="32">
          <cell r="I32">
            <v>0</v>
          </cell>
        </row>
        <row r="33">
          <cell r="I33">
            <v>-19918.140237984786</v>
          </cell>
        </row>
        <row r="34">
          <cell r="I34">
            <v>168367.5733115068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3.4"/>
      <sheetName val="13.4.1"/>
      <sheetName val="13.4.2"/>
      <sheetName val="13.4.3"/>
    </sheetNames>
    <sheetDataSet>
      <sheetData sheetId="0">
        <row r="14">
          <cell r="I14">
            <v>-8090800.8140892293</v>
          </cell>
        </row>
        <row r="23">
          <cell r="I23">
            <v>-6276297.1553711928</v>
          </cell>
        </row>
        <row r="30">
          <cell r="I30">
            <v>2006362.6550529767</v>
          </cell>
        </row>
        <row r="37">
          <cell r="I37">
            <v>-9470805.8004256077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5.7"/>
      <sheetName val="15.7.1"/>
    </sheetNames>
    <sheetDataSet>
      <sheetData sheetId="0">
        <row r="10">
          <cell r="I10">
            <v>-1688663.3462348077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5.8"/>
      <sheetName val="15.8.1"/>
    </sheetNames>
    <sheetDataSet>
      <sheetData sheetId="0">
        <row r="10">
          <cell r="I10">
            <v>-57460.12325825532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6.3 - 16.3.1"/>
      <sheetName val="16.3.2"/>
      <sheetName val="16.3.3"/>
      <sheetName val="16.3.4"/>
    </sheetNames>
    <sheetDataSet>
      <sheetData sheetId="0">
        <row r="17">
          <cell r="I17">
            <v>1294368.0005066101</v>
          </cell>
        </row>
        <row r="27">
          <cell r="I27">
            <v>-405621.0959616105</v>
          </cell>
        </row>
        <row r="38">
          <cell r="I38">
            <v>80335.315863966956</v>
          </cell>
        </row>
        <row r="72">
          <cell r="I72">
            <v>-19607.555526817683</v>
          </cell>
        </row>
        <row r="73">
          <cell r="I73">
            <v>1066.5503095623135</v>
          </cell>
        </row>
        <row r="74">
          <cell r="I74">
            <v>7453.4290907651011</v>
          </cell>
        </row>
        <row r="78">
          <cell r="I78">
            <v>60303.896067127585</v>
          </cell>
        </row>
        <row r="79">
          <cell r="I79">
            <v>976100.47515884042</v>
          </cell>
        </row>
        <row r="80">
          <cell r="I80">
            <v>163305.79059809633</v>
          </cell>
        </row>
        <row r="81">
          <cell r="I81">
            <v>200325.5937994644</v>
          </cell>
        </row>
        <row r="82">
          <cell r="I82">
            <v>3120.1501941411407</v>
          </cell>
        </row>
        <row r="83">
          <cell r="I83">
            <v>541725.93825512379</v>
          </cell>
        </row>
        <row r="87">
          <cell r="I87">
            <v>-24653.152022006572</v>
          </cell>
        </row>
        <row r="90">
          <cell r="I90">
            <v>-96712.819089352153</v>
          </cell>
        </row>
        <row r="93">
          <cell r="I93">
            <v>1418.5712546730356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Q102"/>
  <sheetViews>
    <sheetView showOutlineSymbols="0" view="pageBreakPreview" zoomScale="80" zoomScaleNormal="80" zoomScaleSheetLayoutView="80" workbookViewId="0">
      <selection activeCell="L9" sqref="L9"/>
    </sheetView>
  </sheetViews>
  <sheetFormatPr defaultRowHeight="12.75" x14ac:dyDescent="0.2"/>
  <cols>
    <col min="1" max="1" width="41.7109375" style="19" customWidth="1"/>
    <col min="2" max="2" width="18.28515625" style="236" customWidth="1"/>
    <col min="3" max="3" width="0.7109375" style="236" customWidth="1"/>
    <col min="4" max="4" width="15.7109375" style="236" customWidth="1"/>
    <col min="5" max="5" width="0.7109375" style="236" customWidth="1"/>
    <col min="6" max="6" width="16.7109375" style="236" customWidth="1"/>
    <col min="7" max="7" width="0.7109375" style="19" customWidth="1"/>
    <col min="8" max="8" width="15.7109375" style="19" customWidth="1"/>
    <col min="9" max="9" width="0.7109375" style="19" customWidth="1"/>
    <col min="10" max="10" width="15.7109375" style="19" customWidth="1"/>
    <col min="11" max="11" width="0.7109375" style="19" customWidth="1"/>
    <col min="12" max="12" width="15.7109375" style="19" customWidth="1"/>
    <col min="13" max="13" width="0.7109375" style="19" customWidth="1"/>
    <col min="14" max="14" width="15.85546875" style="19" customWidth="1"/>
    <col min="15" max="15" width="9.140625" style="19"/>
    <col min="16" max="16" width="14" style="19" bestFit="1" customWidth="1"/>
    <col min="17" max="16384" width="9.140625" style="19"/>
  </cols>
  <sheetData>
    <row r="1" spans="1:17" x14ac:dyDescent="0.2">
      <c r="A1" s="5" t="s">
        <v>6</v>
      </c>
      <c r="N1" s="185" t="s">
        <v>239</v>
      </c>
    </row>
    <row r="2" spans="1:17" x14ac:dyDescent="0.2">
      <c r="A2" s="1" t="s">
        <v>127</v>
      </c>
    </row>
    <row r="3" spans="1:17" x14ac:dyDescent="0.2">
      <c r="A3" s="1" t="s">
        <v>197</v>
      </c>
    </row>
    <row r="4" spans="1:17" x14ac:dyDescent="0.2">
      <c r="A4" s="1" t="s">
        <v>224</v>
      </c>
    </row>
    <row r="5" spans="1:17" x14ac:dyDescent="0.2">
      <c r="A5" s="1"/>
      <c r="B5" s="237" t="s">
        <v>71</v>
      </c>
      <c r="C5" s="238"/>
      <c r="D5" s="237" t="s">
        <v>72</v>
      </c>
      <c r="E5" s="238"/>
      <c r="F5" s="237" t="s">
        <v>73</v>
      </c>
      <c r="G5" s="35"/>
      <c r="H5" s="34" t="s">
        <v>74</v>
      </c>
      <c r="I5" s="35"/>
      <c r="J5" s="34" t="s">
        <v>75</v>
      </c>
      <c r="K5" s="35"/>
      <c r="L5" s="34" t="s">
        <v>158</v>
      </c>
      <c r="M5" s="35"/>
      <c r="N5" s="34" t="s">
        <v>159</v>
      </c>
      <c r="P5" s="253"/>
      <c r="Q5" s="160"/>
    </row>
    <row r="6" spans="1:17" x14ac:dyDescent="0.2">
      <c r="A6" s="1"/>
      <c r="B6" s="239"/>
      <c r="C6" s="240"/>
      <c r="D6" s="239" t="s">
        <v>209</v>
      </c>
      <c r="E6" s="240"/>
      <c r="F6" s="240"/>
      <c r="G6" s="41"/>
      <c r="H6" s="41"/>
      <c r="J6" s="41" t="s">
        <v>76</v>
      </c>
      <c r="L6" s="42"/>
      <c r="N6" s="42" t="s">
        <v>160</v>
      </c>
      <c r="P6" s="180"/>
    </row>
    <row r="7" spans="1:17" ht="43.5" customHeight="1" x14ac:dyDescent="0.2">
      <c r="B7" s="241" t="s">
        <v>154</v>
      </c>
      <c r="C7" s="241"/>
      <c r="D7" s="241" t="s">
        <v>155</v>
      </c>
      <c r="E7" s="241"/>
      <c r="F7" s="241" t="s">
        <v>156</v>
      </c>
      <c r="G7" s="33"/>
      <c r="H7" s="33" t="s">
        <v>194</v>
      </c>
      <c r="I7" s="33"/>
      <c r="J7" s="33" t="s">
        <v>195</v>
      </c>
      <c r="K7" s="33"/>
      <c r="L7" s="33" t="s">
        <v>161</v>
      </c>
      <c r="M7" s="33"/>
      <c r="N7" s="33" t="s">
        <v>162</v>
      </c>
    </row>
    <row r="8" spans="1:17" x14ac:dyDescent="0.2">
      <c r="A8" s="11" t="s">
        <v>9</v>
      </c>
      <c r="B8" s="242"/>
      <c r="C8" s="243"/>
      <c r="D8" s="243"/>
      <c r="E8" s="243"/>
      <c r="F8" s="243"/>
      <c r="G8" s="9"/>
      <c r="H8" s="9"/>
      <c r="J8" s="9"/>
      <c r="L8" s="9"/>
      <c r="N8" s="9"/>
    </row>
    <row r="9" spans="1:17" x14ac:dyDescent="0.2">
      <c r="A9" s="11" t="s">
        <v>10</v>
      </c>
      <c r="B9" s="243">
        <v>405024315.90073657</v>
      </c>
      <c r="C9" s="243"/>
      <c r="D9" s="243">
        <f>-(B37-(B64*Overall_ROR))/gross_up_factor</f>
        <v>7193828.2592670172</v>
      </c>
      <c r="E9" s="243"/>
      <c r="F9" s="243">
        <f>SUM(B9:D9)</f>
        <v>412218144.1600036</v>
      </c>
      <c r="G9" s="9"/>
      <c r="H9" s="9">
        <f>'Pro Forma Adj'!B12</f>
        <v>0</v>
      </c>
      <c r="J9" s="9">
        <f>F9+H9</f>
        <v>412218144.1600036</v>
      </c>
      <c r="L9" s="258">
        <f>-(J37-(J64*Overall_ROR))/gross_up_factor-F68</f>
        <v>15393815.254152531</v>
      </c>
      <c r="N9" s="9">
        <f>J9+L9</f>
        <v>427611959.41415614</v>
      </c>
      <c r="P9" s="180">
        <f>L9-J68</f>
        <v>0</v>
      </c>
      <c r="Q9" s="19" t="s">
        <v>166</v>
      </c>
    </row>
    <row r="10" spans="1:17" x14ac:dyDescent="0.2">
      <c r="A10" s="11" t="s">
        <v>11</v>
      </c>
      <c r="B10" s="243">
        <v>0</v>
      </c>
      <c r="C10" s="243"/>
      <c r="D10" s="243"/>
      <c r="E10" s="243"/>
      <c r="F10" s="243">
        <f t="shared" ref="F10:F12" si="0">SUM(B10:D10)</f>
        <v>0</v>
      </c>
      <c r="G10" s="9"/>
      <c r="H10" s="9">
        <f>'Pro Forma Adj'!B13</f>
        <v>0</v>
      </c>
      <c r="J10" s="9">
        <f t="shared" ref="J10:J12" si="1">F10+H10</f>
        <v>0</v>
      </c>
      <c r="L10" s="9"/>
      <c r="N10" s="9">
        <f>J10+L10</f>
        <v>0</v>
      </c>
    </row>
    <row r="11" spans="1:17" x14ac:dyDescent="0.2">
      <c r="A11" s="11" t="s">
        <v>12</v>
      </c>
      <c r="B11" s="243">
        <v>18523597.616923146</v>
      </c>
      <c r="C11" s="243"/>
      <c r="D11" s="243"/>
      <c r="E11" s="243"/>
      <c r="F11" s="243">
        <f t="shared" si="0"/>
        <v>18523597.616923146</v>
      </c>
      <c r="G11" s="9"/>
      <c r="H11" s="9">
        <f>'Pro Forma Adj'!B14</f>
        <v>-8090800.8140892293</v>
      </c>
      <c r="J11" s="9">
        <f t="shared" si="1"/>
        <v>10432796.802833917</v>
      </c>
      <c r="L11" s="9"/>
      <c r="N11" s="9">
        <f>J11+L11</f>
        <v>10432796.802833917</v>
      </c>
      <c r="P11" s="3"/>
    </row>
    <row r="12" spans="1:17" x14ac:dyDescent="0.2">
      <c r="A12" s="11" t="s">
        <v>13</v>
      </c>
      <c r="B12" s="243">
        <v>18407563.766656935</v>
      </c>
      <c r="C12" s="243"/>
      <c r="D12" s="243"/>
      <c r="E12" s="243"/>
      <c r="F12" s="243">
        <f t="shared" si="0"/>
        <v>18407563.766656935</v>
      </c>
      <c r="G12" s="9"/>
      <c r="H12" s="9">
        <f>'Pro Forma Adj'!B15</f>
        <v>2132244.058119623</v>
      </c>
      <c r="J12" s="9">
        <f t="shared" si="1"/>
        <v>20539807.82477656</v>
      </c>
      <c r="L12" s="9"/>
      <c r="N12" s="9">
        <f>J12+L12</f>
        <v>20539807.82477656</v>
      </c>
      <c r="P12" s="3"/>
      <c r="Q12" s="180"/>
    </row>
    <row r="13" spans="1:17" ht="13.5" thickBot="1" x14ac:dyDescent="0.25">
      <c r="A13" s="11" t="s">
        <v>14</v>
      </c>
      <c r="B13" s="244">
        <f>SUM(B9:B12)</f>
        <v>441955477.28431666</v>
      </c>
      <c r="C13" s="243"/>
      <c r="D13" s="244">
        <f>SUM(D9:D12)</f>
        <v>7193828.2592670172</v>
      </c>
      <c r="E13" s="243"/>
      <c r="F13" s="244">
        <f>SUM(F9:F12)</f>
        <v>449149305.54358369</v>
      </c>
      <c r="G13" s="9"/>
      <c r="H13" s="10">
        <f>SUM(H9:H12)</f>
        <v>-5958556.7559696063</v>
      </c>
      <c r="J13" s="10">
        <f>SUM(J9:J12)</f>
        <v>443190748.78761411</v>
      </c>
      <c r="L13" s="10">
        <f>SUM(L9:L12)</f>
        <v>15393815.254152531</v>
      </c>
      <c r="N13" s="10">
        <f>SUM(N9:N12)</f>
        <v>458584564.04176664</v>
      </c>
    </row>
    <row r="14" spans="1:17" ht="13.5" thickTop="1" x14ac:dyDescent="0.2">
      <c r="A14" s="11"/>
      <c r="B14" s="243"/>
      <c r="C14" s="243"/>
      <c r="D14" s="243"/>
      <c r="E14" s="243"/>
      <c r="F14" s="243"/>
      <c r="G14" s="9"/>
      <c r="H14" s="9"/>
      <c r="J14" s="9"/>
      <c r="L14" s="9"/>
      <c r="N14" s="9"/>
    </row>
    <row r="15" spans="1:17" x14ac:dyDescent="0.2">
      <c r="A15" s="11" t="s">
        <v>15</v>
      </c>
      <c r="B15" s="243"/>
      <c r="C15" s="243"/>
      <c r="D15" s="243"/>
      <c r="E15" s="243"/>
      <c r="F15" s="243"/>
      <c r="G15" s="9"/>
      <c r="H15" s="9"/>
      <c r="J15" s="9"/>
      <c r="L15" s="9"/>
      <c r="N15" s="9"/>
    </row>
    <row r="16" spans="1:17" x14ac:dyDescent="0.2">
      <c r="A16" s="11" t="s">
        <v>16</v>
      </c>
      <c r="B16" s="243">
        <v>43917695.317417219</v>
      </c>
      <c r="C16" s="243"/>
      <c r="D16" s="243"/>
      <c r="E16" s="243"/>
      <c r="F16" s="243">
        <f t="shared" ref="F16:F34" si="2">SUM(B16:D16)</f>
        <v>43917695.317417219</v>
      </c>
      <c r="G16" s="9"/>
      <c r="H16" s="9">
        <f>'Pro Forma Adj'!B19</f>
        <v>-7876817.0493528359</v>
      </c>
      <c r="J16" s="9">
        <f t="shared" ref="J16:J25" si="3">F16+H16</f>
        <v>36040878.26806438</v>
      </c>
      <c r="L16" s="9"/>
      <c r="N16" s="9">
        <f t="shared" ref="N16:N25" si="4">J16+L16</f>
        <v>36040878.26806438</v>
      </c>
    </row>
    <row r="17" spans="1:14" x14ac:dyDescent="0.2">
      <c r="A17" s="11" t="s">
        <v>17</v>
      </c>
      <c r="B17" s="243">
        <v>0</v>
      </c>
      <c r="C17" s="243"/>
      <c r="D17" s="243"/>
      <c r="E17" s="243"/>
      <c r="F17" s="243">
        <f t="shared" si="2"/>
        <v>0</v>
      </c>
      <c r="G17" s="9"/>
      <c r="H17" s="9">
        <f>'Pro Forma Adj'!B20</f>
        <v>0</v>
      </c>
      <c r="J17" s="9">
        <f t="shared" si="3"/>
        <v>0</v>
      </c>
      <c r="L17" s="9"/>
      <c r="N17" s="9">
        <f t="shared" si="4"/>
        <v>0</v>
      </c>
    </row>
    <row r="18" spans="1:14" x14ac:dyDescent="0.2">
      <c r="A18" s="11" t="s">
        <v>18</v>
      </c>
      <c r="B18" s="243">
        <v>3432438.5798518136</v>
      </c>
      <c r="C18" s="243"/>
      <c r="D18" s="243"/>
      <c r="E18" s="243"/>
      <c r="F18" s="243">
        <f t="shared" si="2"/>
        <v>3432438.5798518136</v>
      </c>
      <c r="G18" s="9"/>
      <c r="H18" s="9">
        <f>'Pro Forma Adj'!B21</f>
        <v>40112.442495542295</v>
      </c>
      <c r="J18" s="9">
        <f t="shared" si="3"/>
        <v>3472551.0223473557</v>
      </c>
      <c r="L18" s="9"/>
      <c r="N18" s="9">
        <f t="shared" si="4"/>
        <v>3472551.0223473557</v>
      </c>
    </row>
    <row r="19" spans="1:14" x14ac:dyDescent="0.2">
      <c r="A19" s="11" t="s">
        <v>19</v>
      </c>
      <c r="B19" s="243">
        <v>172804968.54888943</v>
      </c>
      <c r="C19" s="243"/>
      <c r="D19" s="243"/>
      <c r="E19" s="243"/>
      <c r="F19" s="243">
        <f t="shared" si="2"/>
        <v>172804968.54888943</v>
      </c>
      <c r="G19" s="9"/>
      <c r="H19" s="9">
        <f>'Pro Forma Adj'!B22</f>
        <v>-4829242.7220257642</v>
      </c>
      <c r="J19" s="9">
        <f t="shared" si="3"/>
        <v>167975725.82686368</v>
      </c>
      <c r="L19" s="9"/>
      <c r="N19" s="9">
        <f t="shared" si="4"/>
        <v>167975725.82686368</v>
      </c>
    </row>
    <row r="20" spans="1:14" x14ac:dyDescent="0.2">
      <c r="A20" s="11" t="s">
        <v>20</v>
      </c>
      <c r="B20" s="243">
        <v>19723421.853431858</v>
      </c>
      <c r="C20" s="243"/>
      <c r="D20" s="243"/>
      <c r="E20" s="243"/>
      <c r="F20" s="243">
        <f t="shared" si="2"/>
        <v>19723421.853431858</v>
      </c>
      <c r="G20" s="9"/>
      <c r="H20" s="9">
        <f>'Pro Forma Adj'!B23</f>
        <v>2234473.3300518431</v>
      </c>
      <c r="J20" s="9">
        <f t="shared" si="3"/>
        <v>21957895.183483701</v>
      </c>
      <c r="L20" s="9"/>
      <c r="N20" s="9">
        <f t="shared" si="4"/>
        <v>21957895.183483701</v>
      </c>
    </row>
    <row r="21" spans="1:14" x14ac:dyDescent="0.2">
      <c r="A21" s="11" t="s">
        <v>21</v>
      </c>
      <c r="B21" s="243">
        <v>18511696.538340323</v>
      </c>
      <c r="C21" s="243"/>
      <c r="D21" s="243"/>
      <c r="E21" s="243"/>
      <c r="F21" s="243">
        <f t="shared" si="2"/>
        <v>18511696.538340323</v>
      </c>
      <c r="G21" s="9"/>
      <c r="H21" s="9">
        <f>'Pro Forma Adj'!B24</f>
        <v>260910.7217698672</v>
      </c>
      <c r="J21" s="9">
        <f t="shared" si="3"/>
        <v>18772607.260110188</v>
      </c>
      <c r="L21" s="9"/>
      <c r="N21" s="9">
        <f t="shared" si="4"/>
        <v>18772607.260110188</v>
      </c>
    </row>
    <row r="22" spans="1:14" x14ac:dyDescent="0.2">
      <c r="A22" s="11" t="s">
        <v>22</v>
      </c>
      <c r="B22" s="243">
        <v>6736820.8627360547</v>
      </c>
      <c r="C22" s="243"/>
      <c r="D22" s="243">
        <f>D9*uncollectible_perc</f>
        <v>40255.257508258786</v>
      </c>
      <c r="E22" s="243"/>
      <c r="F22" s="243">
        <f t="shared" si="2"/>
        <v>6777076.120244313</v>
      </c>
      <c r="G22" s="9"/>
      <c r="H22" s="9">
        <f>'Pro Forma Adj'!B25</f>
        <v>55336.31702928173</v>
      </c>
      <c r="J22" s="9">
        <f t="shared" si="3"/>
        <v>6832412.4372735946</v>
      </c>
      <c r="L22" s="9">
        <f>L9*uncollectible_perc</f>
        <v>86140.78273167061</v>
      </c>
      <c r="N22" s="9">
        <f t="shared" si="4"/>
        <v>6918553.2200052654</v>
      </c>
    </row>
    <row r="23" spans="1:14" x14ac:dyDescent="0.2">
      <c r="A23" s="11" t="s">
        <v>23</v>
      </c>
      <c r="B23" s="243">
        <v>707164.28582669166</v>
      </c>
      <c r="C23" s="243"/>
      <c r="D23" s="243"/>
      <c r="E23" s="243"/>
      <c r="F23" s="243">
        <f t="shared" si="2"/>
        <v>707164.28582669166</v>
      </c>
      <c r="G23" s="9"/>
      <c r="H23" s="9">
        <f>'Pro Forma Adj'!B26</f>
        <v>8332.1973895078172</v>
      </c>
      <c r="J23" s="9">
        <f t="shared" si="3"/>
        <v>715496.48321619944</v>
      </c>
      <c r="L23" s="9"/>
      <c r="N23" s="9">
        <f t="shared" si="4"/>
        <v>715496.48321619944</v>
      </c>
    </row>
    <row r="24" spans="1:14" x14ac:dyDescent="0.2">
      <c r="A24" s="11" t="s">
        <v>24</v>
      </c>
      <c r="B24" s="243">
        <v>0</v>
      </c>
      <c r="C24" s="243"/>
      <c r="D24" s="243"/>
      <c r="E24" s="243"/>
      <c r="F24" s="243">
        <f t="shared" si="2"/>
        <v>0</v>
      </c>
      <c r="G24" s="9"/>
      <c r="H24" s="9">
        <f>'Pro Forma Adj'!B27</f>
        <v>0</v>
      </c>
      <c r="J24" s="9">
        <f t="shared" si="3"/>
        <v>0</v>
      </c>
      <c r="L24" s="9"/>
      <c r="N24" s="9">
        <f t="shared" si="4"/>
        <v>0</v>
      </c>
    </row>
    <row r="25" spans="1:14" x14ac:dyDescent="0.2">
      <c r="A25" s="11" t="s">
        <v>25</v>
      </c>
      <c r="B25" s="243">
        <v>20634363.233885195</v>
      </c>
      <c r="C25" s="243"/>
      <c r="D25" s="243"/>
      <c r="E25" s="243"/>
      <c r="F25" s="243">
        <f t="shared" si="2"/>
        <v>20634363.233885195</v>
      </c>
      <c r="G25" s="9"/>
      <c r="H25" s="9">
        <f>'Pro Forma Adj'!B28</f>
        <v>78466.445295342171</v>
      </c>
      <c r="J25" s="9">
        <f t="shared" si="3"/>
        <v>20712829.679180536</v>
      </c>
      <c r="L25" s="9"/>
      <c r="N25" s="9">
        <f t="shared" si="4"/>
        <v>20712829.679180536</v>
      </c>
    </row>
    <row r="26" spans="1:14" x14ac:dyDescent="0.2">
      <c r="A26" s="11" t="s">
        <v>26</v>
      </c>
      <c r="B26" s="245">
        <f>SUM(B16:B25)</f>
        <v>286468569.22037858</v>
      </c>
      <c r="C26" s="243"/>
      <c r="D26" s="245">
        <f>SUM(D16:D25)</f>
        <v>40255.257508258786</v>
      </c>
      <c r="E26" s="243"/>
      <c r="F26" s="245">
        <f>SUM(F16:F25)</f>
        <v>286508824.47788686</v>
      </c>
      <c r="G26" s="9"/>
      <c r="H26" s="7">
        <f>SUM(H16:H25)</f>
        <v>-10028428.317347215</v>
      </c>
      <c r="J26" s="7">
        <f>SUM(J16:J25)</f>
        <v>276480396.16053963</v>
      </c>
      <c r="L26" s="7">
        <f>SUM(L16:L25)</f>
        <v>86140.78273167061</v>
      </c>
      <c r="N26" s="7">
        <f>SUM(N16:N25)</f>
        <v>276566536.94327134</v>
      </c>
    </row>
    <row r="27" spans="1:14" x14ac:dyDescent="0.2">
      <c r="A27" s="11" t="s">
        <v>27</v>
      </c>
      <c r="B27" s="243">
        <v>53851354.121397726</v>
      </c>
      <c r="C27" s="243"/>
      <c r="D27" s="243"/>
      <c r="E27" s="243"/>
      <c r="F27" s="243">
        <f t="shared" si="2"/>
        <v>53851354.121397726</v>
      </c>
      <c r="G27" s="9"/>
      <c r="H27" s="13">
        <f>'Pro Forma Adj'!B30</f>
        <v>6678098.1691424558</v>
      </c>
      <c r="J27" s="9">
        <f t="shared" ref="J27:J34" si="5">F27+H27</f>
        <v>60529452.290540181</v>
      </c>
      <c r="L27" s="9"/>
      <c r="N27" s="9">
        <f t="shared" ref="N27:N34" si="6">J27+L27</f>
        <v>60529452.290540181</v>
      </c>
    </row>
    <row r="28" spans="1:14" x14ac:dyDescent="0.2">
      <c r="A28" s="11" t="s">
        <v>28</v>
      </c>
      <c r="B28" s="243">
        <v>12158524.644094493</v>
      </c>
      <c r="C28" s="243"/>
      <c r="D28" s="243"/>
      <c r="E28" s="243"/>
      <c r="F28" s="243">
        <f t="shared" si="2"/>
        <v>12158524.644094493</v>
      </c>
      <c r="G28" s="9"/>
      <c r="H28" s="13">
        <f>'Pro Forma Adj'!B31</f>
        <v>-7031720.4805582631</v>
      </c>
      <c r="J28" s="9">
        <f t="shared" si="5"/>
        <v>5126804.1635362301</v>
      </c>
      <c r="L28" s="9"/>
      <c r="N28" s="9">
        <f t="shared" si="6"/>
        <v>5126804.1635362301</v>
      </c>
    </row>
    <row r="29" spans="1:14" x14ac:dyDescent="0.2">
      <c r="A29" s="11" t="s">
        <v>29</v>
      </c>
      <c r="B29" s="243">
        <v>28894703.716506388</v>
      </c>
      <c r="C29" s="243"/>
      <c r="D29" s="243">
        <f>D9*SUM(Variables!D21:D24)</f>
        <v>307421.05683151667</v>
      </c>
      <c r="E29" s="243"/>
      <c r="F29" s="243">
        <f t="shared" si="2"/>
        <v>29202124.773337904</v>
      </c>
      <c r="G29" s="9"/>
      <c r="H29" s="13">
        <f>'Pro Forma Adj'!B32</f>
        <v>1826685.4479964175</v>
      </c>
      <c r="J29" s="9">
        <f t="shared" si="5"/>
        <v>31028810.221334323</v>
      </c>
      <c r="L29" s="9">
        <f>L9*(WUTC_reg_fee_perc+WA_rev_tax_perc)</f>
        <v>657839.30107095418</v>
      </c>
      <c r="N29" s="9">
        <f t="shared" si="6"/>
        <v>31686649.522405278</v>
      </c>
    </row>
    <row r="30" spans="1:14" x14ac:dyDescent="0.2">
      <c r="A30" s="11" t="s">
        <v>30</v>
      </c>
      <c r="B30" s="243">
        <v>-14589625.371511087</v>
      </c>
      <c r="C30" s="243"/>
      <c r="D30" s="243">
        <f>D82</f>
        <v>1437691.9084347209</v>
      </c>
      <c r="E30" s="243"/>
      <c r="F30" s="243">
        <f t="shared" si="2"/>
        <v>-13151933.463076366</v>
      </c>
      <c r="G30" s="9"/>
      <c r="H30" s="13">
        <f>H84</f>
        <v>-3227295.6723821228</v>
      </c>
      <c r="J30" s="13">
        <f t="shared" si="5"/>
        <v>-16379229.135458488</v>
      </c>
      <c r="L30" s="13">
        <f>L84</f>
        <v>3076465.3857734799</v>
      </c>
      <c r="M30" s="13">
        <f>M84</f>
        <v>0</v>
      </c>
      <c r="N30" s="13">
        <f t="shared" si="6"/>
        <v>-13302763.749685008</v>
      </c>
    </row>
    <row r="31" spans="1:14" x14ac:dyDescent="0.2">
      <c r="A31" s="11" t="s">
        <v>31</v>
      </c>
      <c r="B31" s="243">
        <v>0</v>
      </c>
      <c r="C31" s="243"/>
      <c r="D31" s="243"/>
      <c r="E31" s="243"/>
      <c r="F31" s="243">
        <f t="shared" si="2"/>
        <v>0</v>
      </c>
      <c r="G31" s="9"/>
      <c r="H31" s="13">
        <f>H79</f>
        <v>0</v>
      </c>
      <c r="J31" s="9">
        <f t="shared" si="5"/>
        <v>0</v>
      </c>
      <c r="L31" s="9">
        <f>L79</f>
        <v>0</v>
      </c>
      <c r="N31" s="9">
        <f t="shared" si="6"/>
        <v>0</v>
      </c>
    </row>
    <row r="32" spans="1:14" x14ac:dyDescent="0.2">
      <c r="A32" s="11" t="s">
        <v>32</v>
      </c>
      <c r="B32" s="243">
        <v>-914527.67211332289</v>
      </c>
      <c r="C32" s="243"/>
      <c r="D32" s="243"/>
      <c r="E32" s="243"/>
      <c r="F32" s="243">
        <f t="shared" si="2"/>
        <v>-914527.67211332289</v>
      </c>
      <c r="G32" s="9"/>
      <c r="H32" s="13">
        <f>'Pro Forma Adj'!B35</f>
        <v>1383856.8614824784</v>
      </c>
      <c r="J32" s="9">
        <f t="shared" si="5"/>
        <v>469329.18936915556</v>
      </c>
      <c r="L32" s="9"/>
      <c r="N32" s="9">
        <f t="shared" si="6"/>
        <v>469329.18936915556</v>
      </c>
    </row>
    <row r="33" spans="1:14" x14ac:dyDescent="0.2">
      <c r="A33" s="11" t="s">
        <v>33</v>
      </c>
      <c r="B33" s="243">
        <v>0</v>
      </c>
      <c r="C33" s="243"/>
      <c r="D33" s="243"/>
      <c r="E33" s="243"/>
      <c r="F33" s="243">
        <f t="shared" si="2"/>
        <v>0</v>
      </c>
      <c r="G33" s="9"/>
      <c r="H33" s="13">
        <f>'Pro Forma Adj'!B36</f>
        <v>0</v>
      </c>
      <c r="J33" s="9">
        <f t="shared" si="5"/>
        <v>0</v>
      </c>
      <c r="L33" s="9"/>
      <c r="N33" s="9">
        <f t="shared" si="6"/>
        <v>0</v>
      </c>
    </row>
    <row r="34" spans="1:14" x14ac:dyDescent="0.2">
      <c r="A34" s="11" t="s">
        <v>34</v>
      </c>
      <c r="B34" s="243">
        <v>-98259.164157068604</v>
      </c>
      <c r="C34" s="243"/>
      <c r="D34" s="243"/>
      <c r="E34" s="243"/>
      <c r="F34" s="243">
        <f t="shared" si="2"/>
        <v>-98259.164157068604</v>
      </c>
      <c r="G34" s="9"/>
      <c r="H34" s="13">
        <f>'Pro Forma Adj'!B37</f>
        <v>0</v>
      </c>
      <c r="J34" s="9">
        <f t="shared" si="5"/>
        <v>-98259.164157068604</v>
      </c>
      <c r="L34" s="9"/>
      <c r="N34" s="9">
        <f t="shared" si="6"/>
        <v>-98259.164157068604</v>
      </c>
    </row>
    <row r="35" spans="1:14" x14ac:dyDescent="0.2">
      <c r="A35" s="11" t="s">
        <v>35</v>
      </c>
      <c r="B35" s="245">
        <f>SUM(B26:B34)</f>
        <v>365770739.49459565</v>
      </c>
      <c r="C35" s="243"/>
      <c r="D35" s="245">
        <f>SUM(D26:D34)</f>
        <v>1785368.2227744963</v>
      </c>
      <c r="E35" s="243"/>
      <c r="F35" s="245">
        <f>SUM(F26:F34)</f>
        <v>367556107.71737021</v>
      </c>
      <c r="G35" s="9"/>
      <c r="H35" s="231">
        <f>SUM(H26:H34)</f>
        <v>-10398803.99166625</v>
      </c>
      <c r="J35" s="7">
        <f>SUM(J26:J34)</f>
        <v>357157303.72570395</v>
      </c>
      <c r="L35" s="7">
        <f>SUM(L26:L34)</f>
        <v>3820445.4695761045</v>
      </c>
      <c r="N35" s="7">
        <f>SUM(N26:N34)</f>
        <v>360977749.19528008</v>
      </c>
    </row>
    <row r="36" spans="1:14" x14ac:dyDescent="0.2">
      <c r="A36" s="11"/>
      <c r="B36" s="243"/>
      <c r="C36" s="243"/>
      <c r="D36" s="243"/>
      <c r="E36" s="243"/>
      <c r="F36" s="243"/>
      <c r="G36" s="9"/>
      <c r="H36" s="13"/>
      <c r="J36" s="9"/>
      <c r="L36" s="9"/>
      <c r="N36" s="9"/>
    </row>
    <row r="37" spans="1:14" ht="13.5" thickBot="1" x14ac:dyDescent="0.25">
      <c r="A37" s="11" t="s">
        <v>36</v>
      </c>
      <c r="B37" s="244">
        <f>B13-B35</f>
        <v>76184737.789721012</v>
      </c>
      <c r="C37" s="243"/>
      <c r="D37" s="244">
        <f>D13-D35</f>
        <v>5408460.0364925209</v>
      </c>
      <c r="E37" s="243"/>
      <c r="F37" s="244">
        <f>F13-F35</f>
        <v>81593197.826213479</v>
      </c>
      <c r="G37" s="9"/>
      <c r="H37" s="232">
        <f>H13-H35</f>
        <v>4440247.2356966436</v>
      </c>
      <c r="J37" s="10">
        <f>J13-J35</f>
        <v>86033445.061910152</v>
      </c>
      <c r="L37" s="10">
        <f>L13-L35</f>
        <v>11573369.784576427</v>
      </c>
      <c r="N37" s="10">
        <f>N13-N35</f>
        <v>97606814.846486568</v>
      </c>
    </row>
    <row r="38" spans="1:14" ht="13.5" thickTop="1" x14ac:dyDescent="0.2">
      <c r="A38" s="11"/>
      <c r="B38" s="243"/>
      <c r="C38" s="243"/>
      <c r="D38" s="243"/>
      <c r="E38" s="243"/>
      <c r="F38" s="243"/>
      <c r="G38" s="9"/>
      <c r="H38" s="13"/>
      <c r="J38" s="9"/>
      <c r="L38" s="9"/>
      <c r="N38" s="9"/>
    </row>
    <row r="39" spans="1:14" x14ac:dyDescent="0.2">
      <c r="A39" s="11" t="s">
        <v>37</v>
      </c>
      <c r="B39" s="243"/>
      <c r="C39" s="243"/>
      <c r="D39" s="243"/>
      <c r="E39" s="243"/>
      <c r="F39" s="243"/>
      <c r="G39" s="9"/>
      <c r="H39" s="9"/>
      <c r="J39" s="9"/>
      <c r="L39" s="9"/>
      <c r="N39" s="9"/>
    </row>
    <row r="40" spans="1:14" x14ac:dyDescent="0.2">
      <c r="A40" s="11" t="s">
        <v>38</v>
      </c>
      <c r="B40" s="243">
        <v>2222312244.4742155</v>
      </c>
      <c r="C40" s="243"/>
      <c r="D40" s="243"/>
      <c r="E40" s="243"/>
      <c r="F40" s="243">
        <f t="shared" ref="F40:F50" si="7">SUM(B40:D40)</f>
        <v>2222312244.4742155</v>
      </c>
      <c r="G40" s="9"/>
      <c r="H40" s="9">
        <f>'Pro Forma Adj'!B43</f>
        <v>288686538.99974352</v>
      </c>
      <c r="J40" s="9">
        <f t="shared" ref="J40:J50" si="8">F40+H40</f>
        <v>2510998783.473959</v>
      </c>
      <c r="L40" s="9"/>
      <c r="N40" s="9">
        <f t="shared" ref="N40:N50" si="9">J40+L40</f>
        <v>2510998783.473959</v>
      </c>
    </row>
    <row r="41" spans="1:14" x14ac:dyDescent="0.2">
      <c r="A41" s="11" t="s">
        <v>39</v>
      </c>
      <c r="B41" s="243">
        <v>467184.71621561563</v>
      </c>
      <c r="C41" s="243"/>
      <c r="D41" s="243"/>
      <c r="E41" s="243"/>
      <c r="F41" s="243">
        <f t="shared" si="7"/>
        <v>467184.71621561563</v>
      </c>
      <c r="G41" s="9"/>
      <c r="H41" s="9">
        <f>'Pro Forma Adj'!B44</f>
        <v>0</v>
      </c>
      <c r="J41" s="9">
        <f t="shared" si="8"/>
        <v>467184.71621561563</v>
      </c>
      <c r="L41" s="9"/>
      <c r="N41" s="9">
        <f t="shared" si="9"/>
        <v>467184.71621561563</v>
      </c>
    </row>
    <row r="42" spans="1:14" x14ac:dyDescent="0.2">
      <c r="A42" s="11" t="s">
        <v>40</v>
      </c>
      <c r="B42" s="243">
        <v>-187305.4531018649</v>
      </c>
      <c r="C42" s="243"/>
      <c r="D42" s="243"/>
      <c r="E42" s="243"/>
      <c r="F42" s="243">
        <f t="shared" si="7"/>
        <v>-187305.4531018649</v>
      </c>
      <c r="G42" s="9"/>
      <c r="H42" s="9">
        <f>'Pro Forma Adj'!B45</f>
        <v>-205648.56505143753</v>
      </c>
      <c r="J42" s="9">
        <f t="shared" si="8"/>
        <v>-392954.01815330243</v>
      </c>
      <c r="L42" s="9"/>
      <c r="N42" s="9">
        <f t="shared" si="9"/>
        <v>-392954.01815330243</v>
      </c>
    </row>
    <row r="43" spans="1:14" x14ac:dyDescent="0.2">
      <c r="A43" s="11" t="s">
        <v>41</v>
      </c>
      <c r="B43" s="243">
        <v>115844.19848648913</v>
      </c>
      <c r="C43" s="243"/>
      <c r="D43" s="243"/>
      <c r="E43" s="243"/>
      <c r="F43" s="243">
        <f t="shared" si="7"/>
        <v>115844.19848648913</v>
      </c>
      <c r="G43" s="9"/>
      <c r="H43" s="9">
        <f>'Pro Forma Adj'!B46</f>
        <v>0</v>
      </c>
      <c r="J43" s="9">
        <f t="shared" si="8"/>
        <v>115844.19848648913</v>
      </c>
      <c r="L43" s="9"/>
      <c r="N43" s="9">
        <f t="shared" si="9"/>
        <v>115844.19848648913</v>
      </c>
    </row>
    <row r="44" spans="1:14" x14ac:dyDescent="0.2">
      <c r="A44" s="11" t="s">
        <v>42</v>
      </c>
      <c r="B44" s="243">
        <v>0</v>
      </c>
      <c r="C44" s="243"/>
      <c r="D44" s="243"/>
      <c r="E44" s="243"/>
      <c r="F44" s="243">
        <f t="shared" si="7"/>
        <v>0</v>
      </c>
      <c r="G44" s="9"/>
      <c r="H44" s="9">
        <f>'Pro Forma Adj'!B47</f>
        <v>0</v>
      </c>
      <c r="J44" s="9">
        <f t="shared" si="8"/>
        <v>0</v>
      </c>
      <c r="L44" s="9"/>
      <c r="N44" s="9">
        <f t="shared" si="9"/>
        <v>0</v>
      </c>
    </row>
    <row r="45" spans="1:14" x14ac:dyDescent="0.2">
      <c r="A45" s="11" t="s">
        <v>43</v>
      </c>
      <c r="B45" s="243">
        <v>4.6566128730773926E-9</v>
      </c>
      <c r="C45" s="243"/>
      <c r="D45" s="243"/>
      <c r="E45" s="243"/>
      <c r="F45" s="243">
        <f t="shared" si="7"/>
        <v>4.6566128730773926E-9</v>
      </c>
      <c r="G45" s="9"/>
      <c r="H45" s="9">
        <f>'Pro Forma Adj'!B48</f>
        <v>0</v>
      </c>
      <c r="J45" s="9">
        <f t="shared" si="8"/>
        <v>4.6566128730773926E-9</v>
      </c>
      <c r="L45" s="9"/>
      <c r="N45" s="9">
        <f t="shared" si="9"/>
        <v>4.6566128730773926E-9</v>
      </c>
    </row>
    <row r="46" spans="1:14" x14ac:dyDescent="0.2">
      <c r="A46" s="11" t="s">
        <v>44</v>
      </c>
      <c r="B46" s="243">
        <v>0</v>
      </c>
      <c r="C46" s="243"/>
      <c r="D46" s="243"/>
      <c r="E46" s="243"/>
      <c r="F46" s="243">
        <f t="shared" si="7"/>
        <v>0</v>
      </c>
      <c r="G46" s="9"/>
      <c r="H46" s="9">
        <f>'Pro Forma Adj'!B49</f>
        <v>0</v>
      </c>
      <c r="J46" s="9">
        <f t="shared" si="8"/>
        <v>0</v>
      </c>
      <c r="L46" s="9"/>
      <c r="N46" s="9">
        <f t="shared" si="9"/>
        <v>0</v>
      </c>
    </row>
    <row r="47" spans="1:14" x14ac:dyDescent="0.2">
      <c r="A47" s="11" t="s">
        <v>45</v>
      </c>
      <c r="B47" s="243">
        <v>8.6884945631027222E-5</v>
      </c>
      <c r="C47" s="243"/>
      <c r="D47" s="243"/>
      <c r="E47" s="243"/>
      <c r="F47" s="243">
        <f t="shared" si="7"/>
        <v>8.6884945631027222E-5</v>
      </c>
      <c r="G47" s="9"/>
      <c r="H47" s="9">
        <f>'Pro Forma Adj'!B50</f>
        <v>0</v>
      </c>
      <c r="J47" s="9">
        <f t="shared" si="8"/>
        <v>8.6884945631027222E-5</v>
      </c>
      <c r="L47" s="9"/>
      <c r="N47" s="9">
        <f t="shared" si="9"/>
        <v>8.6884945631027222E-5</v>
      </c>
    </row>
    <row r="48" spans="1:14" x14ac:dyDescent="0.2">
      <c r="A48" s="11" t="s">
        <v>46</v>
      </c>
      <c r="B48" s="243">
        <v>29873668.417190563</v>
      </c>
      <c r="C48" s="243"/>
      <c r="D48" s="243"/>
      <c r="E48" s="243"/>
      <c r="F48" s="243">
        <f t="shared" si="7"/>
        <v>29873668.417190563</v>
      </c>
      <c r="G48" s="9"/>
      <c r="H48" s="9">
        <f>'Pro Forma Adj'!B51</f>
        <v>0</v>
      </c>
      <c r="J48" s="9">
        <f t="shared" si="8"/>
        <v>29873668.417190563</v>
      </c>
      <c r="L48" s="9"/>
      <c r="N48" s="9">
        <f t="shared" si="9"/>
        <v>29873668.417190563</v>
      </c>
    </row>
    <row r="49" spans="1:14" x14ac:dyDescent="0.2">
      <c r="A49" s="11" t="s">
        <v>47</v>
      </c>
      <c r="B49" s="243">
        <v>3311.89</v>
      </c>
      <c r="C49" s="243"/>
      <c r="D49" s="243"/>
      <c r="E49" s="243"/>
      <c r="F49" s="243">
        <f t="shared" si="7"/>
        <v>3311.89</v>
      </c>
      <c r="G49" s="9"/>
      <c r="H49" s="9">
        <f>'Pro Forma Adj'!B52</f>
        <v>0</v>
      </c>
      <c r="J49" s="9">
        <f t="shared" si="8"/>
        <v>3311.89</v>
      </c>
      <c r="L49" s="9"/>
      <c r="N49" s="9">
        <f t="shared" si="9"/>
        <v>3311.89</v>
      </c>
    </row>
    <row r="50" spans="1:14" x14ac:dyDescent="0.2">
      <c r="A50" s="11" t="s">
        <v>48</v>
      </c>
      <c r="B50" s="243">
        <v>0</v>
      </c>
      <c r="C50" s="243"/>
      <c r="D50" s="243"/>
      <c r="E50" s="243"/>
      <c r="F50" s="243">
        <f t="shared" si="7"/>
        <v>0</v>
      </c>
      <c r="G50" s="9"/>
      <c r="H50" s="9">
        <f>'Pro Forma Adj'!B53</f>
        <v>0</v>
      </c>
      <c r="J50" s="9">
        <f t="shared" si="8"/>
        <v>0</v>
      </c>
      <c r="L50" s="9"/>
      <c r="N50" s="9">
        <f t="shared" si="9"/>
        <v>0</v>
      </c>
    </row>
    <row r="51" spans="1:14" ht="13.5" thickBot="1" x14ac:dyDescent="0.25">
      <c r="A51" s="11" t="s">
        <v>49</v>
      </c>
      <c r="B51" s="244">
        <f>SUM(B40:B50)</f>
        <v>2252584948.243093</v>
      </c>
      <c r="C51" s="243"/>
      <c r="D51" s="244">
        <f>SUM(D40:D50)</f>
        <v>0</v>
      </c>
      <c r="E51" s="243"/>
      <c r="F51" s="244">
        <f>SUM(F40:F50)</f>
        <v>2252584948.243093</v>
      </c>
      <c r="G51" s="9"/>
      <c r="H51" s="10">
        <f>SUM(H40:H50)</f>
        <v>288480890.43469208</v>
      </c>
      <c r="J51" s="10">
        <f>SUM(J40:J50)</f>
        <v>2541065838.6777849</v>
      </c>
      <c r="L51" s="10">
        <f>SUM(L40:L50)</f>
        <v>0</v>
      </c>
      <c r="N51" s="10">
        <f>SUM(N40:N50)</f>
        <v>2541065838.6777849</v>
      </c>
    </row>
    <row r="52" spans="1:14" ht="13.5" thickTop="1" x14ac:dyDescent="0.2">
      <c r="A52" s="11"/>
      <c r="B52" s="243"/>
      <c r="C52" s="243"/>
      <c r="D52" s="243"/>
      <c r="E52" s="243"/>
      <c r="F52" s="243"/>
      <c r="G52" s="9"/>
      <c r="H52" s="9"/>
      <c r="J52" s="9"/>
      <c r="L52" s="9"/>
      <c r="N52" s="9"/>
    </row>
    <row r="53" spans="1:14" x14ac:dyDescent="0.2">
      <c r="A53" s="11" t="s">
        <v>50</v>
      </c>
      <c r="B53" s="243"/>
      <c r="C53" s="243"/>
      <c r="D53" s="243"/>
      <c r="E53" s="243"/>
      <c r="F53" s="243"/>
      <c r="G53" s="9"/>
      <c r="H53" s="9"/>
      <c r="J53" s="9"/>
      <c r="L53" s="9"/>
      <c r="N53" s="9"/>
    </row>
    <row r="54" spans="1:14" x14ac:dyDescent="0.2">
      <c r="A54" s="11" t="s">
        <v>51</v>
      </c>
      <c r="B54" s="243">
        <v>-825050284.47702587</v>
      </c>
      <c r="C54" s="243"/>
      <c r="D54" s="243"/>
      <c r="E54" s="243"/>
      <c r="F54" s="243">
        <f t="shared" ref="F54:F61" si="10">SUM(B54:D54)</f>
        <v>-825050284.47702587</v>
      </c>
      <c r="G54" s="9"/>
      <c r="H54" s="9">
        <f>'Pro Forma Adj'!B57</f>
        <v>-47500204.252881274</v>
      </c>
      <c r="J54" s="9">
        <f t="shared" ref="J54:J60" si="11">F54+H54</f>
        <v>-872550488.72990716</v>
      </c>
      <c r="L54" s="9"/>
      <c r="N54" s="9">
        <f t="shared" ref="N54:N61" si="12">J54+L54</f>
        <v>-872550488.72990716</v>
      </c>
    </row>
    <row r="55" spans="1:14" x14ac:dyDescent="0.2">
      <c r="A55" s="11" t="s">
        <v>52</v>
      </c>
      <c r="B55" s="243">
        <v>-64995002.633910976</v>
      </c>
      <c r="C55" s="243"/>
      <c r="D55" s="243"/>
      <c r="E55" s="243"/>
      <c r="F55" s="243">
        <f t="shared" si="10"/>
        <v>-64995002.633910976</v>
      </c>
      <c r="G55" s="9"/>
      <c r="H55" s="9">
        <f>'Pro Forma Adj'!B58</f>
        <v>-4127826.0767176892</v>
      </c>
      <c r="J55" s="9">
        <f t="shared" si="11"/>
        <v>-69122828.710628659</v>
      </c>
      <c r="L55" s="9"/>
      <c r="N55" s="9">
        <f t="shared" si="12"/>
        <v>-69122828.710628659</v>
      </c>
    </row>
    <row r="56" spans="1:14" x14ac:dyDescent="0.2">
      <c r="A56" s="11" t="s">
        <v>53</v>
      </c>
      <c r="B56" s="243">
        <v>-161428474.99656531</v>
      </c>
      <c r="C56" s="243"/>
      <c r="D56" s="243"/>
      <c r="E56" s="243"/>
      <c r="F56" s="243">
        <f t="shared" si="10"/>
        <v>-161428474.99656531</v>
      </c>
      <c r="G56" s="9"/>
      <c r="H56" s="9">
        <f>'Pro Forma Adj'!B59</f>
        <v>-19785607.482684039</v>
      </c>
      <c r="J56" s="9">
        <f t="shared" si="11"/>
        <v>-181214082.47924936</v>
      </c>
      <c r="L56" s="9"/>
      <c r="N56" s="9">
        <f t="shared" si="12"/>
        <v>-181214082.47924936</v>
      </c>
    </row>
    <row r="57" spans="1:14" x14ac:dyDescent="0.2">
      <c r="A57" s="11" t="s">
        <v>54</v>
      </c>
      <c r="B57" s="243">
        <v>-14943.338687945423</v>
      </c>
      <c r="C57" s="243"/>
      <c r="D57" s="243"/>
      <c r="E57" s="243"/>
      <c r="F57" s="243">
        <f t="shared" si="10"/>
        <v>-14943.338687945423</v>
      </c>
      <c r="G57" s="9"/>
      <c r="H57" s="9">
        <f>'Pro Forma Adj'!B60</f>
        <v>0</v>
      </c>
      <c r="J57" s="9">
        <f t="shared" si="11"/>
        <v>-14943.338687945423</v>
      </c>
      <c r="L57" s="9"/>
      <c r="N57" s="9">
        <f t="shared" si="12"/>
        <v>-14943.338687945423</v>
      </c>
    </row>
    <row r="58" spans="1:14" x14ac:dyDescent="0.2">
      <c r="A58" s="11" t="s">
        <v>55</v>
      </c>
      <c r="B58" s="243">
        <v>-7825156.6492933892</v>
      </c>
      <c r="C58" s="243"/>
      <c r="D58" s="243"/>
      <c r="E58" s="243"/>
      <c r="F58" s="243">
        <f t="shared" si="10"/>
        <v>-7825156.6492933892</v>
      </c>
      <c r="G58" s="9"/>
      <c r="H58" s="9">
        <f>'Pro Forma Adj'!B61</f>
        <v>0</v>
      </c>
      <c r="J58" s="9">
        <f t="shared" si="11"/>
        <v>-7825156.6492933892</v>
      </c>
      <c r="L58" s="9"/>
      <c r="N58" s="9">
        <f t="shared" si="12"/>
        <v>-7825156.6492933892</v>
      </c>
    </row>
    <row r="59" spans="1:14" x14ac:dyDescent="0.2">
      <c r="A59" s="11" t="s">
        <v>56</v>
      </c>
      <c r="B59" s="243">
        <v>-408390.63249999989</v>
      </c>
      <c r="C59" s="243"/>
      <c r="D59" s="243"/>
      <c r="E59" s="243"/>
      <c r="F59" s="243">
        <f t="shared" si="10"/>
        <v>-408390.63249999989</v>
      </c>
      <c r="G59" s="9"/>
      <c r="H59" s="9">
        <f>'Pro Forma Adj'!B62</f>
        <v>0</v>
      </c>
      <c r="J59" s="9">
        <f t="shared" si="11"/>
        <v>-408390.63249999989</v>
      </c>
      <c r="L59" s="9"/>
      <c r="N59" s="9">
        <f t="shared" si="12"/>
        <v>-408390.63249999989</v>
      </c>
    </row>
    <row r="60" spans="1:14" x14ac:dyDescent="0.2">
      <c r="A60" s="11" t="s">
        <v>57</v>
      </c>
      <c r="B60" s="243">
        <v>-73614386.165271983</v>
      </c>
      <c r="C60" s="243"/>
      <c r="D60" s="243"/>
      <c r="E60" s="243"/>
      <c r="F60" s="243">
        <f t="shared" si="10"/>
        <v>-73614386.165271983</v>
      </c>
      <c r="G60" s="9"/>
      <c r="H60" s="9">
        <f>'Pro Forma Adj'!B63</f>
        <v>2598391</v>
      </c>
      <c r="J60" s="9">
        <f t="shared" si="11"/>
        <v>-71015995.165271983</v>
      </c>
      <c r="L60" s="9"/>
      <c r="N60" s="9">
        <f t="shared" si="12"/>
        <v>-71015995.165271983</v>
      </c>
    </row>
    <row r="61" spans="1:14" x14ac:dyDescent="0.2">
      <c r="A61" s="11"/>
      <c r="B61" s="243"/>
      <c r="C61" s="243"/>
      <c r="D61" s="243"/>
      <c r="E61" s="243"/>
      <c r="F61" s="243">
        <f t="shared" si="10"/>
        <v>0</v>
      </c>
      <c r="G61" s="9"/>
      <c r="H61" s="9"/>
      <c r="J61" s="9"/>
      <c r="L61" s="9"/>
      <c r="N61" s="9">
        <f t="shared" si="12"/>
        <v>0</v>
      </c>
    </row>
    <row r="62" spans="1:14" ht="13.5" thickBot="1" x14ac:dyDescent="0.25">
      <c r="A62" s="11" t="s">
        <v>58</v>
      </c>
      <c r="B62" s="244">
        <f>SUM(B54:B60)</f>
        <v>-1133336638.8932555</v>
      </c>
      <c r="C62" s="243"/>
      <c r="D62" s="244">
        <f>SUM(D54:D60)</f>
        <v>0</v>
      </c>
      <c r="E62" s="243"/>
      <c r="F62" s="244">
        <f>SUM(F54:F60)</f>
        <v>-1133336638.8932555</v>
      </c>
      <c r="G62" s="9"/>
      <c r="H62" s="10">
        <f>SUM(H54:H60)</f>
        <v>-68815246.812283009</v>
      </c>
      <c r="J62" s="10">
        <f>SUM(J54:J60)</f>
        <v>-1202151885.7055383</v>
      </c>
      <c r="L62" s="10">
        <f>SUM(L54:L60)</f>
        <v>0</v>
      </c>
      <c r="N62" s="10">
        <f>SUM(N54:N60)</f>
        <v>-1202151885.7055383</v>
      </c>
    </row>
    <row r="63" spans="1:14" ht="13.5" thickTop="1" x14ac:dyDescent="0.2">
      <c r="A63" s="11"/>
      <c r="B63" s="243"/>
      <c r="C63" s="243"/>
      <c r="D63" s="243"/>
      <c r="E63" s="243"/>
      <c r="F63" s="243"/>
      <c r="G63" s="9"/>
      <c r="H63" s="9"/>
      <c r="J63" s="9"/>
      <c r="L63" s="9"/>
      <c r="N63" s="9"/>
    </row>
    <row r="64" spans="1:14" ht="13.5" thickBot="1" x14ac:dyDescent="0.25">
      <c r="A64" s="11" t="s">
        <v>59</v>
      </c>
      <c r="B64" s="244">
        <f>B51+B62</f>
        <v>1119248309.3498375</v>
      </c>
      <c r="C64" s="243"/>
      <c r="D64" s="244">
        <f>D51+D62</f>
        <v>0</v>
      </c>
      <c r="E64" s="243"/>
      <c r="F64" s="244">
        <f>F51+F62</f>
        <v>1119248309.3498375</v>
      </c>
      <c r="G64" s="9"/>
      <c r="H64" s="10">
        <f>H51+H62</f>
        <v>219665643.62240908</v>
      </c>
      <c r="J64" s="10">
        <f>J51+J62</f>
        <v>1338913952.9722466</v>
      </c>
      <c r="L64" s="10">
        <f>L51+L62</f>
        <v>0</v>
      </c>
      <c r="N64" s="10">
        <f>N51+N62</f>
        <v>1338913952.9722466</v>
      </c>
    </row>
    <row r="65" spans="1:17" ht="13.5" thickTop="1" x14ac:dyDescent="0.2">
      <c r="A65" s="11"/>
      <c r="B65" s="242"/>
      <c r="C65" s="243"/>
      <c r="D65" s="242"/>
      <c r="E65" s="242"/>
      <c r="F65" s="242"/>
      <c r="G65" s="9"/>
      <c r="H65" s="9"/>
      <c r="J65" s="9"/>
      <c r="L65" s="9"/>
      <c r="N65" s="9"/>
    </row>
    <row r="66" spans="1:17" x14ac:dyDescent="0.2">
      <c r="A66" s="11" t="s">
        <v>8</v>
      </c>
      <c r="B66" s="246">
        <f>B37/B64</f>
        <v>6.8067771157926629E-2</v>
      </c>
      <c r="C66" s="246"/>
      <c r="D66" s="246">
        <f>F66-B66</f>
        <v>4.8322253349073196E-3</v>
      </c>
      <c r="E66" s="246"/>
      <c r="F66" s="246">
        <f>F37/F64</f>
        <v>7.2899996492833949E-2</v>
      </c>
      <c r="G66" s="22"/>
      <c r="H66" s="22">
        <f>Restated_ROE-F66</f>
        <v>4.812287468245191E-3</v>
      </c>
      <c r="J66" s="22">
        <f>J37/J64</f>
        <v>6.4256141980539569E-2</v>
      </c>
      <c r="L66" s="22">
        <f>N66-J66</f>
        <v>8.6438488140964942E-3</v>
      </c>
      <c r="N66" s="22">
        <f>N37/N64</f>
        <v>7.2899990794636063E-2</v>
      </c>
    </row>
    <row r="67" spans="1:17" x14ac:dyDescent="0.2">
      <c r="A67" s="11" t="s">
        <v>60</v>
      </c>
      <c r="B67" s="246">
        <f>(B66-Weighted_cost_debt-Weighted_cost_pref)/Percent_common</f>
        <v>8.5335542315853261E-2</v>
      </c>
      <c r="C67" s="246"/>
      <c r="D67" s="246">
        <f>F67-B67</f>
        <v>9.6644576841467406E-3</v>
      </c>
      <c r="E67" s="246"/>
      <c r="F67" s="246">
        <f>ROUND((F66-Weighted_cost_debt-Weighted_cost_pref)/Percent_common,3)</f>
        <v>9.5000000000000001E-2</v>
      </c>
      <c r="G67" s="22"/>
      <c r="H67" s="22">
        <f>Restated_ROE-F67</f>
        <v>-1.7287716038920861E-2</v>
      </c>
      <c r="J67" s="22">
        <f>(J66-Weighted_cost_debt-Weighted_cost_pref)/Percent_common</f>
        <v>7.771228396107914E-2</v>
      </c>
      <c r="L67" s="22">
        <f>N67-J67</f>
        <v>1.7287716038920861E-2</v>
      </c>
      <c r="N67" s="22">
        <f>ROUND((N66-Weighted_cost_debt-Weighted_cost_pref)/Percent_common,3)</f>
        <v>9.5000000000000001E-2</v>
      </c>
    </row>
    <row r="68" spans="1:17" x14ac:dyDescent="0.2">
      <c r="A68" s="11" t="s">
        <v>7</v>
      </c>
      <c r="B68" s="247">
        <f>IF(ABS(-(B37-(B64*Overall_ROR))/gross_up_factor)&lt;10,0,-(B37-(B64*Overall_ROR))/gross_up_factor)</f>
        <v>7193828.2592670172</v>
      </c>
      <c r="C68" s="243"/>
      <c r="D68" s="243"/>
      <c r="E68" s="243"/>
      <c r="F68" s="257">
        <f>IF(ABS(-(F37-(F64*Overall_ROR))/gross_up_factor)&lt;5,0,-(F37-(F64*Overall_ROR))/gross_up_factor)</f>
        <v>5.2211828128873758</v>
      </c>
      <c r="G68" s="13">
        <f>IF(ABS(-(G37-(G64*Overall_ROR))/gross_up_factor)&lt;10,0,-(G37-(G64*Overall_ROR))/gross_up_factor)</f>
        <v>0</v>
      </c>
      <c r="H68" s="13">
        <f>IF(ABS(-(H37-(H64*Overall_ROR))/gross_up_factor)&lt;5,0,-(H37-(H64*Overall_ROR))/gross_up_factor)</f>
        <v>15393815.254152557</v>
      </c>
      <c r="J68" s="13">
        <f>-(J37-(J64*Overall_ROR))/gross_up_factor-F68</f>
        <v>15393815.254152531</v>
      </c>
      <c r="L68" s="9"/>
      <c r="N68" s="9"/>
      <c r="P68" s="180">
        <f>J68-H68</f>
        <v>-2.6077032089233398E-8</v>
      </c>
      <c r="Q68" s="19" t="s">
        <v>166</v>
      </c>
    </row>
    <row r="69" spans="1:17" x14ac:dyDescent="0.2">
      <c r="A69" s="11"/>
      <c r="B69" s="248"/>
      <c r="C69" s="248"/>
      <c r="D69" s="243"/>
      <c r="E69" s="243"/>
      <c r="F69" s="243"/>
      <c r="G69" s="16"/>
      <c r="H69" s="16"/>
      <c r="J69" s="16"/>
      <c r="L69" s="20"/>
      <c r="N69" s="20"/>
    </row>
    <row r="70" spans="1:17" x14ac:dyDescent="0.2">
      <c r="A70" s="11" t="s">
        <v>61</v>
      </c>
      <c r="B70" s="243"/>
      <c r="C70" s="243"/>
      <c r="D70" s="243"/>
      <c r="E70" s="243"/>
      <c r="F70" s="243"/>
      <c r="G70" s="9"/>
      <c r="H70" s="9"/>
      <c r="J70" s="9"/>
      <c r="L70" s="9"/>
      <c r="N70" s="9"/>
    </row>
    <row r="71" spans="1:17" x14ac:dyDescent="0.2">
      <c r="A71" s="11" t="s">
        <v>62</v>
      </c>
      <c r="B71" s="243">
        <f t="shared" ref="B71:N71" si="13">B13-B26-B27-B28-B29-B34</f>
        <v>60680584.746096529</v>
      </c>
      <c r="C71" s="243"/>
      <c r="D71" s="243">
        <f>D9-D22-D29</f>
        <v>6846151.9449272426</v>
      </c>
      <c r="E71" s="243"/>
      <c r="F71" s="243">
        <f t="shared" ref="F71" si="14">SUM(B71:D71)</f>
        <v>67526736.691023767</v>
      </c>
      <c r="G71" s="9"/>
      <c r="H71" s="9">
        <f t="shared" si="13"/>
        <v>2596808.424796999</v>
      </c>
      <c r="J71" s="9">
        <f t="shared" si="13"/>
        <v>70123545.115820795</v>
      </c>
      <c r="L71" s="9">
        <f t="shared" si="13"/>
        <v>14649835.170349905</v>
      </c>
      <c r="N71" s="9">
        <f t="shared" si="13"/>
        <v>84773380.286170661</v>
      </c>
    </row>
    <row r="72" spans="1:17" x14ac:dyDescent="0.2">
      <c r="A72" s="11" t="s">
        <v>63</v>
      </c>
      <c r="B72" s="243">
        <v>0</v>
      </c>
      <c r="C72" s="243"/>
      <c r="D72" s="243"/>
      <c r="E72" s="243"/>
      <c r="F72" s="243"/>
      <c r="G72" s="9"/>
      <c r="H72" s="9"/>
      <c r="J72" s="9">
        <f t="shared" ref="J72:J76" si="15">F72+H72</f>
        <v>0</v>
      </c>
      <c r="L72" s="9"/>
      <c r="N72" s="9"/>
    </row>
    <row r="73" spans="1:17" x14ac:dyDescent="0.2">
      <c r="A73" s="11" t="s">
        <v>64</v>
      </c>
      <c r="B73" s="243">
        <v>-3636274.7351071914</v>
      </c>
      <c r="C73" s="243"/>
      <c r="D73" s="243">
        <v>0</v>
      </c>
      <c r="E73" s="243"/>
      <c r="F73" s="243">
        <f t="shared" ref="F73:F76" si="16">SUM(B73:D73)</f>
        <v>-3636274.7351071914</v>
      </c>
      <c r="G73" s="9"/>
      <c r="H73" s="9">
        <f>'Pro Forma Adj'!B76</f>
        <v>0</v>
      </c>
      <c r="J73" s="9">
        <f t="shared" si="15"/>
        <v>-3636274.7351071914</v>
      </c>
      <c r="L73" s="9"/>
      <c r="N73" s="9">
        <f>J73+L73</f>
        <v>-3636274.7351071914</v>
      </c>
    </row>
    <row r="74" spans="1:17" x14ac:dyDescent="0.2">
      <c r="A74" s="11" t="s">
        <v>65</v>
      </c>
      <c r="B74" s="243">
        <v>28479172.499058776</v>
      </c>
      <c r="C74" s="243"/>
      <c r="D74" s="243">
        <v>0</v>
      </c>
      <c r="E74" s="243"/>
      <c r="F74" s="243">
        <f t="shared" si="16"/>
        <v>28479172.499058776</v>
      </c>
      <c r="G74" s="9"/>
      <c r="H74" s="9">
        <f>'Pro Forma Adj'!B77</f>
        <v>5529241.9064362869</v>
      </c>
      <c r="J74" s="9">
        <f t="shared" si="15"/>
        <v>34008414.405495062</v>
      </c>
      <c r="L74" s="9"/>
      <c r="N74" s="9">
        <f>J74+L74</f>
        <v>34008414.405495062</v>
      </c>
    </row>
    <row r="75" spans="1:17" x14ac:dyDescent="0.2">
      <c r="A75" s="11" t="s">
        <v>66</v>
      </c>
      <c r="B75" s="243">
        <v>94733504.432607815</v>
      </c>
      <c r="C75" s="243"/>
      <c r="D75" s="243">
        <v>0</v>
      </c>
      <c r="E75" s="243"/>
      <c r="F75" s="243">
        <f t="shared" si="16"/>
        <v>94733504.432607815</v>
      </c>
      <c r="G75" s="9"/>
      <c r="H75" s="9">
        <f>'Pro Forma Adj'!B78</f>
        <v>8396762.3531774096</v>
      </c>
      <c r="J75" s="9">
        <f t="shared" si="15"/>
        <v>103130266.78578523</v>
      </c>
      <c r="L75" s="9"/>
      <c r="N75" s="9">
        <f>J75+L75</f>
        <v>103130266.78578523</v>
      </c>
    </row>
    <row r="76" spans="1:17" x14ac:dyDescent="0.2">
      <c r="A76" s="11" t="s">
        <v>67</v>
      </c>
      <c r="B76" s="249">
        <v>114380790.72417834</v>
      </c>
      <c r="C76" s="243"/>
      <c r="D76" s="249">
        <v>0</v>
      </c>
      <c r="E76" s="243"/>
      <c r="F76" s="249">
        <f t="shared" si="16"/>
        <v>114380790.72417834</v>
      </c>
      <c r="G76" s="9"/>
      <c r="H76" s="8">
        <f>'Pro Forma Adj'!B79</f>
        <v>12330612.238480803</v>
      </c>
      <c r="J76" s="8">
        <f t="shared" si="15"/>
        <v>126711402.96265915</v>
      </c>
      <c r="L76" s="8"/>
      <c r="N76" s="8">
        <f>J76+L76</f>
        <v>126711402.96265915</v>
      </c>
    </row>
    <row r="77" spans="1:17" x14ac:dyDescent="0.2">
      <c r="A77" s="11" t="s">
        <v>68</v>
      </c>
      <c r="B77" s="243">
        <f t="shared" ref="B77:N77" si="17">B71-B73-B74+B75-B76</f>
        <v>16190400.690574408</v>
      </c>
      <c r="C77" s="243"/>
      <c r="D77" s="243">
        <f>D71-D73-D74+D75-D76</f>
        <v>6846151.9449272426</v>
      </c>
      <c r="E77" s="243"/>
      <c r="F77" s="243">
        <f>F71-F73-F74+F75-F76</f>
        <v>23036552.635501653</v>
      </c>
      <c r="G77" s="9"/>
      <c r="H77" s="9">
        <f t="shared" si="17"/>
        <v>-6866283.3669426814</v>
      </c>
      <c r="J77" s="9">
        <f t="shared" si="17"/>
        <v>16170269.268559009</v>
      </c>
      <c r="L77" s="9">
        <f t="shared" si="17"/>
        <v>14649835.170349905</v>
      </c>
      <c r="N77" s="9">
        <f t="shared" si="17"/>
        <v>30820104.438908875</v>
      </c>
    </row>
    <row r="78" spans="1:17" x14ac:dyDescent="0.2">
      <c r="A78" s="11"/>
      <c r="B78" s="243"/>
      <c r="C78" s="243"/>
      <c r="D78" s="243"/>
      <c r="E78" s="243"/>
      <c r="F78" s="243"/>
      <c r="G78" s="9"/>
      <c r="H78" s="9"/>
      <c r="J78" s="9"/>
      <c r="L78" s="9"/>
      <c r="N78" s="9"/>
    </row>
    <row r="79" spans="1:17" x14ac:dyDescent="0.2">
      <c r="A79" s="11" t="s">
        <v>69</v>
      </c>
      <c r="B79" s="243">
        <v>0</v>
      </c>
      <c r="C79" s="243"/>
      <c r="D79" s="243">
        <v>0</v>
      </c>
      <c r="E79" s="243"/>
      <c r="F79" s="243">
        <f t="shared" ref="F79:F80" si="18">SUM(B79:D79)</f>
        <v>0</v>
      </c>
      <c r="G79" s="9"/>
      <c r="H79" s="9">
        <v>0</v>
      </c>
      <c r="J79" s="9">
        <v>0</v>
      </c>
      <c r="L79" s="9">
        <v>0</v>
      </c>
      <c r="N79" s="9">
        <v>0</v>
      </c>
    </row>
    <row r="80" spans="1:17" x14ac:dyDescent="0.2">
      <c r="A80" s="11" t="s">
        <v>70</v>
      </c>
      <c r="B80" s="243">
        <f>B77-B79</f>
        <v>16190400.690574408</v>
      </c>
      <c r="C80" s="243"/>
      <c r="D80" s="243">
        <f>D77-D79</f>
        <v>6846151.9449272426</v>
      </c>
      <c r="E80" s="243"/>
      <c r="F80" s="243">
        <f t="shared" si="18"/>
        <v>23036552.635501649</v>
      </c>
      <c r="G80" s="9"/>
      <c r="H80" s="9">
        <f>H77-H79</f>
        <v>-6866283.3669426814</v>
      </c>
      <c r="J80" s="9">
        <f>J77-J79</f>
        <v>16170269.268559009</v>
      </c>
      <c r="L80" s="9">
        <f>L77-L79</f>
        <v>14649835.170349905</v>
      </c>
      <c r="N80" s="9">
        <f>N77-N79</f>
        <v>30820104.438908875</v>
      </c>
    </row>
    <row r="81" spans="1:14" x14ac:dyDescent="0.2">
      <c r="A81" s="11"/>
      <c r="B81" s="243"/>
      <c r="C81" s="243"/>
      <c r="D81" s="243"/>
      <c r="E81" s="243"/>
      <c r="F81" s="243"/>
      <c r="G81" s="9"/>
      <c r="H81" s="9"/>
      <c r="J81" s="9"/>
      <c r="L81" s="9"/>
      <c r="N81" s="9"/>
    </row>
    <row r="82" spans="1:14" x14ac:dyDescent="0.2">
      <c r="A82" s="11" t="s">
        <v>81</v>
      </c>
      <c r="B82" s="243">
        <f>B80*0.21</f>
        <v>3399984.1450206256</v>
      </c>
      <c r="C82" s="243"/>
      <c r="D82" s="243">
        <f>D80*0.21</f>
        <v>1437691.9084347209</v>
      </c>
      <c r="E82" s="243"/>
      <c r="F82" s="243">
        <f t="shared" ref="F82:F84" si="19">SUM(B82:D82)</f>
        <v>4837676.0534553463</v>
      </c>
      <c r="G82" s="9"/>
      <c r="H82" s="9">
        <f>H80*0.21</f>
        <v>-1441919.5070579629</v>
      </c>
      <c r="J82" s="9">
        <f>J80*0.21</f>
        <v>3395756.5463973917</v>
      </c>
      <c r="L82" s="9">
        <f>L80*0.21</f>
        <v>3076465.3857734799</v>
      </c>
      <c r="N82" s="9">
        <f>N80*0.21</f>
        <v>6472221.9321708633</v>
      </c>
    </row>
    <row r="83" spans="1:14" x14ac:dyDescent="0.2">
      <c r="A83" s="11" t="s">
        <v>128</v>
      </c>
      <c r="B83" s="243">
        <f>B84-B82</f>
        <v>-17989609.516531713</v>
      </c>
      <c r="C83" s="243"/>
      <c r="D83" s="243">
        <v>0</v>
      </c>
      <c r="E83" s="243"/>
      <c r="F83" s="243">
        <f t="shared" si="19"/>
        <v>-17989609.516531713</v>
      </c>
      <c r="G83" s="9"/>
      <c r="H83" s="9">
        <f>'Pro Forma Adj'!B86</f>
        <v>-1785376.1653241599</v>
      </c>
      <c r="J83" s="9">
        <f t="shared" ref="J83:J84" si="20">F83+H83</f>
        <v>-19774985.681855872</v>
      </c>
      <c r="L83" s="9"/>
      <c r="N83" s="9">
        <f>J83+L83</f>
        <v>-19774985.681855872</v>
      </c>
    </row>
    <row r="84" spans="1:14" x14ac:dyDescent="0.2">
      <c r="A84" s="11" t="s">
        <v>83</v>
      </c>
      <c r="B84" s="243">
        <v>-14589625.371511087</v>
      </c>
      <c r="C84" s="243"/>
      <c r="D84" s="243">
        <f>D82</f>
        <v>1437691.9084347209</v>
      </c>
      <c r="E84" s="243"/>
      <c r="F84" s="243">
        <f t="shared" si="19"/>
        <v>-13151933.463076366</v>
      </c>
      <c r="G84" s="9"/>
      <c r="H84" s="9">
        <f>H82+H83</f>
        <v>-3227295.6723821228</v>
      </c>
      <c r="J84" s="9">
        <f t="shared" si="20"/>
        <v>-16379229.135458488</v>
      </c>
      <c r="L84" s="9">
        <f>L82+L83</f>
        <v>3076465.3857734799</v>
      </c>
      <c r="N84" s="9">
        <f>N82+N83</f>
        <v>-13302763.749685008</v>
      </c>
    </row>
    <row r="85" spans="1:14" x14ac:dyDescent="0.2">
      <c r="A85" s="11"/>
      <c r="B85" s="242"/>
      <c r="C85" s="243"/>
      <c r="D85" s="242"/>
      <c r="E85" s="242"/>
      <c r="F85" s="242"/>
      <c r="G85" s="9"/>
      <c r="H85" s="9"/>
      <c r="J85" s="9"/>
      <c r="L85" s="9"/>
      <c r="N85" s="9"/>
    </row>
    <row r="86" spans="1:14" x14ac:dyDescent="0.2">
      <c r="A86" s="11"/>
      <c r="B86" s="242"/>
      <c r="C86" s="243"/>
      <c r="D86" s="242"/>
      <c r="E86" s="242"/>
      <c r="F86" s="242"/>
      <c r="G86" s="9"/>
      <c r="H86" s="9"/>
      <c r="J86" s="9"/>
      <c r="L86" s="9"/>
      <c r="N86" s="9"/>
    </row>
    <row r="87" spans="1:14" x14ac:dyDescent="0.2">
      <c r="A87" s="11"/>
      <c r="B87" s="242"/>
      <c r="C87" s="243"/>
      <c r="D87" s="242"/>
      <c r="E87" s="242"/>
      <c r="F87" s="242"/>
      <c r="G87" s="9"/>
      <c r="H87" s="9"/>
      <c r="J87" s="9"/>
      <c r="L87" s="9"/>
      <c r="N87" s="9"/>
    </row>
    <row r="88" spans="1:14" x14ac:dyDescent="0.2">
      <c r="A88" s="11"/>
      <c r="B88" s="243"/>
      <c r="C88" s="243"/>
      <c r="D88" s="242"/>
      <c r="E88" s="242"/>
      <c r="F88" s="242"/>
      <c r="G88" s="9"/>
      <c r="H88" s="9"/>
      <c r="J88" s="9"/>
      <c r="L88" s="9"/>
      <c r="N88" s="9"/>
    </row>
    <row r="89" spans="1:14" x14ac:dyDescent="0.2">
      <c r="A89" s="11"/>
      <c r="B89" s="243"/>
      <c r="C89" s="243"/>
      <c r="D89" s="242"/>
      <c r="E89" s="242"/>
      <c r="F89" s="242"/>
      <c r="G89" s="9"/>
      <c r="H89" s="9"/>
      <c r="J89" s="9"/>
      <c r="L89" s="9"/>
      <c r="N89" s="9"/>
    </row>
    <row r="90" spans="1:14" x14ac:dyDescent="0.2">
      <c r="A90" s="21"/>
      <c r="B90" s="243"/>
      <c r="C90" s="243"/>
      <c r="D90" s="242"/>
      <c r="E90" s="242"/>
      <c r="F90" s="242"/>
      <c r="G90" s="9"/>
      <c r="H90" s="9"/>
      <c r="J90" s="22"/>
      <c r="L90" s="9"/>
      <c r="N90" s="9"/>
    </row>
    <row r="91" spans="1:14" x14ac:dyDescent="0.2">
      <c r="B91" s="250"/>
      <c r="C91" s="250"/>
      <c r="D91" s="251"/>
      <c r="E91" s="251"/>
      <c r="F91" s="251"/>
      <c r="G91" s="6"/>
      <c r="H91" s="6"/>
      <c r="J91" s="6"/>
      <c r="L91" s="6"/>
      <c r="N91" s="6"/>
    </row>
    <row r="92" spans="1:14" x14ac:dyDescent="0.2">
      <c r="D92" s="252"/>
      <c r="E92" s="252"/>
      <c r="F92" s="252"/>
    </row>
    <row r="93" spans="1:14" x14ac:dyDescent="0.2">
      <c r="D93" s="252"/>
      <c r="E93" s="252"/>
      <c r="F93" s="252"/>
    </row>
    <row r="94" spans="1:14" x14ac:dyDescent="0.2">
      <c r="D94" s="252"/>
      <c r="E94" s="252"/>
      <c r="F94" s="252"/>
    </row>
    <row r="95" spans="1:14" x14ac:dyDescent="0.2">
      <c r="D95" s="252"/>
      <c r="E95" s="252"/>
      <c r="F95" s="252"/>
    </row>
    <row r="96" spans="1:14" x14ac:dyDescent="0.2">
      <c r="D96" s="252"/>
      <c r="E96" s="252"/>
      <c r="F96" s="252"/>
    </row>
    <row r="97" spans="4:6" x14ac:dyDescent="0.2">
      <c r="D97" s="252"/>
      <c r="E97" s="252"/>
      <c r="F97" s="252"/>
    </row>
    <row r="98" spans="4:6" x14ac:dyDescent="0.2">
      <c r="D98" s="252"/>
      <c r="E98" s="252"/>
      <c r="F98" s="252"/>
    </row>
    <row r="99" spans="4:6" x14ac:dyDescent="0.2">
      <c r="D99" s="252"/>
      <c r="E99" s="252"/>
      <c r="F99" s="252"/>
    </row>
    <row r="100" spans="4:6" x14ac:dyDescent="0.2">
      <c r="D100" s="252"/>
      <c r="E100" s="252"/>
      <c r="F100" s="252"/>
    </row>
    <row r="101" spans="4:6" x14ac:dyDescent="0.2">
      <c r="D101" s="252"/>
      <c r="E101" s="252"/>
      <c r="F101" s="252"/>
    </row>
    <row r="102" spans="4:6" x14ac:dyDescent="0.2">
      <c r="D102" s="252"/>
      <c r="E102" s="252"/>
      <c r="F102" s="252"/>
    </row>
  </sheetData>
  <phoneticPr fontId="5" type="noConversion"/>
  <pageMargins left="0.5" right="0.5" top="0.5" bottom="0.5" header="0.5" footer="0.5"/>
  <pageSetup scale="61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AB109"/>
  <sheetViews>
    <sheetView tabSelected="1" showOutlineSymbols="0" view="pageBreakPreview" zoomScale="84" zoomScaleNormal="80" zoomScaleSheetLayoutView="84" workbookViewId="0">
      <pane xSplit="2" ySplit="9" topLeftCell="O40" activePane="bottomRight" state="frozen"/>
      <selection activeCell="D13" sqref="D13"/>
      <selection pane="topRight" activeCell="D13" sqref="D13"/>
      <selection pane="bottomLeft" activeCell="D13" sqref="D13"/>
      <selection pane="bottomRight" activeCell="AB71" sqref="AB71"/>
    </sheetView>
  </sheetViews>
  <sheetFormatPr defaultRowHeight="12.75" x14ac:dyDescent="0.2"/>
  <cols>
    <col min="1" max="1" width="47.5703125" style="2" customWidth="1"/>
    <col min="2" max="2" width="19" style="15" customWidth="1"/>
    <col min="3" max="3" width="17.28515625" style="15" bestFit="1" customWidth="1"/>
    <col min="4" max="6" width="16" style="2" customWidth="1"/>
    <col min="7" max="7" width="16.140625" style="2" customWidth="1"/>
    <col min="8" max="11" width="16" style="2" customWidth="1"/>
    <col min="12" max="13" width="17.28515625" style="2" bestFit="1" customWidth="1"/>
    <col min="14" max="15" width="17.28515625" style="2" customWidth="1"/>
    <col min="16" max="16" width="17.140625" style="2" customWidth="1"/>
    <col min="17" max="17" width="16.85546875" style="2" customWidth="1"/>
    <col min="18" max="18" width="13.140625" style="2" customWidth="1"/>
    <col min="19" max="19" width="13.85546875" style="2" customWidth="1"/>
    <col min="20" max="20" width="14.7109375" style="2" customWidth="1"/>
    <col min="21" max="22" width="15.28515625" style="2" customWidth="1"/>
    <col min="23" max="23" width="15.5703125" style="2" customWidth="1"/>
    <col min="24" max="25" width="14.7109375" style="2" customWidth="1"/>
    <col min="26" max="26" width="15.5703125" style="2" customWidth="1"/>
    <col min="27" max="27" width="14.7109375" style="2" customWidth="1"/>
    <col min="28" max="28" width="15.5703125" style="2" customWidth="1"/>
    <col min="29" max="16384" width="9.140625" style="15"/>
  </cols>
  <sheetData>
    <row r="1" spans="1:28" x14ac:dyDescent="0.2">
      <c r="A1" s="4" t="s">
        <v>6</v>
      </c>
    </row>
    <row r="2" spans="1:28" s="2" customFormat="1" x14ac:dyDescent="0.2">
      <c r="A2" s="108" t="str">
        <f>Summary!A2</f>
        <v>Washington 2023 General Rate Case</v>
      </c>
    </row>
    <row r="3" spans="1:28" s="2" customFormat="1" x14ac:dyDescent="0.2">
      <c r="A3" s="109" t="s">
        <v>196</v>
      </c>
    </row>
    <row r="4" spans="1:28" s="2" customFormat="1" x14ac:dyDescent="0.2">
      <c r="A4" s="109" t="s">
        <v>224</v>
      </c>
    </row>
    <row r="5" spans="1:28" s="2" customFormat="1" x14ac:dyDescent="0.2">
      <c r="A5" s="108"/>
      <c r="B5" s="254"/>
      <c r="C5" s="254"/>
      <c r="D5" s="254"/>
      <c r="E5" s="254"/>
      <c r="F5" s="254" t="s">
        <v>227</v>
      </c>
      <c r="G5" s="254"/>
      <c r="H5" s="254"/>
      <c r="I5" s="254"/>
      <c r="J5" s="254"/>
      <c r="K5" s="254"/>
      <c r="L5" s="270"/>
      <c r="M5" s="254"/>
      <c r="N5" s="254" t="s">
        <v>238</v>
      </c>
      <c r="O5" s="254"/>
      <c r="P5" s="254"/>
      <c r="Q5" s="254"/>
      <c r="R5" s="254" t="s">
        <v>217</v>
      </c>
      <c r="S5" s="254"/>
      <c r="T5" s="254"/>
      <c r="U5" s="254"/>
      <c r="V5" s="254"/>
      <c r="W5" s="254" t="s">
        <v>217</v>
      </c>
      <c r="X5" s="254" t="s">
        <v>227</v>
      </c>
      <c r="Y5" s="254" t="s">
        <v>227</v>
      </c>
      <c r="Z5" s="254"/>
      <c r="AA5" s="254"/>
      <c r="AB5" s="254" t="s">
        <v>227</v>
      </c>
    </row>
    <row r="6" spans="1:28" s="4" customFormat="1" ht="13.5" thickBot="1" x14ac:dyDescent="0.25">
      <c r="A6" s="109"/>
    </row>
    <row r="7" spans="1:28" s="110" customFormat="1" ht="13.5" thickBot="1" x14ac:dyDescent="0.25">
      <c r="A7" s="4"/>
      <c r="B7" s="174"/>
      <c r="C7" s="260" t="s">
        <v>130</v>
      </c>
      <c r="D7" s="261"/>
      <c r="E7" s="261"/>
      <c r="F7" s="262"/>
      <c r="G7" s="260" t="s">
        <v>233</v>
      </c>
      <c r="H7" s="261"/>
      <c r="I7" s="261"/>
      <c r="J7" s="261"/>
      <c r="K7" s="261"/>
      <c r="L7" s="260" t="s">
        <v>234</v>
      </c>
      <c r="M7" s="261"/>
      <c r="N7" s="261"/>
      <c r="O7" s="261"/>
      <c r="P7" s="262"/>
      <c r="Q7" s="259" t="s">
        <v>173</v>
      </c>
      <c r="R7" s="260" t="s">
        <v>141</v>
      </c>
      <c r="S7" s="261"/>
      <c r="T7" s="261"/>
      <c r="U7" s="261"/>
      <c r="V7" s="262"/>
      <c r="W7" s="260" t="s">
        <v>232</v>
      </c>
      <c r="X7" s="261"/>
      <c r="Y7" s="262"/>
      <c r="Z7" s="260" t="s">
        <v>183</v>
      </c>
      <c r="AA7" s="261"/>
      <c r="AB7" s="262"/>
    </row>
    <row r="8" spans="1:28" x14ac:dyDescent="0.2">
      <c r="B8" s="56"/>
      <c r="C8" s="56" t="s">
        <v>129</v>
      </c>
      <c r="D8" s="54" t="s">
        <v>198</v>
      </c>
      <c r="E8" s="54" t="s">
        <v>199</v>
      </c>
      <c r="F8" s="256" t="s">
        <v>218</v>
      </c>
      <c r="G8" s="56" t="s">
        <v>200</v>
      </c>
      <c r="H8" s="54" t="s">
        <v>201</v>
      </c>
      <c r="I8" s="54" t="s">
        <v>202</v>
      </c>
      <c r="J8" s="54" t="s">
        <v>203</v>
      </c>
      <c r="K8" s="54" t="s">
        <v>134</v>
      </c>
      <c r="L8" s="56" t="s">
        <v>235</v>
      </c>
      <c r="M8" s="54" t="s">
        <v>236</v>
      </c>
      <c r="N8" s="54" t="s">
        <v>213</v>
      </c>
      <c r="O8" s="54" t="s">
        <v>204</v>
      </c>
      <c r="P8" s="230" t="s">
        <v>135</v>
      </c>
      <c r="Q8" s="54" t="s">
        <v>163</v>
      </c>
      <c r="R8" s="173" t="s">
        <v>237</v>
      </c>
      <c r="S8" s="54" t="s">
        <v>137</v>
      </c>
      <c r="T8" s="54" t="s">
        <v>138</v>
      </c>
      <c r="U8" s="54" t="s">
        <v>205</v>
      </c>
      <c r="V8" s="55" t="s">
        <v>140</v>
      </c>
      <c r="W8" s="173" t="s">
        <v>214</v>
      </c>
      <c r="X8" s="54" t="s">
        <v>220</v>
      </c>
      <c r="Y8" s="54" t="s">
        <v>222</v>
      </c>
      <c r="Z8" s="173" t="s">
        <v>206</v>
      </c>
      <c r="AA8" s="54" t="s">
        <v>144</v>
      </c>
      <c r="AB8" s="230" t="s">
        <v>225</v>
      </c>
    </row>
    <row r="9" spans="1:28" s="111" customFormat="1" ht="76.5" x14ac:dyDescent="0.2">
      <c r="A9" s="14"/>
      <c r="B9" s="175" t="s">
        <v>193</v>
      </c>
      <c r="C9" s="68" t="s">
        <v>150</v>
      </c>
      <c r="D9" s="70" t="s">
        <v>151</v>
      </c>
      <c r="E9" s="70" t="s">
        <v>153</v>
      </c>
      <c r="F9" s="70" t="s">
        <v>219</v>
      </c>
      <c r="G9" s="68" t="s">
        <v>131</v>
      </c>
      <c r="H9" s="70" t="s">
        <v>133</v>
      </c>
      <c r="I9" s="70" t="s">
        <v>132</v>
      </c>
      <c r="J9" s="70" t="s">
        <v>186</v>
      </c>
      <c r="K9" s="70" t="s">
        <v>185</v>
      </c>
      <c r="L9" s="68" t="s">
        <v>184</v>
      </c>
      <c r="M9" s="70" t="s">
        <v>215</v>
      </c>
      <c r="N9" s="70" t="s">
        <v>216</v>
      </c>
      <c r="O9" s="70" t="s">
        <v>167</v>
      </c>
      <c r="P9" s="69" t="s">
        <v>207</v>
      </c>
      <c r="Q9" s="70" t="s">
        <v>164</v>
      </c>
      <c r="R9" s="68" t="s">
        <v>146</v>
      </c>
      <c r="S9" s="70" t="s">
        <v>136</v>
      </c>
      <c r="T9" s="70" t="s">
        <v>165</v>
      </c>
      <c r="U9" s="70" t="s">
        <v>157</v>
      </c>
      <c r="V9" s="69" t="s">
        <v>139</v>
      </c>
      <c r="W9" s="68" t="s">
        <v>143</v>
      </c>
      <c r="X9" s="70" t="s">
        <v>221</v>
      </c>
      <c r="Y9" s="70" t="s">
        <v>223</v>
      </c>
      <c r="Z9" s="68" t="s">
        <v>142</v>
      </c>
      <c r="AA9" s="70" t="s">
        <v>145</v>
      </c>
      <c r="AB9" s="69" t="s">
        <v>226</v>
      </c>
    </row>
    <row r="10" spans="1:28" x14ac:dyDescent="0.2">
      <c r="B10" s="176"/>
      <c r="C10" s="30"/>
      <c r="G10" s="30"/>
      <c r="L10" s="30"/>
      <c r="P10" s="62"/>
      <c r="R10" s="30"/>
      <c r="V10" s="62"/>
      <c r="W10" s="30"/>
      <c r="Z10" s="30"/>
      <c r="AB10" s="62"/>
    </row>
    <row r="11" spans="1:28" x14ac:dyDescent="0.2">
      <c r="A11" s="14" t="s">
        <v>9</v>
      </c>
      <c r="B11" s="25"/>
      <c r="C11" s="25"/>
      <c r="D11" s="12"/>
      <c r="E11" s="12"/>
      <c r="F11" s="12"/>
      <c r="G11" s="25"/>
      <c r="H11" s="12"/>
      <c r="I11" s="12"/>
      <c r="J11" s="12"/>
      <c r="K11" s="12"/>
      <c r="L11" s="25"/>
      <c r="M11" s="12"/>
      <c r="N11" s="12"/>
      <c r="O11" s="12"/>
      <c r="P11" s="57"/>
      <c r="Q11" s="12"/>
      <c r="R11" s="25"/>
      <c r="S11" s="12"/>
      <c r="T11" s="12"/>
      <c r="U11" s="12"/>
      <c r="V11" s="57"/>
      <c r="W11" s="25"/>
      <c r="X11" s="12"/>
      <c r="Y11" s="12"/>
      <c r="Z11" s="25"/>
      <c r="AA11" s="12"/>
      <c r="AB11" s="57"/>
    </row>
    <row r="12" spans="1:28" x14ac:dyDescent="0.2">
      <c r="A12" s="14" t="s">
        <v>10</v>
      </c>
      <c r="B12" s="26">
        <f>SUM(C12:AB12)</f>
        <v>0</v>
      </c>
      <c r="C12" s="27"/>
      <c r="D12" s="60"/>
      <c r="E12" s="60"/>
      <c r="F12" s="60"/>
      <c r="G12" s="27"/>
      <c r="H12" s="60"/>
      <c r="I12" s="60"/>
      <c r="J12" s="60"/>
      <c r="K12" s="60"/>
      <c r="L12" s="27"/>
      <c r="M12" s="60"/>
      <c r="N12" s="60"/>
      <c r="O12" s="60"/>
      <c r="P12" s="61"/>
      <c r="Q12" s="60"/>
      <c r="R12" s="27"/>
      <c r="S12" s="60"/>
      <c r="T12" s="60"/>
      <c r="U12" s="60"/>
      <c r="V12" s="61"/>
      <c r="W12" s="27"/>
      <c r="X12" s="60"/>
      <c r="Y12" s="60"/>
      <c r="Z12" s="27"/>
      <c r="AA12" s="60"/>
      <c r="AB12" s="61"/>
    </row>
    <row r="13" spans="1:28" x14ac:dyDescent="0.2">
      <c r="A13" s="14" t="s">
        <v>11</v>
      </c>
      <c r="B13" s="26">
        <f>SUM(C13:AB13)</f>
        <v>0</v>
      </c>
      <c r="C13" s="27"/>
      <c r="D13" s="60"/>
      <c r="E13" s="60"/>
      <c r="F13" s="60"/>
      <c r="G13" s="27"/>
      <c r="H13" s="60"/>
      <c r="I13" s="60"/>
      <c r="J13" s="60"/>
      <c r="K13" s="60"/>
      <c r="L13" s="27"/>
      <c r="M13" s="60"/>
      <c r="N13" s="60"/>
      <c r="O13" s="60"/>
      <c r="P13" s="61"/>
      <c r="Q13" s="60"/>
      <c r="R13" s="27"/>
      <c r="S13" s="60"/>
      <c r="T13" s="60"/>
      <c r="U13" s="60"/>
      <c r="V13" s="61"/>
      <c r="W13" s="27"/>
      <c r="X13" s="60"/>
      <c r="Y13" s="60"/>
      <c r="Z13" s="27"/>
      <c r="AA13" s="60"/>
      <c r="AB13" s="61"/>
    </row>
    <row r="14" spans="1:28" x14ac:dyDescent="0.2">
      <c r="A14" s="14" t="s">
        <v>12</v>
      </c>
      <c r="B14" s="26">
        <f>SUM(C14:AB14)</f>
        <v>-8090800.8140892293</v>
      </c>
      <c r="C14" s="27"/>
      <c r="D14" s="60"/>
      <c r="E14" s="60"/>
      <c r="F14" s="60">
        <f>'[2]13.4'!$I$14</f>
        <v>-8090800.8140892293</v>
      </c>
      <c r="G14" s="27"/>
      <c r="H14" s="60"/>
      <c r="I14" s="60"/>
      <c r="J14" s="60"/>
      <c r="K14" s="60"/>
      <c r="L14" s="27"/>
      <c r="M14" s="60"/>
      <c r="N14" s="60"/>
      <c r="O14" s="60"/>
      <c r="P14" s="61"/>
      <c r="Q14" s="60"/>
      <c r="R14" s="27"/>
      <c r="S14" s="60"/>
      <c r="T14" s="60"/>
      <c r="U14" s="60"/>
      <c r="V14" s="61"/>
      <c r="W14" s="27"/>
      <c r="X14" s="60"/>
      <c r="Y14" s="60"/>
      <c r="Z14" s="27"/>
      <c r="AA14" s="60"/>
      <c r="AB14" s="61"/>
    </row>
    <row r="15" spans="1:28" x14ac:dyDescent="0.2">
      <c r="A15" s="14" t="s">
        <v>13</v>
      </c>
      <c r="B15" s="26">
        <f>SUM(C15:AB15)</f>
        <v>2132244.058119623</v>
      </c>
      <c r="C15" s="27">
        <v>2301415.0116205518</v>
      </c>
      <c r="D15" s="60"/>
      <c r="E15" s="60">
        <v>-204821.69754604981</v>
      </c>
      <c r="F15" s="60"/>
      <c r="G15" s="27"/>
      <c r="H15" s="60"/>
      <c r="I15" s="60"/>
      <c r="J15" s="60"/>
      <c r="K15" s="60"/>
      <c r="L15" s="27"/>
      <c r="M15" s="60"/>
      <c r="N15" s="60"/>
      <c r="O15" s="60"/>
      <c r="P15" s="61"/>
      <c r="Q15" s="60"/>
      <c r="R15" s="27"/>
      <c r="S15" s="60"/>
      <c r="T15" s="60"/>
      <c r="U15" s="60"/>
      <c r="V15" s="61"/>
      <c r="W15" s="27"/>
      <c r="X15" s="60"/>
      <c r="Y15" s="60"/>
      <c r="Z15" s="27"/>
      <c r="AA15" s="60"/>
      <c r="AB15" s="61">
        <f>'[5]16.3 - 16.3.1'!$I$78+'[5]16.3 - 16.3.1'!$I$87</f>
        <v>35650.744045121013</v>
      </c>
    </row>
    <row r="16" spans="1:28" s="195" customFormat="1" x14ac:dyDescent="0.2">
      <c r="A16" s="190" t="s">
        <v>14</v>
      </c>
      <c r="B16" s="191">
        <f>SUM(C16:AB16)</f>
        <v>-5958556.7559696063</v>
      </c>
      <c r="C16" s="191">
        <f t="shared" ref="C16:J16" si="0">SUM(C12:C15)</f>
        <v>2301415.0116205518</v>
      </c>
      <c r="D16" s="192">
        <f t="shared" si="0"/>
        <v>0</v>
      </c>
      <c r="E16" s="192">
        <f t="shared" si="0"/>
        <v>-204821.69754604981</v>
      </c>
      <c r="F16" s="192">
        <f t="shared" si="0"/>
        <v>-8090800.8140892293</v>
      </c>
      <c r="G16" s="191">
        <f t="shared" si="0"/>
        <v>0</v>
      </c>
      <c r="H16" s="192">
        <f t="shared" si="0"/>
        <v>0</v>
      </c>
      <c r="I16" s="192">
        <f t="shared" si="0"/>
        <v>0</v>
      </c>
      <c r="J16" s="192">
        <f t="shared" si="0"/>
        <v>0</v>
      </c>
      <c r="K16" s="192">
        <f t="shared" ref="K16:L16" si="1">SUM(K12:K15)</f>
        <v>0</v>
      </c>
      <c r="L16" s="191">
        <f t="shared" si="1"/>
        <v>0</v>
      </c>
      <c r="M16" s="192">
        <f>SUM(M12:M15)</f>
        <v>0</v>
      </c>
      <c r="N16" s="192">
        <f>SUM(N12:N15)</f>
        <v>0</v>
      </c>
      <c r="O16" s="192">
        <f>SUM(O12:O15)</f>
        <v>0</v>
      </c>
      <c r="P16" s="193">
        <f t="shared" ref="P16:T16" si="2">SUM(P12:P15)</f>
        <v>0</v>
      </c>
      <c r="Q16" s="192">
        <f t="shared" si="2"/>
        <v>0</v>
      </c>
      <c r="R16" s="191">
        <f t="shared" si="2"/>
        <v>0</v>
      </c>
      <c r="S16" s="192">
        <f t="shared" si="2"/>
        <v>0</v>
      </c>
      <c r="T16" s="192">
        <f t="shared" si="2"/>
        <v>0</v>
      </c>
      <c r="U16" s="192">
        <f t="shared" ref="U16:AB16" si="3">SUM(U12:U15)</f>
        <v>0</v>
      </c>
      <c r="V16" s="193">
        <f t="shared" si="3"/>
        <v>0</v>
      </c>
      <c r="W16" s="191">
        <f t="shared" si="3"/>
        <v>0</v>
      </c>
      <c r="X16" s="192">
        <f t="shared" si="3"/>
        <v>0</v>
      </c>
      <c r="Y16" s="192">
        <f t="shared" si="3"/>
        <v>0</v>
      </c>
      <c r="Z16" s="191">
        <f t="shared" si="3"/>
        <v>0</v>
      </c>
      <c r="AA16" s="192">
        <f t="shared" si="3"/>
        <v>0</v>
      </c>
      <c r="AB16" s="193">
        <f t="shared" si="3"/>
        <v>35650.744045121013</v>
      </c>
    </row>
    <row r="17" spans="1:28" x14ac:dyDescent="0.2">
      <c r="A17" s="14"/>
      <c r="B17" s="25"/>
      <c r="C17" s="25"/>
      <c r="D17" s="12"/>
      <c r="E17" s="12"/>
      <c r="F17" s="12"/>
      <c r="G17" s="25"/>
      <c r="H17" s="12"/>
      <c r="I17" s="12"/>
      <c r="J17" s="12"/>
      <c r="K17" s="12"/>
      <c r="L17" s="25"/>
      <c r="M17" s="12"/>
      <c r="N17" s="12"/>
      <c r="O17" s="12"/>
      <c r="P17" s="57"/>
      <c r="Q17" s="12"/>
      <c r="R17" s="25"/>
      <c r="S17" s="12"/>
      <c r="T17" s="12"/>
      <c r="U17" s="12"/>
      <c r="V17" s="57"/>
      <c r="W17" s="25"/>
      <c r="X17" s="12"/>
      <c r="Y17" s="12"/>
      <c r="Z17" s="25"/>
      <c r="AA17" s="12"/>
      <c r="AB17" s="57"/>
    </row>
    <row r="18" spans="1:28" x14ac:dyDescent="0.2">
      <c r="A18" s="14" t="s">
        <v>15</v>
      </c>
      <c r="B18" s="25"/>
      <c r="C18" s="25"/>
      <c r="D18" s="12"/>
      <c r="E18" s="12"/>
      <c r="F18" s="12"/>
      <c r="G18" s="25"/>
      <c r="H18" s="12"/>
      <c r="I18" s="12"/>
      <c r="J18" s="12"/>
      <c r="K18" s="12"/>
      <c r="L18" s="25"/>
      <c r="M18" s="12"/>
      <c r="N18" s="12"/>
      <c r="O18" s="12"/>
      <c r="P18" s="57"/>
      <c r="Q18" s="12"/>
      <c r="R18" s="25"/>
      <c r="S18" s="12"/>
      <c r="T18" s="12"/>
      <c r="U18" s="12"/>
      <c r="V18" s="57"/>
      <c r="W18" s="25"/>
      <c r="X18" s="12"/>
      <c r="Y18" s="12"/>
      <c r="Z18" s="25"/>
      <c r="AA18" s="12"/>
      <c r="AB18" s="57"/>
    </row>
    <row r="19" spans="1:28" x14ac:dyDescent="0.2">
      <c r="A19" s="14" t="s">
        <v>16</v>
      </c>
      <c r="B19" s="26">
        <f t="shared" ref="B19:B40" si="4">SUM(C19:AB19)</f>
        <v>-7876817.0493528359</v>
      </c>
      <c r="C19" s="27"/>
      <c r="D19" s="60">
        <v>112121.67055308199</v>
      </c>
      <c r="E19" s="60"/>
      <c r="F19" s="60">
        <f>'[2]13.4'!$I$37</f>
        <v>-9470805.8004256077</v>
      </c>
      <c r="G19" s="27"/>
      <c r="H19" s="60"/>
      <c r="I19" s="60"/>
      <c r="J19" s="60"/>
      <c r="K19" s="60"/>
      <c r="L19" s="27">
        <v>-3444.1006326457582</v>
      </c>
      <c r="M19" s="60"/>
      <c r="N19" s="60"/>
      <c r="O19" s="60">
        <v>759747.05443042365</v>
      </c>
      <c r="P19" s="61"/>
      <c r="Q19" s="60"/>
      <c r="R19" s="27"/>
      <c r="S19" s="60"/>
      <c r="T19" s="60"/>
      <c r="U19" s="60"/>
      <c r="V19" s="61"/>
      <c r="W19" s="27"/>
      <c r="X19" s="60"/>
      <c r="Y19" s="60"/>
      <c r="Z19" s="27"/>
      <c r="AA19" s="60"/>
      <c r="AB19" s="61">
        <f>'[5]16.3 - 16.3.1'!$I$72+SUM('[5]16.3 - 16.3.1'!$I$81:$I$83)</f>
        <v>725564.1267219116</v>
      </c>
    </row>
    <row r="20" spans="1:28" x14ac:dyDescent="0.2">
      <c r="A20" s="14" t="s">
        <v>17</v>
      </c>
      <c r="B20" s="26">
        <f t="shared" si="4"/>
        <v>0</v>
      </c>
      <c r="C20" s="27"/>
      <c r="D20" s="60"/>
      <c r="E20" s="60"/>
      <c r="F20" s="60"/>
      <c r="G20" s="27"/>
      <c r="H20" s="60"/>
      <c r="I20" s="60"/>
      <c r="J20" s="60"/>
      <c r="K20" s="60"/>
      <c r="L20" s="27"/>
      <c r="M20" s="60"/>
      <c r="N20" s="60"/>
      <c r="O20" s="60"/>
      <c r="P20" s="61"/>
      <c r="Q20" s="60"/>
      <c r="R20" s="27"/>
      <c r="S20" s="60"/>
      <c r="T20" s="60"/>
      <c r="U20" s="60"/>
      <c r="V20" s="61"/>
      <c r="W20" s="27"/>
      <c r="X20" s="60"/>
      <c r="Y20" s="60"/>
      <c r="Z20" s="27"/>
      <c r="AA20" s="60"/>
      <c r="AB20" s="61"/>
    </row>
    <row r="21" spans="1:28" x14ac:dyDescent="0.2">
      <c r="A21" s="14" t="s">
        <v>18</v>
      </c>
      <c r="B21" s="26">
        <f t="shared" si="4"/>
        <v>40112.442495542295</v>
      </c>
      <c r="C21" s="27"/>
      <c r="D21" s="60">
        <v>40112.442495542295</v>
      </c>
      <c r="E21" s="60"/>
      <c r="F21" s="60"/>
      <c r="G21" s="27"/>
      <c r="H21" s="60"/>
      <c r="I21" s="60"/>
      <c r="J21" s="60"/>
      <c r="K21" s="60"/>
      <c r="L21" s="27"/>
      <c r="M21" s="60"/>
      <c r="N21" s="60"/>
      <c r="O21" s="60"/>
      <c r="P21" s="61"/>
      <c r="Q21" s="60"/>
      <c r="R21" s="27"/>
      <c r="S21" s="60"/>
      <c r="T21" s="60"/>
      <c r="U21" s="60"/>
      <c r="V21" s="61"/>
      <c r="W21" s="27"/>
      <c r="X21" s="60"/>
      <c r="Y21" s="60"/>
      <c r="Z21" s="27"/>
      <c r="AA21" s="60"/>
      <c r="AB21" s="61"/>
    </row>
    <row r="22" spans="1:28" x14ac:dyDescent="0.2">
      <c r="A22" s="14" t="s">
        <v>19</v>
      </c>
      <c r="B22" s="26">
        <f t="shared" si="4"/>
        <v>-4829242.7220257642</v>
      </c>
      <c r="C22" s="27"/>
      <c r="D22" s="60">
        <v>66854.251388840203</v>
      </c>
      <c r="E22" s="60"/>
      <c r="F22" s="60">
        <f>'[2]13.4'!$I$23</f>
        <v>-6276297.1553711928</v>
      </c>
      <c r="G22" s="27"/>
      <c r="H22" s="60"/>
      <c r="I22" s="60"/>
      <c r="J22" s="60"/>
      <c r="K22" s="60"/>
      <c r="L22" s="27"/>
      <c r="M22" s="60"/>
      <c r="N22" s="60"/>
      <c r="O22" s="60"/>
      <c r="P22" s="61">
        <v>395579.72739742004</v>
      </c>
      <c r="Q22" s="60"/>
      <c r="R22" s="27"/>
      <c r="S22" s="60"/>
      <c r="T22" s="60"/>
      <c r="U22" s="60"/>
      <c r="V22" s="61"/>
      <c r="W22" s="27"/>
      <c r="X22" s="60"/>
      <c r="Y22" s="60"/>
      <c r="Z22" s="27"/>
      <c r="AA22" s="60"/>
      <c r="AB22" s="61">
        <f>SUM('[5]16.3 - 16.3.1'!$I$73:$I$74,'[5]16.3 - 16.3.1'!$I$79)</f>
        <v>984620.45455916785</v>
      </c>
    </row>
    <row r="23" spans="1:28" x14ac:dyDescent="0.2">
      <c r="A23" s="14" t="s">
        <v>20</v>
      </c>
      <c r="B23" s="26">
        <f t="shared" si="4"/>
        <v>2234473.3300518431</v>
      </c>
      <c r="C23" s="27"/>
      <c r="D23" s="60">
        <v>64804.884400769872</v>
      </c>
      <c r="E23" s="60"/>
      <c r="F23" s="60">
        <f>'[2]13.4'!$I$30</f>
        <v>2006362.6550529767</v>
      </c>
      <c r="G23" s="27"/>
      <c r="H23" s="60"/>
      <c r="I23" s="60"/>
      <c r="J23" s="60"/>
      <c r="K23" s="60"/>
      <c r="L23" s="27"/>
      <c r="M23" s="60"/>
      <c r="N23" s="60"/>
      <c r="O23" s="60"/>
      <c r="P23" s="61"/>
      <c r="Q23" s="60"/>
      <c r="R23" s="27"/>
      <c r="S23" s="60"/>
      <c r="T23" s="60"/>
      <c r="U23" s="60"/>
      <c r="V23" s="61"/>
      <c r="W23" s="27"/>
      <c r="X23" s="60"/>
      <c r="Y23" s="60"/>
      <c r="Z23" s="27"/>
      <c r="AA23" s="60"/>
      <c r="AB23" s="61">
        <f>'[5]16.3 - 16.3.1'!$I$80</f>
        <v>163305.79059809633</v>
      </c>
    </row>
    <row r="24" spans="1:28" x14ac:dyDescent="0.2">
      <c r="A24" s="14" t="s">
        <v>21</v>
      </c>
      <c r="B24" s="26">
        <f t="shared" si="4"/>
        <v>260910.7217698672</v>
      </c>
      <c r="C24" s="27"/>
      <c r="D24" s="60">
        <v>260910.7217698672</v>
      </c>
      <c r="E24" s="60"/>
      <c r="F24" s="60"/>
      <c r="G24" s="27"/>
      <c r="H24" s="60"/>
      <c r="I24" s="60"/>
      <c r="J24" s="60"/>
      <c r="K24" s="60"/>
      <c r="L24" s="27"/>
      <c r="M24" s="60"/>
      <c r="N24" s="60"/>
      <c r="O24" s="60"/>
      <c r="P24" s="61"/>
      <c r="Q24" s="60"/>
      <c r="R24" s="27"/>
      <c r="S24" s="60"/>
      <c r="T24" s="60"/>
      <c r="U24" s="60"/>
      <c r="V24" s="61"/>
      <c r="W24" s="27"/>
      <c r="X24" s="60"/>
      <c r="Y24" s="60"/>
      <c r="Z24" s="27"/>
      <c r="AA24" s="60"/>
      <c r="AB24" s="61"/>
    </row>
    <row r="25" spans="1:28" x14ac:dyDescent="0.2">
      <c r="A25" s="14" t="s">
        <v>22</v>
      </c>
      <c r="B25" s="26">
        <f t="shared" si="4"/>
        <v>55336.31702928173</v>
      </c>
      <c r="C25" s="27"/>
      <c r="D25" s="60">
        <v>55336.31702928173</v>
      </c>
      <c r="E25" s="60"/>
      <c r="F25" s="60"/>
      <c r="G25" s="27"/>
      <c r="H25" s="60"/>
      <c r="I25" s="60"/>
      <c r="J25" s="60"/>
      <c r="K25" s="60"/>
      <c r="L25" s="27"/>
      <c r="M25" s="60"/>
      <c r="N25" s="60"/>
      <c r="O25" s="60"/>
      <c r="P25" s="61"/>
      <c r="Q25" s="60"/>
      <c r="R25" s="27"/>
      <c r="S25" s="60"/>
      <c r="T25" s="60"/>
      <c r="U25" s="60"/>
      <c r="V25" s="61"/>
      <c r="W25" s="27"/>
      <c r="X25" s="60"/>
      <c r="Y25" s="60"/>
      <c r="Z25" s="27"/>
      <c r="AA25" s="60"/>
      <c r="AB25" s="61"/>
    </row>
    <row r="26" spans="1:28" x14ac:dyDescent="0.2">
      <c r="A26" s="14" t="s">
        <v>23</v>
      </c>
      <c r="B26" s="26">
        <f t="shared" si="4"/>
        <v>8332.1973895078172</v>
      </c>
      <c r="C26" s="27"/>
      <c r="D26" s="60">
        <v>8332.1973895078172</v>
      </c>
      <c r="E26" s="60"/>
      <c r="F26" s="60"/>
      <c r="G26" s="27"/>
      <c r="H26" s="60"/>
      <c r="I26" s="60"/>
      <c r="J26" s="60"/>
      <c r="K26" s="60"/>
      <c r="L26" s="27"/>
      <c r="M26" s="60"/>
      <c r="N26" s="60"/>
      <c r="O26" s="60"/>
      <c r="P26" s="61"/>
      <c r="Q26" s="60"/>
      <c r="R26" s="27"/>
      <c r="S26" s="60"/>
      <c r="T26" s="60"/>
      <c r="U26" s="60"/>
      <c r="V26" s="61"/>
      <c r="W26" s="27"/>
      <c r="X26" s="60"/>
      <c r="Y26" s="60"/>
      <c r="Z26" s="27"/>
      <c r="AA26" s="60"/>
      <c r="AB26" s="61"/>
    </row>
    <row r="27" spans="1:28" x14ac:dyDescent="0.2">
      <c r="A27" s="14" t="s">
        <v>24</v>
      </c>
      <c r="B27" s="26">
        <f t="shared" si="4"/>
        <v>0</v>
      </c>
      <c r="C27" s="27"/>
      <c r="D27" s="60"/>
      <c r="E27" s="60"/>
      <c r="F27" s="60"/>
      <c r="G27" s="27"/>
      <c r="H27" s="60"/>
      <c r="I27" s="60"/>
      <c r="J27" s="60"/>
      <c r="K27" s="60"/>
      <c r="L27" s="27"/>
      <c r="M27" s="60"/>
      <c r="N27" s="60"/>
      <c r="O27" s="60"/>
      <c r="P27" s="61"/>
      <c r="Q27" s="60"/>
      <c r="R27" s="27"/>
      <c r="S27" s="60"/>
      <c r="T27" s="60"/>
      <c r="U27" s="60"/>
      <c r="V27" s="61"/>
      <c r="W27" s="27"/>
      <c r="X27" s="60"/>
      <c r="Y27" s="60"/>
      <c r="Z27" s="27"/>
      <c r="AA27" s="60"/>
      <c r="AB27" s="61"/>
    </row>
    <row r="28" spans="1:28" x14ac:dyDescent="0.2">
      <c r="A28" s="14" t="s">
        <v>25</v>
      </c>
      <c r="B28" s="26">
        <f t="shared" si="4"/>
        <v>78466.445295342171</v>
      </c>
      <c r="C28" s="28"/>
      <c r="D28" s="63">
        <v>48656.126541016369</v>
      </c>
      <c r="E28" s="63"/>
      <c r="F28" s="63"/>
      <c r="G28" s="28"/>
      <c r="H28" s="63"/>
      <c r="I28" s="63"/>
      <c r="J28" s="63"/>
      <c r="K28" s="63"/>
      <c r="L28" s="28"/>
      <c r="M28" s="63"/>
      <c r="N28" s="63">
        <v>29810.318754325799</v>
      </c>
      <c r="O28" s="63"/>
      <c r="P28" s="65"/>
      <c r="Q28" s="63"/>
      <c r="R28" s="28"/>
      <c r="S28" s="63"/>
      <c r="T28" s="63"/>
      <c r="U28" s="63"/>
      <c r="V28" s="65"/>
      <c r="W28" s="28"/>
      <c r="X28" s="63"/>
      <c r="Y28" s="63"/>
      <c r="Z28" s="28"/>
      <c r="AA28" s="63"/>
      <c r="AB28" s="65"/>
    </row>
    <row r="29" spans="1:28" s="195" customFormat="1" x14ac:dyDescent="0.2">
      <c r="A29" s="190" t="s">
        <v>26</v>
      </c>
      <c r="B29" s="196">
        <f t="shared" si="4"/>
        <v>-10028428.317347217</v>
      </c>
      <c r="C29" s="197">
        <f t="shared" ref="C29:J29" si="5">SUM(C19:C28)</f>
        <v>0</v>
      </c>
      <c r="D29" s="194">
        <f t="shared" si="5"/>
        <v>657128.6115679075</v>
      </c>
      <c r="E29" s="194">
        <f t="shared" si="5"/>
        <v>0</v>
      </c>
      <c r="F29" s="194">
        <f t="shared" si="5"/>
        <v>-13740740.300743824</v>
      </c>
      <c r="G29" s="197">
        <f t="shared" si="5"/>
        <v>0</v>
      </c>
      <c r="H29" s="194">
        <f t="shared" si="5"/>
        <v>0</v>
      </c>
      <c r="I29" s="194">
        <f t="shared" si="5"/>
        <v>0</v>
      </c>
      <c r="J29" s="194">
        <f t="shared" si="5"/>
        <v>0</v>
      </c>
      <c r="K29" s="194">
        <f t="shared" ref="K29:L29" si="6">SUM(K19:K28)</f>
        <v>0</v>
      </c>
      <c r="L29" s="197">
        <f t="shared" si="6"/>
        <v>-3444.1006326457582</v>
      </c>
      <c r="M29" s="194">
        <f>SUM(M19:M28)</f>
        <v>0</v>
      </c>
      <c r="N29" s="194">
        <f>SUM(N19:N28)</f>
        <v>29810.318754325799</v>
      </c>
      <c r="O29" s="194">
        <f>SUM(O19:O28)</f>
        <v>759747.05443042365</v>
      </c>
      <c r="P29" s="198">
        <f t="shared" ref="P29:T29" si="7">SUM(P19:P28)</f>
        <v>395579.72739742004</v>
      </c>
      <c r="Q29" s="194">
        <f t="shared" si="7"/>
        <v>0</v>
      </c>
      <c r="R29" s="197">
        <f t="shared" si="7"/>
        <v>0</v>
      </c>
      <c r="S29" s="194">
        <f t="shared" si="7"/>
        <v>0</v>
      </c>
      <c r="T29" s="194">
        <f t="shared" si="7"/>
        <v>0</v>
      </c>
      <c r="U29" s="194">
        <f t="shared" ref="U29:Y29" si="8">SUM(U19:U28)</f>
        <v>0</v>
      </c>
      <c r="V29" s="198">
        <f t="shared" si="8"/>
        <v>0</v>
      </c>
      <c r="W29" s="197">
        <f t="shared" si="8"/>
        <v>0</v>
      </c>
      <c r="X29" s="194">
        <f t="shared" si="8"/>
        <v>0</v>
      </c>
      <c r="Y29" s="194">
        <f t="shared" si="8"/>
        <v>0</v>
      </c>
      <c r="Z29" s="197">
        <f t="shared" ref="Z29:AB29" si="9">SUM(Z19:Z28)</f>
        <v>0</v>
      </c>
      <c r="AA29" s="194">
        <f t="shared" si="9"/>
        <v>0</v>
      </c>
      <c r="AB29" s="198">
        <f t="shared" si="9"/>
        <v>1873490.3718791758</v>
      </c>
    </row>
    <row r="30" spans="1:28" x14ac:dyDescent="0.2">
      <c r="A30" s="14" t="s">
        <v>27</v>
      </c>
      <c r="B30" s="26">
        <f t="shared" si="4"/>
        <v>6678098.1691424558</v>
      </c>
      <c r="C30" s="27"/>
      <c r="D30" s="60"/>
      <c r="E30" s="60"/>
      <c r="F30" s="60"/>
      <c r="G30" s="27"/>
      <c r="H30" s="60">
        <v>1381110.2062924115</v>
      </c>
      <c r="I30" s="60"/>
      <c r="J30" s="60"/>
      <c r="K30" s="60"/>
      <c r="L30" s="27"/>
      <c r="M30" s="60">
        <v>0</v>
      </c>
      <c r="N30" s="60"/>
      <c r="O30" s="60">
        <v>31844.673153421252</v>
      </c>
      <c r="P30" s="61">
        <v>2384687.5259876549</v>
      </c>
      <c r="Q30" s="60">
        <v>2800120.4478450012</v>
      </c>
      <c r="R30" s="27"/>
      <c r="S30" s="60"/>
      <c r="T30" s="60"/>
      <c r="U30" s="60"/>
      <c r="V30" s="61"/>
      <c r="W30" s="27"/>
      <c r="X30" s="60"/>
      <c r="Y30" s="60"/>
      <c r="Z30" s="27"/>
      <c r="AA30" s="60"/>
      <c r="AB30" s="61">
        <f>'[5]16.3 - 16.3.1'!$I$38</f>
        <v>80335.315863966956</v>
      </c>
    </row>
    <row r="31" spans="1:28" x14ac:dyDescent="0.2">
      <c r="A31" s="14" t="s">
        <v>28</v>
      </c>
      <c r="B31" s="26">
        <f t="shared" si="4"/>
        <v>-7031720.4805582631</v>
      </c>
      <c r="C31" s="27"/>
      <c r="D31" s="60"/>
      <c r="E31" s="60"/>
      <c r="F31" s="60"/>
      <c r="G31" s="27"/>
      <c r="H31" s="60">
        <v>356443.39450063306</v>
      </c>
      <c r="I31" s="60"/>
      <c r="J31" s="60"/>
      <c r="K31" s="60"/>
      <c r="L31" s="27"/>
      <c r="M31" s="60"/>
      <c r="N31" s="60"/>
      <c r="O31" s="60"/>
      <c r="P31" s="61"/>
      <c r="Q31" s="60"/>
      <c r="R31" s="27"/>
      <c r="S31" s="60"/>
      <c r="T31" s="60"/>
      <c r="U31" s="60"/>
      <c r="V31" s="61"/>
      <c r="W31" s="27"/>
      <c r="X31" s="60"/>
      <c r="Y31" s="60"/>
      <c r="Z31" s="27">
        <v>-7388163.8750588959</v>
      </c>
      <c r="AA31" s="60"/>
      <c r="AB31" s="61"/>
    </row>
    <row r="32" spans="1:28" x14ac:dyDescent="0.2">
      <c r="A32" s="14" t="s">
        <v>29</v>
      </c>
      <c r="B32" s="26">
        <f t="shared" si="4"/>
        <v>1826685.4479964175</v>
      </c>
      <c r="C32" s="27"/>
      <c r="D32" s="60"/>
      <c r="E32" s="60"/>
      <c r="F32" s="60"/>
      <c r="G32" s="27"/>
      <c r="H32" s="60"/>
      <c r="I32" s="60"/>
      <c r="J32" s="60"/>
      <c r="K32" s="60"/>
      <c r="L32" s="27"/>
      <c r="M32" s="60"/>
      <c r="N32" s="60"/>
      <c r="O32" s="60"/>
      <c r="P32" s="61"/>
      <c r="Q32" s="60"/>
      <c r="R32" s="27"/>
      <c r="S32" s="60">
        <v>1882727</v>
      </c>
      <c r="T32" s="60"/>
      <c r="U32" s="60"/>
      <c r="V32" s="61"/>
      <c r="W32" s="27"/>
      <c r="X32" s="60"/>
      <c r="Y32" s="60">
        <f>'[4]15.8'!$I$10</f>
        <v>-57460.12325825532</v>
      </c>
      <c r="Z32" s="27"/>
      <c r="AA32" s="60"/>
      <c r="AB32" s="61">
        <f>'[5]16.3 - 16.3.1'!$I$93</f>
        <v>1418.5712546730356</v>
      </c>
    </row>
    <row r="33" spans="1:28" s="195" customFormat="1" x14ac:dyDescent="0.2">
      <c r="A33" s="190" t="s">
        <v>30</v>
      </c>
      <c r="B33" s="199">
        <f t="shared" si="4"/>
        <v>-3227295.6723821219</v>
      </c>
      <c r="C33" s="200">
        <f>C87</f>
        <v>483297.15244031587</v>
      </c>
      <c r="D33" s="201">
        <f t="shared" ref="D33:U33" si="10">D87</f>
        <v>-137997.00842926058</v>
      </c>
      <c r="E33" s="201">
        <f t="shared" ref="E33:F33" si="11">E87</f>
        <v>-43012.556484670458</v>
      </c>
      <c r="F33" s="201">
        <f t="shared" si="11"/>
        <v>1186487.2921974647</v>
      </c>
      <c r="G33" s="200">
        <f t="shared" si="10"/>
        <v>693624.07302685245</v>
      </c>
      <c r="H33" s="201">
        <f t="shared" si="10"/>
        <v>-364886.25616653933</v>
      </c>
      <c r="I33" s="201">
        <f t="shared" si="10"/>
        <v>0</v>
      </c>
      <c r="J33" s="201">
        <f t="shared" si="10"/>
        <v>0</v>
      </c>
      <c r="K33" s="201">
        <f t="shared" ref="K33:L33" si="12">K87</f>
        <v>0</v>
      </c>
      <c r="L33" s="200">
        <f t="shared" si="12"/>
        <v>723.26113285560916</v>
      </c>
      <c r="M33" s="201">
        <f t="shared" si="10"/>
        <v>0</v>
      </c>
      <c r="N33" s="201">
        <f t="shared" si="10"/>
        <v>-6260.166938408418</v>
      </c>
      <c r="O33" s="201">
        <f t="shared" si="10"/>
        <v>-243184.48047226336</v>
      </c>
      <c r="P33" s="202">
        <f t="shared" si="10"/>
        <v>-583856.12321086565</v>
      </c>
      <c r="Q33" s="201">
        <f t="shared" ref="Q33" si="13">Q87</f>
        <v>-588025.29404745018</v>
      </c>
      <c r="R33" s="200">
        <f t="shared" si="10"/>
        <v>-1161140.8003516202</v>
      </c>
      <c r="S33" s="201">
        <f t="shared" si="10"/>
        <v>-395372.67</v>
      </c>
      <c r="T33" s="201">
        <f t="shared" si="10"/>
        <v>0</v>
      </c>
      <c r="U33" s="201">
        <f t="shared" si="10"/>
        <v>-1442782.3312609093</v>
      </c>
      <c r="V33" s="202">
        <f t="shared" ref="V33" si="14">V87</f>
        <v>0</v>
      </c>
      <c r="W33" s="200">
        <f t="shared" ref="W33:Z33" si="15">W87</f>
        <v>0</v>
      </c>
      <c r="X33" s="201">
        <f t="shared" ref="X33:Y33" si="16">X87</f>
        <v>-1688663.3462348077</v>
      </c>
      <c r="Y33" s="201">
        <f t="shared" si="16"/>
        <v>12066.625884233617</v>
      </c>
      <c r="Z33" s="200">
        <f t="shared" si="15"/>
        <v>1551514.413762368</v>
      </c>
      <c r="AA33" s="201">
        <f t="shared" ref="AA33:AB33" si="17">AA87</f>
        <v>0</v>
      </c>
      <c r="AB33" s="202">
        <f t="shared" si="17"/>
        <v>-499827.45722941798</v>
      </c>
    </row>
    <row r="34" spans="1:28" x14ac:dyDescent="0.2">
      <c r="A34" s="14" t="s">
        <v>31</v>
      </c>
      <c r="B34" s="26">
        <f t="shared" si="4"/>
        <v>0</v>
      </c>
      <c r="C34" s="26">
        <v>0</v>
      </c>
      <c r="D34" s="58">
        <v>0</v>
      </c>
      <c r="E34" s="58">
        <v>0</v>
      </c>
      <c r="F34" s="58">
        <v>0</v>
      </c>
      <c r="G34" s="26">
        <v>0</v>
      </c>
      <c r="H34" s="58">
        <v>0</v>
      </c>
      <c r="I34" s="58">
        <v>0</v>
      </c>
      <c r="J34" s="58">
        <v>0</v>
      </c>
      <c r="K34" s="58">
        <v>0</v>
      </c>
      <c r="L34" s="26">
        <v>0</v>
      </c>
      <c r="M34" s="58">
        <v>0</v>
      </c>
      <c r="N34" s="58"/>
      <c r="O34" s="58">
        <v>0</v>
      </c>
      <c r="P34" s="59">
        <v>0</v>
      </c>
      <c r="Q34" s="58">
        <v>0</v>
      </c>
      <c r="R34" s="26">
        <v>0</v>
      </c>
      <c r="S34" s="58">
        <v>0</v>
      </c>
      <c r="T34" s="58">
        <v>0</v>
      </c>
      <c r="U34" s="58">
        <v>0</v>
      </c>
      <c r="V34" s="59">
        <v>0</v>
      </c>
      <c r="W34" s="26">
        <v>0</v>
      </c>
      <c r="X34" s="58">
        <v>0</v>
      </c>
      <c r="Y34" s="58">
        <v>0</v>
      </c>
      <c r="Z34" s="26">
        <v>0</v>
      </c>
      <c r="AA34" s="58">
        <v>0</v>
      </c>
      <c r="AB34" s="59">
        <v>0</v>
      </c>
    </row>
    <row r="35" spans="1:28" x14ac:dyDescent="0.2">
      <c r="A35" s="14" t="s">
        <v>32</v>
      </c>
      <c r="B35" s="26">
        <f t="shared" si="4"/>
        <v>1383856.8614824784</v>
      </c>
      <c r="C35" s="27"/>
      <c r="D35" s="60"/>
      <c r="E35" s="60"/>
      <c r="F35" s="60"/>
      <c r="G35" s="27">
        <v>-812087.18510290841</v>
      </c>
      <c r="H35" s="60"/>
      <c r="I35" s="60"/>
      <c r="J35" s="60"/>
      <c r="K35" s="60"/>
      <c r="L35" s="27">
        <v>221.58239999868238</v>
      </c>
      <c r="M35" s="60">
        <v>0</v>
      </c>
      <c r="N35" s="60"/>
      <c r="O35" s="60">
        <v>90092.525561834074</v>
      </c>
      <c r="P35" s="61"/>
      <c r="Q35" s="60"/>
      <c r="R35" s="27"/>
      <c r="S35" s="60"/>
      <c r="T35" s="60"/>
      <c r="U35" s="60">
        <f>SUM('[1]15.4_R'!$I$33:$I$44,'[1]15.4.1_R'!$I$18:$I$20,'[1]15.4.1_R'!$I$22:$I$24,'[1]15.4.1_R'!$I$32:$I$33)</f>
        <v>2341979.5128879109</v>
      </c>
      <c r="V35" s="61"/>
      <c r="W35" s="27">
        <f>-SUM(C35:V35,X35:AA35)*Variables!$F$41</f>
        <v>-236349.57426435687</v>
      </c>
      <c r="X35" s="60"/>
      <c r="Y35" s="60"/>
      <c r="Z35" s="27"/>
      <c r="AA35" s="60"/>
      <c r="AB35" s="61"/>
    </row>
    <row r="36" spans="1:28" x14ac:dyDescent="0.2">
      <c r="A36" s="14" t="s">
        <v>33</v>
      </c>
      <c r="B36" s="26">
        <f t="shared" si="4"/>
        <v>0</v>
      </c>
      <c r="C36" s="27"/>
      <c r="D36" s="60"/>
      <c r="E36" s="60"/>
      <c r="F36" s="60"/>
      <c r="G36" s="27"/>
      <c r="H36" s="60"/>
      <c r="I36" s="60"/>
      <c r="J36" s="60"/>
      <c r="K36" s="60"/>
      <c r="L36" s="27"/>
      <c r="M36" s="60"/>
      <c r="N36" s="60"/>
      <c r="O36" s="60"/>
      <c r="P36" s="61"/>
      <c r="Q36" s="60"/>
      <c r="R36" s="27"/>
      <c r="S36" s="60"/>
      <c r="T36" s="60"/>
      <c r="U36" s="60"/>
      <c r="V36" s="61"/>
      <c r="W36" s="27"/>
      <c r="X36" s="60"/>
      <c r="Y36" s="60"/>
      <c r="Z36" s="27"/>
      <c r="AA36" s="60"/>
      <c r="AB36" s="61"/>
    </row>
    <row r="37" spans="1:28" x14ac:dyDescent="0.2">
      <c r="A37" s="14" t="s">
        <v>34</v>
      </c>
      <c r="B37" s="26">
        <f t="shared" si="4"/>
        <v>0</v>
      </c>
      <c r="C37" s="27"/>
      <c r="D37" s="60"/>
      <c r="E37" s="60"/>
      <c r="F37" s="60"/>
      <c r="G37" s="27"/>
      <c r="H37" s="60"/>
      <c r="I37" s="60"/>
      <c r="J37" s="60"/>
      <c r="K37" s="60"/>
      <c r="L37" s="27"/>
      <c r="M37" s="60"/>
      <c r="N37" s="60"/>
      <c r="O37" s="60"/>
      <c r="P37" s="61"/>
      <c r="Q37" s="60"/>
      <c r="R37" s="27"/>
      <c r="S37" s="60"/>
      <c r="T37" s="60"/>
      <c r="U37" s="60"/>
      <c r="V37" s="61"/>
      <c r="W37" s="27"/>
      <c r="X37" s="60"/>
      <c r="Y37" s="60"/>
      <c r="Z37" s="27"/>
      <c r="AA37" s="60"/>
      <c r="AB37" s="61"/>
    </row>
    <row r="38" spans="1:28" s="195" customFormat="1" x14ac:dyDescent="0.2">
      <c r="A38" s="190" t="s">
        <v>35</v>
      </c>
      <c r="B38" s="191">
        <f t="shared" si="4"/>
        <v>-10398803.991666252</v>
      </c>
      <c r="C38" s="191">
        <f>SUM(C29:C37)</f>
        <v>483297.15244031587</v>
      </c>
      <c r="D38" s="192">
        <f t="shared" ref="D38:O38" si="18">SUM(D29:D37)</f>
        <v>519131.60313864693</v>
      </c>
      <c r="E38" s="192">
        <f t="shared" si="18"/>
        <v>-43012.556484670458</v>
      </c>
      <c r="F38" s="192">
        <f t="shared" ref="F38" si="19">SUM(F29:F37)</f>
        <v>-12554253.00854636</v>
      </c>
      <c r="G38" s="191">
        <f t="shared" si="18"/>
        <v>-118463.11207605596</v>
      </c>
      <c r="H38" s="192">
        <f t="shared" si="18"/>
        <v>1372667.3446265052</v>
      </c>
      <c r="I38" s="192">
        <f t="shared" si="18"/>
        <v>0</v>
      </c>
      <c r="J38" s="192">
        <f t="shared" si="18"/>
        <v>0</v>
      </c>
      <c r="K38" s="192">
        <f t="shared" ref="K38:L38" si="20">SUM(K29:K37)</f>
        <v>0</v>
      </c>
      <c r="L38" s="191">
        <f t="shared" si="20"/>
        <v>-2499.2570997914668</v>
      </c>
      <c r="M38" s="192">
        <f t="shared" si="18"/>
        <v>0</v>
      </c>
      <c r="N38" s="192">
        <f t="shared" si="18"/>
        <v>23550.151815917379</v>
      </c>
      <c r="O38" s="192">
        <f t="shared" si="18"/>
        <v>638499.7726734156</v>
      </c>
      <c r="P38" s="193">
        <f t="shared" ref="P38:T38" si="21">SUM(P29:P37)</f>
        <v>2196411.1301742094</v>
      </c>
      <c r="Q38" s="192">
        <f t="shared" ref="Q38" si="22">SUM(Q29:Q37)</f>
        <v>2212095.1537975511</v>
      </c>
      <c r="R38" s="191">
        <f t="shared" si="21"/>
        <v>-1161140.8003516202</v>
      </c>
      <c r="S38" s="192">
        <f t="shared" si="21"/>
        <v>1487354.33</v>
      </c>
      <c r="T38" s="192">
        <f t="shared" si="21"/>
        <v>0</v>
      </c>
      <c r="U38" s="192">
        <f t="shared" ref="U38:W38" si="23">SUM(U29:U37)</f>
        <v>899197.18162700161</v>
      </c>
      <c r="V38" s="193">
        <f t="shared" si="23"/>
        <v>0</v>
      </c>
      <c r="W38" s="191">
        <f t="shared" si="23"/>
        <v>-236349.57426435687</v>
      </c>
      <c r="X38" s="192">
        <f t="shared" ref="X38:Y38" si="24">SUM(X29:X37)</f>
        <v>-1688663.3462348077</v>
      </c>
      <c r="Y38" s="192">
        <f t="shared" si="24"/>
        <v>-45393.497374021703</v>
      </c>
      <c r="Z38" s="191">
        <f t="shared" ref="Z38:AA38" si="25">SUM(Z29:Z37)</f>
        <v>-5836649.4612965276</v>
      </c>
      <c r="AA38" s="192">
        <f t="shared" si="25"/>
        <v>0</v>
      </c>
      <c r="AB38" s="193">
        <f t="shared" ref="AB38" si="26">SUM(AB29:AB37)</f>
        <v>1455416.8017683977</v>
      </c>
    </row>
    <row r="39" spans="1:28" x14ac:dyDescent="0.2">
      <c r="A39" s="14"/>
      <c r="B39" s="25">
        <f t="shared" si="4"/>
        <v>0</v>
      </c>
      <c r="C39" s="25"/>
      <c r="D39" s="12"/>
      <c r="E39" s="12"/>
      <c r="F39" s="12"/>
      <c r="G39" s="25"/>
      <c r="H39" s="12"/>
      <c r="I39" s="12"/>
      <c r="J39" s="12"/>
      <c r="K39" s="12"/>
      <c r="L39" s="25"/>
      <c r="M39" s="12"/>
      <c r="N39" s="12"/>
      <c r="O39" s="12"/>
      <c r="P39" s="57"/>
      <c r="Q39" s="12"/>
      <c r="R39" s="25"/>
      <c r="S39" s="12"/>
      <c r="T39" s="12"/>
      <c r="U39" s="12"/>
      <c r="V39" s="57"/>
      <c r="W39" s="25"/>
      <c r="X39" s="12"/>
      <c r="Y39" s="12"/>
      <c r="Z39" s="25"/>
      <c r="AA39" s="12"/>
      <c r="AB39" s="57"/>
    </row>
    <row r="40" spans="1:28" s="195" customFormat="1" ht="13.5" thickBot="1" x14ac:dyDescent="0.25">
      <c r="A40" s="190" t="s">
        <v>36</v>
      </c>
      <c r="B40" s="203">
        <f t="shared" si="4"/>
        <v>4440247.2356966455</v>
      </c>
      <c r="C40" s="203">
        <f t="shared" ref="C40:O40" si="27">C16-C38</f>
        <v>1818117.859180236</v>
      </c>
      <c r="D40" s="204">
        <f t="shared" si="27"/>
        <v>-519131.60313864693</v>
      </c>
      <c r="E40" s="204">
        <f t="shared" si="27"/>
        <v>-161809.14106137934</v>
      </c>
      <c r="F40" s="204">
        <f t="shared" ref="F40" si="28">F16-F38</f>
        <v>4463452.1944571305</v>
      </c>
      <c r="G40" s="203">
        <f t="shared" si="27"/>
        <v>118463.11207605596</v>
      </c>
      <c r="H40" s="204">
        <f t="shared" si="27"/>
        <v>-1372667.3446265052</v>
      </c>
      <c r="I40" s="204">
        <f t="shared" si="27"/>
        <v>0</v>
      </c>
      <c r="J40" s="204">
        <f t="shared" si="27"/>
        <v>0</v>
      </c>
      <c r="K40" s="204">
        <f t="shared" ref="K40:L40" si="29">K16-K38</f>
        <v>0</v>
      </c>
      <c r="L40" s="203">
        <f t="shared" si="29"/>
        <v>2499.2570997914668</v>
      </c>
      <c r="M40" s="204">
        <f t="shared" si="27"/>
        <v>0</v>
      </c>
      <c r="N40" s="204">
        <f t="shared" si="27"/>
        <v>-23550.151815917379</v>
      </c>
      <c r="O40" s="204">
        <f t="shared" si="27"/>
        <v>-638499.7726734156</v>
      </c>
      <c r="P40" s="205">
        <f t="shared" ref="P40:T40" si="30">P16-P38</f>
        <v>-2196411.1301742094</v>
      </c>
      <c r="Q40" s="204">
        <f t="shared" ref="Q40" si="31">Q16-Q38</f>
        <v>-2212095.1537975511</v>
      </c>
      <c r="R40" s="203">
        <f t="shared" si="30"/>
        <v>1161140.8003516202</v>
      </c>
      <c r="S40" s="204">
        <f t="shared" si="30"/>
        <v>-1487354.33</v>
      </c>
      <c r="T40" s="204">
        <f t="shared" si="30"/>
        <v>0</v>
      </c>
      <c r="U40" s="204">
        <f t="shared" ref="U40:W40" si="32">U16-U38</f>
        <v>-899197.18162700161</v>
      </c>
      <c r="V40" s="205">
        <f t="shared" si="32"/>
        <v>0</v>
      </c>
      <c r="W40" s="203">
        <f t="shared" si="32"/>
        <v>236349.57426435687</v>
      </c>
      <c r="X40" s="204">
        <f t="shared" ref="X40:Y40" si="33">X16-X38</f>
        <v>1688663.3462348077</v>
      </c>
      <c r="Y40" s="204">
        <f t="shared" si="33"/>
        <v>45393.497374021703</v>
      </c>
      <c r="Z40" s="203">
        <f t="shared" ref="Z40:AA40" si="34">Z16-Z38</f>
        <v>5836649.4612965276</v>
      </c>
      <c r="AA40" s="204">
        <f t="shared" si="34"/>
        <v>0</v>
      </c>
      <c r="AB40" s="205">
        <f t="shared" ref="AB40" si="35">AB16-AB38</f>
        <v>-1419766.0577232768</v>
      </c>
    </row>
    <row r="41" spans="1:28" ht="13.5" thickTop="1" x14ac:dyDescent="0.2">
      <c r="A41" s="14"/>
      <c r="B41" s="25"/>
      <c r="C41" s="25"/>
      <c r="D41" s="12"/>
      <c r="E41" s="12"/>
      <c r="F41" s="12"/>
      <c r="G41" s="25"/>
      <c r="H41" s="12"/>
      <c r="I41" s="12"/>
      <c r="J41" s="12"/>
      <c r="K41" s="12"/>
      <c r="L41" s="25"/>
      <c r="M41" s="12"/>
      <c r="N41" s="12"/>
      <c r="O41" s="12"/>
      <c r="P41" s="57"/>
      <c r="Q41" s="12"/>
      <c r="R41" s="25"/>
      <c r="S41" s="12"/>
      <c r="T41" s="12"/>
      <c r="U41" s="12"/>
      <c r="V41" s="57"/>
      <c r="W41" s="25"/>
      <c r="X41" s="12"/>
      <c r="Y41" s="12"/>
      <c r="Z41" s="25"/>
      <c r="AA41" s="12"/>
      <c r="AB41" s="57"/>
    </row>
    <row r="42" spans="1:28" x14ac:dyDescent="0.2">
      <c r="A42" s="14" t="s">
        <v>37</v>
      </c>
      <c r="B42" s="25"/>
      <c r="C42" s="25"/>
      <c r="D42" s="12"/>
      <c r="E42" s="12"/>
      <c r="F42" s="12"/>
      <c r="G42" s="25"/>
      <c r="H42" s="12"/>
      <c r="I42" s="12"/>
      <c r="J42" s="12"/>
      <c r="K42" s="12"/>
      <c r="L42" s="25"/>
      <c r="M42" s="12"/>
      <c r="N42" s="12"/>
      <c r="O42" s="12"/>
      <c r="P42" s="57"/>
      <c r="Q42" s="12"/>
      <c r="R42" s="25"/>
      <c r="S42" s="12"/>
      <c r="T42" s="12"/>
      <c r="U42" s="12"/>
      <c r="V42" s="57"/>
      <c r="W42" s="25"/>
      <c r="X42" s="12"/>
      <c r="Y42" s="12"/>
      <c r="Z42" s="25"/>
      <c r="AA42" s="12"/>
      <c r="AB42" s="57"/>
    </row>
    <row r="43" spans="1:28" x14ac:dyDescent="0.2">
      <c r="A43" s="14" t="s">
        <v>38</v>
      </c>
      <c r="B43" s="26">
        <f t="shared" ref="B43:B54" si="36">SUM(C43:AB43)</f>
        <v>288686538.99974352</v>
      </c>
      <c r="C43" s="27"/>
      <c r="D43" s="60"/>
      <c r="E43" s="60"/>
      <c r="F43" s="60"/>
      <c r="G43" s="27">
        <v>63809128.474702299</v>
      </c>
      <c r="H43" s="60"/>
      <c r="I43" s="60"/>
      <c r="J43" s="60"/>
      <c r="K43" s="60">
        <f>1155586.26342488*0</f>
        <v>0</v>
      </c>
      <c r="L43" s="27"/>
      <c r="M43" s="60">
        <v>0</v>
      </c>
      <c r="N43" s="60"/>
      <c r="O43" s="60">
        <v>3543138.1972157001</v>
      </c>
      <c r="P43" s="61">
        <v>56661694.029025115</v>
      </c>
      <c r="Q43" s="60">
        <v>163378210.29829377</v>
      </c>
      <c r="R43" s="27"/>
      <c r="S43" s="60"/>
      <c r="T43" s="60"/>
      <c r="U43" s="60"/>
      <c r="V43" s="61"/>
      <c r="W43" s="27"/>
      <c r="X43" s="60"/>
      <c r="Y43" s="60"/>
      <c r="Z43" s="27"/>
      <c r="AA43" s="60"/>
      <c r="AB43" s="61">
        <f>'[5]16.3 - 16.3.1'!$I$17</f>
        <v>1294368.0005066101</v>
      </c>
    </row>
    <row r="44" spans="1:28" x14ac:dyDescent="0.2">
      <c r="A44" s="14" t="s">
        <v>39</v>
      </c>
      <c r="B44" s="26">
        <f t="shared" si="36"/>
        <v>0</v>
      </c>
      <c r="C44" s="27"/>
      <c r="D44" s="60"/>
      <c r="E44" s="60"/>
      <c r="F44" s="60"/>
      <c r="G44" s="27"/>
      <c r="H44" s="60"/>
      <c r="I44" s="60"/>
      <c r="J44" s="60"/>
      <c r="K44" s="60"/>
      <c r="L44" s="27"/>
      <c r="M44" s="60"/>
      <c r="N44" s="60"/>
      <c r="O44" s="60"/>
      <c r="P44" s="61"/>
      <c r="Q44" s="60"/>
      <c r="R44" s="27"/>
      <c r="S44" s="60"/>
      <c r="T44" s="60"/>
      <c r="U44" s="60"/>
      <c r="V44" s="61"/>
      <c r="W44" s="27"/>
      <c r="X44" s="60"/>
      <c r="Y44" s="60"/>
      <c r="Z44" s="27"/>
      <c r="AA44" s="60"/>
      <c r="AB44" s="61"/>
    </row>
    <row r="45" spans="1:28" x14ac:dyDescent="0.2">
      <c r="A45" s="14" t="s">
        <v>40</v>
      </c>
      <c r="B45" s="26">
        <f t="shared" si="36"/>
        <v>-205648.56505143753</v>
      </c>
      <c r="C45" s="27"/>
      <c r="D45" s="60"/>
      <c r="E45" s="60"/>
      <c r="F45" s="60"/>
      <c r="G45" s="27"/>
      <c r="H45" s="60"/>
      <c r="I45" s="60"/>
      <c r="J45" s="60"/>
      <c r="K45" s="60"/>
      <c r="L45" s="27"/>
      <c r="M45" s="60"/>
      <c r="N45" s="60"/>
      <c r="O45" s="60"/>
      <c r="P45" s="61"/>
      <c r="Q45" s="60"/>
      <c r="R45" s="27"/>
      <c r="S45" s="60"/>
      <c r="T45" s="60"/>
      <c r="U45" s="60"/>
      <c r="V45" s="61"/>
      <c r="W45" s="27"/>
      <c r="X45" s="60"/>
      <c r="Y45" s="60"/>
      <c r="Z45" s="27">
        <v>-129451.83499999998</v>
      </c>
      <c r="AA45" s="60">
        <v>-76196.730051437567</v>
      </c>
      <c r="AB45" s="61"/>
    </row>
    <row r="46" spans="1:28" x14ac:dyDescent="0.2">
      <c r="A46" s="14" t="s">
        <v>41</v>
      </c>
      <c r="B46" s="26">
        <f t="shared" si="36"/>
        <v>0</v>
      </c>
      <c r="C46" s="27"/>
      <c r="D46" s="60"/>
      <c r="E46" s="60"/>
      <c r="F46" s="60"/>
      <c r="G46" s="27"/>
      <c r="H46" s="60"/>
      <c r="I46" s="60"/>
      <c r="J46" s="60"/>
      <c r="K46" s="60"/>
      <c r="L46" s="27"/>
      <c r="M46" s="60"/>
      <c r="N46" s="60"/>
      <c r="O46" s="60"/>
      <c r="P46" s="61"/>
      <c r="Q46" s="60"/>
      <c r="R46" s="27"/>
      <c r="S46" s="60"/>
      <c r="T46" s="60"/>
      <c r="U46" s="60"/>
      <c r="V46" s="61"/>
      <c r="W46" s="27"/>
      <c r="X46" s="60"/>
      <c r="Y46" s="60"/>
      <c r="Z46" s="27"/>
      <c r="AA46" s="60"/>
      <c r="AB46" s="61"/>
    </row>
    <row r="47" spans="1:28" x14ac:dyDescent="0.2">
      <c r="A47" s="14" t="s">
        <v>42</v>
      </c>
      <c r="B47" s="26">
        <f t="shared" si="36"/>
        <v>0</v>
      </c>
      <c r="C47" s="27"/>
      <c r="D47" s="60"/>
      <c r="E47" s="60"/>
      <c r="F47" s="60"/>
      <c r="G47" s="27"/>
      <c r="H47" s="60"/>
      <c r="I47" s="60"/>
      <c r="J47" s="60"/>
      <c r="K47" s="60"/>
      <c r="L47" s="27"/>
      <c r="M47" s="60"/>
      <c r="N47" s="60"/>
      <c r="O47" s="60"/>
      <c r="P47" s="61"/>
      <c r="Q47" s="60"/>
      <c r="R47" s="27"/>
      <c r="S47" s="60"/>
      <c r="T47" s="60"/>
      <c r="U47" s="60"/>
      <c r="V47" s="61"/>
      <c r="W47" s="27"/>
      <c r="X47" s="60"/>
      <c r="Y47" s="60"/>
      <c r="Z47" s="27"/>
      <c r="AA47" s="60"/>
      <c r="AB47" s="61"/>
    </row>
    <row r="48" spans="1:28" x14ac:dyDescent="0.2">
      <c r="A48" s="14" t="s">
        <v>43</v>
      </c>
      <c r="B48" s="26">
        <f t="shared" si="36"/>
        <v>0</v>
      </c>
      <c r="C48" s="27"/>
      <c r="D48" s="60"/>
      <c r="E48" s="60"/>
      <c r="F48" s="60"/>
      <c r="G48" s="27"/>
      <c r="H48" s="60"/>
      <c r="I48" s="60"/>
      <c r="J48" s="60"/>
      <c r="K48" s="60"/>
      <c r="L48" s="27"/>
      <c r="M48" s="60"/>
      <c r="N48" s="60"/>
      <c r="O48" s="60"/>
      <c r="P48" s="61"/>
      <c r="Q48" s="60"/>
      <c r="R48" s="27"/>
      <c r="S48" s="60"/>
      <c r="T48" s="60"/>
      <c r="U48" s="60"/>
      <c r="V48" s="61"/>
      <c r="W48" s="27"/>
      <c r="X48" s="60"/>
      <c r="Y48" s="60"/>
      <c r="Z48" s="27"/>
      <c r="AA48" s="60"/>
      <c r="AB48" s="61"/>
    </row>
    <row r="49" spans="1:28" x14ac:dyDescent="0.2">
      <c r="A49" s="14" t="s">
        <v>44</v>
      </c>
      <c r="B49" s="26">
        <f t="shared" si="36"/>
        <v>0</v>
      </c>
      <c r="C49" s="27"/>
      <c r="D49" s="60"/>
      <c r="E49" s="60"/>
      <c r="F49" s="60"/>
      <c r="G49" s="27"/>
      <c r="H49" s="60"/>
      <c r="I49" s="60"/>
      <c r="J49" s="60"/>
      <c r="K49" s="60"/>
      <c r="L49" s="27"/>
      <c r="M49" s="60"/>
      <c r="N49" s="60"/>
      <c r="O49" s="60"/>
      <c r="P49" s="61"/>
      <c r="Q49" s="60"/>
      <c r="R49" s="27"/>
      <c r="S49" s="60"/>
      <c r="T49" s="60"/>
      <c r="U49" s="60"/>
      <c r="V49" s="61"/>
      <c r="W49" s="27"/>
      <c r="X49" s="60"/>
      <c r="Y49" s="60"/>
      <c r="Z49" s="27"/>
      <c r="AA49" s="60"/>
      <c r="AB49" s="61"/>
    </row>
    <row r="50" spans="1:28" x14ac:dyDescent="0.2">
      <c r="A50" s="14" t="s">
        <v>45</v>
      </c>
      <c r="B50" s="26">
        <f t="shared" si="36"/>
        <v>0</v>
      </c>
      <c r="C50" s="27"/>
      <c r="D50" s="60"/>
      <c r="E50" s="60"/>
      <c r="F50" s="60"/>
      <c r="G50" s="27"/>
      <c r="H50" s="60"/>
      <c r="I50" s="60"/>
      <c r="J50" s="60"/>
      <c r="K50" s="60"/>
      <c r="L50" s="27"/>
      <c r="M50" s="60"/>
      <c r="N50" s="60"/>
      <c r="O50" s="60"/>
      <c r="P50" s="61"/>
      <c r="Q50" s="60"/>
      <c r="R50" s="27"/>
      <c r="S50" s="60"/>
      <c r="T50" s="60"/>
      <c r="U50" s="60"/>
      <c r="V50" s="61"/>
      <c r="W50" s="27"/>
      <c r="X50" s="60"/>
      <c r="Y50" s="60"/>
      <c r="Z50" s="27"/>
      <c r="AA50" s="60"/>
      <c r="AB50" s="61"/>
    </row>
    <row r="51" spans="1:28" x14ac:dyDescent="0.2">
      <c r="A51" s="14" t="s">
        <v>46</v>
      </c>
      <c r="B51" s="26">
        <f t="shared" si="36"/>
        <v>0</v>
      </c>
      <c r="C51" s="27"/>
      <c r="D51" s="60"/>
      <c r="E51" s="60"/>
      <c r="F51" s="60"/>
      <c r="G51" s="27"/>
      <c r="H51" s="60"/>
      <c r="I51" s="60"/>
      <c r="J51" s="60"/>
      <c r="K51" s="60"/>
      <c r="L51" s="27"/>
      <c r="M51" s="60"/>
      <c r="N51" s="60"/>
      <c r="O51" s="60"/>
      <c r="P51" s="61"/>
      <c r="Q51" s="60"/>
      <c r="R51" s="27"/>
      <c r="S51" s="60"/>
      <c r="T51" s="60"/>
      <c r="U51" s="60"/>
      <c r="V51" s="61"/>
      <c r="W51" s="27"/>
      <c r="X51" s="60"/>
      <c r="Y51" s="60"/>
      <c r="Z51" s="27"/>
      <c r="AA51" s="60"/>
      <c r="AB51" s="61"/>
    </row>
    <row r="52" spans="1:28" x14ac:dyDescent="0.2">
      <c r="A52" s="14" t="s">
        <v>47</v>
      </c>
      <c r="B52" s="26">
        <f t="shared" si="36"/>
        <v>0</v>
      </c>
      <c r="C52" s="27"/>
      <c r="D52" s="60"/>
      <c r="E52" s="60"/>
      <c r="F52" s="60"/>
      <c r="G52" s="27"/>
      <c r="H52" s="60"/>
      <c r="I52" s="60"/>
      <c r="J52" s="60"/>
      <c r="K52" s="60"/>
      <c r="L52" s="27"/>
      <c r="M52" s="60"/>
      <c r="N52" s="60"/>
      <c r="O52" s="60"/>
      <c r="P52" s="61"/>
      <c r="Q52" s="60"/>
      <c r="R52" s="27"/>
      <c r="S52" s="60"/>
      <c r="T52" s="60"/>
      <c r="U52" s="60"/>
      <c r="V52" s="61"/>
      <c r="W52" s="27"/>
      <c r="X52" s="60"/>
      <c r="Y52" s="60"/>
      <c r="Z52" s="27"/>
      <c r="AA52" s="60"/>
      <c r="AB52" s="61"/>
    </row>
    <row r="53" spans="1:28" x14ac:dyDescent="0.2">
      <c r="A53" s="14" t="s">
        <v>48</v>
      </c>
      <c r="B53" s="26">
        <f t="shared" si="36"/>
        <v>0</v>
      </c>
      <c r="C53" s="27"/>
      <c r="D53" s="60"/>
      <c r="E53" s="60"/>
      <c r="F53" s="60"/>
      <c r="G53" s="27"/>
      <c r="H53" s="60"/>
      <c r="I53" s="60"/>
      <c r="J53" s="60"/>
      <c r="K53" s="60"/>
      <c r="L53" s="27"/>
      <c r="M53" s="60"/>
      <c r="N53" s="60"/>
      <c r="O53" s="60"/>
      <c r="P53" s="61"/>
      <c r="Q53" s="60"/>
      <c r="R53" s="27"/>
      <c r="S53" s="60"/>
      <c r="T53" s="60"/>
      <c r="U53" s="60"/>
      <c r="V53" s="61"/>
      <c r="W53" s="27"/>
      <c r="X53" s="60"/>
      <c r="Y53" s="60"/>
      <c r="Z53" s="27"/>
      <c r="AA53" s="60"/>
      <c r="AB53" s="61"/>
    </row>
    <row r="54" spans="1:28" s="195" customFormat="1" x14ac:dyDescent="0.2">
      <c r="A54" s="190" t="s">
        <v>49</v>
      </c>
      <c r="B54" s="206">
        <f t="shared" si="36"/>
        <v>288480890.43469208</v>
      </c>
      <c r="C54" s="206">
        <f>SUM(C43:C53)</f>
        <v>0</v>
      </c>
      <c r="D54" s="207">
        <f t="shared" ref="D54:O54" si="37">SUM(D43:D53)</f>
        <v>0</v>
      </c>
      <c r="E54" s="207">
        <f t="shared" si="37"/>
        <v>0</v>
      </c>
      <c r="F54" s="207">
        <f t="shared" si="37"/>
        <v>0</v>
      </c>
      <c r="G54" s="206">
        <f t="shared" si="37"/>
        <v>63809128.474702299</v>
      </c>
      <c r="H54" s="207">
        <f t="shared" si="37"/>
        <v>0</v>
      </c>
      <c r="I54" s="207">
        <f t="shared" si="37"/>
        <v>0</v>
      </c>
      <c r="J54" s="207">
        <f t="shared" si="37"/>
        <v>0</v>
      </c>
      <c r="K54" s="207">
        <f t="shared" ref="K54:L54" si="38">SUM(K43:K53)</f>
        <v>0</v>
      </c>
      <c r="L54" s="206">
        <f t="shared" si="38"/>
        <v>0</v>
      </c>
      <c r="M54" s="207">
        <f t="shared" si="37"/>
        <v>0</v>
      </c>
      <c r="N54" s="207">
        <f t="shared" si="37"/>
        <v>0</v>
      </c>
      <c r="O54" s="207">
        <f t="shared" si="37"/>
        <v>3543138.1972157001</v>
      </c>
      <c r="P54" s="208">
        <f t="shared" ref="P54:T54" si="39">SUM(P43:P53)</f>
        <v>56661694.029025115</v>
      </c>
      <c r="Q54" s="207">
        <f t="shared" si="39"/>
        <v>163378210.29829377</v>
      </c>
      <c r="R54" s="206">
        <f t="shared" si="39"/>
        <v>0</v>
      </c>
      <c r="S54" s="207">
        <f t="shared" si="39"/>
        <v>0</v>
      </c>
      <c r="T54" s="207">
        <f t="shared" si="39"/>
        <v>0</v>
      </c>
      <c r="U54" s="207">
        <f t="shared" ref="U54:Y54" si="40">SUM(U43:U53)</f>
        <v>0</v>
      </c>
      <c r="V54" s="208">
        <f t="shared" si="40"/>
        <v>0</v>
      </c>
      <c r="W54" s="206">
        <f t="shared" si="40"/>
        <v>0</v>
      </c>
      <c r="X54" s="207">
        <f t="shared" si="40"/>
        <v>0</v>
      </c>
      <c r="Y54" s="207">
        <f t="shared" si="40"/>
        <v>0</v>
      </c>
      <c r="Z54" s="206">
        <f t="shared" ref="Z54:AB54" si="41">SUM(Z43:Z53)</f>
        <v>-129451.83499999998</v>
      </c>
      <c r="AA54" s="207">
        <f t="shared" si="41"/>
        <v>-76196.730051437567</v>
      </c>
      <c r="AB54" s="208">
        <f t="shared" si="41"/>
        <v>1294368.0005066101</v>
      </c>
    </row>
    <row r="55" spans="1:28" x14ac:dyDescent="0.2">
      <c r="A55" s="14"/>
      <c r="B55" s="25"/>
      <c r="C55" s="25"/>
      <c r="D55" s="12"/>
      <c r="E55" s="12"/>
      <c r="F55" s="12"/>
      <c r="G55" s="25"/>
      <c r="H55" s="12"/>
      <c r="I55" s="12"/>
      <c r="J55" s="12"/>
      <c r="K55" s="12"/>
      <c r="L55" s="25"/>
      <c r="M55" s="12"/>
      <c r="N55" s="12"/>
      <c r="O55" s="12"/>
      <c r="P55" s="57"/>
      <c r="Q55" s="12"/>
      <c r="R55" s="25"/>
      <c r="S55" s="12"/>
      <c r="T55" s="12"/>
      <c r="U55" s="12"/>
      <c r="V55" s="57"/>
      <c r="W55" s="25"/>
      <c r="X55" s="12"/>
      <c r="Y55" s="12"/>
      <c r="Z55" s="25"/>
      <c r="AA55" s="12"/>
      <c r="AB55" s="57"/>
    </row>
    <row r="56" spans="1:28" x14ac:dyDescent="0.2">
      <c r="A56" s="14" t="s">
        <v>50</v>
      </c>
      <c r="B56" s="25"/>
      <c r="C56" s="25"/>
      <c r="D56" s="12"/>
      <c r="E56" s="12"/>
      <c r="F56" s="12"/>
      <c r="G56" s="25"/>
      <c r="H56" s="12"/>
      <c r="I56" s="12"/>
      <c r="J56" s="12"/>
      <c r="K56" s="12"/>
      <c r="L56" s="25"/>
      <c r="M56" s="12"/>
      <c r="N56" s="12"/>
      <c r="O56" s="12"/>
      <c r="P56" s="57"/>
      <c r="Q56" s="12"/>
      <c r="R56" s="25"/>
      <c r="S56" s="12"/>
      <c r="T56" s="12"/>
      <c r="U56" s="12"/>
      <c r="V56" s="57"/>
      <c r="W56" s="25"/>
      <c r="X56" s="12"/>
      <c r="Y56" s="12"/>
      <c r="Z56" s="25"/>
      <c r="AA56" s="12"/>
      <c r="AB56" s="57"/>
    </row>
    <row r="57" spans="1:28" x14ac:dyDescent="0.2">
      <c r="A57" s="14" t="s">
        <v>51</v>
      </c>
      <c r="B57" s="26">
        <f t="shared" ref="B57:B65" si="42">SUM(C57:AB57)</f>
        <v>-47500204.252881274</v>
      </c>
      <c r="C57" s="27"/>
      <c r="D57" s="60"/>
      <c r="E57" s="60"/>
      <c r="F57" s="60"/>
      <c r="G57" s="27"/>
      <c r="H57" s="60"/>
      <c r="I57" s="60">
        <v>-42259972.051429152</v>
      </c>
      <c r="J57" s="60"/>
      <c r="K57" s="60">
        <f>-2039193.92163599*0</f>
        <v>0</v>
      </c>
      <c r="L57" s="27">
        <v>-1389333.6145828841</v>
      </c>
      <c r="M57" s="60">
        <v>0</v>
      </c>
      <c r="N57" s="60"/>
      <c r="O57" s="60">
        <v>-107490.98420405846</v>
      </c>
      <c r="P57" s="61">
        <v>-1047639.9611335265</v>
      </c>
      <c r="Q57" s="60">
        <v>-2290146.5455700466</v>
      </c>
      <c r="R57" s="27"/>
      <c r="S57" s="60"/>
      <c r="T57" s="60"/>
      <c r="U57" s="60"/>
      <c r="V57" s="61"/>
      <c r="W57" s="27"/>
      <c r="X57" s="60"/>
      <c r="Y57" s="60"/>
      <c r="Z57" s="27"/>
      <c r="AA57" s="60"/>
      <c r="AB57" s="61">
        <f>'[5]16.3 - 16.3.1'!$I$27</f>
        <v>-405621.0959616105</v>
      </c>
    </row>
    <row r="58" spans="1:28" x14ac:dyDescent="0.2">
      <c r="A58" s="14" t="s">
        <v>52</v>
      </c>
      <c r="B58" s="26">
        <f t="shared" si="42"/>
        <v>-4127826.0767176892</v>
      </c>
      <c r="C58" s="27"/>
      <c r="D58" s="60"/>
      <c r="E58" s="60"/>
      <c r="F58" s="60"/>
      <c r="G58" s="27"/>
      <c r="H58" s="60"/>
      <c r="I58" s="60">
        <v>-4127826.0767176892</v>
      </c>
      <c r="J58" s="60"/>
      <c r="K58" s="60"/>
      <c r="L58" s="27"/>
      <c r="M58" s="60"/>
      <c r="N58" s="60"/>
      <c r="O58" s="60"/>
      <c r="P58" s="61"/>
      <c r="Q58" s="60"/>
      <c r="R58" s="27"/>
      <c r="S58" s="60"/>
      <c r="T58" s="60"/>
      <c r="U58" s="60"/>
      <c r="V58" s="61"/>
      <c r="W58" s="27"/>
      <c r="X58" s="60"/>
      <c r="Y58" s="60"/>
      <c r="Z58" s="27"/>
      <c r="AA58" s="60"/>
      <c r="AB58" s="61"/>
    </row>
    <row r="59" spans="1:28" x14ac:dyDescent="0.2">
      <c r="A59" s="14" t="s">
        <v>53</v>
      </c>
      <c r="B59" s="26">
        <f t="shared" si="42"/>
        <v>-19785607.482684039</v>
      </c>
      <c r="C59" s="27"/>
      <c r="D59" s="60"/>
      <c r="E59" s="60"/>
      <c r="F59" s="60"/>
      <c r="G59" s="27">
        <v>1219463.0543840532</v>
      </c>
      <c r="H59" s="60"/>
      <c r="I59" s="60"/>
      <c r="J59" s="60">
        <v>0</v>
      </c>
      <c r="K59" s="60">
        <v>0</v>
      </c>
      <c r="L59" s="27">
        <v>656335.1787775706</v>
      </c>
      <c r="M59" s="60">
        <v>0</v>
      </c>
      <c r="N59" s="60"/>
      <c r="O59" s="60">
        <v>-145086.64322551354</v>
      </c>
      <c r="P59" s="61"/>
      <c r="Q59" s="60"/>
      <c r="R59" s="27"/>
      <c r="S59" s="60"/>
      <c r="T59" s="60">
        <v>-595243.43684617733</v>
      </c>
      <c r="U59" s="60">
        <f>SUM('[1]15.4_R'!$I$10:$I$18,'[1]15.4.1_R'!$I$26:$I$28,'[1]15.4.1_R'!$I$34)</f>
        <v>-24319003.172031336</v>
      </c>
      <c r="V59" s="61"/>
      <c r="W59" s="27">
        <f>-SUM(C59:V59,X59:AA59)*Variables!$F$41</f>
        <v>3379193.3510265392</v>
      </c>
      <c r="X59" s="60"/>
      <c r="Y59" s="60"/>
      <c r="Z59" s="27"/>
      <c r="AA59" s="60">
        <v>18734.185230826712</v>
      </c>
      <c r="AB59" s="61"/>
    </row>
    <row r="60" spans="1:28" x14ac:dyDescent="0.2">
      <c r="A60" s="14" t="s">
        <v>54</v>
      </c>
      <c r="B60" s="26">
        <f t="shared" si="42"/>
        <v>0</v>
      </c>
      <c r="C60" s="27"/>
      <c r="D60" s="60"/>
      <c r="E60" s="60"/>
      <c r="F60" s="60"/>
      <c r="G60" s="27"/>
      <c r="H60" s="60"/>
      <c r="I60" s="60"/>
      <c r="J60" s="60"/>
      <c r="K60" s="60"/>
      <c r="L60" s="27"/>
      <c r="M60" s="60"/>
      <c r="N60" s="60"/>
      <c r="O60" s="60"/>
      <c r="P60" s="61"/>
      <c r="Q60" s="60"/>
      <c r="R60" s="27"/>
      <c r="S60" s="60"/>
      <c r="T60" s="60"/>
      <c r="U60" s="60"/>
      <c r="V60" s="61"/>
      <c r="W60" s="27"/>
      <c r="X60" s="60"/>
      <c r="Y60" s="60"/>
      <c r="Z60" s="27"/>
      <c r="AA60" s="60"/>
      <c r="AB60" s="61"/>
    </row>
    <row r="61" spans="1:28" x14ac:dyDescent="0.2">
      <c r="A61" s="14" t="s">
        <v>55</v>
      </c>
      <c r="B61" s="26">
        <f t="shared" si="42"/>
        <v>0</v>
      </c>
      <c r="C61" s="27"/>
      <c r="D61" s="60"/>
      <c r="E61" s="60"/>
      <c r="F61" s="60"/>
      <c r="G61" s="27"/>
      <c r="H61" s="60"/>
      <c r="I61" s="60"/>
      <c r="J61" s="60"/>
      <c r="K61" s="60"/>
      <c r="L61" s="27"/>
      <c r="M61" s="60"/>
      <c r="N61" s="60"/>
      <c r="O61" s="60"/>
      <c r="P61" s="61"/>
      <c r="Q61" s="60"/>
      <c r="R61" s="27"/>
      <c r="S61" s="60"/>
      <c r="T61" s="60"/>
      <c r="U61" s="60"/>
      <c r="V61" s="61"/>
      <c r="W61" s="27"/>
      <c r="X61" s="60"/>
      <c r="Y61" s="60"/>
      <c r="Z61" s="27"/>
      <c r="AA61" s="60"/>
      <c r="AB61" s="61"/>
    </row>
    <row r="62" spans="1:28" x14ac:dyDescent="0.2">
      <c r="A62" s="14" t="s">
        <v>56</v>
      </c>
      <c r="B62" s="26">
        <f t="shared" si="42"/>
        <v>0</v>
      </c>
      <c r="C62" s="27"/>
      <c r="D62" s="60"/>
      <c r="E62" s="60"/>
      <c r="F62" s="60"/>
      <c r="G62" s="27"/>
      <c r="H62" s="60"/>
      <c r="I62" s="60"/>
      <c r="J62" s="60"/>
      <c r="K62" s="60"/>
      <c r="L62" s="27"/>
      <c r="M62" s="60"/>
      <c r="N62" s="60"/>
      <c r="O62" s="60"/>
      <c r="P62" s="61"/>
      <c r="Q62" s="60"/>
      <c r="R62" s="27"/>
      <c r="S62" s="60"/>
      <c r="T62" s="60"/>
      <c r="U62" s="60"/>
      <c r="V62" s="61"/>
      <c r="W62" s="27"/>
      <c r="X62" s="60"/>
      <c r="Y62" s="60"/>
      <c r="Z62" s="27"/>
      <c r="AA62" s="60"/>
      <c r="AB62" s="61"/>
    </row>
    <row r="63" spans="1:28" x14ac:dyDescent="0.2">
      <c r="A63" s="14" t="s">
        <v>57</v>
      </c>
      <c r="B63" s="26">
        <f t="shared" si="42"/>
        <v>2598391</v>
      </c>
      <c r="C63" s="27"/>
      <c r="D63" s="60"/>
      <c r="E63" s="60"/>
      <c r="F63" s="60"/>
      <c r="G63" s="27"/>
      <c r="H63" s="60"/>
      <c r="I63" s="60"/>
      <c r="J63" s="60">
        <v>0</v>
      </c>
      <c r="K63" s="60"/>
      <c r="L63" s="27"/>
      <c r="M63" s="60"/>
      <c r="N63" s="60"/>
      <c r="O63" s="60"/>
      <c r="P63" s="61"/>
      <c r="Q63" s="60"/>
      <c r="R63" s="27"/>
      <c r="S63" s="60"/>
      <c r="T63" s="60">
        <v>2598391</v>
      </c>
      <c r="U63" s="60"/>
      <c r="V63" s="61"/>
      <c r="W63" s="27"/>
      <c r="X63" s="60"/>
      <c r="Y63" s="60"/>
      <c r="Z63" s="27"/>
      <c r="AA63" s="60"/>
      <c r="AB63" s="61"/>
    </row>
    <row r="64" spans="1:28" x14ac:dyDescent="0.2">
      <c r="A64" s="14"/>
      <c r="B64" s="25">
        <f t="shared" si="42"/>
        <v>0</v>
      </c>
      <c r="C64" s="25"/>
      <c r="D64" s="12"/>
      <c r="E64" s="12"/>
      <c r="F64" s="12"/>
      <c r="G64" s="25"/>
      <c r="H64" s="12"/>
      <c r="I64" s="12"/>
      <c r="J64" s="12"/>
      <c r="K64" s="12"/>
      <c r="L64" s="25"/>
      <c r="M64" s="12"/>
      <c r="N64" s="12"/>
      <c r="O64" s="12"/>
      <c r="P64" s="57"/>
      <c r="Q64" s="12"/>
      <c r="R64" s="25"/>
      <c r="S64" s="12"/>
      <c r="T64" s="12"/>
      <c r="U64" s="12"/>
      <c r="V64" s="57"/>
      <c r="W64" s="25"/>
      <c r="X64" s="12"/>
      <c r="Y64" s="12"/>
      <c r="Z64" s="25"/>
      <c r="AA64" s="12"/>
      <c r="AB64" s="57"/>
    </row>
    <row r="65" spans="1:28" s="195" customFormat="1" x14ac:dyDescent="0.2">
      <c r="A65" s="190" t="s">
        <v>58</v>
      </c>
      <c r="B65" s="191">
        <f t="shared" si="42"/>
        <v>-68815246.812283024</v>
      </c>
      <c r="C65" s="191">
        <f t="shared" ref="C65:O65" si="43">SUM(C57:C64)</f>
        <v>0</v>
      </c>
      <c r="D65" s="192">
        <f t="shared" si="43"/>
        <v>0</v>
      </c>
      <c r="E65" s="192">
        <f t="shared" si="43"/>
        <v>0</v>
      </c>
      <c r="F65" s="192">
        <f t="shared" ref="F65" si="44">SUM(F57:F64)</f>
        <v>0</v>
      </c>
      <c r="G65" s="191">
        <f t="shared" si="43"/>
        <v>1219463.0543840532</v>
      </c>
      <c r="H65" s="192">
        <f t="shared" si="43"/>
        <v>0</v>
      </c>
      <c r="I65" s="192">
        <f t="shared" si="43"/>
        <v>-46387798.128146842</v>
      </c>
      <c r="J65" s="192">
        <f t="shared" si="43"/>
        <v>0</v>
      </c>
      <c r="K65" s="192">
        <f t="shared" ref="K65:L65" si="45">SUM(K57:K64)</f>
        <v>0</v>
      </c>
      <c r="L65" s="191">
        <f t="shared" si="45"/>
        <v>-732998.43580531352</v>
      </c>
      <c r="M65" s="192">
        <f t="shared" si="43"/>
        <v>0</v>
      </c>
      <c r="N65" s="192">
        <f t="shared" ref="N65" si="46">SUM(N57:N64)</f>
        <v>0</v>
      </c>
      <c r="O65" s="192">
        <f t="shared" si="43"/>
        <v>-252577.62742957199</v>
      </c>
      <c r="P65" s="193">
        <f t="shared" ref="P65:T65" si="47">SUM(P57:P64)</f>
        <v>-1047639.9611335265</v>
      </c>
      <c r="Q65" s="192">
        <f t="shared" ref="Q65" si="48">SUM(Q57:Q64)</f>
        <v>-2290146.5455700466</v>
      </c>
      <c r="R65" s="191">
        <f t="shared" si="47"/>
        <v>0</v>
      </c>
      <c r="S65" s="192">
        <f t="shared" si="47"/>
        <v>0</v>
      </c>
      <c r="T65" s="192">
        <f t="shared" si="47"/>
        <v>2003147.5631538227</v>
      </c>
      <c r="U65" s="192">
        <f t="shared" ref="U65:W65" si="49">SUM(U57:U64)</f>
        <v>-24319003.172031336</v>
      </c>
      <c r="V65" s="193">
        <f t="shared" si="49"/>
        <v>0</v>
      </c>
      <c r="W65" s="191">
        <f t="shared" si="49"/>
        <v>3379193.3510265392</v>
      </c>
      <c r="X65" s="192">
        <f t="shared" ref="X65:Y65" si="50">SUM(X57:X64)</f>
        <v>0</v>
      </c>
      <c r="Y65" s="192">
        <f t="shared" si="50"/>
        <v>0</v>
      </c>
      <c r="Z65" s="191">
        <f t="shared" ref="Z65:AA65" si="51">SUM(Z57:Z64)</f>
        <v>0</v>
      </c>
      <c r="AA65" s="192">
        <f t="shared" si="51"/>
        <v>18734.185230826712</v>
      </c>
      <c r="AB65" s="193">
        <f t="shared" ref="AB65" si="52">SUM(AB57:AB64)</f>
        <v>-405621.0959616105</v>
      </c>
    </row>
    <row r="66" spans="1:28" x14ac:dyDescent="0.2">
      <c r="A66" s="14"/>
      <c r="B66" s="25"/>
      <c r="C66" s="25"/>
      <c r="D66" s="12"/>
      <c r="E66" s="12"/>
      <c r="F66" s="12"/>
      <c r="G66" s="25"/>
      <c r="H66" s="12"/>
      <c r="I66" s="12"/>
      <c r="J66" s="12"/>
      <c r="K66" s="12"/>
      <c r="L66" s="25"/>
      <c r="M66" s="12"/>
      <c r="N66" s="12"/>
      <c r="O66" s="12"/>
      <c r="P66" s="57"/>
      <c r="Q66" s="12"/>
      <c r="R66" s="25"/>
      <c r="S66" s="12"/>
      <c r="T66" s="12"/>
      <c r="U66" s="12"/>
      <c r="V66" s="57"/>
      <c r="W66" s="25"/>
      <c r="X66" s="12"/>
      <c r="Y66" s="12"/>
      <c r="Z66" s="25"/>
      <c r="AA66" s="12"/>
      <c r="AB66" s="57"/>
    </row>
    <row r="67" spans="1:28" s="195" customFormat="1" ht="13.5" thickBot="1" x14ac:dyDescent="0.25">
      <c r="A67" s="190" t="s">
        <v>59</v>
      </c>
      <c r="B67" s="209">
        <f>SUM(C67:AB67)</f>
        <v>219665643.62240905</v>
      </c>
      <c r="C67" s="209">
        <f t="shared" ref="C67:AA67" si="53">C54+C65</f>
        <v>0</v>
      </c>
      <c r="D67" s="210">
        <f t="shared" si="53"/>
        <v>0</v>
      </c>
      <c r="E67" s="210">
        <f t="shared" si="53"/>
        <v>0</v>
      </c>
      <c r="F67" s="210">
        <f t="shared" ref="F67" si="54">F54+F65</f>
        <v>0</v>
      </c>
      <c r="G67" s="209">
        <f t="shared" si="53"/>
        <v>65028591.529086351</v>
      </c>
      <c r="H67" s="210">
        <f t="shared" si="53"/>
        <v>0</v>
      </c>
      <c r="I67" s="210">
        <f t="shared" si="53"/>
        <v>-46387798.128146842</v>
      </c>
      <c r="J67" s="210">
        <f t="shared" si="53"/>
        <v>0</v>
      </c>
      <c r="K67" s="210">
        <f t="shared" si="53"/>
        <v>0</v>
      </c>
      <c r="L67" s="209">
        <f t="shared" si="53"/>
        <v>-732998.43580531352</v>
      </c>
      <c r="M67" s="210">
        <f t="shared" si="53"/>
        <v>0</v>
      </c>
      <c r="N67" s="210">
        <f t="shared" ref="N67" si="55">N54+N65</f>
        <v>0</v>
      </c>
      <c r="O67" s="210">
        <f t="shared" si="53"/>
        <v>3290560.5697861281</v>
      </c>
      <c r="P67" s="211">
        <f t="shared" si="53"/>
        <v>55614054.06789159</v>
      </c>
      <c r="Q67" s="210">
        <f t="shared" si="53"/>
        <v>161088063.75272372</v>
      </c>
      <c r="R67" s="209">
        <f t="shared" si="53"/>
        <v>0</v>
      </c>
      <c r="S67" s="210">
        <f t="shared" si="53"/>
        <v>0</v>
      </c>
      <c r="T67" s="210">
        <f t="shared" si="53"/>
        <v>2003147.5631538227</v>
      </c>
      <c r="U67" s="210">
        <f t="shared" si="53"/>
        <v>-24319003.172031336</v>
      </c>
      <c r="V67" s="211">
        <f t="shared" si="53"/>
        <v>0</v>
      </c>
      <c r="W67" s="209">
        <f t="shared" si="53"/>
        <v>3379193.3510265392</v>
      </c>
      <c r="X67" s="210">
        <f t="shared" ref="X67:Y67" si="56">X54+X65</f>
        <v>0</v>
      </c>
      <c r="Y67" s="210">
        <f t="shared" si="56"/>
        <v>0</v>
      </c>
      <c r="Z67" s="209">
        <f t="shared" si="53"/>
        <v>-129451.83499999998</v>
      </c>
      <c r="AA67" s="210">
        <f t="shared" si="53"/>
        <v>-57462.544820610856</v>
      </c>
      <c r="AB67" s="211">
        <f t="shared" ref="AB67" si="57">AB54+AB65</f>
        <v>888746.90454499959</v>
      </c>
    </row>
    <row r="68" spans="1:28" ht="13.5" thickTop="1" x14ac:dyDescent="0.2">
      <c r="A68" s="14"/>
      <c r="B68" s="25"/>
      <c r="C68" s="25"/>
      <c r="D68" s="12"/>
      <c r="E68" s="12"/>
      <c r="F68" s="12"/>
      <c r="G68" s="25"/>
      <c r="H68" s="12"/>
      <c r="I68" s="12"/>
      <c r="J68" s="12"/>
      <c r="K68" s="12"/>
      <c r="L68" s="25"/>
      <c r="M68" s="12"/>
      <c r="N68" s="12"/>
      <c r="O68" s="12"/>
      <c r="P68" s="57"/>
      <c r="Q68" s="12"/>
      <c r="R68" s="25"/>
      <c r="S68" s="12"/>
      <c r="T68" s="12"/>
      <c r="U68" s="12"/>
      <c r="V68" s="57"/>
      <c r="W68" s="25"/>
      <c r="X68" s="12"/>
      <c r="Y68" s="12"/>
      <c r="Z68" s="25"/>
      <c r="AA68" s="12"/>
      <c r="AB68" s="57"/>
    </row>
    <row r="69" spans="1:28" x14ac:dyDescent="0.2">
      <c r="A69" s="14"/>
      <c r="B69" s="25"/>
      <c r="C69" s="25"/>
      <c r="D69" s="12"/>
      <c r="E69" s="12"/>
      <c r="F69" s="12"/>
      <c r="G69" s="25"/>
      <c r="H69" s="12"/>
      <c r="I69" s="12"/>
      <c r="J69" s="12"/>
      <c r="K69" s="12"/>
      <c r="L69" s="25"/>
      <c r="M69" s="12"/>
      <c r="N69" s="12"/>
      <c r="O69" s="12"/>
      <c r="P69" s="57"/>
      <c r="Q69" s="12"/>
      <c r="R69" s="25"/>
      <c r="S69" s="12"/>
      <c r="T69" s="12"/>
      <c r="U69" s="12"/>
      <c r="V69" s="57"/>
      <c r="W69" s="25"/>
      <c r="X69" s="12"/>
      <c r="Y69" s="12"/>
      <c r="Z69" s="25"/>
      <c r="AA69" s="12"/>
      <c r="AB69" s="57"/>
    </row>
    <row r="70" spans="1:28" s="217" customFormat="1" x14ac:dyDescent="0.2">
      <c r="A70" s="213" t="s">
        <v>93</v>
      </c>
      <c r="B70" s="214">
        <f t="shared" ref="B70:AA70" si="58">(((B40+Unadj_Op_revenue)/(B67+Unadj_rate_base))-Weighted_cost_debt-Weighted_cost_pref)/Percent_common-Unadj_ROE</f>
        <v>-1.7287716038920917E-2</v>
      </c>
      <c r="C70" s="214">
        <f t="shared" si="58"/>
        <v>3.2488124728045215E-3</v>
      </c>
      <c r="D70" s="215">
        <f t="shared" si="58"/>
        <v>-9.276503242249684E-4</v>
      </c>
      <c r="E70" s="215">
        <f t="shared" si="58"/>
        <v>-2.8914596537572834E-4</v>
      </c>
      <c r="F70" s="215">
        <f t="shared" ref="F70" si="59">(((F40+Unadj_Op_revenue)/(F67+Unadj_rate_base))-Weighted_cost_debt-Weighted_cost_pref)/Percent_common-Unadj_ROE</f>
        <v>7.9757963121878245E-3</v>
      </c>
      <c r="G70" s="214">
        <f t="shared" si="58"/>
        <v>-7.8058182716451846E-3</v>
      </c>
      <c r="H70" s="215">
        <f t="shared" si="58"/>
        <v>-2.4528449291356252E-3</v>
      </c>
      <c r="I70" s="215">
        <f t="shared" si="58"/>
        <v>6.3040190645127642E-3</v>
      </c>
      <c r="J70" s="215">
        <f t="shared" si="58"/>
        <v>-7.0143321012627879E-9</v>
      </c>
      <c r="K70" s="215">
        <f t="shared" si="58"/>
        <v>-7.0143321012627879E-9</v>
      </c>
      <c r="L70" s="214">
        <f t="shared" si="58"/>
        <v>1.0000921245255368E-4</v>
      </c>
      <c r="M70" s="215">
        <f t="shared" si="58"/>
        <v>-7.0143321012627879E-9</v>
      </c>
      <c r="N70" s="215">
        <f t="shared" ref="N70" si="60">(((N40+Unadj_Op_revenue)/(N67+Unadj_rate_base))-Weighted_cost_debt-Weighted_cost_pref)/Percent_common-Unadj_ROE</f>
        <v>-4.2089100352152298E-5</v>
      </c>
      <c r="O70" s="215">
        <f t="shared" si="58"/>
        <v>-1.5649980363947463E-3</v>
      </c>
      <c r="P70" s="216">
        <f t="shared" si="58"/>
        <v>-1.0640701058683436E-2</v>
      </c>
      <c r="Q70" s="215">
        <f t="shared" si="58"/>
        <v>-2.179961332027687E-2</v>
      </c>
      <c r="R70" s="214">
        <f t="shared" si="58"/>
        <v>2.0748512466128993E-3</v>
      </c>
      <c r="S70" s="215">
        <f t="shared" si="58"/>
        <v>-2.657780660403522E-3</v>
      </c>
      <c r="T70" s="215">
        <f t="shared" si="58"/>
        <v>-2.604828414593946E-4</v>
      </c>
      <c r="U70" s="215">
        <f t="shared" si="58"/>
        <v>1.5958185049849E-3</v>
      </c>
      <c r="V70" s="216">
        <f t="shared" si="58"/>
        <v>-7.0143321012627879E-9</v>
      </c>
      <c r="W70" s="214">
        <f t="shared" si="58"/>
        <v>-1.7810977178275844E-5</v>
      </c>
      <c r="X70" s="215">
        <f t="shared" ref="X70:Y70" si="61">(((X40+Unadj_Op_revenue)/(X67+Unadj_rate_base))-Weighted_cost_debt-Weighted_cost_pref)/Percent_common-Unadj_ROE</f>
        <v>3.0174884460197476E-3</v>
      </c>
      <c r="Y70" s="215">
        <f t="shared" si="61"/>
        <v>8.1107242432584825E-5</v>
      </c>
      <c r="Z70" s="214">
        <f t="shared" si="58"/>
        <v>1.0447652696444445E-2</v>
      </c>
      <c r="AA70" s="215">
        <f t="shared" si="58"/>
        <v>7.4787854809493792E-6</v>
      </c>
      <c r="AB70" s="216">
        <f t="shared" ref="AB70" si="62">(((AB40+Unadj_Op_revenue)/(AB67+Unadj_rate_base))-Weighted_cost_debt-Weighted_cost_pref)/Percent_common-Unadj_ROE</f>
        <v>-2.6506749761828347E-3</v>
      </c>
    </row>
    <row r="71" spans="1:28" s="195" customFormat="1" x14ac:dyDescent="0.2">
      <c r="A71" s="190" t="s">
        <v>7</v>
      </c>
      <c r="B71" s="218">
        <f>SUM(C71:AB71)</f>
        <v>15393815.254152544</v>
      </c>
      <c r="C71" s="218">
        <f t="shared" ref="C71:U71" si="63">-(C40-(C67*Overall_ROR))/gross_up_factor</f>
        <v>-2418288.7648376417</v>
      </c>
      <c r="D71" s="219">
        <f t="shared" si="63"/>
        <v>690499.85786311468</v>
      </c>
      <c r="E71" s="219">
        <f t="shared" ref="E71:F71" si="64">-(E40-(E67*Overall_ROR))/gross_up_factor</f>
        <v>215223.24633739371</v>
      </c>
      <c r="F71" s="219">
        <f t="shared" si="64"/>
        <v>-5936862.8055347428</v>
      </c>
      <c r="G71" s="218">
        <f t="shared" si="63"/>
        <v>6147909.3538271636</v>
      </c>
      <c r="H71" s="219">
        <f t="shared" si="63"/>
        <v>1825792.5362806325</v>
      </c>
      <c r="I71" s="219">
        <f t="shared" si="63"/>
        <v>-4497978.8826340139</v>
      </c>
      <c r="J71" s="219">
        <f t="shared" si="63"/>
        <v>0</v>
      </c>
      <c r="K71" s="219">
        <f t="shared" ref="K71:L71" si="65">-(K40-(K67*Overall_ROR))/gross_up_factor</f>
        <v>0</v>
      </c>
      <c r="L71" s="218">
        <f t="shared" si="65"/>
        <v>-74399.24858343594</v>
      </c>
      <c r="M71" s="271">
        <f t="shared" si="63"/>
        <v>0</v>
      </c>
      <c r="N71" s="271">
        <f t="shared" ref="N71" si="66">-(N40-(N67*Overall_ROR))/gross_up_factor</f>
        <v>31324.189055781142</v>
      </c>
      <c r="O71" s="271">
        <f t="shared" si="63"/>
        <v>1168340.3450437929</v>
      </c>
      <c r="P71" s="220">
        <f t="shared" si="63"/>
        <v>8314058.7796593672</v>
      </c>
      <c r="Q71" s="219">
        <f t="shared" ref="Q71" si="67">-(Q40-(Q67*Overall_ROR))/gross_up_factor</f>
        <v>18562175.788581185</v>
      </c>
      <c r="R71" s="218">
        <f t="shared" ref="R71:T71" si="68">-(R40-(R67*Overall_ROR))/gross_up_factor</f>
        <v>-1544439.8929951587</v>
      </c>
      <c r="S71" s="219">
        <f t="shared" si="68"/>
        <v>1978338.3389641137</v>
      </c>
      <c r="T71" s="219">
        <f t="shared" si="68"/>
        <v>194234.60050798548</v>
      </c>
      <c r="U71" s="271">
        <f t="shared" si="63"/>
        <v>-1162057.6063606748</v>
      </c>
      <c r="V71" s="220">
        <f t="shared" ref="V71:W71" si="69">-(V40-(V67*Overall_ROR))/gross_up_factor</f>
        <v>0</v>
      </c>
      <c r="W71" s="218">
        <f t="shared" si="69"/>
        <v>13292.571394054197</v>
      </c>
      <c r="X71" s="219">
        <f t="shared" ref="X71:Y71" si="70">-(X40-(X67*Overall_ROR))/gross_up_factor</f>
        <v>-2246100.5908792098</v>
      </c>
      <c r="Y71" s="219">
        <f t="shared" si="70"/>
        <v>-60378.145532204115</v>
      </c>
      <c r="Z71" s="218">
        <f t="shared" ref="Z71:AA71" si="71">-(Z40-(Z67*Overall_ROR))/gross_up_factor</f>
        <v>-7775912.4525392074</v>
      </c>
      <c r="AA71" s="219">
        <f t="shared" si="71"/>
        <v>-5571.8383621379198</v>
      </c>
      <c r="AB71" s="220">
        <f t="shared" ref="AB71" si="72">-(AB40-(AB67*Overall_ROR))/gross_up_factor</f>
        <v>1974615.8748963943</v>
      </c>
    </row>
    <row r="72" spans="1:28" x14ac:dyDescent="0.2">
      <c r="A72" s="14"/>
      <c r="B72" s="17"/>
      <c r="C72" s="17"/>
      <c r="D72" s="16"/>
      <c r="E72" s="16"/>
      <c r="F72" s="16"/>
      <c r="G72" s="17"/>
      <c r="H72" s="16"/>
      <c r="I72" s="16"/>
      <c r="J72" s="16"/>
      <c r="K72" s="16"/>
      <c r="L72" s="17"/>
      <c r="M72" s="16"/>
      <c r="N72" s="16"/>
      <c r="O72" s="16"/>
      <c r="P72" s="18"/>
      <c r="Q72" s="16"/>
      <c r="R72" s="17"/>
      <c r="S72" s="16"/>
      <c r="T72" s="16"/>
      <c r="U72" s="16"/>
      <c r="V72" s="18"/>
      <c r="W72" s="17"/>
      <c r="X72" s="16"/>
      <c r="Y72" s="16"/>
      <c r="Z72" s="17"/>
      <c r="AA72" s="16"/>
      <c r="AB72" s="18"/>
    </row>
    <row r="73" spans="1:28" x14ac:dyDescent="0.2">
      <c r="A73" s="14" t="s">
        <v>61</v>
      </c>
      <c r="B73" s="25"/>
      <c r="C73" s="25"/>
      <c r="D73" s="12"/>
      <c r="E73" s="12"/>
      <c r="F73" s="12"/>
      <c r="G73" s="25"/>
      <c r="H73" s="12"/>
      <c r="I73" s="12"/>
      <c r="J73" s="12"/>
      <c r="K73" s="12"/>
      <c r="L73" s="25"/>
      <c r="M73" s="12"/>
      <c r="N73" s="12"/>
      <c r="O73" s="12"/>
      <c r="P73" s="57"/>
      <c r="Q73" s="12"/>
      <c r="R73" s="25"/>
      <c r="S73" s="12"/>
      <c r="T73" s="12"/>
      <c r="U73" s="12"/>
      <c r="V73" s="57"/>
      <c r="W73" s="25"/>
      <c r="X73" s="12"/>
      <c r="Y73" s="12"/>
      <c r="Z73" s="25"/>
      <c r="AA73" s="12"/>
      <c r="AB73" s="57"/>
    </row>
    <row r="74" spans="1:28" x14ac:dyDescent="0.2">
      <c r="A74" s="14" t="s">
        <v>62</v>
      </c>
      <c r="B74" s="29">
        <f t="shared" ref="B74:B80" si="73">SUM(C74:AB74)</f>
        <v>2596808.4247969999</v>
      </c>
      <c r="C74" s="29">
        <f t="shared" ref="C74:U74" si="74">C16-C29-C30-C31-C32-C37</f>
        <v>2301415.0116205518</v>
      </c>
      <c r="D74" s="180">
        <f t="shared" si="74"/>
        <v>-657128.6115679075</v>
      </c>
      <c r="E74" s="180">
        <f t="shared" si="74"/>
        <v>-204821.69754604981</v>
      </c>
      <c r="F74" s="180">
        <f t="shared" ref="F74" si="75">F16-F29-F30-F31-F32-F37</f>
        <v>5649939.4866545945</v>
      </c>
      <c r="G74" s="29">
        <f t="shared" si="74"/>
        <v>0</v>
      </c>
      <c r="H74" s="180">
        <f t="shared" si="74"/>
        <v>-1737553.6007930445</v>
      </c>
      <c r="I74" s="180">
        <f>I16-I29-I30-I31-I32-I37</f>
        <v>0</v>
      </c>
      <c r="J74" s="180">
        <f t="shared" si="74"/>
        <v>0</v>
      </c>
      <c r="K74" s="180">
        <f t="shared" ref="K74:L74" si="76">K16-K29-K30-K31-K32-K37</f>
        <v>0</v>
      </c>
      <c r="L74" s="29">
        <f t="shared" si="76"/>
        <v>3444.1006326457582</v>
      </c>
      <c r="M74" s="272">
        <f t="shared" si="74"/>
        <v>0</v>
      </c>
      <c r="N74" s="272">
        <f t="shared" si="74"/>
        <v>-29810.318754325799</v>
      </c>
      <c r="O74" s="272">
        <f t="shared" si="74"/>
        <v>-791591.72758384491</v>
      </c>
      <c r="P74" s="184">
        <f t="shared" si="74"/>
        <v>-2780267.2533850749</v>
      </c>
      <c r="Q74" s="180">
        <f t="shared" ref="Q74" si="77">Q16-Q29-Q30-Q31-Q32-Q37</f>
        <v>-2800120.4478450012</v>
      </c>
      <c r="R74" s="29">
        <f t="shared" ref="R74:T74" si="78">R16-R29-R30-R31-R32-R37</f>
        <v>0</v>
      </c>
      <c r="S74" s="180">
        <f t="shared" si="78"/>
        <v>-1882727</v>
      </c>
      <c r="T74" s="180">
        <f t="shared" si="78"/>
        <v>0</v>
      </c>
      <c r="U74" s="272">
        <f t="shared" si="74"/>
        <v>0</v>
      </c>
      <c r="V74" s="184">
        <f t="shared" ref="V74:W74" si="79">V16-V29-V30-V31-V32-V37</f>
        <v>0</v>
      </c>
      <c r="W74" s="29">
        <f t="shared" si="79"/>
        <v>0</v>
      </c>
      <c r="X74" s="180">
        <f t="shared" ref="X74:Y74" si="80">X16-X29-X30-X31-X32-X37</f>
        <v>0</v>
      </c>
      <c r="Y74" s="180">
        <f t="shared" si="80"/>
        <v>57460.12325825532</v>
      </c>
      <c r="Z74" s="29">
        <f t="shared" ref="Z74:AA74" si="81">Z16-Z29-Z30-Z31-Z32-Z37</f>
        <v>7388163.8750588959</v>
      </c>
      <c r="AA74" s="180">
        <f t="shared" si="81"/>
        <v>0</v>
      </c>
      <c r="AB74" s="184">
        <f t="shared" ref="AB74" si="82">AB16-AB29-AB30-AB31-AB32-AB37</f>
        <v>-1919593.5149526945</v>
      </c>
    </row>
    <row r="75" spans="1:28" x14ac:dyDescent="0.2">
      <c r="A75" s="14" t="s">
        <v>63</v>
      </c>
      <c r="B75" s="29">
        <f t="shared" si="73"/>
        <v>0</v>
      </c>
      <c r="C75" s="25"/>
      <c r="D75" s="12"/>
      <c r="E75" s="12"/>
      <c r="F75" s="12"/>
      <c r="G75" s="25"/>
      <c r="H75" s="12"/>
      <c r="I75" s="12"/>
      <c r="J75" s="12"/>
      <c r="K75" s="12"/>
      <c r="L75" s="25"/>
      <c r="M75" s="12"/>
      <c r="N75" s="12"/>
      <c r="O75" s="12"/>
      <c r="P75" s="57"/>
      <c r="Q75" s="12"/>
      <c r="R75" s="25"/>
      <c r="S75" s="12"/>
      <c r="T75" s="12"/>
      <c r="U75" s="12"/>
      <c r="V75" s="57"/>
      <c r="W75" s="25"/>
      <c r="X75" s="12"/>
      <c r="Y75" s="12"/>
      <c r="Z75" s="25"/>
      <c r="AA75" s="12"/>
      <c r="AB75" s="57"/>
    </row>
    <row r="76" spans="1:28" x14ac:dyDescent="0.2">
      <c r="A76" s="14" t="s">
        <v>64</v>
      </c>
      <c r="B76" s="29">
        <f t="shared" si="73"/>
        <v>0</v>
      </c>
      <c r="C76" s="26"/>
      <c r="D76" s="58"/>
      <c r="E76" s="58"/>
      <c r="F76" s="58"/>
      <c r="G76" s="26"/>
      <c r="H76" s="58"/>
      <c r="I76" s="58"/>
      <c r="J76" s="58"/>
      <c r="K76" s="58"/>
      <c r="L76" s="26"/>
      <c r="M76" s="58"/>
      <c r="N76" s="58"/>
      <c r="O76" s="58"/>
      <c r="P76" s="59"/>
      <c r="Q76" s="58"/>
      <c r="R76" s="26"/>
      <c r="S76" s="58"/>
      <c r="T76" s="58"/>
      <c r="U76" s="58"/>
      <c r="V76" s="59"/>
      <c r="W76" s="26"/>
      <c r="X76" s="58"/>
      <c r="Y76" s="58"/>
      <c r="Z76" s="26"/>
      <c r="AA76" s="58"/>
      <c r="AB76" s="59"/>
    </row>
    <row r="77" spans="1:28" x14ac:dyDescent="0.2">
      <c r="A77" s="14" t="s">
        <v>65</v>
      </c>
      <c r="B77" s="29">
        <f t="shared" si="73"/>
        <v>5529241.9064362869</v>
      </c>
      <c r="C77" s="26"/>
      <c r="D77" s="58"/>
      <c r="E77" s="58"/>
      <c r="F77" s="58"/>
      <c r="G77" s="26"/>
      <c r="H77" s="58"/>
      <c r="I77" s="58"/>
      <c r="J77" s="58"/>
      <c r="K77" s="58"/>
      <c r="L77" s="26"/>
      <c r="M77" s="58"/>
      <c r="N77" s="58"/>
      <c r="O77" s="58"/>
      <c r="P77" s="59"/>
      <c r="Q77" s="58"/>
      <c r="R77" s="26">
        <f>'Interest Calc'!C16</f>
        <v>5529241.9064362869</v>
      </c>
      <c r="S77" s="58"/>
      <c r="T77" s="58"/>
      <c r="U77" s="58"/>
      <c r="V77" s="59"/>
      <c r="W77" s="26"/>
      <c r="X77" s="58"/>
      <c r="Y77" s="58"/>
      <c r="Z77" s="26"/>
      <c r="AA77" s="58"/>
      <c r="AB77" s="59"/>
    </row>
    <row r="78" spans="1:28" x14ac:dyDescent="0.2">
      <c r="A78" s="14" t="s">
        <v>66</v>
      </c>
      <c r="B78" s="29">
        <f t="shared" si="73"/>
        <v>8396762.3531774096</v>
      </c>
      <c r="C78" s="26"/>
      <c r="D78" s="58"/>
      <c r="E78" s="58"/>
      <c r="F78" s="58"/>
      <c r="G78" s="26">
        <v>-1792218.5102371424</v>
      </c>
      <c r="H78" s="58"/>
      <c r="I78" s="58"/>
      <c r="J78" s="58"/>
      <c r="K78" s="58"/>
      <c r="L78" s="26"/>
      <c r="M78" s="58">
        <v>0</v>
      </c>
      <c r="N78" s="58"/>
      <c r="O78" s="58">
        <v>31844.514154724249</v>
      </c>
      <c r="P78" s="59"/>
      <c r="Q78" s="58"/>
      <c r="R78" s="26"/>
      <c r="S78" s="58"/>
      <c r="T78" s="58"/>
      <c r="U78" s="58">
        <f>SUM('[1]15.4_R'!$I$21:$I$26,'[1]15.4.1_R'!$I$10:$I$12,'[1]15.4.1_R'!$I$30)</f>
        <v>10157136.349259827</v>
      </c>
      <c r="V78" s="59">
        <v>0</v>
      </c>
      <c r="W78" s="26"/>
      <c r="X78" s="58"/>
      <c r="Y78" s="58"/>
      <c r="Z78" s="26"/>
      <c r="AA78" s="58"/>
      <c r="AB78" s="59"/>
    </row>
    <row r="79" spans="1:28" x14ac:dyDescent="0.2">
      <c r="A79" s="14" t="s">
        <v>67</v>
      </c>
      <c r="B79" s="29">
        <f t="shared" si="73"/>
        <v>12330612.238480803</v>
      </c>
      <c r="C79" s="66"/>
      <c r="D79" s="64"/>
      <c r="E79" s="64"/>
      <c r="F79" s="64"/>
      <c r="G79" s="66">
        <v>-5095190.2865554877</v>
      </c>
      <c r="H79" s="64"/>
      <c r="I79" s="64"/>
      <c r="J79" s="64"/>
      <c r="K79" s="64"/>
      <c r="L79" s="66"/>
      <c r="M79" s="64">
        <v>0</v>
      </c>
      <c r="N79" s="64"/>
      <c r="O79" s="64">
        <v>398274.12215308566</v>
      </c>
      <c r="P79" s="67"/>
      <c r="Q79" s="64"/>
      <c r="R79" s="66"/>
      <c r="S79" s="64"/>
      <c r="T79" s="64"/>
      <c r="U79" s="64">
        <f>SUM('[1]15.4_R'!$I$27:$I$31,'[1]15.4.1_R'!$I$14:$I$16,'[1]15.4.1_R'!$I$31)</f>
        <v>17027528.402883206</v>
      </c>
      <c r="V79" s="67">
        <v>0</v>
      </c>
      <c r="W79" s="66"/>
      <c r="X79" s="64"/>
      <c r="Y79" s="64"/>
      <c r="Z79" s="66"/>
      <c r="AA79" s="64"/>
      <c r="AB79" s="67"/>
    </row>
    <row r="80" spans="1:28" s="195" customFormat="1" x14ac:dyDescent="0.2">
      <c r="A80" s="190" t="s">
        <v>68</v>
      </c>
      <c r="B80" s="221">
        <f t="shared" si="73"/>
        <v>-6866283.3669426814</v>
      </c>
      <c r="C80" s="222">
        <f t="shared" ref="C80:O80" si="83">C74-C76-C77+C78-C79</f>
        <v>2301415.0116205518</v>
      </c>
      <c r="D80" s="212">
        <f t="shared" si="83"/>
        <v>-657128.6115679075</v>
      </c>
      <c r="E80" s="212">
        <f t="shared" si="83"/>
        <v>-204821.69754604981</v>
      </c>
      <c r="F80" s="212">
        <f t="shared" ref="F80" si="84">F74-F76-F77+F78-F79</f>
        <v>5649939.4866545945</v>
      </c>
      <c r="G80" s="222">
        <f t="shared" si="83"/>
        <v>3302971.7763183452</v>
      </c>
      <c r="H80" s="212">
        <f t="shared" si="83"/>
        <v>-1737553.6007930445</v>
      </c>
      <c r="I80" s="212">
        <f t="shared" si="83"/>
        <v>0</v>
      </c>
      <c r="J80" s="212">
        <f t="shared" si="83"/>
        <v>0</v>
      </c>
      <c r="K80" s="212">
        <f t="shared" ref="K80:L80" si="85">K74-K76-K77+K78-K79</f>
        <v>0</v>
      </c>
      <c r="L80" s="222">
        <f t="shared" si="85"/>
        <v>3444.1006326457582</v>
      </c>
      <c r="M80" s="212">
        <f t="shared" si="83"/>
        <v>0</v>
      </c>
      <c r="N80" s="212">
        <f t="shared" si="83"/>
        <v>-29810.318754325799</v>
      </c>
      <c r="O80" s="212">
        <f t="shared" si="83"/>
        <v>-1158021.3355822065</v>
      </c>
      <c r="P80" s="223">
        <f t="shared" ref="P80:S80" si="86">P74-P76-P77+P78-P79</f>
        <v>-2780267.2533850749</v>
      </c>
      <c r="Q80" s="212">
        <f t="shared" ref="Q80" si="87">Q74-Q76-Q77+Q78-Q79</f>
        <v>-2800120.4478450012</v>
      </c>
      <c r="R80" s="222">
        <f t="shared" si="86"/>
        <v>-5529241.9064362869</v>
      </c>
      <c r="S80" s="212">
        <f t="shared" si="86"/>
        <v>-1882727</v>
      </c>
      <c r="T80" s="212">
        <f>T74-T76-T77+T78-T79</f>
        <v>0</v>
      </c>
      <c r="U80" s="212">
        <f t="shared" ref="U80" si="88">U74-U76-U77+U78-U79</f>
        <v>-6870392.0536233783</v>
      </c>
      <c r="V80" s="223">
        <f t="shared" ref="V80:W80" si="89">V74-V76-V77+V78-V79</f>
        <v>0</v>
      </c>
      <c r="W80" s="222">
        <f t="shared" si="89"/>
        <v>0</v>
      </c>
      <c r="X80" s="212">
        <f t="shared" ref="X80:Y80" si="90">X74-X76-X77+X78-X79</f>
        <v>0</v>
      </c>
      <c r="Y80" s="212">
        <f t="shared" si="90"/>
        <v>57460.12325825532</v>
      </c>
      <c r="Z80" s="222">
        <f t="shared" ref="Z80:AA80" si="91">Z74-Z76-Z77+Z78-Z79</f>
        <v>7388163.8750588959</v>
      </c>
      <c r="AA80" s="212">
        <f t="shared" si="91"/>
        <v>0</v>
      </c>
      <c r="AB80" s="223">
        <f t="shared" ref="AB80" si="92">AB74-AB76-AB77+AB78-AB79</f>
        <v>-1919593.5149526945</v>
      </c>
    </row>
    <row r="81" spans="1:28" x14ac:dyDescent="0.2">
      <c r="A81" s="14"/>
      <c r="B81" s="25"/>
      <c r="C81" s="25"/>
      <c r="D81" s="12"/>
      <c r="E81" s="12"/>
      <c r="F81" s="12"/>
      <c r="G81" s="25"/>
      <c r="H81" s="12"/>
      <c r="I81" s="12"/>
      <c r="J81" s="12"/>
      <c r="K81" s="12"/>
      <c r="L81" s="25"/>
      <c r="M81" s="12"/>
      <c r="N81" s="12"/>
      <c r="O81" s="12"/>
      <c r="P81" s="57"/>
      <c r="Q81" s="12"/>
      <c r="R81" s="25"/>
      <c r="S81" s="12"/>
      <c r="T81" s="12"/>
      <c r="U81" s="12"/>
      <c r="V81" s="57"/>
      <c r="W81" s="25"/>
      <c r="X81" s="12"/>
      <c r="Y81" s="12"/>
      <c r="Z81" s="25"/>
      <c r="AA81" s="12"/>
      <c r="AB81" s="57"/>
    </row>
    <row r="82" spans="1:28" x14ac:dyDescent="0.2">
      <c r="A82" s="14" t="s">
        <v>69</v>
      </c>
      <c r="B82" s="30">
        <f>SUM(C82:AB82)</f>
        <v>0</v>
      </c>
      <c r="C82" s="25">
        <v>0</v>
      </c>
      <c r="D82" s="12">
        <v>0</v>
      </c>
      <c r="E82" s="12">
        <v>0</v>
      </c>
      <c r="F82" s="12">
        <v>0</v>
      </c>
      <c r="G82" s="25">
        <v>0</v>
      </c>
      <c r="H82" s="12">
        <v>0</v>
      </c>
      <c r="I82" s="12">
        <v>0</v>
      </c>
      <c r="J82" s="12">
        <v>0</v>
      </c>
      <c r="K82" s="12">
        <v>0</v>
      </c>
      <c r="L82" s="25">
        <v>0</v>
      </c>
      <c r="M82" s="12">
        <v>0</v>
      </c>
      <c r="N82" s="12"/>
      <c r="O82" s="12">
        <v>0</v>
      </c>
      <c r="P82" s="57">
        <v>0</v>
      </c>
      <c r="Q82" s="12">
        <v>0</v>
      </c>
      <c r="R82" s="25">
        <v>0</v>
      </c>
      <c r="S82" s="12">
        <v>0</v>
      </c>
      <c r="T82" s="12">
        <v>0</v>
      </c>
      <c r="U82" s="12">
        <v>0</v>
      </c>
      <c r="V82" s="57">
        <v>0</v>
      </c>
      <c r="W82" s="25">
        <v>0</v>
      </c>
      <c r="X82" s="12">
        <v>0</v>
      </c>
      <c r="Y82" s="12">
        <v>0</v>
      </c>
      <c r="Z82" s="25">
        <v>0</v>
      </c>
      <c r="AA82" s="12">
        <v>0</v>
      </c>
      <c r="AB82" s="57">
        <v>0</v>
      </c>
    </row>
    <row r="83" spans="1:28" s="195" customFormat="1" x14ac:dyDescent="0.2">
      <c r="A83" s="190" t="s">
        <v>70</v>
      </c>
      <c r="B83" s="224">
        <f>SUM(C83:AB83)</f>
        <v>-6866283.3669426814</v>
      </c>
      <c r="C83" s="197">
        <f>C80-C82</f>
        <v>2301415.0116205518</v>
      </c>
      <c r="D83" s="194">
        <f t="shared" ref="D83:U83" si="93">D80-D82</f>
        <v>-657128.6115679075</v>
      </c>
      <c r="E83" s="194">
        <f t="shared" ref="E83:F83" si="94">E80-E82</f>
        <v>-204821.69754604981</v>
      </c>
      <c r="F83" s="194">
        <f t="shared" si="94"/>
        <v>5649939.4866545945</v>
      </c>
      <c r="G83" s="197">
        <f t="shared" si="93"/>
        <v>3302971.7763183452</v>
      </c>
      <c r="H83" s="194">
        <f t="shared" si="93"/>
        <v>-1737553.6007930445</v>
      </c>
      <c r="I83" s="194">
        <f t="shared" si="93"/>
        <v>0</v>
      </c>
      <c r="J83" s="194">
        <f t="shared" si="93"/>
        <v>0</v>
      </c>
      <c r="K83" s="194">
        <f t="shared" ref="K83:L83" si="95">K80-K82</f>
        <v>0</v>
      </c>
      <c r="L83" s="197">
        <f t="shared" si="95"/>
        <v>3444.1006326457582</v>
      </c>
      <c r="M83" s="194">
        <f t="shared" si="93"/>
        <v>0</v>
      </c>
      <c r="N83" s="194">
        <f t="shared" si="93"/>
        <v>-29810.318754325799</v>
      </c>
      <c r="O83" s="194">
        <f t="shared" si="93"/>
        <v>-1158021.3355822065</v>
      </c>
      <c r="P83" s="198">
        <f t="shared" si="93"/>
        <v>-2780267.2533850749</v>
      </c>
      <c r="Q83" s="194">
        <f t="shared" ref="Q83" si="96">Q80-Q82</f>
        <v>-2800120.4478450012</v>
      </c>
      <c r="R83" s="197">
        <f t="shared" ref="R83:T83" si="97">R80-R82</f>
        <v>-5529241.9064362869</v>
      </c>
      <c r="S83" s="194">
        <f t="shared" si="97"/>
        <v>-1882727</v>
      </c>
      <c r="T83" s="194">
        <f t="shared" si="97"/>
        <v>0</v>
      </c>
      <c r="U83" s="194">
        <f t="shared" si="93"/>
        <v>-6870392.0536233783</v>
      </c>
      <c r="V83" s="198">
        <f t="shared" ref="V83:W83" si="98">V80-V82</f>
        <v>0</v>
      </c>
      <c r="W83" s="197">
        <f t="shared" si="98"/>
        <v>0</v>
      </c>
      <c r="X83" s="194">
        <f t="shared" ref="X83:Y83" si="99">X80-X82</f>
        <v>0</v>
      </c>
      <c r="Y83" s="194">
        <f t="shared" si="99"/>
        <v>57460.12325825532</v>
      </c>
      <c r="Z83" s="197">
        <f t="shared" ref="Z83:AA83" si="100">Z80-Z82</f>
        <v>7388163.8750588959</v>
      </c>
      <c r="AA83" s="194">
        <f t="shared" si="100"/>
        <v>0</v>
      </c>
      <c r="AB83" s="198">
        <f t="shared" ref="AB83" si="101">AB80-AB82</f>
        <v>-1919593.5149526945</v>
      </c>
    </row>
    <row r="84" spans="1:28" x14ac:dyDescent="0.2">
      <c r="A84" s="14"/>
      <c r="B84" s="30"/>
      <c r="C84" s="25"/>
      <c r="D84" s="12"/>
      <c r="E84" s="12"/>
      <c r="F84" s="12"/>
      <c r="G84" s="25"/>
      <c r="H84" s="12"/>
      <c r="I84" s="12"/>
      <c r="J84" s="12"/>
      <c r="K84" s="12"/>
      <c r="L84" s="25"/>
      <c r="M84" s="12"/>
      <c r="N84" s="12"/>
      <c r="O84" s="12"/>
      <c r="P84" s="57"/>
      <c r="Q84" s="12"/>
      <c r="R84" s="25"/>
      <c r="S84" s="12"/>
      <c r="T84" s="12"/>
      <c r="U84" s="12"/>
      <c r="V84" s="57"/>
      <c r="W84" s="25"/>
      <c r="X84" s="12"/>
      <c r="Y84" s="12"/>
      <c r="Z84" s="25"/>
      <c r="AA84" s="12"/>
      <c r="AB84" s="57"/>
    </row>
    <row r="85" spans="1:28" s="195" customFormat="1" x14ac:dyDescent="0.2">
      <c r="A85" s="190" t="s">
        <v>81</v>
      </c>
      <c r="B85" s="224">
        <f>SUM(C85:AB85)</f>
        <v>-1441919.5070579629</v>
      </c>
      <c r="C85" s="197">
        <f>C83*0.21</f>
        <v>483297.15244031587</v>
      </c>
      <c r="D85" s="194">
        <f t="shared" ref="D85:Z85" si="102">D83*0.21</f>
        <v>-137997.00842926058</v>
      </c>
      <c r="E85" s="194">
        <f t="shared" ref="E85:F85" si="103">E83*0.21</f>
        <v>-43012.556484670458</v>
      </c>
      <c r="F85" s="194">
        <f t="shared" si="103"/>
        <v>1186487.2921974647</v>
      </c>
      <c r="G85" s="197">
        <f t="shared" si="102"/>
        <v>693624.07302685245</v>
      </c>
      <c r="H85" s="194">
        <f t="shared" si="102"/>
        <v>-364886.25616653933</v>
      </c>
      <c r="I85" s="194">
        <f t="shared" si="102"/>
        <v>0</v>
      </c>
      <c r="J85" s="194">
        <f t="shared" si="102"/>
        <v>0</v>
      </c>
      <c r="K85" s="194">
        <f t="shared" si="102"/>
        <v>0</v>
      </c>
      <c r="L85" s="197">
        <f t="shared" si="102"/>
        <v>723.26113285560916</v>
      </c>
      <c r="M85" s="194">
        <f t="shared" si="102"/>
        <v>0</v>
      </c>
      <c r="N85" s="194">
        <f t="shared" si="102"/>
        <v>-6260.166938408418</v>
      </c>
      <c r="O85" s="194">
        <f t="shared" si="102"/>
        <v>-243184.48047226336</v>
      </c>
      <c r="P85" s="198">
        <f t="shared" si="102"/>
        <v>-583856.12321086565</v>
      </c>
      <c r="Q85" s="194">
        <f t="shared" ref="Q85" si="104">Q83*0.21</f>
        <v>-588025.29404745018</v>
      </c>
      <c r="R85" s="197">
        <f t="shared" si="102"/>
        <v>-1161140.8003516202</v>
      </c>
      <c r="S85" s="194">
        <f t="shared" si="102"/>
        <v>-395372.67</v>
      </c>
      <c r="T85" s="194">
        <f t="shared" si="102"/>
        <v>0</v>
      </c>
      <c r="U85" s="194">
        <f t="shared" si="102"/>
        <v>-1442782.3312609093</v>
      </c>
      <c r="V85" s="198">
        <f t="shared" ref="V85:W85" si="105">V83*0.21</f>
        <v>0</v>
      </c>
      <c r="W85" s="197">
        <f t="shared" si="105"/>
        <v>0</v>
      </c>
      <c r="X85" s="194">
        <f t="shared" ref="X85:Y85" si="106">X83*0.21</f>
        <v>0</v>
      </c>
      <c r="Y85" s="194">
        <f t="shared" si="106"/>
        <v>12066.625884233617</v>
      </c>
      <c r="Z85" s="197">
        <f t="shared" si="102"/>
        <v>1551514.413762368</v>
      </c>
      <c r="AA85" s="194">
        <f t="shared" ref="AA85:AB85" si="107">AA83*0.21</f>
        <v>0</v>
      </c>
      <c r="AB85" s="198">
        <f t="shared" si="107"/>
        <v>-403114.63814006583</v>
      </c>
    </row>
    <row r="86" spans="1:28" x14ac:dyDescent="0.2">
      <c r="A86" s="14" t="s">
        <v>128</v>
      </c>
      <c r="B86" s="30">
        <f>SUM(C86:AB86)</f>
        <v>-1785376.1653241599</v>
      </c>
      <c r="C86" s="25"/>
      <c r="D86" s="12"/>
      <c r="E86" s="12"/>
      <c r="F86" s="12"/>
      <c r="G86" s="25"/>
      <c r="H86" s="12"/>
      <c r="I86" s="12"/>
      <c r="J86" s="12"/>
      <c r="K86" s="12"/>
      <c r="L86" s="25"/>
      <c r="M86" s="12"/>
      <c r="N86" s="12"/>
      <c r="O86" s="12"/>
      <c r="P86" s="57"/>
      <c r="Q86" s="12"/>
      <c r="R86" s="25"/>
      <c r="S86" s="12"/>
      <c r="T86" s="12"/>
      <c r="U86" s="12"/>
      <c r="V86" s="57"/>
      <c r="W86" s="25"/>
      <c r="X86" s="12">
        <f>'[3]15.7'!$I$10</f>
        <v>-1688663.3462348077</v>
      </c>
      <c r="Y86" s="12"/>
      <c r="Z86" s="25"/>
      <c r="AA86" s="12"/>
      <c r="AB86" s="57">
        <f>'[5]16.3 - 16.3.1'!$I$90</f>
        <v>-96712.819089352153</v>
      </c>
    </row>
    <row r="87" spans="1:28" s="229" customFormat="1" ht="13.5" thickBot="1" x14ac:dyDescent="0.25">
      <c r="A87" s="190" t="s">
        <v>83</v>
      </c>
      <c r="B87" s="225">
        <f>SUM(C87:AB87)</f>
        <v>-3227295.6723821219</v>
      </c>
      <c r="C87" s="226">
        <f>C85+C86</f>
        <v>483297.15244031587</v>
      </c>
      <c r="D87" s="227">
        <f t="shared" ref="D87:U87" si="108">D85+D86</f>
        <v>-137997.00842926058</v>
      </c>
      <c r="E87" s="227">
        <f t="shared" ref="E87:F87" si="109">E85+E86</f>
        <v>-43012.556484670458</v>
      </c>
      <c r="F87" s="227">
        <f t="shared" si="109"/>
        <v>1186487.2921974647</v>
      </c>
      <c r="G87" s="226">
        <f t="shared" si="108"/>
        <v>693624.07302685245</v>
      </c>
      <c r="H87" s="227">
        <f t="shared" si="108"/>
        <v>-364886.25616653933</v>
      </c>
      <c r="I87" s="227">
        <f t="shared" si="108"/>
        <v>0</v>
      </c>
      <c r="J87" s="227">
        <f t="shared" si="108"/>
        <v>0</v>
      </c>
      <c r="K87" s="227">
        <f t="shared" ref="K87:L87" si="110">K85+K86</f>
        <v>0</v>
      </c>
      <c r="L87" s="226">
        <f t="shared" si="110"/>
        <v>723.26113285560916</v>
      </c>
      <c r="M87" s="227">
        <f t="shared" si="108"/>
        <v>0</v>
      </c>
      <c r="N87" s="227">
        <f t="shared" si="108"/>
        <v>-6260.166938408418</v>
      </c>
      <c r="O87" s="227">
        <f t="shared" si="108"/>
        <v>-243184.48047226336</v>
      </c>
      <c r="P87" s="228">
        <f t="shared" si="108"/>
        <v>-583856.12321086565</v>
      </c>
      <c r="Q87" s="227">
        <f t="shared" ref="Q87" si="111">Q85+Q86</f>
        <v>-588025.29404745018</v>
      </c>
      <c r="R87" s="226">
        <f t="shared" ref="R87:T87" si="112">R85+R86</f>
        <v>-1161140.8003516202</v>
      </c>
      <c r="S87" s="227">
        <f t="shared" si="112"/>
        <v>-395372.67</v>
      </c>
      <c r="T87" s="227">
        <f t="shared" si="112"/>
        <v>0</v>
      </c>
      <c r="U87" s="227">
        <f t="shared" si="108"/>
        <v>-1442782.3312609093</v>
      </c>
      <c r="V87" s="228">
        <f t="shared" ref="V87:W87" si="113">V85+V86</f>
        <v>0</v>
      </c>
      <c r="W87" s="226">
        <f t="shared" si="113"/>
        <v>0</v>
      </c>
      <c r="X87" s="227">
        <f t="shared" ref="X87:Y87" si="114">X85+X86</f>
        <v>-1688663.3462348077</v>
      </c>
      <c r="Y87" s="227">
        <f t="shared" si="114"/>
        <v>12066.625884233617</v>
      </c>
      <c r="Z87" s="226">
        <f t="shared" ref="Z87:AA87" si="115">Z85+Z86</f>
        <v>1551514.413762368</v>
      </c>
      <c r="AA87" s="227">
        <f t="shared" si="115"/>
        <v>0</v>
      </c>
      <c r="AB87" s="228">
        <f t="shared" ref="AB87" si="116">AB85+AB86</f>
        <v>-499827.45722941798</v>
      </c>
    </row>
    <row r="88" spans="1:28" s="2" customForma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s="2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</row>
    <row r="90" spans="1:28" s="2" customFormat="1" x14ac:dyDescent="0.2">
      <c r="A90" s="19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</row>
    <row r="91" spans="1:28" s="2" customFormat="1" x14ac:dyDescent="0.2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</row>
    <row r="92" spans="1:28" s="2" customFormat="1" x14ac:dyDescent="0.2">
      <c r="A92" s="14"/>
      <c r="C92" s="130"/>
    </row>
    <row r="93" spans="1:28" s="2" customFormat="1" x14ac:dyDescent="0.2">
      <c r="A93" s="14"/>
    </row>
    <row r="94" spans="1:28" s="2" customFormat="1" x14ac:dyDescent="0.2">
      <c r="A94" s="112"/>
    </row>
    <row r="95" spans="1:28" x14ac:dyDescent="0.2">
      <c r="A95" s="4"/>
      <c r="B95" s="2"/>
      <c r="C95" s="2"/>
    </row>
    <row r="96" spans="1:28" x14ac:dyDescent="0.2">
      <c r="A96" s="4"/>
      <c r="B96" s="2"/>
      <c r="C96" s="2"/>
    </row>
    <row r="97" spans="1:3" x14ac:dyDescent="0.2">
      <c r="A97" s="4"/>
      <c r="B97" s="2"/>
      <c r="C97" s="2"/>
    </row>
    <row r="98" spans="1:3" x14ac:dyDescent="0.2">
      <c r="A98" s="4"/>
      <c r="B98" s="2"/>
      <c r="C98" s="2"/>
    </row>
    <row r="99" spans="1:3" x14ac:dyDescent="0.2">
      <c r="A99" s="4"/>
      <c r="B99" s="2"/>
      <c r="C99" s="2"/>
    </row>
    <row r="100" spans="1:3" x14ac:dyDescent="0.2">
      <c r="A100" s="4"/>
      <c r="B100" s="2"/>
      <c r="C100" s="2"/>
    </row>
    <row r="101" spans="1:3" x14ac:dyDescent="0.2">
      <c r="A101" s="4"/>
      <c r="B101" s="2"/>
      <c r="C101" s="2"/>
    </row>
    <row r="102" spans="1:3" x14ac:dyDescent="0.2">
      <c r="A102" s="4"/>
      <c r="B102" s="2"/>
      <c r="C102" s="2"/>
    </row>
    <row r="103" spans="1:3" x14ac:dyDescent="0.2">
      <c r="A103" s="4"/>
      <c r="B103" s="2"/>
      <c r="C103" s="2"/>
    </row>
    <row r="104" spans="1:3" x14ac:dyDescent="0.2">
      <c r="A104" s="4"/>
      <c r="B104" s="2"/>
      <c r="C104" s="2"/>
    </row>
    <row r="105" spans="1:3" x14ac:dyDescent="0.2">
      <c r="A105" s="4"/>
      <c r="B105" s="2"/>
      <c r="C105" s="2"/>
    </row>
    <row r="106" spans="1:3" x14ac:dyDescent="0.2">
      <c r="B106" s="2"/>
      <c r="C106" s="2"/>
    </row>
    <row r="107" spans="1:3" x14ac:dyDescent="0.2">
      <c r="B107" s="2"/>
      <c r="C107" s="2"/>
    </row>
    <row r="108" spans="1:3" x14ac:dyDescent="0.2">
      <c r="B108" s="2"/>
      <c r="C108" s="2"/>
    </row>
    <row r="109" spans="1:3" x14ac:dyDescent="0.2">
      <c r="B109" s="2"/>
      <c r="C109" s="2"/>
    </row>
  </sheetData>
  <mergeCells count="6">
    <mergeCell ref="C7:F7"/>
    <mergeCell ref="Z7:AB7"/>
    <mergeCell ref="R7:V7"/>
    <mergeCell ref="W7:Y7"/>
    <mergeCell ref="G7:K7"/>
    <mergeCell ref="L7:P7"/>
  </mergeCells>
  <phoneticPr fontId="5" type="noConversion"/>
  <pageMargins left="1" right="0.5" top="1" bottom="0.5" header="0.4" footer="0.5"/>
  <pageSetup scale="63" firstPageNumber="4" fitToWidth="0" orientation="portrait" useFirstPageNumber="1" r:id="rId1"/>
  <headerFooter alignWithMargins="0">
    <oddHeader xml:space="preserve">&amp;L&amp;"Arial,Bold"&amp;12PacifiCorp
Washington 2023 General Rate Case
Summary of  2025 Pro Forma Adjustments&amp;"Arial,Regular"&amp;10
&amp;R&amp;12Page &amp;P
&amp;10
</oddHeader>
  </headerFooter>
  <colBreaks count="4" manualBreakCount="4">
    <brk id="6" min="6" max="86" man="1"/>
    <brk id="11" min="6" max="86" man="1"/>
    <brk id="16" min="6" max="86" man="1"/>
    <brk id="22" min="6" max="86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B1:D31"/>
  <sheetViews>
    <sheetView showOutlineSymbols="0" zoomScaleNormal="100" workbookViewId="0">
      <selection activeCell="C22" sqref="C22"/>
    </sheetView>
  </sheetViews>
  <sheetFormatPr defaultRowHeight="12.75" x14ac:dyDescent="0.2"/>
  <cols>
    <col min="1" max="1" width="3.140625" style="19" customWidth="1"/>
    <col min="2" max="2" width="42.28515625" style="19" customWidth="1"/>
    <col min="3" max="3" width="16.28515625" style="19" customWidth="1"/>
    <col min="4" max="4" width="28.28515625" style="19" bestFit="1" customWidth="1"/>
    <col min="5" max="5" width="14" style="19" bestFit="1" customWidth="1"/>
    <col min="6" max="16384" width="9.140625" style="19"/>
  </cols>
  <sheetData>
    <row r="1" spans="2:4" x14ac:dyDescent="0.2">
      <c r="B1" s="23" t="s">
        <v>6</v>
      </c>
    </row>
    <row r="2" spans="2:4" x14ac:dyDescent="0.2">
      <c r="B2" s="23" t="str">
        <f>Summary!A2</f>
        <v>Washington 2023 General Rate Case</v>
      </c>
    </row>
    <row r="3" spans="2:4" x14ac:dyDescent="0.2">
      <c r="B3" s="23" t="s">
        <v>208</v>
      </c>
    </row>
    <row r="5" spans="2:4" x14ac:dyDescent="0.2">
      <c r="B5" s="24" t="s">
        <v>147</v>
      </c>
      <c r="D5" s="48" t="s">
        <v>96</v>
      </c>
    </row>
    <row r="6" spans="2:4" x14ac:dyDescent="0.2">
      <c r="B6" s="19" t="s">
        <v>152</v>
      </c>
      <c r="C6" s="3">
        <f>Summary!B74</f>
        <v>28479172.499058776</v>
      </c>
      <c r="D6" s="172" t="s">
        <v>240</v>
      </c>
    </row>
    <row r="7" spans="2:4" x14ac:dyDescent="0.2">
      <c r="D7" s="160"/>
    </row>
    <row r="8" spans="2:4" x14ac:dyDescent="0.2">
      <c r="D8" s="160"/>
    </row>
    <row r="9" spans="2:4" x14ac:dyDescent="0.2">
      <c r="B9" s="24" t="s">
        <v>148</v>
      </c>
    </row>
    <row r="10" spans="2:4" x14ac:dyDescent="0.2">
      <c r="B10" s="19" t="s">
        <v>78</v>
      </c>
      <c r="C10" s="3">
        <f>Summary!J64</f>
        <v>1338913952.9722466</v>
      </c>
      <c r="D10" s="172" t="s">
        <v>241</v>
      </c>
    </row>
    <row r="11" spans="2:4" x14ac:dyDescent="0.2">
      <c r="B11" s="19" t="s">
        <v>79</v>
      </c>
      <c r="C11" s="44">
        <f>Variables!$E$8</f>
        <v>2.5399999999999999E-2</v>
      </c>
      <c r="D11" s="19" t="s">
        <v>242</v>
      </c>
    </row>
    <row r="12" spans="2:4" x14ac:dyDescent="0.2">
      <c r="B12" s="19" t="s">
        <v>80</v>
      </c>
      <c r="C12" s="3">
        <f>C10*C11</f>
        <v>34008414.405495062</v>
      </c>
      <c r="D12" s="172"/>
    </row>
    <row r="14" spans="2:4" x14ac:dyDescent="0.2">
      <c r="B14" s="19" t="s">
        <v>77</v>
      </c>
      <c r="C14" s="3">
        <f>Summary!B74</f>
        <v>28479172.499058776</v>
      </c>
      <c r="D14" s="19" t="s">
        <v>95</v>
      </c>
    </row>
    <row r="16" spans="2:4" x14ac:dyDescent="0.2">
      <c r="B16" s="19" t="s">
        <v>149</v>
      </c>
      <c r="C16" s="3">
        <f>C12-C14</f>
        <v>5529241.9064362869</v>
      </c>
      <c r="D16" s="160"/>
    </row>
    <row r="17" spans="2:4" x14ac:dyDescent="0.2">
      <c r="D17" s="160"/>
    </row>
    <row r="18" spans="2:4" x14ac:dyDescent="0.2">
      <c r="D18" s="160"/>
    </row>
    <row r="19" spans="2:4" x14ac:dyDescent="0.2">
      <c r="B19" s="23"/>
      <c r="D19" s="160"/>
    </row>
    <row r="20" spans="2:4" x14ac:dyDescent="0.2">
      <c r="C20" s="178"/>
      <c r="D20" s="172"/>
    </row>
    <row r="21" spans="2:4" x14ac:dyDescent="0.2">
      <c r="C21" s="179"/>
    </row>
    <row r="22" spans="2:4" x14ac:dyDescent="0.2">
      <c r="C22" s="178"/>
      <c r="D22" s="172"/>
    </row>
    <row r="24" spans="2:4" x14ac:dyDescent="0.2">
      <c r="C24" s="178"/>
      <c r="D24" s="172"/>
    </row>
    <row r="25" spans="2:4" x14ac:dyDescent="0.2">
      <c r="D25" s="160"/>
    </row>
    <row r="26" spans="2:4" x14ac:dyDescent="0.2">
      <c r="C26" s="178"/>
    </row>
    <row r="27" spans="2:4" x14ac:dyDescent="0.2">
      <c r="D27" s="160"/>
    </row>
    <row r="28" spans="2:4" x14ac:dyDescent="0.2">
      <c r="D28" s="160"/>
    </row>
    <row r="29" spans="2:4" x14ac:dyDescent="0.2">
      <c r="D29" s="160"/>
    </row>
    <row r="30" spans="2:4" x14ac:dyDescent="0.2">
      <c r="D30" s="160"/>
    </row>
    <row r="31" spans="2:4" x14ac:dyDescent="0.2">
      <c r="D31" s="160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B1:H50"/>
  <sheetViews>
    <sheetView showOutlineSymbols="0" topLeftCell="B1" workbookViewId="0">
      <selection activeCell="H32" sqref="H32"/>
    </sheetView>
  </sheetViews>
  <sheetFormatPr defaultRowHeight="12.75" x14ac:dyDescent="0.2"/>
  <cols>
    <col min="1" max="1" width="3.85546875" style="19" customWidth="1"/>
    <col min="2" max="4" width="15.7109375" style="19" customWidth="1"/>
    <col min="5" max="5" width="18.85546875" style="19" customWidth="1"/>
    <col min="6" max="6" width="21.7109375" style="19" customWidth="1"/>
    <col min="7" max="7" width="2.28515625" style="19" customWidth="1"/>
    <col min="8" max="8" width="23" style="19" customWidth="1"/>
    <col min="9" max="16384" width="9.140625" style="19"/>
  </cols>
  <sheetData>
    <row r="1" spans="2:8" x14ac:dyDescent="0.2">
      <c r="B1" s="23" t="s">
        <v>6</v>
      </c>
      <c r="H1" s="185"/>
    </row>
    <row r="2" spans="2:8" x14ac:dyDescent="0.2">
      <c r="B2" s="23" t="s">
        <v>127</v>
      </c>
    </row>
    <row r="3" spans="2:8" x14ac:dyDescent="0.2">
      <c r="B3" s="23" t="s">
        <v>94</v>
      </c>
    </row>
    <row r="4" spans="2:8" x14ac:dyDescent="0.2">
      <c r="B4" s="23" t="s">
        <v>224</v>
      </c>
    </row>
    <row r="6" spans="2:8" x14ac:dyDescent="0.2">
      <c r="B6" s="23" t="s">
        <v>243</v>
      </c>
      <c r="C6" s="41"/>
      <c r="D6" s="41"/>
      <c r="E6" s="41"/>
    </row>
    <row r="7" spans="2:8" s="40" customFormat="1" x14ac:dyDescent="0.2">
      <c r="B7" s="36"/>
      <c r="C7" s="36" t="s">
        <v>0</v>
      </c>
      <c r="D7" s="37" t="s">
        <v>1</v>
      </c>
      <c r="E7" s="36" t="s">
        <v>2</v>
      </c>
      <c r="G7" s="183"/>
    </row>
    <row r="8" spans="2:8" x14ac:dyDescent="0.2">
      <c r="B8" s="38" t="s">
        <v>3</v>
      </c>
      <c r="C8" s="129">
        <v>0.49990000000000001</v>
      </c>
      <c r="D8" s="130">
        <v>5.0900000000000001E-2</v>
      </c>
      <c r="E8" s="234">
        <f>ROUND(C8*D8,4)</f>
        <v>2.5399999999999999E-2</v>
      </c>
    </row>
    <row r="9" spans="2:8" x14ac:dyDescent="0.2">
      <c r="B9" s="38" t="s">
        <v>4</v>
      </c>
      <c r="C9" s="129">
        <v>1E-4</v>
      </c>
      <c r="D9" s="130">
        <v>6.7500000000000004E-2</v>
      </c>
      <c r="E9" s="234">
        <f t="shared" ref="E9:E10" si="0">ROUND(C9*D9,4)</f>
        <v>0</v>
      </c>
    </row>
    <row r="10" spans="2:8" x14ac:dyDescent="0.2">
      <c r="B10" s="39" t="s">
        <v>5</v>
      </c>
      <c r="C10" s="131">
        <v>0.5</v>
      </c>
      <c r="D10" s="132">
        <v>9.5000000000000001E-2</v>
      </c>
      <c r="E10" s="235">
        <f t="shared" si="0"/>
        <v>4.7500000000000001E-2</v>
      </c>
    </row>
    <row r="11" spans="2:8" x14ac:dyDescent="0.2">
      <c r="E11" s="233">
        <f>(SUM(E8:E10))</f>
        <v>7.2899999999999993E-2</v>
      </c>
    </row>
    <row r="16" spans="2:8" x14ac:dyDescent="0.2">
      <c r="B16" s="187" t="s">
        <v>244</v>
      </c>
      <c r="C16" s="188"/>
      <c r="D16" s="188"/>
      <c r="E16" s="188"/>
    </row>
    <row r="17" spans="2:6" x14ac:dyDescent="0.2">
      <c r="B17" s="19" t="s">
        <v>62</v>
      </c>
      <c r="D17" s="31">
        <v>1</v>
      </c>
    </row>
    <row r="18" spans="2:6" x14ac:dyDescent="0.2">
      <c r="D18" s="31"/>
    </row>
    <row r="19" spans="2:6" x14ac:dyDescent="0.2">
      <c r="B19" s="19" t="s">
        <v>86</v>
      </c>
      <c r="D19" s="31"/>
    </row>
    <row r="20" spans="2:6" x14ac:dyDescent="0.2">
      <c r="B20" s="19" t="s">
        <v>87</v>
      </c>
      <c r="D20" s="133">
        <v>5.5958046338404543E-3</v>
      </c>
      <c r="F20" s="47"/>
    </row>
    <row r="21" spans="2:6" x14ac:dyDescent="0.2">
      <c r="B21" s="19" t="s">
        <v>85</v>
      </c>
      <c r="D21" s="133">
        <v>4.0000000000000001E-3</v>
      </c>
    </row>
    <row r="22" spans="2:6" x14ac:dyDescent="0.2">
      <c r="B22" s="19" t="s">
        <v>125</v>
      </c>
      <c r="D22" s="133">
        <v>3.8733999999999998E-2</v>
      </c>
    </row>
    <row r="23" spans="2:6" x14ac:dyDescent="0.2">
      <c r="B23" s="19" t="s">
        <v>88</v>
      </c>
      <c r="D23" s="133">
        <v>0</v>
      </c>
    </row>
    <row r="24" spans="2:6" x14ac:dyDescent="0.2">
      <c r="B24" s="19" t="s">
        <v>89</v>
      </c>
      <c r="D24" s="132">
        <v>0</v>
      </c>
    </row>
    <row r="25" spans="2:6" x14ac:dyDescent="0.2">
      <c r="D25" s="31"/>
    </row>
    <row r="26" spans="2:6" x14ac:dyDescent="0.2">
      <c r="B26" s="19" t="s">
        <v>90</v>
      </c>
      <c r="D26" s="43">
        <f>D17-SUM(D19:D24)</f>
        <v>0.95167019536615949</v>
      </c>
    </row>
    <row r="27" spans="2:6" x14ac:dyDescent="0.2">
      <c r="D27" s="31"/>
    </row>
    <row r="28" spans="2:6" x14ac:dyDescent="0.2">
      <c r="B28" s="19" t="s">
        <v>92</v>
      </c>
      <c r="D28" s="32">
        <v>0</v>
      </c>
    </row>
    <row r="29" spans="2:6" x14ac:dyDescent="0.2">
      <c r="D29" s="31"/>
    </row>
    <row r="30" spans="2:6" x14ac:dyDescent="0.2">
      <c r="B30" s="19" t="s">
        <v>90</v>
      </c>
      <c r="D30" s="43">
        <f>D26-D28</f>
        <v>0.95167019536615949</v>
      </c>
    </row>
    <row r="31" spans="2:6" x14ac:dyDescent="0.2">
      <c r="D31" s="31"/>
    </row>
    <row r="32" spans="2:6" x14ac:dyDescent="0.2">
      <c r="B32" s="19" t="s">
        <v>126</v>
      </c>
      <c r="D32" s="32">
        <f>D30*0.21</f>
        <v>0.19985074102689349</v>
      </c>
    </row>
    <row r="33" spans="2:8" x14ac:dyDescent="0.2">
      <c r="D33" s="44"/>
    </row>
    <row r="34" spans="2:8" ht="13.5" thickBot="1" x14ac:dyDescent="0.25">
      <c r="B34" s="19" t="s">
        <v>91</v>
      </c>
      <c r="D34" s="45">
        <f>ROUND(D30-D32,5)</f>
        <v>0.75182000000000004</v>
      </c>
    </row>
    <row r="35" spans="2:8" ht="13.5" thickTop="1" x14ac:dyDescent="0.2">
      <c r="D35" s="46"/>
    </row>
    <row r="37" spans="2:8" s="273" customFormat="1" x14ac:dyDescent="0.2">
      <c r="B37" s="273" t="s">
        <v>210</v>
      </c>
      <c r="F37" s="274">
        <v>3.5866000000000002E-2</v>
      </c>
    </row>
    <row r="38" spans="2:8" s="273" customFormat="1" ht="5.25" customHeight="1" x14ac:dyDescent="0.2">
      <c r="B38" s="275"/>
      <c r="F38" s="276"/>
    </row>
    <row r="39" spans="2:8" s="273" customFormat="1" x14ac:dyDescent="0.2">
      <c r="B39" s="277" t="s">
        <v>211</v>
      </c>
      <c r="F39" s="274">
        <v>0.245866</v>
      </c>
    </row>
    <row r="40" spans="2:8" s="273" customFormat="1" ht="3.75" customHeight="1" thickBot="1" x14ac:dyDescent="0.25"/>
    <row r="41" spans="2:8" s="273" customFormat="1" ht="13.5" thickBot="1" x14ac:dyDescent="0.25">
      <c r="B41" s="278" t="s">
        <v>212</v>
      </c>
      <c r="C41" s="279"/>
      <c r="D41" s="279"/>
      <c r="E41" s="279"/>
      <c r="F41" s="280">
        <f>ROUND(F37/F39,8)</f>
        <v>0.14587621000000001</v>
      </c>
    </row>
    <row r="42" spans="2:8" s="273" customFormat="1" x14ac:dyDescent="0.2"/>
    <row r="43" spans="2:8" s="273" customFormat="1" x14ac:dyDescent="0.2">
      <c r="F43" s="281"/>
      <c r="H43" s="282"/>
    </row>
    <row r="44" spans="2:8" s="273" customFormat="1" x14ac:dyDescent="0.2">
      <c r="E44" s="283"/>
      <c r="F44" s="283"/>
      <c r="H44" s="284"/>
    </row>
    <row r="45" spans="2:8" s="273" customFormat="1" x14ac:dyDescent="0.2">
      <c r="E45" s="15"/>
      <c r="F45" s="285"/>
      <c r="H45" s="255"/>
    </row>
    <row r="46" spans="2:8" s="273" customFormat="1" x14ac:dyDescent="0.2">
      <c r="H46" s="255"/>
    </row>
    <row r="47" spans="2:8" s="273" customFormat="1" x14ac:dyDescent="0.2">
      <c r="E47" s="15"/>
      <c r="F47" s="15"/>
      <c r="H47" s="255"/>
    </row>
    <row r="48" spans="2:8" s="273" customFormat="1" x14ac:dyDescent="0.2">
      <c r="H48" s="284"/>
    </row>
    <row r="49" spans="6:6" s="273" customFormat="1" x14ac:dyDescent="0.2"/>
    <row r="50" spans="6:6" x14ac:dyDescent="0.2">
      <c r="F50" s="180"/>
    </row>
  </sheetData>
  <phoneticPr fontId="5" type="noConversion"/>
  <pageMargins left="0.7" right="0.7" top="0.75" bottom="0.75" header="0.3" footer="0.3"/>
  <pageSetup fitToHeight="0"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59"/>
  <sheetViews>
    <sheetView showOutlineSymbols="0" workbookViewId="0">
      <selection activeCell="F38" sqref="F38"/>
    </sheetView>
  </sheetViews>
  <sheetFormatPr defaultRowHeight="11.25" x14ac:dyDescent="0.2"/>
  <cols>
    <col min="1" max="1" width="4.28515625" style="51" customWidth="1"/>
    <col min="2" max="2" width="11.140625" style="113" customWidth="1"/>
    <col min="3" max="3" width="51.5703125" style="51" customWidth="1"/>
    <col min="4" max="4" width="10.7109375" style="51" customWidth="1"/>
    <col min="5" max="5" width="12" style="51" bestFit="1" customWidth="1"/>
    <col min="6" max="6" width="10.7109375" style="51" customWidth="1"/>
    <col min="7" max="7" width="16" style="51" bestFit="1" customWidth="1"/>
    <col min="8" max="8" width="10.42578125" style="51" bestFit="1" customWidth="1"/>
    <col min="9" max="16384" width="9.140625" style="51"/>
  </cols>
  <sheetData>
    <row r="1" spans="1:9" ht="19.5" x14ac:dyDescent="0.3">
      <c r="A1" s="119" t="s">
        <v>111</v>
      </c>
      <c r="C1" s="120"/>
      <c r="D1" s="120"/>
      <c r="E1" s="120"/>
      <c r="F1" s="120"/>
      <c r="G1" s="120"/>
    </row>
    <row r="2" spans="1:9" ht="6" customHeight="1" x14ac:dyDescent="0.2">
      <c r="A2" s="121"/>
    </row>
    <row r="3" spans="1:9" ht="12.75" customHeight="1" x14ac:dyDescent="0.2">
      <c r="A3" s="263" t="s">
        <v>231</v>
      </c>
      <c r="B3" s="263"/>
      <c r="C3" s="263"/>
      <c r="D3" s="263"/>
      <c r="E3" s="263"/>
      <c r="F3" s="263"/>
      <c r="G3" s="263"/>
    </row>
    <row r="4" spans="1:9" ht="12.75" customHeight="1" x14ac:dyDescent="0.2">
      <c r="A4" s="263"/>
      <c r="B4" s="263"/>
      <c r="C4" s="263"/>
      <c r="D4" s="263"/>
      <c r="E4" s="263"/>
      <c r="F4" s="263"/>
      <c r="G4" s="263"/>
    </row>
    <row r="5" spans="1:9" ht="12.75" x14ac:dyDescent="0.2">
      <c r="B5" s="40"/>
    </row>
    <row r="6" spans="1:9" x14ac:dyDescent="0.2">
      <c r="B6" s="128" t="s">
        <v>117</v>
      </c>
      <c r="C6" s="128" t="s">
        <v>118</v>
      </c>
      <c r="D6" s="128" t="s">
        <v>119</v>
      </c>
      <c r="E6" s="128" t="s">
        <v>120</v>
      </c>
      <c r="F6" s="128" t="s">
        <v>121</v>
      </c>
      <c r="G6" s="128" t="s">
        <v>122</v>
      </c>
    </row>
    <row r="7" spans="1:9" x14ac:dyDescent="0.2">
      <c r="D7" s="122" t="s">
        <v>106</v>
      </c>
      <c r="E7" s="123" t="s">
        <v>107</v>
      </c>
      <c r="F7" s="122" t="s">
        <v>108</v>
      </c>
      <c r="G7" s="177" t="s">
        <v>96</v>
      </c>
    </row>
    <row r="8" spans="1:9" x14ac:dyDescent="0.2">
      <c r="C8" s="114" t="s">
        <v>187</v>
      </c>
      <c r="D8" s="115">
        <f>Summary!F37</f>
        <v>81593197.826213479</v>
      </c>
      <c r="E8" s="115">
        <f>Summary!F64</f>
        <v>1119248309.3498375</v>
      </c>
      <c r="F8" s="115">
        <f>-(D8-(E8*Overall_ROR))/gross_up_factor-Summary!F68</f>
        <v>0</v>
      </c>
      <c r="G8" s="50"/>
    </row>
    <row r="9" spans="1:9" x14ac:dyDescent="0.2">
      <c r="C9" s="114"/>
      <c r="D9" s="115"/>
      <c r="E9" s="115"/>
      <c r="F9" s="115"/>
      <c r="G9" s="50"/>
    </row>
    <row r="10" spans="1:9" s="126" customFormat="1" ht="24.75" customHeight="1" x14ac:dyDescent="0.2">
      <c r="A10" s="124" t="s">
        <v>116</v>
      </c>
      <c r="B10" s="124" t="s">
        <v>115</v>
      </c>
      <c r="C10" s="124"/>
      <c r="D10" s="124"/>
      <c r="E10" s="124"/>
      <c r="F10" s="125"/>
      <c r="G10" s="125"/>
    </row>
    <row r="11" spans="1:9" x14ac:dyDescent="0.2">
      <c r="A11" s="113">
        <v>1</v>
      </c>
      <c r="B11" s="113" t="str">
        <f t="array" ref="B11:B14">TRANSPOSE('Pro Forma Adj'!C8:F8)</f>
        <v>13.1</v>
      </c>
      <c r="C11" s="51" t="str">
        <f t="array" ref="C11:C14">TRANSPOSE('Pro Forma Adj'!C9:F9)</f>
        <v>Wheeling Revenues - 
Year 2</v>
      </c>
      <c r="D11" s="50">
        <f t="array" ref="D11:D14">TRANSPOSE('Pro Forma Adj'!C40:F40)</f>
        <v>1818117.859180236</v>
      </c>
      <c r="E11" s="50">
        <f t="array" ref="E11:E14">TRANSPOSE('Pro Forma Adj'!C67:F67)</f>
        <v>0</v>
      </c>
      <c r="F11" s="50">
        <f t="shared" ref="F11:F27" si="0">-(D11-(E11*Overall_ROR))/gross_up_factor</f>
        <v>-2418288.7648376417</v>
      </c>
      <c r="G11" s="50"/>
      <c r="H11" s="53"/>
    </row>
    <row r="12" spans="1:9" x14ac:dyDescent="0.2">
      <c r="A12" s="113">
        <f>A11+1</f>
        <v>2</v>
      </c>
      <c r="B12" s="113" t="str">
        <v>13.2_R</v>
      </c>
      <c r="C12" s="51" t="str">
        <v xml:space="preserve">General Wage Increase (Pro Forma) - 
Year 2 </v>
      </c>
      <c r="D12" s="50">
        <v>-519131.60313864693</v>
      </c>
      <c r="E12" s="50">
        <v>0</v>
      </c>
      <c r="F12" s="50">
        <f t="shared" si="0"/>
        <v>690499.85786311468</v>
      </c>
      <c r="G12" s="50"/>
    </row>
    <row r="13" spans="1:9" x14ac:dyDescent="0.2">
      <c r="A13" s="113">
        <f t="shared" ref="A13:A51" si="1">A12+1</f>
        <v>3</v>
      </c>
      <c r="B13" s="113" t="str">
        <v>13.3_R</v>
      </c>
      <c r="C13" s="51" t="str">
        <v>Pryor Mountain REC Revenues - Year 2</v>
      </c>
      <c r="D13" s="116">
        <v>-161809.14106137934</v>
      </c>
      <c r="E13" s="116">
        <v>0</v>
      </c>
      <c r="F13" s="116">
        <f>-(D13-(E13*Overall_ROR))/gross_up_factor</f>
        <v>215223.24633739371</v>
      </c>
      <c r="G13" s="116"/>
    </row>
    <row r="14" spans="1:9" x14ac:dyDescent="0.2">
      <c r="A14" s="113">
        <f t="shared" si="1"/>
        <v>4</v>
      </c>
      <c r="B14" s="113" t="str">
        <v>13.4</v>
      </c>
      <c r="C14" s="51" t="str">
        <v>Net Power Cost - Year 2</v>
      </c>
      <c r="D14" s="52">
        <v>4463452.1944571305</v>
      </c>
      <c r="E14" s="52">
        <v>0</v>
      </c>
      <c r="F14" s="52">
        <f>-(D14-(E14*Overall_ROR))/gross_up_factor</f>
        <v>-5936862.8055347428</v>
      </c>
      <c r="G14" s="116"/>
    </row>
    <row r="15" spans="1:9" x14ac:dyDescent="0.2">
      <c r="A15" s="113">
        <f t="shared" si="1"/>
        <v>5</v>
      </c>
      <c r="C15" s="114" t="s">
        <v>188</v>
      </c>
      <c r="D15" s="115">
        <f t="shared" ref="D15:E15" si="2">SUM(D11:D14)</f>
        <v>5600629.3094373401</v>
      </c>
      <c r="E15" s="115">
        <f t="shared" si="2"/>
        <v>0</v>
      </c>
      <c r="F15" s="115">
        <f>SUM(F11:F14)</f>
        <v>-7449428.4661718756</v>
      </c>
      <c r="G15" s="50"/>
      <c r="H15" s="134">
        <f>SUM('Pro Forma Adj'!C71:F71)-F15</f>
        <v>0</v>
      </c>
      <c r="I15" s="51" t="s">
        <v>124</v>
      </c>
    </row>
    <row r="16" spans="1:9" x14ac:dyDescent="0.2">
      <c r="A16" s="113">
        <f t="shared" si="1"/>
        <v>6</v>
      </c>
      <c r="D16" s="50"/>
      <c r="E16" s="50"/>
      <c r="F16" s="50"/>
      <c r="G16" s="50"/>
    </row>
    <row r="17" spans="1:9" x14ac:dyDescent="0.2">
      <c r="A17" s="113">
        <f t="shared" si="1"/>
        <v>7</v>
      </c>
      <c r="B17" s="113" t="str">
        <f t="array" ref="B17:B27">TRANSPOSE('Pro Forma Adj'!G8:Q8)</f>
        <v>14.1_R</v>
      </c>
      <c r="C17" s="51" t="str">
        <f t="array" ref="C17:C27">TRANSPOSE('Pro Forma Adj'!G9:Q9)</f>
        <v>Pro Forma Major Plant Additions - Year 2</v>
      </c>
      <c r="D17" s="50">
        <f t="array" ref="D17:D27">TRANSPOSE('Pro Forma Adj'!G40:Q40)</f>
        <v>118463.11207605596</v>
      </c>
      <c r="E17" s="50">
        <f t="array" ref="E17:E27">TRANSPOSE('Pro Forma Adj'!G67:Q67)</f>
        <v>65028591.529086351</v>
      </c>
      <c r="F17" s="50">
        <f t="shared" ref="F17:F19" si="3">-(D17-(E17*Overall_ROR))/gross_up_factor</f>
        <v>6147909.3538271636</v>
      </c>
      <c r="G17" s="50"/>
      <c r="H17" s="134"/>
    </row>
    <row r="18" spans="1:9" x14ac:dyDescent="0.2">
      <c r="A18" s="113">
        <f t="shared" si="1"/>
        <v>8</v>
      </c>
      <c r="B18" s="113" t="str">
        <v>14.2_R</v>
      </c>
      <c r="C18" s="51" t="str">
        <v>Pro Forma Depreciation &amp; Amortization Expense - 
Year 2</v>
      </c>
      <c r="D18" s="50">
        <v>-1372667.3446265052</v>
      </c>
      <c r="E18" s="50">
        <v>0</v>
      </c>
      <c r="F18" s="50">
        <f t="shared" si="3"/>
        <v>1825792.5362806325</v>
      </c>
      <c r="G18" s="50"/>
      <c r="H18" s="50"/>
    </row>
    <row r="19" spans="1:9" x14ac:dyDescent="0.2">
      <c r="A19" s="113">
        <f t="shared" si="1"/>
        <v>9</v>
      </c>
      <c r="B19" s="113" t="str">
        <v>14.3_R</v>
      </c>
      <c r="C19" s="51" t="str">
        <v>Pro Forma Depreciation &amp; Amortization Reserve - 
Year 2</v>
      </c>
      <c r="D19" s="50">
        <v>0</v>
      </c>
      <c r="E19" s="50">
        <v>-46387798.128146842</v>
      </c>
      <c r="F19" s="50">
        <f t="shared" si="3"/>
        <v>-4497978.8826340139</v>
      </c>
      <c r="G19" s="50"/>
      <c r="H19" s="134"/>
    </row>
    <row r="20" spans="1:9" x14ac:dyDescent="0.2">
      <c r="A20" s="113">
        <f t="shared" si="1"/>
        <v>10</v>
      </c>
      <c r="B20" s="113" t="str">
        <v>14.4_R</v>
      </c>
      <c r="C20" s="51" t="str">
        <v>Decommissioning and Other Plant Closure Costs - 
Year 2</v>
      </c>
      <c r="D20" s="50">
        <v>0</v>
      </c>
      <c r="E20" s="50">
        <v>0</v>
      </c>
      <c r="F20" s="50">
        <f t="shared" si="0"/>
        <v>0</v>
      </c>
      <c r="G20" s="50"/>
    </row>
    <row r="21" spans="1:9" x14ac:dyDescent="0.2">
      <c r="A21" s="113">
        <f t="shared" si="1"/>
        <v>11</v>
      </c>
      <c r="B21" s="113" t="str">
        <v>14.5</v>
      </c>
      <c r="C21" s="51" t="str">
        <v>Jim Bridger Mine Rate Base - 
Year 2</v>
      </c>
      <c r="D21" s="50">
        <v>0</v>
      </c>
      <c r="E21" s="50">
        <v>0</v>
      </c>
      <c r="F21" s="50">
        <f t="shared" si="0"/>
        <v>0</v>
      </c>
      <c r="G21" s="50"/>
    </row>
    <row r="22" spans="1:9" x14ac:dyDescent="0.2">
      <c r="A22" s="113">
        <f t="shared" si="1"/>
        <v>12</v>
      </c>
      <c r="B22" s="113" t="str">
        <v>14.6_C</v>
      </c>
      <c r="C22" s="51" t="str">
        <v>Existing Coal-Fired Generation Assets - 
Year 2</v>
      </c>
      <c r="D22" s="50">
        <v>2499.2570997914668</v>
      </c>
      <c r="E22" s="50">
        <v>-732998.43580531352</v>
      </c>
      <c r="F22" s="50">
        <f t="shared" si="0"/>
        <v>-74399.24858343594</v>
      </c>
      <c r="G22" s="50"/>
    </row>
    <row r="23" spans="1:9" x14ac:dyDescent="0.2">
      <c r="A23" s="113">
        <f t="shared" si="1"/>
        <v>13</v>
      </c>
      <c r="B23" s="113" t="str">
        <v>14.7_C</v>
      </c>
      <c r="C23" s="51" t="str">
        <v>Pro Forma JB Units 3, 4 and Colstrip 4 Additions - 
Year 2</v>
      </c>
      <c r="D23" s="50">
        <v>0</v>
      </c>
      <c r="E23" s="50">
        <v>0</v>
      </c>
      <c r="F23" s="50">
        <f t="shared" si="0"/>
        <v>0</v>
      </c>
      <c r="G23" s="50"/>
    </row>
    <row r="24" spans="1:9" x14ac:dyDescent="0.2">
      <c r="A24" s="113">
        <f t="shared" si="1"/>
        <v>14</v>
      </c>
      <c r="B24" s="113" t="str">
        <v>S1</v>
      </c>
      <c r="C24" s="51" t="str">
        <v>Settlement Adjustment for Exclusion of Colstrip 4 Pro forma Capital</v>
      </c>
      <c r="D24" s="50">
        <v>-23550.151815917379</v>
      </c>
      <c r="E24" s="50">
        <v>0</v>
      </c>
      <c r="F24" s="50">
        <f t="shared" si="0"/>
        <v>31324.189055781142</v>
      </c>
      <c r="G24" s="50"/>
    </row>
    <row r="25" spans="1:9" x14ac:dyDescent="0.2">
      <c r="A25" s="113">
        <f t="shared" si="1"/>
        <v>15</v>
      </c>
      <c r="B25" s="113" t="str">
        <v>14.8_R</v>
      </c>
      <c r="C25" s="51" t="str">
        <v>Pro Forma JB Units 1 &amp; 2 Additions - Year 2</v>
      </c>
      <c r="D25" s="116">
        <v>-638499.7726734156</v>
      </c>
      <c r="E25" s="116">
        <v>3290560.5697861281</v>
      </c>
      <c r="F25" s="116">
        <f t="shared" si="0"/>
        <v>1168340.3450437929</v>
      </c>
      <c r="G25" s="50"/>
    </row>
    <row r="26" spans="1:9" x14ac:dyDescent="0.2">
      <c r="A26" s="113">
        <f t="shared" si="1"/>
        <v>16</v>
      </c>
      <c r="B26" s="113" t="str">
        <v>14.9</v>
      </c>
      <c r="C26" s="51" t="str">
        <v>Confidential Wind Generation Captial Additions - 
Year 2</v>
      </c>
      <c r="D26" s="116">
        <v>-2196411.1301742094</v>
      </c>
      <c r="E26" s="116">
        <v>55614054.06789159</v>
      </c>
      <c r="F26" s="116">
        <f t="shared" si="0"/>
        <v>8314058.7796593672</v>
      </c>
      <c r="G26" s="50"/>
    </row>
    <row r="27" spans="1:9" x14ac:dyDescent="0.2">
      <c r="A27" s="113">
        <f t="shared" si="1"/>
        <v>17</v>
      </c>
      <c r="B27" s="135" t="str">
        <v>14.10</v>
      </c>
      <c r="C27" s="51" t="str">
        <v>Major Transmission Capital Additions - 
Year 2</v>
      </c>
      <c r="D27" s="52">
        <v>-2212095.1537975511</v>
      </c>
      <c r="E27" s="52">
        <v>161088063.75272372</v>
      </c>
      <c r="F27" s="52">
        <f t="shared" si="0"/>
        <v>18562175.788581185</v>
      </c>
      <c r="G27" s="50"/>
    </row>
    <row r="28" spans="1:9" x14ac:dyDescent="0.2">
      <c r="A28" s="113">
        <f t="shared" si="1"/>
        <v>18</v>
      </c>
      <c r="C28" s="114" t="s">
        <v>189</v>
      </c>
      <c r="D28" s="117">
        <f>SUM(D17:D27)</f>
        <v>-6322261.183911751</v>
      </c>
      <c r="E28" s="117">
        <f>SUM(E17:E27)</f>
        <v>237900473.35553563</v>
      </c>
      <c r="F28" s="117">
        <f>SUM(F17:F27)</f>
        <v>31477222.86123047</v>
      </c>
      <c r="G28" s="50"/>
      <c r="H28" s="134">
        <f>SUM('Pro Forma Adj'!G71:Q71)-F28</f>
        <v>0</v>
      </c>
      <c r="I28" s="51" t="s">
        <v>124</v>
      </c>
    </row>
    <row r="29" spans="1:9" x14ac:dyDescent="0.2">
      <c r="A29" s="113">
        <f t="shared" si="1"/>
        <v>19</v>
      </c>
      <c r="D29" s="50"/>
      <c r="E29" s="50"/>
      <c r="F29" s="50"/>
      <c r="G29" s="50"/>
    </row>
    <row r="30" spans="1:9" x14ac:dyDescent="0.2">
      <c r="A30" s="113">
        <f t="shared" si="1"/>
        <v>20</v>
      </c>
      <c r="B30" s="113" t="str">
        <f t="array" ref="B30:B37">TRANSPOSE('Pro Forma Adj'!R8:Y8)</f>
        <v>15.1_C</v>
      </c>
      <c r="C30" s="51" t="str">
        <f t="array" ref="C30:C37">TRANSPOSE('Pro Forma Adj'!R9:Y9)</f>
        <v>Interest True-Up - Year 2</v>
      </c>
      <c r="D30" s="50">
        <f t="array" ref="D30:D37">TRANSPOSE('Pro Forma Adj'!R40:Y40)</f>
        <v>1161140.8003516202</v>
      </c>
      <c r="E30" s="50">
        <f t="array" ref="E30:E37">TRANSPOSE('Pro Forma Adj'!R67:Y67)</f>
        <v>0</v>
      </c>
      <c r="F30" s="50">
        <f t="shared" ref="F30:F37" si="4">-(D30-(E30*Overall_ROR))/gross_up_factor</f>
        <v>-1544439.8929951587</v>
      </c>
      <c r="G30" s="50"/>
    </row>
    <row r="31" spans="1:9" x14ac:dyDescent="0.2">
      <c r="A31" s="113">
        <f t="shared" si="1"/>
        <v>21</v>
      </c>
      <c r="B31" s="113" t="str">
        <v>15.2</v>
      </c>
      <c r="C31" s="51" t="str">
        <v>Property Taxes - 
Year 2</v>
      </c>
      <c r="D31" s="50">
        <v>-1487354.33</v>
      </c>
      <c r="E31" s="50">
        <v>0</v>
      </c>
      <c r="F31" s="50">
        <f t="shared" ref="F31:F33" si="5">-(D31-(E31*Overall_ROR))/gross_up_factor</f>
        <v>1978338.3389641137</v>
      </c>
      <c r="G31" s="50"/>
    </row>
    <row r="32" spans="1:9" x14ac:dyDescent="0.2">
      <c r="A32" s="113">
        <f t="shared" si="1"/>
        <v>22</v>
      </c>
      <c r="B32" s="113" t="str">
        <v>15.3</v>
      </c>
      <c r="C32" s="51" t="str">
        <v>Removal of TCJA Balances Adjustment - Year 2</v>
      </c>
      <c r="D32" s="50">
        <v>0</v>
      </c>
      <c r="E32" s="50">
        <v>2003147.5631538227</v>
      </c>
      <c r="F32" s="50">
        <f t="shared" si="5"/>
        <v>194234.60050798548</v>
      </c>
      <c r="G32" s="50"/>
    </row>
    <row r="33" spans="1:9" x14ac:dyDescent="0.2">
      <c r="A33" s="113">
        <f t="shared" si="1"/>
        <v>23</v>
      </c>
      <c r="B33" s="113" t="str">
        <v>15.4_R</v>
      </c>
      <c r="C33" s="51" t="str">
        <v>PowerTax ADIT Balance Adjustment - Year 2</v>
      </c>
      <c r="D33" s="50">
        <v>-899197.18162700161</v>
      </c>
      <c r="E33" s="50">
        <v>-24319003.172031336</v>
      </c>
      <c r="F33" s="50">
        <f t="shared" si="5"/>
        <v>-1162057.6063606748</v>
      </c>
      <c r="G33" s="50"/>
    </row>
    <row r="34" spans="1:9" x14ac:dyDescent="0.2">
      <c r="A34" s="113">
        <f t="shared" si="1"/>
        <v>24</v>
      </c>
      <c r="B34" s="113" t="str">
        <v>15.5</v>
      </c>
      <c r="C34" s="51" t="str">
        <v>Permanent Schedule M Adjustment - Year 2</v>
      </c>
      <c r="D34" s="116">
        <v>0</v>
      </c>
      <c r="E34" s="116">
        <v>0</v>
      </c>
      <c r="F34" s="116">
        <f t="shared" si="4"/>
        <v>0</v>
      </c>
      <c r="G34" s="50"/>
    </row>
    <row r="35" spans="1:9" x14ac:dyDescent="0.2">
      <c r="A35" s="113">
        <f t="shared" si="1"/>
        <v>25</v>
      </c>
      <c r="B35" s="113" t="str">
        <v>15.6_C</v>
      </c>
      <c r="C35" s="51" t="str">
        <v>Remove Deferred State Tax Expense &amp; Balance - 
Year 2</v>
      </c>
      <c r="D35" s="116">
        <v>236349.57426435687</v>
      </c>
      <c r="E35" s="116">
        <v>3379193.3510265392</v>
      </c>
      <c r="F35" s="116">
        <f t="shared" si="4"/>
        <v>13292.571394054197</v>
      </c>
      <c r="G35" s="50"/>
    </row>
    <row r="36" spans="1:9" x14ac:dyDescent="0.2">
      <c r="A36" s="113">
        <f t="shared" si="1"/>
        <v>26</v>
      </c>
      <c r="B36" s="113" t="str">
        <v>15.7</v>
      </c>
      <c r="C36" s="51" t="str">
        <v>Production Tax Credits - Year 2</v>
      </c>
      <c r="D36" s="116">
        <v>1688663.3462348077</v>
      </c>
      <c r="E36" s="116">
        <v>0</v>
      </c>
      <c r="F36" s="116">
        <f t="shared" si="4"/>
        <v>-2246100.5908792098</v>
      </c>
      <c r="G36" s="50"/>
      <c r="H36" s="134"/>
    </row>
    <row r="37" spans="1:9" x14ac:dyDescent="0.2">
      <c r="A37" s="113">
        <f t="shared" si="1"/>
        <v>27</v>
      </c>
      <c r="B37" s="113" t="str">
        <v>15.8</v>
      </c>
      <c r="C37" s="51" t="str">
        <v>Wyoming Wind Generation Tax - Year 2</v>
      </c>
      <c r="D37" s="52">
        <v>45393.497374021703</v>
      </c>
      <c r="E37" s="52">
        <v>0</v>
      </c>
      <c r="F37" s="52">
        <f t="shared" si="4"/>
        <v>-60378.145532204115</v>
      </c>
      <c r="G37" s="50"/>
      <c r="H37" s="134"/>
    </row>
    <row r="38" spans="1:9" x14ac:dyDescent="0.2">
      <c r="A38" s="113">
        <f t="shared" si="1"/>
        <v>28</v>
      </c>
      <c r="C38" s="114" t="s">
        <v>190</v>
      </c>
      <c r="D38" s="115">
        <f t="shared" ref="D38:E38" si="6">SUM(D30:D37)</f>
        <v>744995.70659780479</v>
      </c>
      <c r="E38" s="115">
        <f t="shared" si="6"/>
        <v>-18936662.257850975</v>
      </c>
      <c r="F38" s="115">
        <f>SUM(F30:F37)</f>
        <v>-2827110.7249010941</v>
      </c>
      <c r="G38" s="50"/>
      <c r="H38" s="134">
        <f>SUM('Pro Forma Adj'!R71:Y71)-F38</f>
        <v>0</v>
      </c>
      <c r="I38" s="51" t="s">
        <v>124</v>
      </c>
    </row>
    <row r="39" spans="1:9" x14ac:dyDescent="0.2">
      <c r="A39" s="113">
        <f t="shared" si="1"/>
        <v>29</v>
      </c>
      <c r="B39" s="135"/>
      <c r="D39" s="50"/>
      <c r="E39" s="50"/>
      <c r="F39" s="50"/>
      <c r="G39" s="50"/>
    </row>
    <row r="40" spans="1:9" x14ac:dyDescent="0.2">
      <c r="A40" s="113">
        <f t="shared" si="1"/>
        <v>30</v>
      </c>
      <c r="B40" s="135" t="str">
        <f t="array" ref="B40:B42">TRANSPOSE('Pro Forma Adj'!Z8:AB8)</f>
        <v>16.1_R</v>
      </c>
      <c r="C40" s="51" t="str">
        <f t="array" ref="C40:C42">TRANSPOSE('Pro Forma Adj'!Z9:AB9)</f>
        <v>Regulatory Assets &amp; Liabilities Amortization - Year 2</v>
      </c>
      <c r="D40" s="116">
        <f t="array" ref="D40:D42">TRANSPOSE('Pro Forma Adj'!Z40:AB40)</f>
        <v>5836649.4612965276</v>
      </c>
      <c r="E40" s="116">
        <f t="array" ref="E40:E42">TRANSPOSE('Pro Forma Adj'!Z67:AB67)</f>
        <v>-129451.83499999998</v>
      </c>
      <c r="F40" s="116">
        <f t="shared" ref="F40" si="7">-(D40-(E40*Overall_ROR))/gross_up_factor</f>
        <v>-7775912.4525392074</v>
      </c>
      <c r="G40" s="50"/>
    </row>
    <row r="41" spans="1:9" x14ac:dyDescent="0.2">
      <c r="A41" s="113">
        <f t="shared" si="1"/>
        <v>31</v>
      </c>
      <c r="B41" s="135" t="str">
        <v>16.2</v>
      </c>
      <c r="C41" s="51" t="str">
        <v>Klamath Hydroelectric Assets Amortization - Year 2</v>
      </c>
      <c r="D41" s="116">
        <v>0</v>
      </c>
      <c r="E41" s="116">
        <v>-57462.544820610856</v>
      </c>
      <c r="F41" s="116">
        <f t="shared" ref="F41:F42" si="8">-(D41-(E41*Overall_ROR))/gross_up_factor</f>
        <v>-5571.8383621379198</v>
      </c>
      <c r="G41" s="116"/>
    </row>
    <row r="42" spans="1:9" x14ac:dyDescent="0.2">
      <c r="A42" s="113"/>
      <c r="B42" s="135" t="str">
        <v>16.3</v>
      </c>
      <c r="C42" s="51" t="str">
        <v>Production Factor - Year 2</v>
      </c>
      <c r="D42" s="52">
        <v>-1419766.0577232768</v>
      </c>
      <c r="E42" s="52">
        <v>888746.90454499959</v>
      </c>
      <c r="F42" s="52">
        <f t="shared" si="8"/>
        <v>1974615.8748963943</v>
      </c>
      <c r="G42" s="116"/>
    </row>
    <row r="43" spans="1:9" x14ac:dyDescent="0.2">
      <c r="A43" s="113">
        <f>A41+1</f>
        <v>32</v>
      </c>
      <c r="C43" s="114" t="s">
        <v>191</v>
      </c>
      <c r="D43" s="115">
        <f>SUM(D39:D42)</f>
        <v>4416883.4035732504</v>
      </c>
      <c r="E43" s="115">
        <f t="shared" ref="E43:F43" si="9">SUM(E39:E42)</f>
        <v>701832.52472438873</v>
      </c>
      <c r="F43" s="115">
        <f t="shared" si="9"/>
        <v>-5806868.4160049511</v>
      </c>
      <c r="G43" s="50"/>
      <c r="H43" s="134">
        <f>SUM('Pro Forma Adj'!Z71:AB71)-F43</f>
        <v>0</v>
      </c>
      <c r="I43" s="51" t="s">
        <v>124</v>
      </c>
    </row>
    <row r="44" spans="1:9" x14ac:dyDescent="0.2">
      <c r="A44" s="113">
        <f t="shared" si="1"/>
        <v>33</v>
      </c>
      <c r="D44" s="50"/>
      <c r="E44" s="50"/>
      <c r="F44" s="50"/>
      <c r="G44" s="50"/>
    </row>
    <row r="45" spans="1:9" x14ac:dyDescent="0.2">
      <c r="A45" s="113">
        <f t="shared" si="1"/>
        <v>34</v>
      </c>
      <c r="C45" s="118" t="s">
        <v>123</v>
      </c>
      <c r="D45" s="117">
        <f>D15+D28+D38+D43</f>
        <v>4440247.2356966445</v>
      </c>
      <c r="E45" s="117">
        <f>E15+E28+E38+E43</f>
        <v>219665643.62240905</v>
      </c>
      <c r="F45" s="117">
        <f>F15+F28+F38+F43</f>
        <v>15393815.254152548</v>
      </c>
      <c r="G45" s="50"/>
      <c r="H45" s="134">
        <f>'Pro Forma Adj'!B71-F45</f>
        <v>0</v>
      </c>
      <c r="I45" s="51" t="s">
        <v>124</v>
      </c>
    </row>
    <row r="46" spans="1:9" x14ac:dyDescent="0.2">
      <c r="A46" s="113">
        <f t="shared" si="1"/>
        <v>35</v>
      </c>
      <c r="B46" s="51"/>
      <c r="C46" s="118"/>
      <c r="D46" s="117"/>
      <c r="E46" s="117"/>
      <c r="F46" s="117"/>
      <c r="G46" s="50"/>
    </row>
    <row r="47" spans="1:9" x14ac:dyDescent="0.2">
      <c r="A47" s="113">
        <f t="shared" si="1"/>
        <v>36</v>
      </c>
      <c r="C47" s="127" t="s">
        <v>110</v>
      </c>
      <c r="D47" s="127">
        <f>D8+D45</f>
        <v>86033445.061910123</v>
      </c>
      <c r="E47" s="127">
        <f>E8+E45</f>
        <v>1338913952.9722466</v>
      </c>
      <c r="F47" s="127">
        <f>F8+F45</f>
        <v>15393815.254152548</v>
      </c>
      <c r="G47" s="49"/>
    </row>
    <row r="48" spans="1:9" x14ac:dyDescent="0.2">
      <c r="A48" s="113">
        <f t="shared" si="1"/>
        <v>37</v>
      </c>
      <c r="C48" s="118"/>
      <c r="D48" s="117"/>
      <c r="E48" s="117"/>
      <c r="F48" s="117"/>
      <c r="G48" s="50"/>
    </row>
    <row r="49" spans="1:7" x14ac:dyDescent="0.2">
      <c r="A49" s="113">
        <f t="shared" si="1"/>
        <v>38</v>
      </c>
      <c r="B49" s="121" t="s">
        <v>109</v>
      </c>
      <c r="C49" s="118"/>
      <c r="D49" s="117"/>
      <c r="E49" s="117"/>
      <c r="F49" s="117"/>
      <c r="G49" s="50"/>
    </row>
    <row r="50" spans="1:7" x14ac:dyDescent="0.2">
      <c r="A50" s="113">
        <f t="shared" si="1"/>
        <v>39</v>
      </c>
      <c r="B50" s="121" t="s">
        <v>246</v>
      </c>
      <c r="C50" s="159"/>
    </row>
    <row r="51" spans="1:7" x14ac:dyDescent="0.2">
      <c r="A51" s="113">
        <f t="shared" si="1"/>
        <v>40</v>
      </c>
      <c r="B51" s="121" t="s">
        <v>245</v>
      </c>
      <c r="C51" s="159"/>
    </row>
    <row r="52" spans="1:7" x14ac:dyDescent="0.2">
      <c r="A52" s="113"/>
    </row>
    <row r="53" spans="1:7" x14ac:dyDescent="0.2">
      <c r="A53" s="113"/>
    </row>
    <row r="54" spans="1:7" x14ac:dyDescent="0.2">
      <c r="A54" s="113"/>
    </row>
    <row r="55" spans="1:7" x14ac:dyDescent="0.2">
      <c r="A55" s="113"/>
    </row>
    <row r="56" spans="1:7" x14ac:dyDescent="0.2">
      <c r="A56" s="113"/>
    </row>
    <row r="57" spans="1:7" x14ac:dyDescent="0.2">
      <c r="A57" s="113"/>
    </row>
    <row r="58" spans="1:7" x14ac:dyDescent="0.2">
      <c r="A58" s="113"/>
    </row>
    <row r="59" spans="1:7" x14ac:dyDescent="0.2">
      <c r="A59" s="113"/>
    </row>
  </sheetData>
  <mergeCells count="1">
    <mergeCell ref="A3:G4"/>
  </mergeCells>
  <pageMargins left="0.7" right="0.7" top="0.75" bottom="0.75" header="0.3" footer="0.3"/>
  <pageSetup scale="79" orientation="portrait" useFirstPageNumber="1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M85"/>
  <sheetViews>
    <sheetView showOutlineSymbols="0" view="pageBreakPreview" zoomScaleNormal="100" zoomScaleSheetLayoutView="100" workbookViewId="0">
      <selection activeCell="D13" sqref="D13"/>
    </sheetView>
  </sheetViews>
  <sheetFormatPr defaultRowHeight="11.25" x14ac:dyDescent="0.2"/>
  <cols>
    <col min="1" max="1" width="2.5703125" style="73" customWidth="1"/>
    <col min="2" max="2" width="22.42578125" style="73" customWidth="1"/>
    <col min="3" max="3" width="15" style="73" customWidth="1"/>
    <col min="4" max="4" width="2" style="73" customWidth="1"/>
    <col min="5" max="5" width="15.85546875" style="73" customWidth="1"/>
    <col min="6" max="6" width="14.85546875" style="73" customWidth="1"/>
    <col min="7" max="7" width="14.5703125" style="73" customWidth="1"/>
    <col min="8" max="8" width="17" style="73" customWidth="1"/>
    <col min="9" max="9" width="2" style="73" customWidth="1"/>
    <col min="10" max="10" width="15.28515625" style="73" customWidth="1"/>
    <col min="11" max="11" width="2" style="73" customWidth="1"/>
    <col min="12" max="12" width="16" style="73" customWidth="1"/>
    <col min="13" max="13" width="12.28515625" style="161" bestFit="1" customWidth="1"/>
    <col min="14" max="16384" width="9.140625" style="73"/>
  </cols>
  <sheetData>
    <row r="1" spans="1:13" ht="12" x14ac:dyDescent="0.2">
      <c r="A1" s="71" t="s">
        <v>6</v>
      </c>
      <c r="B1" s="72"/>
      <c r="E1" s="74"/>
      <c r="F1" s="74"/>
      <c r="G1" s="74"/>
      <c r="H1" s="74"/>
      <c r="I1" s="74"/>
      <c r="J1" s="74"/>
      <c r="K1" s="74"/>
      <c r="L1" s="170"/>
    </row>
    <row r="2" spans="1:13" ht="12" x14ac:dyDescent="0.2">
      <c r="A2" s="264" t="s">
        <v>112</v>
      </c>
      <c r="B2" s="265"/>
      <c r="E2" s="74"/>
      <c r="F2" s="74"/>
      <c r="G2" s="74"/>
      <c r="H2" s="74"/>
      <c r="I2" s="74"/>
      <c r="J2" s="74"/>
      <c r="K2" s="74"/>
      <c r="L2" s="171"/>
    </row>
    <row r="3" spans="1:13" ht="12" customHeight="1" x14ac:dyDescent="0.2">
      <c r="A3" s="266" t="s">
        <v>127</v>
      </c>
      <c r="B3" s="266"/>
      <c r="C3" s="266"/>
      <c r="E3" s="74"/>
      <c r="F3" s="74"/>
      <c r="G3" s="74"/>
      <c r="H3" s="74"/>
      <c r="I3" s="74"/>
      <c r="J3" s="74"/>
      <c r="K3" s="74"/>
      <c r="L3" s="74"/>
    </row>
    <row r="4" spans="1:13" ht="12" x14ac:dyDescent="0.2">
      <c r="A4" s="75" t="s">
        <v>181</v>
      </c>
      <c r="B4" s="72"/>
      <c r="E4" s="74"/>
      <c r="F4" s="74"/>
      <c r="G4" s="74"/>
      <c r="H4" s="74"/>
      <c r="I4" s="74"/>
      <c r="J4" s="74"/>
      <c r="K4" s="74"/>
      <c r="L4" s="74"/>
    </row>
    <row r="5" spans="1:13" ht="12" x14ac:dyDescent="0.2">
      <c r="A5" s="75" t="s">
        <v>224</v>
      </c>
      <c r="E5" s="74"/>
      <c r="F5" s="74"/>
      <c r="G5" s="74"/>
      <c r="H5" s="74"/>
      <c r="I5" s="74"/>
      <c r="J5" s="74"/>
      <c r="K5" s="74"/>
      <c r="L5" s="74"/>
    </row>
    <row r="6" spans="1:13" x14ac:dyDescent="0.2">
      <c r="A6" s="76"/>
      <c r="C6" s="78"/>
      <c r="D6" s="79"/>
      <c r="E6" s="267" t="s">
        <v>229</v>
      </c>
      <c r="F6" s="267"/>
      <c r="G6" s="267"/>
      <c r="H6" s="267"/>
      <c r="I6" s="155"/>
      <c r="J6" s="77"/>
      <c r="L6" s="158"/>
      <c r="M6" s="73"/>
    </row>
    <row r="7" spans="1:13" x14ac:dyDescent="0.2">
      <c r="C7" s="156"/>
      <c r="D7" s="79"/>
      <c r="E7" s="157"/>
      <c r="F7" s="155"/>
      <c r="G7" s="155"/>
      <c r="H7" s="155"/>
      <c r="J7" s="80" t="s">
        <v>113</v>
      </c>
      <c r="M7" s="162"/>
    </row>
    <row r="8" spans="1:13" x14ac:dyDescent="0.2">
      <c r="C8" s="80"/>
      <c r="D8" s="79"/>
      <c r="E8" s="80" t="s">
        <v>172</v>
      </c>
      <c r="F8" s="80" t="s">
        <v>173</v>
      </c>
      <c r="G8" s="80" t="s">
        <v>175</v>
      </c>
      <c r="H8" s="80" t="s">
        <v>174</v>
      </c>
      <c r="I8" s="79"/>
      <c r="J8" s="80" t="s">
        <v>179</v>
      </c>
    </row>
    <row r="9" spans="1:13" ht="56.25" x14ac:dyDescent="0.2">
      <c r="C9" s="81" t="s">
        <v>182</v>
      </c>
      <c r="D9" s="82"/>
      <c r="E9" s="81" t="s">
        <v>176</v>
      </c>
      <c r="F9" s="81" t="s">
        <v>192</v>
      </c>
      <c r="G9" s="81" t="s">
        <v>177</v>
      </c>
      <c r="H9" s="81" t="s">
        <v>178</v>
      </c>
      <c r="I9" s="82"/>
      <c r="J9" s="81" t="s">
        <v>180</v>
      </c>
      <c r="L9" s="81" t="s">
        <v>230</v>
      </c>
      <c r="M9" s="163"/>
    </row>
    <row r="10" spans="1:13" x14ac:dyDescent="0.2">
      <c r="A10" s="83">
        <v>1</v>
      </c>
      <c r="B10" s="83" t="s">
        <v>9</v>
      </c>
    </row>
    <row r="11" spans="1:13" x14ac:dyDescent="0.2">
      <c r="A11" s="83">
        <v>2</v>
      </c>
      <c r="B11" s="83" t="s">
        <v>10</v>
      </c>
      <c r="C11" s="49">
        <f>Summary!F9</f>
        <v>412218144.1600036</v>
      </c>
      <c r="D11" s="84"/>
      <c r="E11" s="96">
        <f>'PRO Adj_C'!D6</f>
        <v>0</v>
      </c>
      <c r="F11" s="96">
        <f>'PRO Adj_C'!E6</f>
        <v>0</v>
      </c>
      <c r="G11" s="96">
        <f>'PRO Adj_C'!F6</f>
        <v>0</v>
      </c>
      <c r="H11" s="96">
        <f>'PRO Adj_C'!G6</f>
        <v>0</v>
      </c>
      <c r="J11" s="49">
        <f>SUM(E11:H11)</f>
        <v>0</v>
      </c>
      <c r="L11" s="85">
        <f>+C11+J11</f>
        <v>412218144.1600036</v>
      </c>
      <c r="M11" s="164"/>
    </row>
    <row r="12" spans="1:13" x14ac:dyDescent="0.2">
      <c r="A12" s="83">
        <v>3</v>
      </c>
      <c r="B12" s="83" t="s">
        <v>11</v>
      </c>
      <c r="C12" s="49">
        <f>Summary!F10</f>
        <v>0</v>
      </c>
      <c r="D12" s="84"/>
      <c r="E12" s="96">
        <f>'PRO Adj_C'!D7</f>
        <v>0</v>
      </c>
      <c r="F12" s="96">
        <f>'PRO Adj_C'!E7</f>
        <v>0</v>
      </c>
      <c r="G12" s="96">
        <f>'PRO Adj_C'!F7</f>
        <v>0</v>
      </c>
      <c r="H12" s="96">
        <f>'PRO Adj_C'!G7</f>
        <v>0</v>
      </c>
      <c r="J12" s="49">
        <f>SUM(E12:H12)</f>
        <v>0</v>
      </c>
      <c r="L12" s="85">
        <f>+C12+J12</f>
        <v>0</v>
      </c>
      <c r="M12" s="164"/>
    </row>
    <row r="13" spans="1:13" x14ac:dyDescent="0.2">
      <c r="A13" s="83">
        <v>4</v>
      </c>
      <c r="B13" s="83" t="s">
        <v>12</v>
      </c>
      <c r="C13" s="49">
        <f>Summary!F11</f>
        <v>18523597.616923146</v>
      </c>
      <c r="D13" s="84"/>
      <c r="E13" s="96">
        <f>'PRO Adj_C'!D8</f>
        <v>-8090800.8140892293</v>
      </c>
      <c r="F13" s="96">
        <f>'PRO Adj_C'!E8</f>
        <v>0</v>
      </c>
      <c r="G13" s="96">
        <f>'PRO Adj_C'!F8</f>
        <v>0</v>
      </c>
      <c r="H13" s="96">
        <f>'PRO Adj_C'!G8</f>
        <v>0</v>
      </c>
      <c r="J13" s="49">
        <f>SUM(E13:H13)</f>
        <v>-8090800.8140892293</v>
      </c>
      <c r="L13" s="85">
        <f>+C13+J13</f>
        <v>10432796.802833917</v>
      </c>
      <c r="M13" s="164"/>
    </row>
    <row r="14" spans="1:13" x14ac:dyDescent="0.2">
      <c r="A14" s="83">
        <v>5</v>
      </c>
      <c r="B14" s="83" t="s">
        <v>13</v>
      </c>
      <c r="C14" s="49">
        <f>Summary!F12</f>
        <v>18407563.766656935</v>
      </c>
      <c r="D14" s="84"/>
      <c r="E14" s="96">
        <f>'PRO Adj_C'!D9</f>
        <v>2096593.3140745021</v>
      </c>
      <c r="F14" s="96">
        <f>'PRO Adj_C'!E9</f>
        <v>0</v>
      </c>
      <c r="G14" s="96">
        <f>'PRO Adj_C'!F9</f>
        <v>0</v>
      </c>
      <c r="H14" s="96">
        <f>'PRO Adj_C'!G9</f>
        <v>35650.744045121013</v>
      </c>
      <c r="J14" s="49">
        <f>SUM(E14:H14)</f>
        <v>2132244.058119623</v>
      </c>
      <c r="L14" s="85">
        <f>+C14+J14</f>
        <v>20539807.82477656</v>
      </c>
      <c r="M14" s="164"/>
    </row>
    <row r="15" spans="1:13" x14ac:dyDescent="0.2">
      <c r="A15" s="83">
        <v>6</v>
      </c>
      <c r="B15" s="83" t="s">
        <v>14</v>
      </c>
      <c r="C15" s="86">
        <f>SUM(C11:C14)</f>
        <v>449149305.54358369</v>
      </c>
      <c r="D15" s="87"/>
      <c r="E15" s="86">
        <f t="shared" ref="E15:L15" si="0">SUM(E11:E14)</f>
        <v>-5994207.500014727</v>
      </c>
      <c r="F15" s="86">
        <f t="shared" si="0"/>
        <v>0</v>
      </c>
      <c r="G15" s="86">
        <f t="shared" si="0"/>
        <v>0</v>
      </c>
      <c r="H15" s="86">
        <f t="shared" si="0"/>
        <v>35650.744045121013</v>
      </c>
      <c r="J15" s="86">
        <f t="shared" si="0"/>
        <v>-5958556.7559696063</v>
      </c>
      <c r="L15" s="86">
        <f t="shared" si="0"/>
        <v>443190748.78761411</v>
      </c>
      <c r="M15" s="165"/>
    </row>
    <row r="16" spans="1:13" ht="12.75" x14ac:dyDescent="0.2">
      <c r="A16" s="83">
        <v>7</v>
      </c>
      <c r="B16" s="83"/>
      <c r="C16" s="88"/>
      <c r="D16" s="84"/>
      <c r="E16" s="88"/>
      <c r="F16" s="88"/>
      <c r="G16" s="88"/>
      <c r="H16" s="88"/>
      <c r="J16" s="88"/>
    </row>
    <row r="17" spans="1:13" ht="12.75" x14ac:dyDescent="0.2">
      <c r="A17" s="83">
        <v>8</v>
      </c>
      <c r="B17" s="83" t="s">
        <v>15</v>
      </c>
      <c r="C17" s="88"/>
      <c r="D17" s="84"/>
      <c r="E17" s="88"/>
      <c r="F17" s="88"/>
      <c r="G17" s="88"/>
      <c r="H17" s="88"/>
      <c r="J17" s="88"/>
    </row>
    <row r="18" spans="1:13" x14ac:dyDescent="0.2">
      <c r="A18" s="83">
        <v>9</v>
      </c>
      <c r="B18" s="83" t="s">
        <v>16</v>
      </c>
      <c r="C18" s="49">
        <f>Summary!F16</f>
        <v>43917695.317417219</v>
      </c>
      <c r="D18" s="84"/>
      <c r="E18" s="96">
        <f>'PRO Adj_C'!D13</f>
        <v>-9358684.1298725251</v>
      </c>
      <c r="F18" s="96">
        <f>'PRO Adj_C'!E13</f>
        <v>756302.95379777788</v>
      </c>
      <c r="G18" s="96">
        <f>'PRO Adj_C'!F13</f>
        <v>0</v>
      </c>
      <c r="H18" s="96">
        <f>'PRO Adj_C'!G13</f>
        <v>725564.1267219116</v>
      </c>
      <c r="J18" s="49">
        <f t="shared" ref="J18:J27" si="1">SUM(E18:H18)</f>
        <v>-7876817.0493528359</v>
      </c>
      <c r="L18" s="85">
        <f t="shared" ref="L18:L27" si="2">+C18+J18</f>
        <v>36040878.26806438</v>
      </c>
      <c r="M18" s="164"/>
    </row>
    <row r="19" spans="1:13" x14ac:dyDescent="0.2">
      <c r="A19" s="83">
        <v>10</v>
      </c>
      <c r="B19" s="83" t="s">
        <v>17</v>
      </c>
      <c r="C19" s="49">
        <f>Summary!F17</f>
        <v>0</v>
      </c>
      <c r="D19" s="84"/>
      <c r="E19" s="96">
        <f>'PRO Adj_C'!D14</f>
        <v>0</v>
      </c>
      <c r="F19" s="96">
        <f>'PRO Adj_C'!E14</f>
        <v>0</v>
      </c>
      <c r="G19" s="96">
        <f>'PRO Adj_C'!F14</f>
        <v>0</v>
      </c>
      <c r="H19" s="96">
        <f>'PRO Adj_C'!G14</f>
        <v>0</v>
      </c>
      <c r="J19" s="49">
        <f t="shared" si="1"/>
        <v>0</v>
      </c>
      <c r="L19" s="85">
        <f t="shared" si="2"/>
        <v>0</v>
      </c>
      <c r="M19" s="164"/>
    </row>
    <row r="20" spans="1:13" x14ac:dyDescent="0.2">
      <c r="A20" s="89">
        <v>11</v>
      </c>
      <c r="B20" s="83" t="s">
        <v>18</v>
      </c>
      <c r="C20" s="49">
        <f>Summary!F18</f>
        <v>3432438.5798518136</v>
      </c>
      <c r="D20" s="84"/>
      <c r="E20" s="96">
        <f>'PRO Adj_C'!D15</f>
        <v>40112.442495542295</v>
      </c>
      <c r="F20" s="96">
        <f>'PRO Adj_C'!E15</f>
        <v>0</v>
      </c>
      <c r="G20" s="96">
        <f>'PRO Adj_C'!F15</f>
        <v>0</v>
      </c>
      <c r="H20" s="96">
        <f>'PRO Adj_C'!G15</f>
        <v>0</v>
      </c>
      <c r="J20" s="49">
        <f t="shared" si="1"/>
        <v>40112.442495542295</v>
      </c>
      <c r="L20" s="85">
        <f t="shared" si="2"/>
        <v>3472551.0223473557</v>
      </c>
      <c r="M20" s="164"/>
    </row>
    <row r="21" spans="1:13" x14ac:dyDescent="0.2">
      <c r="A21" s="83">
        <v>12</v>
      </c>
      <c r="B21" s="83" t="s">
        <v>19</v>
      </c>
      <c r="C21" s="49">
        <f>Summary!F19</f>
        <v>172804968.54888943</v>
      </c>
      <c r="D21" s="84"/>
      <c r="E21" s="96">
        <f>'PRO Adj_C'!D16</f>
        <v>-6209442.9039823525</v>
      </c>
      <c r="F21" s="96">
        <f>'PRO Adj_C'!E16</f>
        <v>395579.72739742004</v>
      </c>
      <c r="G21" s="96">
        <f>'PRO Adj_C'!F16</f>
        <v>0</v>
      </c>
      <c r="H21" s="96">
        <f>'PRO Adj_C'!G16</f>
        <v>984620.45455916785</v>
      </c>
      <c r="J21" s="49">
        <f t="shared" si="1"/>
        <v>-4829242.7220257642</v>
      </c>
      <c r="L21" s="85">
        <f t="shared" si="2"/>
        <v>167975725.82686368</v>
      </c>
      <c r="M21" s="164"/>
    </row>
    <row r="22" spans="1:13" x14ac:dyDescent="0.2">
      <c r="A22" s="83">
        <v>13</v>
      </c>
      <c r="B22" s="83" t="s">
        <v>20</v>
      </c>
      <c r="C22" s="49">
        <f>Summary!F20</f>
        <v>19723421.853431858</v>
      </c>
      <c r="D22" s="84"/>
      <c r="E22" s="96">
        <f>'PRO Adj_C'!D17</f>
        <v>2071167.5394537465</v>
      </c>
      <c r="F22" s="96">
        <f>'PRO Adj_C'!E17</f>
        <v>0</v>
      </c>
      <c r="G22" s="96">
        <f>'PRO Adj_C'!F17</f>
        <v>0</v>
      </c>
      <c r="H22" s="96">
        <f>'PRO Adj_C'!G17</f>
        <v>163305.79059809633</v>
      </c>
      <c r="J22" s="49">
        <f t="shared" si="1"/>
        <v>2234473.3300518431</v>
      </c>
      <c r="L22" s="85">
        <f t="shared" si="2"/>
        <v>21957895.183483701</v>
      </c>
      <c r="M22" s="164"/>
    </row>
    <row r="23" spans="1:13" x14ac:dyDescent="0.2">
      <c r="A23" s="83">
        <v>14</v>
      </c>
      <c r="B23" s="83" t="s">
        <v>21</v>
      </c>
      <c r="C23" s="49">
        <f>Summary!F21</f>
        <v>18511696.538340323</v>
      </c>
      <c r="D23" s="84"/>
      <c r="E23" s="96">
        <f>'PRO Adj_C'!D18</f>
        <v>260910.7217698672</v>
      </c>
      <c r="F23" s="96">
        <f>'PRO Adj_C'!E18</f>
        <v>0</v>
      </c>
      <c r="G23" s="96">
        <f>'PRO Adj_C'!F18</f>
        <v>0</v>
      </c>
      <c r="H23" s="96">
        <f>'PRO Adj_C'!G18</f>
        <v>0</v>
      </c>
      <c r="J23" s="49">
        <f t="shared" si="1"/>
        <v>260910.7217698672</v>
      </c>
      <c r="L23" s="85">
        <f t="shared" si="2"/>
        <v>18772607.260110188</v>
      </c>
      <c r="M23" s="164"/>
    </row>
    <row r="24" spans="1:13" x14ac:dyDescent="0.2">
      <c r="A24" s="83">
        <v>15</v>
      </c>
      <c r="B24" s="83" t="s">
        <v>22</v>
      </c>
      <c r="C24" s="49">
        <f>Summary!F22</f>
        <v>6777076.120244313</v>
      </c>
      <c r="D24" s="84"/>
      <c r="E24" s="96">
        <f>'PRO Adj_C'!D19</f>
        <v>55336.31702928173</v>
      </c>
      <c r="F24" s="96">
        <f>'PRO Adj_C'!E19</f>
        <v>0</v>
      </c>
      <c r="G24" s="96">
        <f>'PRO Adj_C'!F19</f>
        <v>0</v>
      </c>
      <c r="H24" s="96">
        <f>'PRO Adj_C'!G19</f>
        <v>0</v>
      </c>
      <c r="J24" s="49">
        <f t="shared" si="1"/>
        <v>55336.31702928173</v>
      </c>
      <c r="L24" s="85">
        <f t="shared" si="2"/>
        <v>6832412.4372735946</v>
      </c>
      <c r="M24" s="164"/>
    </row>
    <row r="25" spans="1:13" x14ac:dyDescent="0.2">
      <c r="A25" s="83">
        <v>16</v>
      </c>
      <c r="B25" s="83" t="s">
        <v>23</v>
      </c>
      <c r="C25" s="49">
        <f>Summary!F23</f>
        <v>707164.28582669166</v>
      </c>
      <c r="D25" s="84"/>
      <c r="E25" s="96">
        <f>'PRO Adj_C'!D20</f>
        <v>8332.1973895078172</v>
      </c>
      <c r="F25" s="96">
        <f>'PRO Adj_C'!E20</f>
        <v>0</v>
      </c>
      <c r="G25" s="96">
        <f>'PRO Adj_C'!F20</f>
        <v>0</v>
      </c>
      <c r="H25" s="96">
        <f>'PRO Adj_C'!G20</f>
        <v>0</v>
      </c>
      <c r="J25" s="49">
        <f t="shared" si="1"/>
        <v>8332.1973895078172</v>
      </c>
      <c r="L25" s="85">
        <f t="shared" si="2"/>
        <v>715496.48321619944</v>
      </c>
      <c r="M25" s="164"/>
    </row>
    <row r="26" spans="1:13" x14ac:dyDescent="0.2">
      <c r="A26" s="83">
        <v>17</v>
      </c>
      <c r="B26" s="83" t="s">
        <v>24</v>
      </c>
      <c r="C26" s="49">
        <f>Summary!F24</f>
        <v>0</v>
      </c>
      <c r="D26" s="84"/>
      <c r="E26" s="96">
        <f>'PRO Adj_C'!D21</f>
        <v>0</v>
      </c>
      <c r="F26" s="96">
        <f>'PRO Adj_C'!E21</f>
        <v>0</v>
      </c>
      <c r="G26" s="96">
        <f>'PRO Adj_C'!F21</f>
        <v>0</v>
      </c>
      <c r="H26" s="96">
        <f>'PRO Adj_C'!G21</f>
        <v>0</v>
      </c>
      <c r="J26" s="49">
        <f t="shared" si="1"/>
        <v>0</v>
      </c>
      <c r="L26" s="85">
        <f t="shared" si="2"/>
        <v>0</v>
      </c>
      <c r="M26" s="164"/>
    </row>
    <row r="27" spans="1:13" x14ac:dyDescent="0.2">
      <c r="A27" s="83">
        <v>18</v>
      </c>
      <c r="B27" s="83" t="s">
        <v>25</v>
      </c>
      <c r="C27" s="49">
        <f>Summary!F25</f>
        <v>20634363.233885195</v>
      </c>
      <c r="D27" s="84"/>
      <c r="E27" s="96">
        <f>'PRO Adj_C'!D22</f>
        <v>48656.126541016369</v>
      </c>
      <c r="F27" s="96">
        <f>'PRO Adj_C'!E22</f>
        <v>29810.318754325799</v>
      </c>
      <c r="G27" s="96">
        <f>'PRO Adj_C'!F22</f>
        <v>0</v>
      </c>
      <c r="H27" s="96">
        <f>'PRO Adj_C'!G22</f>
        <v>0</v>
      </c>
      <c r="J27" s="90">
        <f t="shared" si="1"/>
        <v>78466.445295342171</v>
      </c>
      <c r="L27" s="85">
        <f t="shared" si="2"/>
        <v>20712829.679180536</v>
      </c>
      <c r="M27" s="164"/>
    </row>
    <row r="28" spans="1:13" x14ac:dyDescent="0.2">
      <c r="A28" s="83">
        <v>19</v>
      </c>
      <c r="B28" s="83" t="s">
        <v>26</v>
      </c>
      <c r="C28" s="106">
        <f>SUM(C18:C27)</f>
        <v>286508824.47788686</v>
      </c>
      <c r="D28" s="87"/>
      <c r="E28" s="106">
        <f t="shared" ref="E28:H28" si="3">SUM(E18:E27)</f>
        <v>-13083611.689175915</v>
      </c>
      <c r="F28" s="106">
        <f t="shared" si="3"/>
        <v>1181692.9999495237</v>
      </c>
      <c r="G28" s="106">
        <f t="shared" si="3"/>
        <v>0</v>
      </c>
      <c r="H28" s="106">
        <f t="shared" si="3"/>
        <v>1873490.3718791758</v>
      </c>
      <c r="J28" s="85">
        <f>SUM(J18:J27)</f>
        <v>-10028428.317347215</v>
      </c>
      <c r="L28" s="106">
        <f>SUM(L18:L27)</f>
        <v>276480396.16053963</v>
      </c>
      <c r="M28" s="166"/>
    </row>
    <row r="29" spans="1:13" x14ac:dyDescent="0.2">
      <c r="A29" s="83">
        <v>20</v>
      </c>
      <c r="B29" s="83" t="s">
        <v>27</v>
      </c>
      <c r="C29" s="49">
        <f>Summary!F27</f>
        <v>53851354.121397726</v>
      </c>
      <c r="D29" s="84"/>
      <c r="E29" s="96">
        <f>'PRO Adj_C'!D24</f>
        <v>0</v>
      </c>
      <c r="F29" s="96">
        <f>'PRO Adj_C'!E24</f>
        <v>6597762.8532784889</v>
      </c>
      <c r="G29" s="96">
        <f>'PRO Adj_C'!F24</f>
        <v>0</v>
      </c>
      <c r="H29" s="96">
        <f>'PRO Adj_C'!G24</f>
        <v>80335.315863966956</v>
      </c>
      <c r="J29" s="49">
        <f t="shared" ref="J29:J36" si="4">SUM(E29:H29)</f>
        <v>6678098.1691424558</v>
      </c>
      <c r="L29" s="85">
        <f t="shared" ref="L29:L36" si="5">+C29+J29</f>
        <v>60529452.290540181</v>
      </c>
      <c r="M29" s="164"/>
    </row>
    <row r="30" spans="1:13" x14ac:dyDescent="0.2">
      <c r="A30" s="83">
        <v>21</v>
      </c>
      <c r="B30" s="83" t="s">
        <v>28</v>
      </c>
      <c r="C30" s="49">
        <f>Summary!F28</f>
        <v>12158524.644094493</v>
      </c>
      <c r="D30" s="84"/>
      <c r="E30" s="96">
        <f>'PRO Adj_C'!D25</f>
        <v>0</v>
      </c>
      <c r="F30" s="96">
        <f>'PRO Adj_C'!E25</f>
        <v>356443.39450063306</v>
      </c>
      <c r="G30" s="96">
        <f>'PRO Adj_C'!F25</f>
        <v>0</v>
      </c>
      <c r="H30" s="96">
        <f>'PRO Adj_C'!G25</f>
        <v>-7388163.8750588959</v>
      </c>
      <c r="J30" s="49">
        <f t="shared" si="4"/>
        <v>-7031720.4805582631</v>
      </c>
      <c r="L30" s="85">
        <f t="shared" si="5"/>
        <v>5126804.1635362301</v>
      </c>
      <c r="M30" s="164"/>
    </row>
    <row r="31" spans="1:13" x14ac:dyDescent="0.2">
      <c r="A31" s="83">
        <v>22</v>
      </c>
      <c r="B31" s="83" t="s">
        <v>29</v>
      </c>
      <c r="C31" s="49">
        <f>Summary!F29</f>
        <v>29202124.773337904</v>
      </c>
      <c r="D31" s="84"/>
      <c r="E31" s="96">
        <f>'PRO Adj_C'!D26</f>
        <v>0</v>
      </c>
      <c r="F31" s="96">
        <f>'PRO Adj_C'!E26</f>
        <v>0</v>
      </c>
      <c r="G31" s="96">
        <f>'PRO Adj_C'!F26</f>
        <v>1825266.8767417446</v>
      </c>
      <c r="H31" s="96">
        <f>'PRO Adj_C'!G26</f>
        <v>1418.5712546730356</v>
      </c>
      <c r="J31" s="49">
        <f t="shared" si="4"/>
        <v>1826685.4479964175</v>
      </c>
      <c r="L31" s="85">
        <f t="shared" si="5"/>
        <v>31028810.221334323</v>
      </c>
      <c r="M31" s="164"/>
    </row>
    <row r="32" spans="1:13" x14ac:dyDescent="0.2">
      <c r="A32" s="83">
        <v>23</v>
      </c>
      <c r="B32" s="83" t="s">
        <v>30</v>
      </c>
      <c r="C32" s="49">
        <f>Summary!F30</f>
        <v>-13151933.463076366</v>
      </c>
      <c r="D32" s="84"/>
      <c r="E32" s="96">
        <f>'PRO Adj_C'!D27</f>
        <v>1488774.8797238497</v>
      </c>
      <c r="F32" s="96">
        <f>'PRO Adj_C'!E27</f>
        <v>-1091864.9866758189</v>
      </c>
      <c r="G32" s="96">
        <f>'PRO Adj_C'!F27</f>
        <v>-4675892.5219631037</v>
      </c>
      <c r="H32" s="96">
        <f>'PRO Adj_C'!G27</f>
        <v>1051686.95653295</v>
      </c>
      <c r="J32" s="49">
        <f t="shared" si="4"/>
        <v>-3227295.6723821233</v>
      </c>
      <c r="L32" s="85">
        <f t="shared" si="5"/>
        <v>-16379229.13545849</v>
      </c>
      <c r="M32" s="164"/>
    </row>
    <row r="33" spans="1:13" x14ac:dyDescent="0.2">
      <c r="A33" s="83">
        <v>24</v>
      </c>
      <c r="B33" s="83" t="s">
        <v>31</v>
      </c>
      <c r="C33" s="49">
        <f>Summary!F31</f>
        <v>0</v>
      </c>
      <c r="D33" s="84"/>
      <c r="E33" s="96">
        <f>'PRO Adj_C'!D28</f>
        <v>0</v>
      </c>
      <c r="F33" s="96">
        <f>'PRO Adj_C'!E28</f>
        <v>0</v>
      </c>
      <c r="G33" s="96">
        <f>'PRO Adj_C'!F28</f>
        <v>0</v>
      </c>
      <c r="H33" s="96">
        <f>'PRO Adj_C'!G28</f>
        <v>0</v>
      </c>
      <c r="J33" s="49">
        <f t="shared" si="4"/>
        <v>0</v>
      </c>
      <c r="L33" s="85">
        <f t="shared" si="5"/>
        <v>0</v>
      </c>
      <c r="M33" s="164"/>
    </row>
    <row r="34" spans="1:13" x14ac:dyDescent="0.2">
      <c r="A34" s="83">
        <v>25</v>
      </c>
      <c r="B34" s="83" t="s">
        <v>32</v>
      </c>
      <c r="C34" s="49">
        <f>Summary!F32</f>
        <v>-914527.67211332289</v>
      </c>
      <c r="D34" s="84"/>
      <c r="E34" s="96">
        <f>'PRO Adj_C'!D29</f>
        <v>0</v>
      </c>
      <c r="F34" s="96">
        <f>'PRO Adj_C'!E29</f>
        <v>-721773.07714107563</v>
      </c>
      <c r="G34" s="96">
        <f>'PRO Adj_C'!F29</f>
        <v>2105629.9386235541</v>
      </c>
      <c r="H34" s="96">
        <f>'PRO Adj_C'!G29</f>
        <v>0</v>
      </c>
      <c r="J34" s="49">
        <f t="shared" si="4"/>
        <v>1383856.8614824784</v>
      </c>
      <c r="L34" s="85">
        <f t="shared" si="5"/>
        <v>469329.18936915556</v>
      </c>
      <c r="M34" s="164"/>
    </row>
    <row r="35" spans="1:13" x14ac:dyDescent="0.2">
      <c r="A35" s="83">
        <v>26</v>
      </c>
      <c r="B35" s="83" t="s">
        <v>33</v>
      </c>
      <c r="C35" s="49">
        <f>Summary!F33</f>
        <v>0</v>
      </c>
      <c r="D35" s="84"/>
      <c r="E35" s="96">
        <f>'PRO Adj_C'!D30</f>
        <v>0</v>
      </c>
      <c r="F35" s="96">
        <f>'PRO Adj_C'!E30</f>
        <v>0</v>
      </c>
      <c r="G35" s="96">
        <f>'PRO Adj_C'!F30</f>
        <v>0</v>
      </c>
      <c r="H35" s="96">
        <f>'PRO Adj_C'!G30</f>
        <v>0</v>
      </c>
      <c r="J35" s="49">
        <f t="shared" si="4"/>
        <v>0</v>
      </c>
      <c r="L35" s="85">
        <f t="shared" si="5"/>
        <v>0</v>
      </c>
      <c r="M35" s="164"/>
    </row>
    <row r="36" spans="1:13" x14ac:dyDescent="0.2">
      <c r="A36" s="83">
        <v>27</v>
      </c>
      <c r="B36" s="83" t="s">
        <v>34</v>
      </c>
      <c r="C36" s="49">
        <f>Summary!F34</f>
        <v>-98259.164157068604</v>
      </c>
      <c r="D36" s="84"/>
      <c r="E36" s="96">
        <f>'PRO Adj_C'!D31</f>
        <v>0</v>
      </c>
      <c r="F36" s="96">
        <f>'PRO Adj_C'!E31</f>
        <v>0</v>
      </c>
      <c r="G36" s="96">
        <f>'PRO Adj_C'!F31</f>
        <v>0</v>
      </c>
      <c r="H36" s="96">
        <f>'PRO Adj_C'!G31</f>
        <v>0</v>
      </c>
      <c r="J36" s="49">
        <f t="shared" si="4"/>
        <v>0</v>
      </c>
      <c r="L36" s="85">
        <f t="shared" si="5"/>
        <v>-98259.164157068604</v>
      </c>
      <c r="M36" s="164"/>
    </row>
    <row r="37" spans="1:13" x14ac:dyDescent="0.2">
      <c r="A37" s="83">
        <v>28</v>
      </c>
      <c r="B37" s="83" t="s">
        <v>35</v>
      </c>
      <c r="C37" s="92">
        <f>SUM(C28:C36)</f>
        <v>367556107.71737021</v>
      </c>
      <c r="D37" s="87"/>
      <c r="E37" s="92">
        <f t="shared" ref="E37:H37" si="6">SUM(E28:E36)</f>
        <v>-11594836.809452064</v>
      </c>
      <c r="F37" s="92">
        <f t="shared" si="6"/>
        <v>6322261.183911751</v>
      </c>
      <c r="G37" s="92">
        <f t="shared" si="6"/>
        <v>-744995.70659780502</v>
      </c>
      <c r="H37" s="92">
        <f t="shared" si="6"/>
        <v>-4381232.6595281288</v>
      </c>
      <c r="J37" s="92">
        <f>SUM(J28:J36)</f>
        <v>-10398803.991666252</v>
      </c>
      <c r="L37" s="92">
        <f>SUM(L28:L36)</f>
        <v>357157303.72570395</v>
      </c>
      <c r="M37" s="166"/>
    </row>
    <row r="38" spans="1:13" ht="12.75" x14ac:dyDescent="0.2">
      <c r="A38" s="83">
        <v>29</v>
      </c>
      <c r="B38" s="83"/>
      <c r="C38" s="88"/>
      <c r="D38" s="84"/>
      <c r="E38" s="88"/>
      <c r="F38" s="88"/>
      <c r="G38" s="88"/>
      <c r="H38" s="88"/>
      <c r="J38" s="88"/>
      <c r="L38" s="84"/>
      <c r="M38" s="166"/>
    </row>
    <row r="39" spans="1:13" ht="12" thickBot="1" x14ac:dyDescent="0.25">
      <c r="A39" s="83">
        <v>30</v>
      </c>
      <c r="B39" s="73" t="s">
        <v>36</v>
      </c>
      <c r="C39" s="93">
        <f>C15-C37</f>
        <v>81593197.826213479</v>
      </c>
      <c r="D39" s="94"/>
      <c r="E39" s="93">
        <f t="shared" ref="E39:H39" si="7">E15-E37</f>
        <v>5600629.3094373373</v>
      </c>
      <c r="F39" s="93">
        <f t="shared" si="7"/>
        <v>-6322261.183911751</v>
      </c>
      <c r="G39" s="93">
        <f t="shared" si="7"/>
        <v>744995.70659780502</v>
      </c>
      <c r="H39" s="93">
        <f t="shared" si="7"/>
        <v>4416883.4035732495</v>
      </c>
      <c r="J39" s="93">
        <f>J15-J37</f>
        <v>4440247.2356966455</v>
      </c>
      <c r="L39" s="93">
        <f>L15-L37</f>
        <v>86033445.061910152</v>
      </c>
      <c r="M39" s="167"/>
    </row>
    <row r="40" spans="1:13" ht="13.5" thickTop="1" x14ac:dyDescent="0.2">
      <c r="A40" s="83">
        <v>31</v>
      </c>
      <c r="B40" s="83"/>
      <c r="C40" s="88"/>
      <c r="D40" s="84"/>
      <c r="E40" s="88"/>
      <c r="F40" s="88"/>
      <c r="G40" s="88"/>
      <c r="H40" s="88"/>
      <c r="J40" s="88"/>
    </row>
    <row r="41" spans="1:13" ht="12.75" x14ac:dyDescent="0.2">
      <c r="A41" s="83">
        <v>32</v>
      </c>
      <c r="B41" s="83" t="s">
        <v>37</v>
      </c>
      <c r="C41" s="88"/>
      <c r="D41" s="84"/>
      <c r="E41" s="88"/>
      <c r="F41" s="88"/>
      <c r="G41" s="88"/>
      <c r="H41" s="88"/>
      <c r="J41" s="88"/>
    </row>
    <row r="42" spans="1:13" x14ac:dyDescent="0.2">
      <c r="A42" s="83">
        <v>33</v>
      </c>
      <c r="B42" s="83" t="s">
        <v>38</v>
      </c>
      <c r="C42" s="49">
        <f>Summary!F40</f>
        <v>2222312244.4742155</v>
      </c>
      <c r="D42" s="84"/>
      <c r="E42" s="96">
        <f>'PRO Adj_C'!D37</f>
        <v>0</v>
      </c>
      <c r="F42" s="96">
        <f>'PRO Adj_C'!E37</f>
        <v>287392170.99923688</v>
      </c>
      <c r="G42" s="96">
        <f>'PRO Adj_C'!F37</f>
        <v>0</v>
      </c>
      <c r="H42" s="96">
        <f>'PRO Adj_C'!G37</f>
        <v>1294368.0005066101</v>
      </c>
      <c r="J42" s="49">
        <f t="shared" ref="J42:J52" si="8">SUM(E42:H42)</f>
        <v>288686538.99974352</v>
      </c>
      <c r="L42" s="85">
        <f t="shared" ref="L42:L52" si="9">+C42+J42</f>
        <v>2510998783.473959</v>
      </c>
      <c r="M42" s="164"/>
    </row>
    <row r="43" spans="1:13" x14ac:dyDescent="0.2">
      <c r="A43" s="83">
        <v>34</v>
      </c>
      <c r="B43" s="83" t="s">
        <v>39</v>
      </c>
      <c r="C43" s="49">
        <f>Summary!F41</f>
        <v>467184.71621561563</v>
      </c>
      <c r="D43" s="84"/>
      <c r="E43" s="96">
        <f>'PRO Adj_C'!D38</f>
        <v>0</v>
      </c>
      <c r="F43" s="96">
        <f>'PRO Adj_C'!E38</f>
        <v>0</v>
      </c>
      <c r="G43" s="96">
        <f>'PRO Adj_C'!F38</f>
        <v>0</v>
      </c>
      <c r="H43" s="96">
        <f>'PRO Adj_C'!G38</f>
        <v>0</v>
      </c>
      <c r="J43" s="49">
        <f t="shared" si="8"/>
        <v>0</v>
      </c>
      <c r="L43" s="85">
        <f t="shared" si="9"/>
        <v>467184.71621561563</v>
      </c>
      <c r="M43" s="164"/>
    </row>
    <row r="44" spans="1:13" x14ac:dyDescent="0.2">
      <c r="A44" s="83">
        <v>35</v>
      </c>
      <c r="B44" s="83" t="s">
        <v>40</v>
      </c>
      <c r="C44" s="49">
        <f>Summary!F42</f>
        <v>-187305.4531018649</v>
      </c>
      <c r="D44" s="84"/>
      <c r="E44" s="96">
        <f>'PRO Adj_C'!D39</f>
        <v>0</v>
      </c>
      <c r="F44" s="96">
        <f>'PRO Adj_C'!E39</f>
        <v>0</v>
      </c>
      <c r="G44" s="96">
        <f>'PRO Adj_C'!F39</f>
        <v>0</v>
      </c>
      <c r="H44" s="96">
        <f>'PRO Adj_C'!G39</f>
        <v>-205648.56505143753</v>
      </c>
      <c r="J44" s="49">
        <f t="shared" si="8"/>
        <v>-205648.56505143753</v>
      </c>
      <c r="L44" s="85">
        <f t="shared" si="9"/>
        <v>-392954.01815330243</v>
      </c>
      <c r="M44" s="164"/>
    </row>
    <row r="45" spans="1:13" x14ac:dyDescent="0.2">
      <c r="A45" s="83">
        <v>36</v>
      </c>
      <c r="B45" s="83" t="s">
        <v>41</v>
      </c>
      <c r="C45" s="49">
        <f>Summary!F43</f>
        <v>115844.19848648913</v>
      </c>
      <c r="D45" s="84"/>
      <c r="E45" s="96">
        <f>'PRO Adj_C'!D40</f>
        <v>0</v>
      </c>
      <c r="F45" s="96">
        <f>'PRO Adj_C'!E40</f>
        <v>0</v>
      </c>
      <c r="G45" s="96">
        <f>'PRO Adj_C'!F40</f>
        <v>0</v>
      </c>
      <c r="H45" s="96">
        <f>'PRO Adj_C'!G40</f>
        <v>0</v>
      </c>
      <c r="J45" s="49">
        <f t="shared" si="8"/>
        <v>0</v>
      </c>
      <c r="L45" s="85">
        <f t="shared" si="9"/>
        <v>115844.19848648913</v>
      </c>
      <c r="M45" s="164"/>
    </row>
    <row r="46" spans="1:13" x14ac:dyDescent="0.2">
      <c r="A46" s="83">
        <v>37</v>
      </c>
      <c r="B46" s="83" t="s">
        <v>42</v>
      </c>
      <c r="C46" s="49">
        <f>Summary!F44</f>
        <v>0</v>
      </c>
      <c r="D46" s="84"/>
      <c r="E46" s="96">
        <f>'PRO Adj_C'!D41</f>
        <v>0</v>
      </c>
      <c r="F46" s="96">
        <f>'PRO Adj_C'!E41</f>
        <v>0</v>
      </c>
      <c r="G46" s="96">
        <f>'PRO Adj_C'!F41</f>
        <v>0</v>
      </c>
      <c r="H46" s="96">
        <f>'PRO Adj_C'!G41</f>
        <v>0</v>
      </c>
      <c r="J46" s="49">
        <f t="shared" si="8"/>
        <v>0</v>
      </c>
      <c r="L46" s="85">
        <f t="shared" si="9"/>
        <v>0</v>
      </c>
      <c r="M46" s="164"/>
    </row>
    <row r="47" spans="1:13" x14ac:dyDescent="0.2">
      <c r="A47" s="83">
        <v>38</v>
      </c>
      <c r="B47" s="83" t="s">
        <v>43</v>
      </c>
      <c r="C47" s="49">
        <f>Summary!F45</f>
        <v>4.6566128730773926E-9</v>
      </c>
      <c r="D47" s="84"/>
      <c r="E47" s="96">
        <f>'PRO Adj_C'!D42</f>
        <v>0</v>
      </c>
      <c r="F47" s="96">
        <f>'PRO Adj_C'!E42</f>
        <v>0</v>
      </c>
      <c r="G47" s="96">
        <f>'PRO Adj_C'!F42</f>
        <v>0</v>
      </c>
      <c r="H47" s="96">
        <f>'PRO Adj_C'!G42</f>
        <v>0</v>
      </c>
      <c r="J47" s="49">
        <f t="shared" si="8"/>
        <v>0</v>
      </c>
      <c r="L47" s="85">
        <f t="shared" si="9"/>
        <v>4.6566128730773926E-9</v>
      </c>
      <c r="M47" s="164"/>
    </row>
    <row r="48" spans="1:13" x14ac:dyDescent="0.2">
      <c r="A48" s="83">
        <v>39</v>
      </c>
      <c r="B48" s="83" t="s">
        <v>44</v>
      </c>
      <c r="C48" s="49">
        <f>Summary!F46</f>
        <v>0</v>
      </c>
      <c r="D48" s="84"/>
      <c r="E48" s="96">
        <f>'PRO Adj_C'!D43</f>
        <v>0</v>
      </c>
      <c r="F48" s="96">
        <f>'PRO Adj_C'!E43</f>
        <v>0</v>
      </c>
      <c r="G48" s="96">
        <f>'PRO Adj_C'!F43</f>
        <v>0</v>
      </c>
      <c r="H48" s="96">
        <f>'PRO Adj_C'!G43</f>
        <v>0</v>
      </c>
      <c r="J48" s="49">
        <f t="shared" si="8"/>
        <v>0</v>
      </c>
      <c r="L48" s="85">
        <f t="shared" si="9"/>
        <v>0</v>
      </c>
      <c r="M48" s="164"/>
    </row>
    <row r="49" spans="1:13" x14ac:dyDescent="0.2">
      <c r="A49" s="83">
        <v>40</v>
      </c>
      <c r="B49" s="83" t="s">
        <v>45</v>
      </c>
      <c r="C49" s="49">
        <f>Summary!F47</f>
        <v>8.6884945631027222E-5</v>
      </c>
      <c r="D49" s="84"/>
      <c r="E49" s="96">
        <f>'PRO Adj_C'!D44</f>
        <v>0</v>
      </c>
      <c r="F49" s="96">
        <f>'PRO Adj_C'!E44</f>
        <v>0</v>
      </c>
      <c r="G49" s="96">
        <f>'PRO Adj_C'!F44</f>
        <v>0</v>
      </c>
      <c r="H49" s="96">
        <f>'PRO Adj_C'!G44</f>
        <v>0</v>
      </c>
      <c r="J49" s="49">
        <f t="shared" si="8"/>
        <v>0</v>
      </c>
      <c r="L49" s="85">
        <f t="shared" si="9"/>
        <v>8.6884945631027222E-5</v>
      </c>
      <c r="M49" s="164"/>
    </row>
    <row r="50" spans="1:13" x14ac:dyDescent="0.2">
      <c r="A50" s="83">
        <v>41</v>
      </c>
      <c r="B50" s="83" t="s">
        <v>46</v>
      </c>
      <c r="C50" s="49">
        <f>Summary!F48</f>
        <v>29873668.417190563</v>
      </c>
      <c r="D50" s="84"/>
      <c r="E50" s="96">
        <f>'PRO Adj_C'!D45</f>
        <v>0</v>
      </c>
      <c r="F50" s="96">
        <f>'PRO Adj_C'!E45</f>
        <v>0</v>
      </c>
      <c r="G50" s="96">
        <f>'PRO Adj_C'!F45</f>
        <v>0</v>
      </c>
      <c r="H50" s="96">
        <f>'PRO Adj_C'!G45</f>
        <v>0</v>
      </c>
      <c r="J50" s="49">
        <f t="shared" si="8"/>
        <v>0</v>
      </c>
      <c r="L50" s="85">
        <f t="shared" si="9"/>
        <v>29873668.417190563</v>
      </c>
      <c r="M50" s="164"/>
    </row>
    <row r="51" spans="1:13" x14ac:dyDescent="0.2">
      <c r="A51" s="83">
        <v>42</v>
      </c>
      <c r="B51" s="83" t="s">
        <v>47</v>
      </c>
      <c r="C51" s="49">
        <f>Summary!F49</f>
        <v>3311.89</v>
      </c>
      <c r="D51" s="84"/>
      <c r="E51" s="96">
        <f>'PRO Adj_C'!D46</f>
        <v>0</v>
      </c>
      <c r="F51" s="96">
        <f>'PRO Adj_C'!E46</f>
        <v>0</v>
      </c>
      <c r="G51" s="96">
        <f>'PRO Adj_C'!F46</f>
        <v>0</v>
      </c>
      <c r="H51" s="96">
        <f>'PRO Adj_C'!G46</f>
        <v>0</v>
      </c>
      <c r="J51" s="49">
        <f t="shared" si="8"/>
        <v>0</v>
      </c>
      <c r="L51" s="85">
        <f t="shared" si="9"/>
        <v>3311.89</v>
      </c>
      <c r="M51" s="164"/>
    </row>
    <row r="52" spans="1:13" x14ac:dyDescent="0.2">
      <c r="A52" s="83">
        <v>43</v>
      </c>
      <c r="B52" s="83" t="s">
        <v>48</v>
      </c>
      <c r="C52" s="49">
        <f>Summary!F50</f>
        <v>0</v>
      </c>
      <c r="D52" s="84"/>
      <c r="E52" s="96">
        <f>'PRO Adj_C'!D47</f>
        <v>0</v>
      </c>
      <c r="F52" s="96">
        <f>'PRO Adj_C'!E47</f>
        <v>0</v>
      </c>
      <c r="G52" s="96">
        <f>'PRO Adj_C'!F47</f>
        <v>0</v>
      </c>
      <c r="H52" s="96">
        <f>'PRO Adj_C'!G47</f>
        <v>0</v>
      </c>
      <c r="J52" s="49">
        <f t="shared" si="8"/>
        <v>0</v>
      </c>
      <c r="L52" s="85">
        <f t="shared" si="9"/>
        <v>0</v>
      </c>
      <c r="M52" s="164"/>
    </row>
    <row r="53" spans="1:13" x14ac:dyDescent="0.2">
      <c r="A53" s="83">
        <v>44</v>
      </c>
      <c r="B53" s="83" t="s">
        <v>49</v>
      </c>
      <c r="C53" s="92">
        <f>SUM(C42:C52)</f>
        <v>2252584948.243093</v>
      </c>
      <c r="D53" s="87"/>
      <c r="E53" s="92">
        <f t="shared" ref="E53:H53" si="10">SUM(E42:E52)</f>
        <v>0</v>
      </c>
      <c r="F53" s="92">
        <f t="shared" si="10"/>
        <v>287392170.99923688</v>
      </c>
      <c r="G53" s="92">
        <f t="shared" si="10"/>
        <v>0</v>
      </c>
      <c r="H53" s="92">
        <f t="shared" si="10"/>
        <v>1088719.4354551726</v>
      </c>
      <c r="J53" s="92">
        <f>SUM(J42:J52)</f>
        <v>288480890.43469208</v>
      </c>
      <c r="L53" s="92">
        <f>SUM(L42:L52)</f>
        <v>2541065838.6777849</v>
      </c>
      <c r="M53" s="166"/>
    </row>
    <row r="54" spans="1:13" ht="12.75" x14ac:dyDescent="0.2">
      <c r="A54" s="83">
        <v>45</v>
      </c>
      <c r="B54" s="83"/>
      <c r="C54" s="88"/>
      <c r="D54" s="84"/>
      <c r="E54" s="88"/>
      <c r="F54" s="88"/>
      <c r="G54" s="88"/>
      <c r="H54" s="88"/>
      <c r="J54" s="88"/>
    </row>
    <row r="55" spans="1:13" ht="12.75" x14ac:dyDescent="0.2">
      <c r="A55" s="83">
        <v>46</v>
      </c>
      <c r="B55" s="83" t="s">
        <v>50</v>
      </c>
      <c r="C55" s="88"/>
      <c r="D55" s="84"/>
      <c r="E55" s="88"/>
      <c r="F55" s="88"/>
      <c r="G55" s="88"/>
      <c r="H55" s="88"/>
      <c r="J55" s="88"/>
    </row>
    <row r="56" spans="1:13" x14ac:dyDescent="0.2">
      <c r="A56" s="83">
        <v>47</v>
      </c>
      <c r="B56" s="83" t="s">
        <v>51</v>
      </c>
      <c r="C56" s="49">
        <f>Summary!F54</f>
        <v>-825050284.47702587</v>
      </c>
      <c r="D56" s="84"/>
      <c r="E56" s="96">
        <f>'PRO Adj_C'!D51</f>
        <v>0</v>
      </c>
      <c r="F56" s="96">
        <f>'PRO Adj_C'!E51</f>
        <v>-47094583.156919666</v>
      </c>
      <c r="G56" s="96">
        <f>'PRO Adj_C'!F51</f>
        <v>0</v>
      </c>
      <c r="H56" s="96">
        <f>'PRO Adj_C'!G51</f>
        <v>-405621.0959616105</v>
      </c>
      <c r="J56" s="49">
        <f t="shared" ref="J56:J62" si="11">SUM(E56:H56)</f>
        <v>-47500204.252881274</v>
      </c>
      <c r="L56" s="85">
        <f t="shared" ref="L56:L63" si="12">+C56+J56</f>
        <v>-872550488.72990716</v>
      </c>
      <c r="M56" s="164"/>
    </row>
    <row r="57" spans="1:13" x14ac:dyDescent="0.2">
      <c r="A57" s="83">
        <v>48</v>
      </c>
      <c r="B57" s="83" t="s">
        <v>52</v>
      </c>
      <c r="C57" s="49">
        <f>Summary!F55</f>
        <v>-64995002.633910976</v>
      </c>
      <c r="D57" s="84"/>
      <c r="E57" s="96">
        <f>'PRO Adj_C'!D52</f>
        <v>0</v>
      </c>
      <c r="F57" s="96">
        <f>'PRO Adj_C'!E52</f>
        <v>-4127826.0767176892</v>
      </c>
      <c r="G57" s="96">
        <f>'PRO Adj_C'!F52</f>
        <v>0</v>
      </c>
      <c r="H57" s="96">
        <f>'PRO Adj_C'!G52</f>
        <v>0</v>
      </c>
      <c r="J57" s="49">
        <f t="shared" si="11"/>
        <v>-4127826.0767176892</v>
      </c>
      <c r="L57" s="85">
        <f t="shared" si="12"/>
        <v>-69122828.710628659</v>
      </c>
      <c r="M57" s="164"/>
    </row>
    <row r="58" spans="1:13" x14ac:dyDescent="0.2">
      <c r="A58" s="83">
        <v>49</v>
      </c>
      <c r="B58" s="83" t="s">
        <v>53</v>
      </c>
      <c r="C58" s="49">
        <f>Summary!F56</f>
        <v>-161428474.99656531</v>
      </c>
      <c r="D58" s="84"/>
      <c r="E58" s="96">
        <f>'PRO Adj_C'!D53</f>
        <v>0</v>
      </c>
      <c r="F58" s="96">
        <f>'PRO Adj_C'!E53</f>
        <v>1730711.5899361102</v>
      </c>
      <c r="G58" s="96">
        <f>'PRO Adj_C'!F53</f>
        <v>-21535053.257850975</v>
      </c>
      <c r="H58" s="96">
        <f>'PRO Adj_C'!G53</f>
        <v>18734.185230826712</v>
      </c>
      <c r="J58" s="49">
        <f t="shared" si="11"/>
        <v>-19785607.482684039</v>
      </c>
      <c r="L58" s="85">
        <f t="shared" si="12"/>
        <v>-181214082.47924936</v>
      </c>
      <c r="M58" s="164"/>
    </row>
    <row r="59" spans="1:13" x14ac:dyDescent="0.2">
      <c r="A59" s="83">
        <v>50</v>
      </c>
      <c r="B59" s="83" t="s">
        <v>54</v>
      </c>
      <c r="C59" s="49">
        <f>Summary!F57</f>
        <v>-14943.338687945423</v>
      </c>
      <c r="D59" s="84"/>
      <c r="E59" s="96">
        <f>'PRO Adj_C'!D54</f>
        <v>0</v>
      </c>
      <c r="F59" s="96">
        <f>'PRO Adj_C'!E54</f>
        <v>0</v>
      </c>
      <c r="G59" s="96">
        <f>'PRO Adj_C'!F54</f>
        <v>0</v>
      </c>
      <c r="H59" s="96">
        <f>'PRO Adj_C'!G54</f>
        <v>0</v>
      </c>
      <c r="J59" s="49">
        <f t="shared" si="11"/>
        <v>0</v>
      </c>
      <c r="L59" s="85">
        <f t="shared" si="12"/>
        <v>-14943.338687945423</v>
      </c>
      <c r="M59" s="164"/>
    </row>
    <row r="60" spans="1:13" x14ac:dyDescent="0.2">
      <c r="A60" s="83">
        <v>51</v>
      </c>
      <c r="B60" s="83" t="s">
        <v>55</v>
      </c>
      <c r="C60" s="49">
        <f>Summary!F58</f>
        <v>-7825156.6492933892</v>
      </c>
      <c r="D60" s="84"/>
      <c r="E60" s="96">
        <f>'PRO Adj_C'!D55</f>
        <v>0</v>
      </c>
      <c r="F60" s="96">
        <f>'PRO Adj_C'!E55</f>
        <v>0</v>
      </c>
      <c r="G60" s="96">
        <f>'PRO Adj_C'!F55</f>
        <v>0</v>
      </c>
      <c r="H60" s="96">
        <f>'PRO Adj_C'!G55</f>
        <v>0</v>
      </c>
      <c r="J60" s="49">
        <f t="shared" si="11"/>
        <v>0</v>
      </c>
      <c r="L60" s="85">
        <f t="shared" si="12"/>
        <v>-7825156.6492933892</v>
      </c>
      <c r="M60" s="164"/>
    </row>
    <row r="61" spans="1:13" x14ac:dyDescent="0.2">
      <c r="A61" s="83">
        <v>52</v>
      </c>
      <c r="B61" s="83" t="s">
        <v>56</v>
      </c>
      <c r="C61" s="49">
        <f>Summary!F59</f>
        <v>-408390.63249999989</v>
      </c>
      <c r="D61" s="84"/>
      <c r="E61" s="96">
        <f>'PRO Adj_C'!D56</f>
        <v>0</v>
      </c>
      <c r="F61" s="96">
        <f>'PRO Adj_C'!E56</f>
        <v>0</v>
      </c>
      <c r="G61" s="96">
        <f>'PRO Adj_C'!F56</f>
        <v>0</v>
      </c>
      <c r="H61" s="96">
        <f>'PRO Adj_C'!G56</f>
        <v>0</v>
      </c>
      <c r="J61" s="49">
        <f t="shared" si="11"/>
        <v>0</v>
      </c>
      <c r="L61" s="85">
        <f t="shared" si="12"/>
        <v>-408390.63249999989</v>
      </c>
      <c r="M61" s="164"/>
    </row>
    <row r="62" spans="1:13" x14ac:dyDescent="0.2">
      <c r="A62" s="83">
        <v>53</v>
      </c>
      <c r="B62" s="83" t="s">
        <v>57</v>
      </c>
      <c r="C62" s="49">
        <f>Summary!F60</f>
        <v>-73614386.165271983</v>
      </c>
      <c r="D62" s="84"/>
      <c r="E62" s="96">
        <f>'PRO Adj_C'!D57</f>
        <v>0</v>
      </c>
      <c r="F62" s="96">
        <f>'PRO Adj_C'!E57</f>
        <v>0</v>
      </c>
      <c r="G62" s="96">
        <f>'PRO Adj_C'!F57</f>
        <v>2598391</v>
      </c>
      <c r="H62" s="96">
        <f>'PRO Adj_C'!G57</f>
        <v>0</v>
      </c>
      <c r="J62" s="49">
        <f t="shared" si="11"/>
        <v>2598391</v>
      </c>
      <c r="L62" s="85">
        <f t="shared" si="12"/>
        <v>-71015995.165271983</v>
      </c>
      <c r="M62" s="164"/>
    </row>
    <row r="63" spans="1:13" ht="12.75" x14ac:dyDescent="0.2">
      <c r="A63" s="83">
        <v>54</v>
      </c>
      <c r="B63" s="83"/>
      <c r="C63" s="88"/>
      <c r="D63" s="84"/>
      <c r="E63" s="96">
        <f>'PRO Adj_C'!D58</f>
        <v>0</v>
      </c>
      <c r="F63" s="96">
        <f>'PRO Adj_C'!E58</f>
        <v>0</v>
      </c>
      <c r="G63" s="96">
        <f>'PRO Adj_C'!F58</f>
        <v>0</v>
      </c>
      <c r="H63" s="96">
        <f>'PRO Adj_C'!G58</f>
        <v>0</v>
      </c>
      <c r="J63" s="88"/>
      <c r="L63" s="85">
        <f t="shared" si="12"/>
        <v>0</v>
      </c>
      <c r="M63" s="164"/>
    </row>
    <row r="64" spans="1:13" x14ac:dyDescent="0.2">
      <c r="A64" s="83">
        <v>55</v>
      </c>
      <c r="B64" s="83" t="s">
        <v>58</v>
      </c>
      <c r="C64" s="92">
        <f>SUM(C56:C63)</f>
        <v>-1133336638.8932555</v>
      </c>
      <c r="D64" s="87"/>
      <c r="E64" s="92">
        <f t="shared" ref="E64:H64" si="13">SUM(E56:E63)</f>
        <v>0</v>
      </c>
      <c r="F64" s="92">
        <f t="shared" si="13"/>
        <v>-49491697.643701248</v>
      </c>
      <c r="G64" s="92">
        <f t="shared" si="13"/>
        <v>-18936662.257850975</v>
      </c>
      <c r="H64" s="92">
        <f t="shared" si="13"/>
        <v>-386886.91073078377</v>
      </c>
      <c r="J64" s="92">
        <f>SUM(J56:J63)</f>
        <v>-68815246.812283009</v>
      </c>
      <c r="L64" s="92">
        <f>SUM(L56:L63)</f>
        <v>-1202151885.7055383</v>
      </c>
      <c r="M64" s="166"/>
    </row>
    <row r="65" spans="1:13" ht="12.75" x14ac:dyDescent="0.2">
      <c r="A65" s="83">
        <v>56</v>
      </c>
      <c r="B65" s="83"/>
      <c r="C65" s="88"/>
      <c r="D65" s="84"/>
      <c r="E65" s="88"/>
      <c r="F65" s="88"/>
      <c r="G65" s="88"/>
      <c r="H65" s="88"/>
      <c r="J65" s="88"/>
      <c r="L65" s="84"/>
      <c r="M65" s="166"/>
    </row>
    <row r="66" spans="1:13" ht="12" thickBot="1" x14ac:dyDescent="0.25">
      <c r="A66" s="83">
        <v>57</v>
      </c>
      <c r="B66" s="83" t="s">
        <v>59</v>
      </c>
      <c r="C66" s="93">
        <f>C53+C64</f>
        <v>1119248309.3498375</v>
      </c>
      <c r="D66" s="87"/>
      <c r="E66" s="93">
        <f t="shared" ref="E66:H66" si="14">E53+E64</f>
        <v>0</v>
      </c>
      <c r="F66" s="93">
        <f t="shared" si="14"/>
        <v>237900473.35553563</v>
      </c>
      <c r="G66" s="93">
        <f t="shared" si="14"/>
        <v>-18936662.257850975</v>
      </c>
      <c r="H66" s="93">
        <f t="shared" si="14"/>
        <v>701832.52472438873</v>
      </c>
      <c r="J66" s="93">
        <f>J53+J64</f>
        <v>219665643.62240908</v>
      </c>
      <c r="L66" s="93">
        <f>L53+L64</f>
        <v>1338913952.9722466</v>
      </c>
      <c r="M66" s="166"/>
    </row>
    <row r="67" spans="1:13" ht="13.5" thickTop="1" x14ac:dyDescent="0.2">
      <c r="A67" s="83">
        <v>58</v>
      </c>
      <c r="B67" s="83"/>
      <c r="C67" s="88"/>
      <c r="D67" s="84"/>
      <c r="E67" s="88"/>
      <c r="F67" s="88"/>
      <c r="G67" s="88"/>
      <c r="H67" s="88"/>
      <c r="J67" s="88"/>
    </row>
    <row r="68" spans="1:13" x14ac:dyDescent="0.2">
      <c r="A68" s="83">
        <v>59</v>
      </c>
      <c r="B68" s="83" t="s">
        <v>60</v>
      </c>
      <c r="C68" s="103">
        <f>Unadj_ROE</f>
        <v>9.5000000000000001E-2</v>
      </c>
      <c r="D68" s="104"/>
      <c r="E68" s="103">
        <f>'PRO Adj_C'!D63</f>
        <v>1.0007833538387953E-2</v>
      </c>
      <c r="F68" s="103">
        <f>'PRO Adj_C'!E63</f>
        <v>-3.4874893480352512E-2</v>
      </c>
      <c r="G68" s="103">
        <f>'PRO Adj_C'!F63</f>
        <v>3.8634044553156749E-3</v>
      </c>
      <c r="H68" s="103">
        <f>'PRO Adj_C'!G63</f>
        <v>7.796268287129024E-3</v>
      </c>
      <c r="I68" s="105"/>
      <c r="J68" s="103"/>
      <c r="K68" s="105"/>
      <c r="L68" s="103">
        <f>Summary!J67</f>
        <v>7.771228396107914E-2</v>
      </c>
      <c r="M68" s="168"/>
    </row>
    <row r="69" spans="1:13" x14ac:dyDescent="0.2">
      <c r="A69" s="83">
        <v>60</v>
      </c>
      <c r="B69" s="73" t="s">
        <v>84</v>
      </c>
      <c r="C69" s="49">
        <f>Summary!D9</f>
        <v>7193828.2592670172</v>
      </c>
      <c r="D69" s="95"/>
      <c r="E69" s="96">
        <f>'PRO Adj_C'!D64</f>
        <v>-7449428.4661718719</v>
      </c>
      <c r="F69" s="96">
        <f>'PRO Adj_C'!E64</f>
        <v>31477222.861230478</v>
      </c>
      <c r="G69" s="96">
        <f>'PRO Adj_C'!F64</f>
        <v>-2827110.7249010941</v>
      </c>
      <c r="H69" s="96">
        <f>'PRO Adj_C'!G64</f>
        <v>-5806868.4160049492</v>
      </c>
      <c r="J69" s="49">
        <f>-(J39-(J66*Overall_ROR))/gross_up_factor</f>
        <v>15393815.254152553</v>
      </c>
      <c r="L69" s="49">
        <f>-(L39-(L66*Overall_ROR))/gross_up_factor-5</f>
        <v>15393815.475335343</v>
      </c>
      <c r="M69" s="169"/>
    </row>
    <row r="70" spans="1:13" x14ac:dyDescent="0.2">
      <c r="A70" s="83">
        <v>61</v>
      </c>
      <c r="B70" s="83"/>
      <c r="C70" s="96"/>
      <c r="D70" s="84"/>
      <c r="E70" s="96"/>
      <c r="F70" s="96"/>
      <c r="G70" s="96"/>
      <c r="H70" s="96"/>
      <c r="J70" s="96"/>
    </row>
    <row r="71" spans="1:13" ht="12.75" x14ac:dyDescent="0.2">
      <c r="A71" s="83">
        <v>62</v>
      </c>
      <c r="B71" s="83" t="s">
        <v>61</v>
      </c>
      <c r="C71" s="88"/>
      <c r="D71" s="84"/>
      <c r="E71" s="88"/>
      <c r="F71" s="88"/>
      <c r="G71" s="88"/>
      <c r="H71" s="88"/>
      <c r="J71" s="88"/>
      <c r="M71" s="164"/>
    </row>
    <row r="72" spans="1:13" x14ac:dyDescent="0.2">
      <c r="A72" s="83">
        <v>63</v>
      </c>
      <c r="B72" s="83" t="s">
        <v>62</v>
      </c>
      <c r="C72" s="85">
        <f>Summary!F71</f>
        <v>67526736.691023767</v>
      </c>
      <c r="D72" s="85"/>
      <c r="E72" s="96">
        <f>'PRO Adj_C'!D67</f>
        <v>7089404.1891611889</v>
      </c>
      <c r="F72" s="96">
        <f>'PRO Adj_C'!E67</f>
        <v>-8135899.2477286449</v>
      </c>
      <c r="G72" s="96">
        <f>'PRO Adj_C'!F67</f>
        <v>-1825266.8767417446</v>
      </c>
      <c r="H72" s="96">
        <f>'PRO Adj_C'!G67</f>
        <v>5468570.3601062009</v>
      </c>
      <c r="J72" s="85">
        <f>SUM(E72:H72)</f>
        <v>2596808.4247970004</v>
      </c>
      <c r="L72" s="85">
        <f>+L15-L28-L29-L30-L31-L36</f>
        <v>70123545.115820795</v>
      </c>
      <c r="M72" s="164"/>
    </row>
    <row r="73" spans="1:13" x14ac:dyDescent="0.2">
      <c r="A73" s="83">
        <v>64</v>
      </c>
      <c r="B73" s="83" t="s">
        <v>63</v>
      </c>
      <c r="C73" s="85">
        <f>Summary!F72</f>
        <v>0</v>
      </c>
      <c r="D73" s="84"/>
      <c r="E73" s="96">
        <f>'PRO Adj_C'!D68</f>
        <v>0</v>
      </c>
      <c r="F73" s="96">
        <f>'PRO Adj_C'!E68</f>
        <v>0</v>
      </c>
      <c r="G73" s="96">
        <f>'PRO Adj_C'!F68</f>
        <v>0</v>
      </c>
      <c r="H73" s="96">
        <f>'PRO Adj_C'!G68</f>
        <v>0</v>
      </c>
    </row>
    <row r="74" spans="1:13" x14ac:dyDescent="0.2">
      <c r="A74" s="83">
        <v>65</v>
      </c>
      <c r="B74" s="83" t="s">
        <v>64</v>
      </c>
      <c r="C74" s="85">
        <f>Summary!F73</f>
        <v>-3636274.7351071914</v>
      </c>
      <c r="D74" s="84"/>
      <c r="E74" s="96">
        <f>'PRO Adj_C'!D69</f>
        <v>0</v>
      </c>
      <c r="F74" s="96">
        <f>'PRO Adj_C'!E69</f>
        <v>0</v>
      </c>
      <c r="G74" s="96">
        <f>'PRO Adj_C'!F69</f>
        <v>0</v>
      </c>
      <c r="H74" s="96">
        <f>'PRO Adj_C'!G69</f>
        <v>0</v>
      </c>
      <c r="J74" s="85">
        <f>SUM(E74:H74)</f>
        <v>0</v>
      </c>
      <c r="L74" s="85">
        <f>+C74+J74</f>
        <v>-3636274.7351071914</v>
      </c>
      <c r="M74" s="164"/>
    </row>
    <row r="75" spans="1:13" x14ac:dyDescent="0.2">
      <c r="A75" s="83">
        <v>66</v>
      </c>
      <c r="B75" s="83" t="s">
        <v>65</v>
      </c>
      <c r="C75" s="85">
        <f>Summary!F74</f>
        <v>28479172.499058776</v>
      </c>
      <c r="D75" s="84"/>
      <c r="E75" s="96">
        <f>'PRO Adj_C'!D70</f>
        <v>0</v>
      </c>
      <c r="F75" s="96">
        <f>'PRO Adj_C'!E70</f>
        <v>0</v>
      </c>
      <c r="G75" s="96">
        <f>'PRO Adj_C'!F70</f>
        <v>5529241.9064362869</v>
      </c>
      <c r="H75" s="96">
        <f>'PRO Adj_C'!G70</f>
        <v>0</v>
      </c>
      <c r="J75" s="85">
        <f>SUM(E75:H75)</f>
        <v>5529241.9064362869</v>
      </c>
      <c r="L75" s="85">
        <f>+C75+J75</f>
        <v>34008414.405495062</v>
      </c>
      <c r="M75" s="164"/>
    </row>
    <row r="76" spans="1:13" x14ac:dyDescent="0.2">
      <c r="A76" s="83">
        <v>67</v>
      </c>
      <c r="B76" s="97" t="s">
        <v>66</v>
      </c>
      <c r="C76" s="85">
        <f>Summary!F75</f>
        <v>94733504.432607815</v>
      </c>
      <c r="D76" s="87"/>
      <c r="E76" s="96">
        <f>'PRO Adj_C'!D71</f>
        <v>0</v>
      </c>
      <c r="F76" s="96">
        <f>'PRO Adj_C'!E71</f>
        <v>-1760373.9960824181</v>
      </c>
      <c r="G76" s="96">
        <f>'PRO Adj_C'!F71</f>
        <v>10157136.349259827</v>
      </c>
      <c r="H76" s="96">
        <f>'PRO Adj_C'!G71</f>
        <v>0</v>
      </c>
      <c r="J76" s="85">
        <f>SUM(E76:H76)</f>
        <v>8396762.3531774096</v>
      </c>
      <c r="L76" s="85">
        <f>+C76+J76</f>
        <v>103130266.78578523</v>
      </c>
      <c r="M76" s="164"/>
    </row>
    <row r="77" spans="1:13" x14ac:dyDescent="0.2">
      <c r="A77" s="83">
        <v>68</v>
      </c>
      <c r="B77" s="97" t="s">
        <v>67</v>
      </c>
      <c r="C77" s="85">
        <f>Summary!F76</f>
        <v>114380790.72417834</v>
      </c>
      <c r="D77" s="87"/>
      <c r="E77" s="96">
        <f>'PRO Adj_C'!D72</f>
        <v>0</v>
      </c>
      <c r="F77" s="96">
        <f>'PRO Adj_C'!E72</f>
        <v>-4696916.164402402</v>
      </c>
      <c r="G77" s="96">
        <f>'PRO Adj_C'!F72</f>
        <v>17027528.402883206</v>
      </c>
      <c r="H77" s="96">
        <f>'PRO Adj_C'!G72</f>
        <v>0</v>
      </c>
      <c r="J77" s="98">
        <f>SUM(E77:H77)</f>
        <v>12330612.238480803</v>
      </c>
      <c r="L77" s="85">
        <f>+C77+J77</f>
        <v>126711402.96265915</v>
      </c>
      <c r="M77" s="164"/>
    </row>
    <row r="78" spans="1:13" x14ac:dyDescent="0.2">
      <c r="A78" s="83">
        <v>69</v>
      </c>
      <c r="B78" s="83" t="s">
        <v>68</v>
      </c>
      <c r="C78" s="107">
        <f>Summary!F77</f>
        <v>23036552.635501653</v>
      </c>
      <c r="D78" s="84"/>
      <c r="E78" s="107">
        <f>'PRO Adj_C'!D73</f>
        <v>7089404.1891611889</v>
      </c>
      <c r="F78" s="107">
        <f>'PRO Adj_C'!E73</f>
        <v>-5199357.0794086615</v>
      </c>
      <c r="G78" s="107">
        <f>'PRO Adj_C'!F73</f>
        <v>-14224900.83680141</v>
      </c>
      <c r="H78" s="107">
        <f>'PRO Adj_C'!G73</f>
        <v>5468570.3601062009</v>
      </c>
      <c r="J78" s="99">
        <f>SUM(E78:H78)</f>
        <v>-6866283.3669426804</v>
      </c>
      <c r="L78" s="91">
        <f>+C78+J78</f>
        <v>16170269.268558972</v>
      </c>
      <c r="M78" s="166"/>
    </row>
    <row r="79" spans="1:13" x14ac:dyDescent="0.2">
      <c r="A79" s="83">
        <v>70</v>
      </c>
      <c r="B79" s="83"/>
      <c r="C79" s="85"/>
      <c r="D79" s="84"/>
      <c r="E79" s="85"/>
      <c r="F79" s="85"/>
      <c r="G79" s="85"/>
      <c r="H79" s="85"/>
      <c r="J79" s="85"/>
    </row>
    <row r="80" spans="1:13" x14ac:dyDescent="0.2">
      <c r="A80" s="83">
        <v>71</v>
      </c>
      <c r="B80" s="83" t="s">
        <v>69</v>
      </c>
      <c r="C80" s="85">
        <v>0</v>
      </c>
      <c r="D80" s="87"/>
      <c r="E80" s="85">
        <f>'PRO Adj_C'!D75</f>
        <v>0</v>
      </c>
      <c r="F80" s="85">
        <f>'PRO Adj_C'!E75</f>
        <v>0</v>
      </c>
      <c r="G80" s="85">
        <f>'PRO Adj_C'!F75</f>
        <v>0</v>
      </c>
      <c r="H80" s="85">
        <f>'PRO Adj_C'!G75</f>
        <v>0</v>
      </c>
      <c r="J80" s="85">
        <f>SUM(E80:H80)</f>
        <v>0</v>
      </c>
      <c r="L80" s="100">
        <f>+C80+J80</f>
        <v>0</v>
      </c>
      <c r="M80" s="166"/>
    </row>
    <row r="81" spans="1:13" ht="12" thickBot="1" x14ac:dyDescent="0.25">
      <c r="A81" s="83">
        <v>72</v>
      </c>
      <c r="B81" s="83" t="s">
        <v>70</v>
      </c>
      <c r="C81" s="101">
        <f>Summary!F80</f>
        <v>23036552.635501649</v>
      </c>
      <c r="D81" s="87"/>
      <c r="E81" s="101">
        <f>'PRO Adj_C'!D76</f>
        <v>7089404.1891611889</v>
      </c>
      <c r="F81" s="101">
        <f>'PRO Adj_C'!E76</f>
        <v>-5199357.0794086615</v>
      </c>
      <c r="G81" s="101">
        <f>'PRO Adj_C'!F76</f>
        <v>-14224900.83680141</v>
      </c>
      <c r="H81" s="101">
        <f>'PRO Adj_C'!G76</f>
        <v>5468570.3601062009</v>
      </c>
      <c r="J81" s="101">
        <f>SUM(E81:H81)</f>
        <v>-6866283.3669426804</v>
      </c>
      <c r="L81" s="102">
        <f>+C81+J81</f>
        <v>16170269.268558968</v>
      </c>
      <c r="M81" s="166"/>
    </row>
    <row r="82" spans="1:13" ht="13.5" thickTop="1" x14ac:dyDescent="0.2">
      <c r="A82" s="83">
        <v>73</v>
      </c>
      <c r="B82" s="83"/>
      <c r="C82" s="88"/>
      <c r="D82" s="84"/>
      <c r="E82" s="88"/>
      <c r="F82" s="88"/>
      <c r="G82" s="88"/>
      <c r="H82" s="88"/>
      <c r="J82" s="88"/>
    </row>
    <row r="83" spans="1:13" ht="12" thickBot="1" x14ac:dyDescent="0.25">
      <c r="A83" s="83">
        <v>74</v>
      </c>
      <c r="B83" s="97" t="s">
        <v>114</v>
      </c>
      <c r="C83" s="101">
        <f>Summary!F84</f>
        <v>-13151933.463076366</v>
      </c>
      <c r="D83" s="87"/>
      <c r="E83" s="101">
        <f>'PRO Adj_C'!D78</f>
        <v>1488774.8797238497</v>
      </c>
      <c r="F83" s="101">
        <f>'PRO Adj_C'!E78</f>
        <v>-1091864.9866758189</v>
      </c>
      <c r="G83" s="101">
        <f>'PRO Adj_C'!F78</f>
        <v>-2987229.1757282959</v>
      </c>
      <c r="H83" s="101">
        <f>'PRO Adj_C'!G78</f>
        <v>1148399.7756223022</v>
      </c>
      <c r="J83" s="101">
        <f>SUM(E83:H83)</f>
        <v>-1441919.5070579629</v>
      </c>
      <c r="L83" s="101">
        <f>+C83+J83</f>
        <v>-14593852.970134329</v>
      </c>
      <c r="M83" s="164"/>
    </row>
    <row r="84" spans="1:13" ht="12" thickTop="1" x14ac:dyDescent="0.2"/>
    <row r="85" spans="1:13" x14ac:dyDescent="0.2">
      <c r="L85" s="85"/>
    </row>
  </sheetData>
  <mergeCells count="3">
    <mergeCell ref="A2:B2"/>
    <mergeCell ref="A3:C3"/>
    <mergeCell ref="E6:H6"/>
  </mergeCells>
  <pageMargins left="0.7" right="0.7" top="0.75" bottom="0.75" header="0.3" footer="0.3"/>
  <pageSetup scale="66" firstPageNumber="2" fitToWidth="0" orientation="portrait" useFirstPageNumber="1" r:id="rId1"/>
  <customProperties>
    <customPr name="_pios_id" r:id="rId2"/>
  </customProperties>
  <ignoredErrors>
    <ignoredError sqref="J28 L2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I81"/>
  <sheetViews>
    <sheetView showOutlineSymbols="0" zoomScale="80" zoomScaleNormal="80" workbookViewId="0">
      <selection activeCell="D13" sqref="D13"/>
    </sheetView>
  </sheetViews>
  <sheetFormatPr defaultRowHeight="12.75" x14ac:dyDescent="0.2"/>
  <cols>
    <col min="1" max="1" width="5.140625" style="136" customWidth="1"/>
    <col min="2" max="2" width="26.5703125" style="136" customWidth="1"/>
    <col min="3" max="3" width="19.28515625" style="136" customWidth="1"/>
    <col min="4" max="4" width="19.140625" style="136" customWidth="1"/>
    <col min="5" max="5" width="19.7109375" style="136" customWidth="1"/>
    <col min="6" max="6" width="16.85546875" style="136" customWidth="1"/>
    <col min="7" max="7" width="18.42578125" style="136" customWidth="1"/>
    <col min="8" max="16384" width="9.140625" style="136"/>
  </cols>
  <sheetData>
    <row r="1" spans="1:9" x14ac:dyDescent="0.2">
      <c r="B1" s="269" t="s">
        <v>228</v>
      </c>
      <c r="C1" s="268"/>
      <c r="D1" s="268"/>
      <c r="E1" s="268"/>
      <c r="F1" s="268"/>
      <c r="G1" s="268"/>
      <c r="I1" s="19"/>
    </row>
    <row r="3" spans="1:9" ht="51" x14ac:dyDescent="0.2">
      <c r="C3" s="137" t="s">
        <v>97</v>
      </c>
      <c r="D3" s="137" t="s">
        <v>168</v>
      </c>
      <c r="E3" s="181" t="s">
        <v>169</v>
      </c>
      <c r="F3" s="137" t="s">
        <v>170</v>
      </c>
      <c r="G3" s="137" t="s">
        <v>171</v>
      </c>
    </row>
    <row r="5" spans="1:9" x14ac:dyDescent="0.2">
      <c r="A5" s="144">
        <v>1</v>
      </c>
      <c r="B5" s="144" t="s">
        <v>9</v>
      </c>
    </row>
    <row r="6" spans="1:9" x14ac:dyDescent="0.2">
      <c r="A6" s="144">
        <v>2</v>
      </c>
      <c r="B6" s="144" t="s">
        <v>10</v>
      </c>
      <c r="C6" s="145">
        <f>SUM(D6:G6)</f>
        <v>0</v>
      </c>
      <c r="D6" s="138">
        <f>SUM('Pro Forma Adj'!C12:F12)</f>
        <v>0</v>
      </c>
      <c r="E6" s="138">
        <f>SUM('Pro Forma Adj'!G12:Q12)</f>
        <v>0</v>
      </c>
      <c r="F6" s="138">
        <f>SUM('Pro Forma Adj'!R12:Y12)</f>
        <v>0</v>
      </c>
      <c r="G6" s="138">
        <f>SUM('Pro Forma Adj'!Z12:AB12)</f>
        <v>0</v>
      </c>
    </row>
    <row r="7" spans="1:9" x14ac:dyDescent="0.2">
      <c r="A7" s="144">
        <v>3</v>
      </c>
      <c r="B7" s="144" t="s">
        <v>11</v>
      </c>
      <c r="C7" s="145">
        <f>SUM(D7:G7)</f>
        <v>0</v>
      </c>
      <c r="D7" s="145">
        <f>SUM('Pro Forma Adj'!C13:F13)</f>
        <v>0</v>
      </c>
      <c r="E7" s="145">
        <f>SUM('Pro Forma Adj'!G13:Q13)</f>
        <v>0</v>
      </c>
      <c r="F7" s="145">
        <f>SUM('Pro Forma Adj'!R13:Y13)</f>
        <v>0</v>
      </c>
      <c r="G7" s="145">
        <f>SUM('Pro Forma Adj'!Z13:AB13)</f>
        <v>0</v>
      </c>
    </row>
    <row r="8" spans="1:9" x14ac:dyDescent="0.2">
      <c r="A8" s="144">
        <v>4</v>
      </c>
      <c r="B8" s="144" t="s">
        <v>12</v>
      </c>
      <c r="C8" s="145">
        <f>SUM(D8:G8)</f>
        <v>-8090800.8140892293</v>
      </c>
      <c r="D8" s="145">
        <f>SUM('Pro Forma Adj'!C14:F14)</f>
        <v>-8090800.8140892293</v>
      </c>
      <c r="E8" s="145">
        <f>SUM('Pro Forma Adj'!G14:Q14)</f>
        <v>0</v>
      </c>
      <c r="F8" s="145">
        <f>SUM('Pro Forma Adj'!R14:Y14)</f>
        <v>0</v>
      </c>
      <c r="G8" s="145">
        <f>SUM('Pro Forma Adj'!Z14:AB14)</f>
        <v>0</v>
      </c>
    </row>
    <row r="9" spans="1:9" x14ac:dyDescent="0.2">
      <c r="A9" s="144">
        <v>5</v>
      </c>
      <c r="B9" s="144" t="s">
        <v>13</v>
      </c>
      <c r="C9" s="145">
        <f>SUM(D9:G9)</f>
        <v>2132244.058119623</v>
      </c>
      <c r="D9" s="145">
        <f>SUM('Pro Forma Adj'!C15:F15)</f>
        <v>2096593.3140745021</v>
      </c>
      <c r="E9" s="145">
        <f>SUM('Pro Forma Adj'!G15:Q15)</f>
        <v>0</v>
      </c>
      <c r="F9" s="145">
        <f>SUM('Pro Forma Adj'!R15:Y15)</f>
        <v>0</v>
      </c>
      <c r="G9" s="145">
        <f>SUM('Pro Forma Adj'!Z15:AB15)</f>
        <v>35650.744045121013</v>
      </c>
    </row>
    <row r="10" spans="1:9" x14ac:dyDescent="0.2">
      <c r="A10" s="144">
        <v>6</v>
      </c>
      <c r="B10" s="144" t="s">
        <v>14</v>
      </c>
      <c r="C10" s="146">
        <f>SUM(C6:C9)</f>
        <v>-5958556.7559696063</v>
      </c>
      <c r="D10" s="146">
        <f t="shared" ref="D10:G10" si="0">SUM(D6:D9)</f>
        <v>-5994207.500014727</v>
      </c>
      <c r="E10" s="146">
        <f t="shared" si="0"/>
        <v>0</v>
      </c>
      <c r="F10" s="146">
        <f t="shared" si="0"/>
        <v>0</v>
      </c>
      <c r="G10" s="146">
        <f t="shared" si="0"/>
        <v>35650.744045121013</v>
      </c>
    </row>
    <row r="11" spans="1:9" x14ac:dyDescent="0.2">
      <c r="A11" s="144">
        <v>7</v>
      </c>
      <c r="B11" s="144"/>
    </row>
    <row r="12" spans="1:9" x14ac:dyDescent="0.2">
      <c r="A12" s="144">
        <v>8</v>
      </c>
      <c r="B12" s="144" t="s">
        <v>15</v>
      </c>
    </row>
    <row r="13" spans="1:9" x14ac:dyDescent="0.2">
      <c r="A13" s="144">
        <v>9</v>
      </c>
      <c r="B13" s="144" t="s">
        <v>16</v>
      </c>
      <c r="C13" s="145">
        <f t="shared" ref="C13:C22" si="1">SUM(D13:G13)</f>
        <v>-7876817.0493528359</v>
      </c>
      <c r="D13" s="145">
        <f>SUM('Pro Forma Adj'!C19:F19)</f>
        <v>-9358684.1298725251</v>
      </c>
      <c r="E13" s="145">
        <f>SUM('Pro Forma Adj'!G19:Q19)</f>
        <v>756302.95379777788</v>
      </c>
      <c r="F13" s="145">
        <f>SUM('Pro Forma Adj'!R19:Y19)</f>
        <v>0</v>
      </c>
      <c r="G13" s="145">
        <f>SUM('Pro Forma Adj'!Z19:AB19)</f>
        <v>725564.1267219116</v>
      </c>
    </row>
    <row r="14" spans="1:9" x14ac:dyDescent="0.2">
      <c r="A14" s="144">
        <v>10</v>
      </c>
      <c r="B14" s="144" t="s">
        <v>17</v>
      </c>
      <c r="C14" s="145">
        <f t="shared" si="1"/>
        <v>0</v>
      </c>
      <c r="D14" s="145">
        <f>SUM('Pro Forma Adj'!C20:F20)</f>
        <v>0</v>
      </c>
      <c r="E14" s="145">
        <f>SUM('Pro Forma Adj'!G20:Q20)</f>
        <v>0</v>
      </c>
      <c r="F14" s="145">
        <f>SUM('Pro Forma Adj'!R20:Y20)</f>
        <v>0</v>
      </c>
      <c r="G14" s="145">
        <f>SUM('Pro Forma Adj'!Z20:AB20)</f>
        <v>0</v>
      </c>
    </row>
    <row r="15" spans="1:9" x14ac:dyDescent="0.2">
      <c r="A15" s="144">
        <v>11</v>
      </c>
      <c r="B15" s="144" t="s">
        <v>18</v>
      </c>
      <c r="C15" s="145">
        <f t="shared" si="1"/>
        <v>40112.442495542295</v>
      </c>
      <c r="D15" s="145">
        <f>SUM('Pro Forma Adj'!C21:F21)</f>
        <v>40112.442495542295</v>
      </c>
      <c r="E15" s="145">
        <f>SUM('Pro Forma Adj'!G21:Q21)</f>
        <v>0</v>
      </c>
      <c r="F15" s="145">
        <f>SUM('Pro Forma Adj'!R21:Y21)</f>
        <v>0</v>
      </c>
      <c r="G15" s="145">
        <f>SUM('Pro Forma Adj'!Z21:AB21)</f>
        <v>0</v>
      </c>
    </row>
    <row r="16" spans="1:9" x14ac:dyDescent="0.2">
      <c r="A16" s="144">
        <v>12</v>
      </c>
      <c r="B16" s="144" t="s">
        <v>19</v>
      </c>
      <c r="C16" s="145">
        <f t="shared" si="1"/>
        <v>-4829242.7220257642</v>
      </c>
      <c r="D16" s="145">
        <f>SUM('Pro Forma Adj'!C22:F22)</f>
        <v>-6209442.9039823525</v>
      </c>
      <c r="E16" s="145">
        <f>SUM('Pro Forma Adj'!G22:Q22)</f>
        <v>395579.72739742004</v>
      </c>
      <c r="F16" s="145">
        <f>SUM('Pro Forma Adj'!R22:Y22)</f>
        <v>0</v>
      </c>
      <c r="G16" s="145">
        <f>SUM('Pro Forma Adj'!Z22:AB22)</f>
        <v>984620.45455916785</v>
      </c>
    </row>
    <row r="17" spans="1:9" x14ac:dyDescent="0.2">
      <c r="A17" s="144">
        <v>13</v>
      </c>
      <c r="B17" s="144" t="s">
        <v>20</v>
      </c>
      <c r="C17" s="145">
        <f t="shared" si="1"/>
        <v>2234473.3300518431</v>
      </c>
      <c r="D17" s="145">
        <f>SUM('Pro Forma Adj'!C23:F23)</f>
        <v>2071167.5394537465</v>
      </c>
      <c r="E17" s="145">
        <f>SUM('Pro Forma Adj'!G23:Q23)</f>
        <v>0</v>
      </c>
      <c r="F17" s="145">
        <f>SUM('Pro Forma Adj'!R23:Y23)</f>
        <v>0</v>
      </c>
      <c r="G17" s="145">
        <f>SUM('Pro Forma Adj'!Z23:AB23)</f>
        <v>163305.79059809633</v>
      </c>
    </row>
    <row r="18" spans="1:9" x14ac:dyDescent="0.2">
      <c r="A18" s="144">
        <v>14</v>
      </c>
      <c r="B18" s="144" t="s">
        <v>21</v>
      </c>
      <c r="C18" s="145">
        <f t="shared" si="1"/>
        <v>260910.7217698672</v>
      </c>
      <c r="D18" s="145">
        <f>SUM('Pro Forma Adj'!C24:F24)</f>
        <v>260910.7217698672</v>
      </c>
      <c r="E18" s="145">
        <f>SUM('Pro Forma Adj'!G24:Q24)</f>
        <v>0</v>
      </c>
      <c r="F18" s="145">
        <f>SUM('Pro Forma Adj'!R24:Y24)</f>
        <v>0</v>
      </c>
      <c r="G18" s="145">
        <f>SUM('Pro Forma Adj'!Z24:AB24)</f>
        <v>0</v>
      </c>
    </row>
    <row r="19" spans="1:9" x14ac:dyDescent="0.2">
      <c r="A19" s="144">
        <v>15</v>
      </c>
      <c r="B19" s="144" t="s">
        <v>22</v>
      </c>
      <c r="C19" s="145">
        <f t="shared" si="1"/>
        <v>55336.31702928173</v>
      </c>
      <c r="D19" s="145">
        <f>SUM('Pro Forma Adj'!C25:F25)</f>
        <v>55336.31702928173</v>
      </c>
      <c r="E19" s="145">
        <f>SUM('Pro Forma Adj'!G25:Q25)</f>
        <v>0</v>
      </c>
      <c r="F19" s="145">
        <f>SUM('Pro Forma Adj'!R25:Y25)</f>
        <v>0</v>
      </c>
      <c r="G19" s="145">
        <f>SUM('Pro Forma Adj'!Z25:AB25)</f>
        <v>0</v>
      </c>
    </row>
    <row r="20" spans="1:9" x14ac:dyDescent="0.2">
      <c r="A20" s="144">
        <v>16</v>
      </c>
      <c r="B20" s="144" t="s">
        <v>23</v>
      </c>
      <c r="C20" s="145">
        <f t="shared" si="1"/>
        <v>8332.1973895078172</v>
      </c>
      <c r="D20" s="145">
        <f>SUM('Pro Forma Adj'!C26:F26)</f>
        <v>8332.1973895078172</v>
      </c>
      <c r="E20" s="145">
        <f>SUM('Pro Forma Adj'!G26:Q26)</f>
        <v>0</v>
      </c>
      <c r="F20" s="145">
        <f>SUM('Pro Forma Adj'!R26:Y26)</f>
        <v>0</v>
      </c>
      <c r="G20" s="145">
        <f>SUM('Pro Forma Adj'!Z26:AB26)</f>
        <v>0</v>
      </c>
    </row>
    <row r="21" spans="1:9" x14ac:dyDescent="0.2">
      <c r="A21" s="144">
        <v>17</v>
      </c>
      <c r="B21" s="144" t="s">
        <v>24</v>
      </c>
      <c r="C21" s="145">
        <f t="shared" si="1"/>
        <v>0</v>
      </c>
      <c r="D21" s="145">
        <f>SUM('Pro Forma Adj'!C27:F27)</f>
        <v>0</v>
      </c>
      <c r="E21" s="145">
        <f>SUM('Pro Forma Adj'!G27:Q27)</f>
        <v>0</v>
      </c>
      <c r="F21" s="145">
        <f>SUM('Pro Forma Adj'!R27:Y27)</f>
        <v>0</v>
      </c>
      <c r="G21" s="145">
        <f>SUM('Pro Forma Adj'!Z27:AB27)</f>
        <v>0</v>
      </c>
    </row>
    <row r="22" spans="1:9" x14ac:dyDescent="0.2">
      <c r="A22" s="144">
        <v>18</v>
      </c>
      <c r="B22" s="144" t="s">
        <v>25</v>
      </c>
      <c r="C22" s="149">
        <f t="shared" si="1"/>
        <v>78466.445295342171</v>
      </c>
      <c r="D22" s="147">
        <f>SUM('Pro Forma Adj'!C28:F28)</f>
        <v>48656.126541016369</v>
      </c>
      <c r="E22" s="147">
        <f>SUM('Pro Forma Adj'!G28:Q28)</f>
        <v>29810.318754325799</v>
      </c>
      <c r="F22" s="147">
        <f>SUM('Pro Forma Adj'!R28:Y28)</f>
        <v>0</v>
      </c>
      <c r="G22" s="147">
        <f>SUM('Pro Forma Adj'!Z28:AB28)</f>
        <v>0</v>
      </c>
    </row>
    <row r="23" spans="1:9" x14ac:dyDescent="0.2">
      <c r="A23" s="144">
        <v>19</v>
      </c>
      <c r="B23" s="144" t="s">
        <v>26</v>
      </c>
      <c r="C23" s="139">
        <f>SUM(C13:C22)</f>
        <v>-10028428.317347215</v>
      </c>
      <c r="D23" s="182">
        <f t="shared" ref="D23:E23" si="2">SUM(D13:D22)</f>
        <v>-13083611.689175915</v>
      </c>
      <c r="E23" s="182">
        <f t="shared" si="2"/>
        <v>1181692.9999495237</v>
      </c>
      <c r="F23" s="182">
        <f t="shared" ref="F23:G23" si="3">SUM(F13:F22)</f>
        <v>0</v>
      </c>
      <c r="G23" s="182">
        <f t="shared" si="3"/>
        <v>1873490.3718791758</v>
      </c>
    </row>
    <row r="24" spans="1:9" x14ac:dyDescent="0.2">
      <c r="A24" s="144">
        <v>20</v>
      </c>
      <c r="B24" s="144" t="s">
        <v>27</v>
      </c>
      <c r="C24" s="145">
        <f>SUM(D24:G24)</f>
        <v>6678098.1691424558</v>
      </c>
      <c r="D24" s="145">
        <f>SUM('Pro Forma Adj'!C30:F30)</f>
        <v>0</v>
      </c>
      <c r="E24" s="145">
        <f>SUM('Pro Forma Adj'!G30:Q30)</f>
        <v>6597762.8532784889</v>
      </c>
      <c r="F24" s="145">
        <f>SUM('Pro Forma Adj'!R30:Y30)</f>
        <v>0</v>
      </c>
      <c r="G24" s="145">
        <f>SUM('Pro Forma Adj'!Z30:AB30)</f>
        <v>80335.315863966956</v>
      </c>
    </row>
    <row r="25" spans="1:9" x14ac:dyDescent="0.2">
      <c r="A25" s="144">
        <v>21</v>
      </c>
      <c r="B25" s="144" t="s">
        <v>28</v>
      </c>
      <c r="C25" s="145">
        <f>SUM(D25:G25)</f>
        <v>-7031720.4805582631</v>
      </c>
      <c r="D25" s="145">
        <f>SUM('Pro Forma Adj'!C31:F31)</f>
        <v>0</v>
      </c>
      <c r="E25" s="145">
        <f>SUM('Pro Forma Adj'!G31:Q31)</f>
        <v>356443.39450063306</v>
      </c>
      <c r="F25" s="145">
        <f>SUM('Pro Forma Adj'!R31:Y31)</f>
        <v>0</v>
      </c>
      <c r="G25" s="145">
        <f>SUM('Pro Forma Adj'!Z31:AB31)</f>
        <v>-7388163.8750588959</v>
      </c>
    </row>
    <row r="26" spans="1:9" x14ac:dyDescent="0.2">
      <c r="A26" s="144">
        <v>22</v>
      </c>
      <c r="B26" s="144" t="s">
        <v>29</v>
      </c>
      <c r="C26" s="145">
        <f>SUM(D26:G26)</f>
        <v>1826685.4479964175</v>
      </c>
      <c r="D26" s="145">
        <f>SUM('Pro Forma Adj'!C32:F32)</f>
        <v>0</v>
      </c>
      <c r="E26" s="145">
        <f>SUM('Pro Forma Adj'!G32:Q32)</f>
        <v>0</v>
      </c>
      <c r="F26" s="145">
        <f>SUM('Pro Forma Adj'!R32:Y32)</f>
        <v>1825266.8767417446</v>
      </c>
      <c r="G26" s="145">
        <f>SUM('Pro Forma Adj'!Z32:AB32)</f>
        <v>1418.5712546730356</v>
      </c>
    </row>
    <row r="27" spans="1:9" x14ac:dyDescent="0.2">
      <c r="A27" s="144">
        <v>23</v>
      </c>
      <c r="B27" s="144" t="s">
        <v>98</v>
      </c>
      <c r="C27" s="145">
        <f>C80</f>
        <v>-3227295.6723821233</v>
      </c>
      <c r="D27" s="145">
        <f>SUM('Pro Forma Adj'!C33:F33)</f>
        <v>1488774.8797238497</v>
      </c>
      <c r="E27" s="145">
        <f>SUM('Pro Forma Adj'!G33:Q33)</f>
        <v>-1091864.9866758189</v>
      </c>
      <c r="F27" s="145">
        <f>SUM('Pro Forma Adj'!R33:Y33)</f>
        <v>-4675892.5219631037</v>
      </c>
      <c r="G27" s="145">
        <f>SUM('Pro Forma Adj'!Z33:AB33)</f>
        <v>1051686.95653295</v>
      </c>
    </row>
    <row r="28" spans="1:9" x14ac:dyDescent="0.2">
      <c r="A28" s="144">
        <v>24</v>
      </c>
      <c r="B28" s="144" t="s">
        <v>99</v>
      </c>
      <c r="C28" s="145">
        <f>SUM(D28:G28)</f>
        <v>0</v>
      </c>
      <c r="D28" s="145">
        <f>SUM('Pro Forma Adj'!C34:F34)</f>
        <v>0</v>
      </c>
      <c r="E28" s="145">
        <f>SUM('Pro Forma Adj'!G34:Q34)</f>
        <v>0</v>
      </c>
      <c r="F28" s="145">
        <f>SUM('Pro Forma Adj'!R34:Y34)</f>
        <v>0</v>
      </c>
      <c r="G28" s="145">
        <f>SUM('Pro Forma Adj'!Z34:AB34)</f>
        <v>0</v>
      </c>
    </row>
    <row r="29" spans="1:9" x14ac:dyDescent="0.2">
      <c r="A29" s="144">
        <v>25</v>
      </c>
      <c r="B29" s="144" t="s">
        <v>100</v>
      </c>
      <c r="C29" s="145">
        <f>SUM(D29:G29)</f>
        <v>1383856.8614824784</v>
      </c>
      <c r="D29" s="145">
        <f>SUM('Pro Forma Adj'!C35:F35)</f>
        <v>0</v>
      </c>
      <c r="E29" s="145">
        <f>SUM('Pro Forma Adj'!G35:Q35)</f>
        <v>-721773.07714107563</v>
      </c>
      <c r="F29" s="145">
        <f>SUM('Pro Forma Adj'!R35:Y35)</f>
        <v>2105629.9386235541</v>
      </c>
      <c r="G29" s="145">
        <f>SUM('Pro Forma Adj'!Z35:AB35)</f>
        <v>0</v>
      </c>
      <c r="I29" s="186"/>
    </row>
    <row r="30" spans="1:9" x14ac:dyDescent="0.2">
      <c r="A30" s="144">
        <v>26</v>
      </c>
      <c r="B30" s="144" t="s">
        <v>33</v>
      </c>
      <c r="C30" s="145">
        <f>SUM(D30:G30)</f>
        <v>0</v>
      </c>
      <c r="D30" s="145">
        <f>SUM('Pro Forma Adj'!C36:F36)</f>
        <v>0</v>
      </c>
      <c r="E30" s="145">
        <f>SUM('Pro Forma Adj'!G36:Q36)</f>
        <v>0</v>
      </c>
      <c r="F30" s="145">
        <f>SUM('Pro Forma Adj'!R36:Y36)</f>
        <v>0</v>
      </c>
      <c r="G30" s="145">
        <f>SUM('Pro Forma Adj'!Z36:AB36)</f>
        <v>0</v>
      </c>
    </row>
    <row r="31" spans="1:9" x14ac:dyDescent="0.2">
      <c r="A31" s="144">
        <v>27</v>
      </c>
      <c r="B31" s="144" t="s">
        <v>34</v>
      </c>
      <c r="C31" s="145">
        <f>SUM(D31:G31)</f>
        <v>0</v>
      </c>
      <c r="D31" s="145">
        <f>SUM('Pro Forma Adj'!C37:F37)</f>
        <v>0</v>
      </c>
      <c r="E31" s="145">
        <f>SUM('Pro Forma Adj'!G37:Q37)</f>
        <v>0</v>
      </c>
      <c r="F31" s="145">
        <f>SUM('Pro Forma Adj'!R37:Y37)</f>
        <v>0</v>
      </c>
      <c r="G31" s="145">
        <f>SUM('Pro Forma Adj'!Z37:AB37)</f>
        <v>0</v>
      </c>
    </row>
    <row r="32" spans="1:9" x14ac:dyDescent="0.2">
      <c r="A32" s="144">
        <v>28</v>
      </c>
      <c r="B32" s="148" t="s">
        <v>35</v>
      </c>
      <c r="C32" s="140">
        <f>SUM(C23:C31)</f>
        <v>-10398803.991666252</v>
      </c>
      <c r="D32" s="140">
        <f t="shared" ref="D32:G32" si="4">SUM(D23:D31)</f>
        <v>-11594836.809452064</v>
      </c>
      <c r="E32" s="140">
        <f t="shared" si="4"/>
        <v>6322261.183911751</v>
      </c>
      <c r="F32" s="140">
        <f t="shared" si="4"/>
        <v>-744995.70659780502</v>
      </c>
      <c r="G32" s="140">
        <f t="shared" si="4"/>
        <v>-4381232.6595281288</v>
      </c>
    </row>
    <row r="33" spans="1:7" x14ac:dyDescent="0.2">
      <c r="A33" s="144">
        <v>29</v>
      </c>
      <c r="B33" s="144"/>
    </row>
    <row r="34" spans="1:7" ht="13.5" thickBot="1" x14ac:dyDescent="0.25">
      <c r="A34" s="144">
        <v>30</v>
      </c>
      <c r="B34" s="144" t="s">
        <v>36</v>
      </c>
      <c r="C34" s="141">
        <f>C10-C32</f>
        <v>4440247.2356966455</v>
      </c>
      <c r="D34" s="141">
        <f t="shared" ref="D34:G34" si="5">D10-D32</f>
        <v>5600629.3094373373</v>
      </c>
      <c r="E34" s="141">
        <f t="shared" si="5"/>
        <v>-6322261.183911751</v>
      </c>
      <c r="F34" s="141">
        <f t="shared" si="5"/>
        <v>744995.70659780502</v>
      </c>
      <c r="G34" s="141">
        <f t="shared" si="5"/>
        <v>4416883.4035732495</v>
      </c>
    </row>
    <row r="35" spans="1:7" ht="13.5" thickTop="1" x14ac:dyDescent="0.2">
      <c r="A35" s="144">
        <v>31</v>
      </c>
      <c r="B35" s="144"/>
    </row>
    <row r="36" spans="1:7" x14ac:dyDescent="0.2">
      <c r="A36" s="144">
        <v>32</v>
      </c>
      <c r="B36" s="144" t="s">
        <v>37</v>
      </c>
    </row>
    <row r="37" spans="1:7" x14ac:dyDescent="0.2">
      <c r="A37" s="144">
        <v>33</v>
      </c>
      <c r="B37" s="144" t="s">
        <v>38</v>
      </c>
      <c r="C37" s="145">
        <f t="shared" ref="C37:C47" si="6">SUM(D37:G37)</f>
        <v>288686538.99974352</v>
      </c>
      <c r="D37" s="145">
        <f>SUM('Pro Forma Adj'!C43:F43)</f>
        <v>0</v>
      </c>
      <c r="E37" s="145">
        <f>SUM('Pro Forma Adj'!G43:Q43)</f>
        <v>287392170.99923688</v>
      </c>
      <c r="F37" s="145">
        <f>SUM('Pro Forma Adj'!R43:Y43)</f>
        <v>0</v>
      </c>
      <c r="G37" s="145">
        <f>SUM('Pro Forma Adj'!Z43:AB43)</f>
        <v>1294368.0005066101</v>
      </c>
    </row>
    <row r="38" spans="1:7" x14ac:dyDescent="0.2">
      <c r="A38" s="144">
        <v>34</v>
      </c>
      <c r="B38" s="144" t="s">
        <v>39</v>
      </c>
      <c r="C38" s="145">
        <f t="shared" si="6"/>
        <v>0</v>
      </c>
      <c r="D38" s="145">
        <f>SUM('Pro Forma Adj'!C44:F44)</f>
        <v>0</v>
      </c>
      <c r="E38" s="145">
        <f>SUM('Pro Forma Adj'!G44:Q44)</f>
        <v>0</v>
      </c>
      <c r="F38" s="145">
        <f>SUM('Pro Forma Adj'!R44:Y44)</f>
        <v>0</v>
      </c>
      <c r="G38" s="145">
        <f>SUM('Pro Forma Adj'!Z44:AB44)</f>
        <v>0</v>
      </c>
    </row>
    <row r="39" spans="1:7" x14ac:dyDescent="0.2">
      <c r="A39" s="144">
        <v>35</v>
      </c>
      <c r="B39" s="144" t="s">
        <v>40</v>
      </c>
      <c r="C39" s="145">
        <f t="shared" si="6"/>
        <v>-205648.56505143753</v>
      </c>
      <c r="D39" s="145">
        <f>SUM('Pro Forma Adj'!C45:F45)</f>
        <v>0</v>
      </c>
      <c r="E39" s="145">
        <f>SUM('Pro Forma Adj'!G45:Q45)</f>
        <v>0</v>
      </c>
      <c r="F39" s="145">
        <f>SUM('Pro Forma Adj'!R45:Y45)</f>
        <v>0</v>
      </c>
      <c r="G39" s="145">
        <f>SUM('Pro Forma Adj'!Z45:AB45)</f>
        <v>-205648.56505143753</v>
      </c>
    </row>
    <row r="40" spans="1:7" x14ac:dyDescent="0.2">
      <c r="A40" s="144">
        <v>36</v>
      </c>
      <c r="B40" s="144" t="s">
        <v>41</v>
      </c>
      <c r="C40" s="145">
        <f t="shared" si="6"/>
        <v>0</v>
      </c>
      <c r="D40" s="145">
        <f>SUM('Pro Forma Adj'!C46:F46)</f>
        <v>0</v>
      </c>
      <c r="E40" s="145">
        <f>SUM('Pro Forma Adj'!G46:Q46)</f>
        <v>0</v>
      </c>
      <c r="F40" s="145">
        <f>SUM('Pro Forma Adj'!R46:Y46)</f>
        <v>0</v>
      </c>
      <c r="G40" s="145">
        <f>SUM('Pro Forma Adj'!Z46:AB46)</f>
        <v>0</v>
      </c>
    </row>
    <row r="41" spans="1:7" x14ac:dyDescent="0.2">
      <c r="A41" s="144">
        <v>37</v>
      </c>
      <c r="B41" s="144" t="s">
        <v>42</v>
      </c>
      <c r="C41" s="145">
        <f t="shared" si="6"/>
        <v>0</v>
      </c>
      <c r="D41" s="145">
        <f>SUM('Pro Forma Adj'!C47:F47)</f>
        <v>0</v>
      </c>
      <c r="E41" s="145">
        <f>SUM('Pro Forma Adj'!G47:Q47)</f>
        <v>0</v>
      </c>
      <c r="F41" s="145">
        <f>SUM('Pro Forma Adj'!R47:Y47)</f>
        <v>0</v>
      </c>
      <c r="G41" s="145">
        <f>SUM('Pro Forma Adj'!Z47:AB47)</f>
        <v>0</v>
      </c>
    </row>
    <row r="42" spans="1:7" x14ac:dyDescent="0.2">
      <c r="A42" s="144">
        <v>38</v>
      </c>
      <c r="B42" s="144" t="s">
        <v>43</v>
      </c>
      <c r="C42" s="145">
        <f t="shared" si="6"/>
        <v>0</v>
      </c>
      <c r="D42" s="145">
        <f>SUM('Pro Forma Adj'!C48:F48)</f>
        <v>0</v>
      </c>
      <c r="E42" s="145">
        <f>SUM('Pro Forma Adj'!G48:Q48)</f>
        <v>0</v>
      </c>
      <c r="F42" s="145">
        <f>SUM('Pro Forma Adj'!R48:Y48)</f>
        <v>0</v>
      </c>
      <c r="G42" s="145">
        <f>SUM('Pro Forma Adj'!Z48:AB48)</f>
        <v>0</v>
      </c>
    </row>
    <row r="43" spans="1:7" x14ac:dyDescent="0.2">
      <c r="A43" s="144">
        <v>39</v>
      </c>
      <c r="B43" s="144" t="s">
        <v>44</v>
      </c>
      <c r="C43" s="145">
        <f t="shared" si="6"/>
        <v>0</v>
      </c>
      <c r="D43" s="145">
        <f>SUM('Pro Forma Adj'!C49:F49)</f>
        <v>0</v>
      </c>
      <c r="E43" s="145">
        <f>SUM('Pro Forma Adj'!G49:Q49)</f>
        <v>0</v>
      </c>
      <c r="F43" s="145">
        <f>SUM('Pro Forma Adj'!R49:Y49)</f>
        <v>0</v>
      </c>
      <c r="G43" s="145">
        <f>SUM('Pro Forma Adj'!Z49:AB49)</f>
        <v>0</v>
      </c>
    </row>
    <row r="44" spans="1:7" x14ac:dyDescent="0.2">
      <c r="A44" s="144">
        <v>40</v>
      </c>
      <c r="B44" s="144" t="s">
        <v>45</v>
      </c>
      <c r="C44" s="145">
        <f t="shared" si="6"/>
        <v>0</v>
      </c>
      <c r="D44" s="145">
        <f>SUM('Pro Forma Adj'!C50:F50)</f>
        <v>0</v>
      </c>
      <c r="E44" s="145">
        <f>SUM('Pro Forma Adj'!G50:Q50)</f>
        <v>0</v>
      </c>
      <c r="F44" s="145">
        <f>SUM('Pro Forma Adj'!R50:Y50)</f>
        <v>0</v>
      </c>
      <c r="G44" s="145">
        <f>SUM('Pro Forma Adj'!Z50:AB50)</f>
        <v>0</v>
      </c>
    </row>
    <row r="45" spans="1:7" x14ac:dyDescent="0.2">
      <c r="A45" s="144">
        <v>41</v>
      </c>
      <c r="B45" s="144" t="s">
        <v>46</v>
      </c>
      <c r="C45" s="145">
        <f t="shared" si="6"/>
        <v>0</v>
      </c>
      <c r="D45" s="145">
        <f>SUM('Pro Forma Adj'!C51:F51)</f>
        <v>0</v>
      </c>
      <c r="E45" s="145">
        <f>SUM('Pro Forma Adj'!G51:Q51)</f>
        <v>0</v>
      </c>
      <c r="F45" s="145">
        <f>SUM('Pro Forma Adj'!R51:Y51)</f>
        <v>0</v>
      </c>
      <c r="G45" s="145">
        <f>SUM('Pro Forma Adj'!Z51:AB51)</f>
        <v>0</v>
      </c>
    </row>
    <row r="46" spans="1:7" x14ac:dyDescent="0.2">
      <c r="A46" s="144">
        <v>42</v>
      </c>
      <c r="B46" s="144" t="s">
        <v>101</v>
      </c>
      <c r="C46" s="145">
        <f t="shared" si="6"/>
        <v>0</v>
      </c>
      <c r="D46" s="145">
        <f>SUM('Pro Forma Adj'!C52:F52)</f>
        <v>0</v>
      </c>
      <c r="E46" s="145">
        <f>SUM('Pro Forma Adj'!G52:Q52)</f>
        <v>0</v>
      </c>
      <c r="F46" s="145">
        <f>SUM('Pro Forma Adj'!R52:Y52)</f>
        <v>0</v>
      </c>
      <c r="G46" s="145">
        <f>SUM('Pro Forma Adj'!Z52:AB52)</f>
        <v>0</v>
      </c>
    </row>
    <row r="47" spans="1:7" x14ac:dyDescent="0.2">
      <c r="A47" s="144">
        <v>43</v>
      </c>
      <c r="B47" s="144" t="s">
        <v>48</v>
      </c>
      <c r="C47" s="145">
        <f t="shared" si="6"/>
        <v>0</v>
      </c>
      <c r="D47" s="149">
        <f>SUM('Pro Forma Adj'!C53:F53)</f>
        <v>0</v>
      </c>
      <c r="E47" s="149">
        <f>SUM('Pro Forma Adj'!G53:Q53)</f>
        <v>0</v>
      </c>
      <c r="F47" s="149">
        <f>SUM('Pro Forma Adj'!R53:Y53)</f>
        <v>0</v>
      </c>
      <c r="G47" s="149">
        <f>SUM('Pro Forma Adj'!Z53:AB53)</f>
        <v>0</v>
      </c>
    </row>
    <row r="48" spans="1:7" x14ac:dyDescent="0.2">
      <c r="A48" s="144">
        <v>44</v>
      </c>
      <c r="B48" s="144" t="s">
        <v>49</v>
      </c>
      <c r="C48" s="140">
        <f>SUM(C37:C47)</f>
        <v>288480890.43469208</v>
      </c>
      <c r="D48" s="140">
        <f t="shared" ref="D48:G48" si="7">SUM(D37:D47)</f>
        <v>0</v>
      </c>
      <c r="E48" s="140">
        <f t="shared" si="7"/>
        <v>287392170.99923688</v>
      </c>
      <c r="F48" s="140">
        <f t="shared" si="7"/>
        <v>0</v>
      </c>
      <c r="G48" s="140">
        <f t="shared" si="7"/>
        <v>1088719.4354551726</v>
      </c>
    </row>
    <row r="49" spans="1:7" x14ac:dyDescent="0.2">
      <c r="A49" s="144">
        <v>45</v>
      </c>
      <c r="B49" s="144"/>
    </row>
    <row r="50" spans="1:7" x14ac:dyDescent="0.2">
      <c r="A50" s="144">
        <v>46</v>
      </c>
      <c r="B50" s="144" t="s">
        <v>102</v>
      </c>
    </row>
    <row r="51" spans="1:7" x14ac:dyDescent="0.2">
      <c r="A51" s="144">
        <v>47</v>
      </c>
      <c r="B51" s="144" t="s">
        <v>51</v>
      </c>
      <c r="C51" s="145">
        <f t="shared" ref="C51:C57" si="8">SUM(D51:G51)</f>
        <v>-47500204.252881274</v>
      </c>
      <c r="D51" s="145">
        <f>SUM('Pro Forma Adj'!C57:F57)</f>
        <v>0</v>
      </c>
      <c r="E51" s="145">
        <f>SUM('Pro Forma Adj'!G57:Q57)</f>
        <v>-47094583.156919666</v>
      </c>
      <c r="F51" s="145">
        <f>SUM('Pro Forma Adj'!R57:Y57)</f>
        <v>0</v>
      </c>
      <c r="G51" s="145">
        <f>SUM('Pro Forma Adj'!Z57:AB57)</f>
        <v>-405621.0959616105</v>
      </c>
    </row>
    <row r="52" spans="1:7" x14ac:dyDescent="0.2">
      <c r="A52" s="144">
        <v>48</v>
      </c>
      <c r="B52" s="144" t="s">
        <v>52</v>
      </c>
      <c r="C52" s="145">
        <f t="shared" si="8"/>
        <v>-4127826.0767176892</v>
      </c>
      <c r="D52" s="145">
        <f>SUM('Pro Forma Adj'!C58:F58)</f>
        <v>0</v>
      </c>
      <c r="E52" s="145">
        <f>SUM('Pro Forma Adj'!G58:Q58)</f>
        <v>-4127826.0767176892</v>
      </c>
      <c r="F52" s="145">
        <f>SUM('Pro Forma Adj'!R58:Y58)</f>
        <v>0</v>
      </c>
      <c r="G52" s="145">
        <f>SUM('Pro Forma Adj'!Z58:AB58)</f>
        <v>0</v>
      </c>
    </row>
    <row r="53" spans="1:7" x14ac:dyDescent="0.2">
      <c r="A53" s="144">
        <v>49</v>
      </c>
      <c r="B53" s="144" t="s">
        <v>53</v>
      </c>
      <c r="C53" s="145">
        <f t="shared" si="8"/>
        <v>-19785607.482684039</v>
      </c>
      <c r="D53" s="145">
        <f>SUM('Pro Forma Adj'!C59:F59)</f>
        <v>0</v>
      </c>
      <c r="E53" s="145">
        <f>SUM('Pro Forma Adj'!G59:Q59)</f>
        <v>1730711.5899361102</v>
      </c>
      <c r="F53" s="145">
        <f>SUM('Pro Forma Adj'!R59:Y59)</f>
        <v>-21535053.257850975</v>
      </c>
      <c r="G53" s="145">
        <f>SUM('Pro Forma Adj'!Z59:AB59)</f>
        <v>18734.185230826712</v>
      </c>
    </row>
    <row r="54" spans="1:7" x14ac:dyDescent="0.2">
      <c r="A54" s="144">
        <v>50</v>
      </c>
      <c r="B54" s="144" t="s">
        <v>54</v>
      </c>
      <c r="C54" s="145">
        <f t="shared" si="8"/>
        <v>0</v>
      </c>
      <c r="D54" s="145">
        <f>SUM('Pro Forma Adj'!C60:F60)</f>
        <v>0</v>
      </c>
      <c r="E54" s="145">
        <f>SUM('Pro Forma Adj'!G60:Q60)</f>
        <v>0</v>
      </c>
      <c r="F54" s="145">
        <f>SUM('Pro Forma Adj'!R60:Y60)</f>
        <v>0</v>
      </c>
      <c r="G54" s="145">
        <f>SUM('Pro Forma Adj'!Z60:AB60)</f>
        <v>0</v>
      </c>
    </row>
    <row r="55" spans="1:7" x14ac:dyDescent="0.2">
      <c r="A55" s="144">
        <v>51</v>
      </c>
      <c r="B55" s="144" t="s">
        <v>55</v>
      </c>
      <c r="C55" s="145">
        <f t="shared" si="8"/>
        <v>0</v>
      </c>
      <c r="D55" s="145">
        <f>SUM('Pro Forma Adj'!C61:F61)</f>
        <v>0</v>
      </c>
      <c r="E55" s="145">
        <f>SUM('Pro Forma Adj'!G61:Q61)</f>
        <v>0</v>
      </c>
      <c r="F55" s="145">
        <f>SUM('Pro Forma Adj'!R61:Y61)</f>
        <v>0</v>
      </c>
      <c r="G55" s="145">
        <f>SUM('Pro Forma Adj'!Z61:AB61)</f>
        <v>0</v>
      </c>
    </row>
    <row r="56" spans="1:7" x14ac:dyDescent="0.2">
      <c r="A56" s="144">
        <v>52</v>
      </c>
      <c r="B56" s="144" t="s">
        <v>56</v>
      </c>
      <c r="C56" s="145">
        <f t="shared" si="8"/>
        <v>0</v>
      </c>
      <c r="D56" s="145">
        <f>SUM('Pro Forma Adj'!C62:F62)</f>
        <v>0</v>
      </c>
      <c r="E56" s="145">
        <f>SUM('Pro Forma Adj'!G62:Q62)</f>
        <v>0</v>
      </c>
      <c r="F56" s="145">
        <f>SUM('Pro Forma Adj'!R62:Y62)</f>
        <v>0</v>
      </c>
      <c r="G56" s="145">
        <f>SUM('Pro Forma Adj'!Z62:AB62)</f>
        <v>0</v>
      </c>
    </row>
    <row r="57" spans="1:7" x14ac:dyDescent="0.2">
      <c r="A57" s="144">
        <v>53</v>
      </c>
      <c r="B57" s="144" t="s">
        <v>103</v>
      </c>
      <c r="C57" s="145">
        <f t="shared" si="8"/>
        <v>2598391</v>
      </c>
      <c r="D57" s="145">
        <f>SUM('Pro Forma Adj'!C63:F63)</f>
        <v>0</v>
      </c>
      <c r="E57" s="145">
        <f>SUM('Pro Forma Adj'!G63:Q63)</f>
        <v>0</v>
      </c>
      <c r="F57" s="145">
        <f>SUM('Pro Forma Adj'!R63:Y63)</f>
        <v>2598391</v>
      </c>
      <c r="G57" s="145">
        <f>SUM('Pro Forma Adj'!Z63:AB63)</f>
        <v>0</v>
      </c>
    </row>
    <row r="58" spans="1:7" x14ac:dyDescent="0.2">
      <c r="A58" s="144">
        <v>54</v>
      </c>
      <c r="B58" s="144"/>
    </row>
    <row r="59" spans="1:7" x14ac:dyDescent="0.2">
      <c r="A59" s="144">
        <v>55</v>
      </c>
      <c r="B59" s="144" t="s">
        <v>104</v>
      </c>
      <c r="C59" s="140">
        <f>SUM(C51:C58)</f>
        <v>-68815246.812283009</v>
      </c>
      <c r="D59" s="140">
        <f t="shared" ref="D59:G59" si="9">SUM(D51:D58)</f>
        <v>0</v>
      </c>
      <c r="E59" s="140">
        <f t="shared" si="9"/>
        <v>-49491697.643701248</v>
      </c>
      <c r="F59" s="140">
        <f t="shared" si="9"/>
        <v>-18936662.257850975</v>
      </c>
      <c r="G59" s="140">
        <f t="shared" si="9"/>
        <v>-386886.91073078377</v>
      </c>
    </row>
    <row r="60" spans="1:7" x14ac:dyDescent="0.2">
      <c r="A60" s="144">
        <v>56</v>
      </c>
      <c r="B60" s="144"/>
    </row>
    <row r="61" spans="1:7" ht="13.5" thickBot="1" x14ac:dyDescent="0.25">
      <c r="A61" s="144">
        <v>57</v>
      </c>
      <c r="B61" s="144" t="s">
        <v>59</v>
      </c>
      <c r="C61" s="141">
        <f>C48+C59</f>
        <v>219665643.62240908</v>
      </c>
      <c r="D61" s="141">
        <f t="shared" ref="D61:G61" si="10">D48+D59</f>
        <v>0</v>
      </c>
      <c r="E61" s="141">
        <f t="shared" si="10"/>
        <v>237900473.35553563</v>
      </c>
      <c r="F61" s="141">
        <f t="shared" si="10"/>
        <v>-18936662.257850975</v>
      </c>
      <c r="G61" s="141">
        <f t="shared" si="10"/>
        <v>701832.52472438873</v>
      </c>
    </row>
    <row r="62" spans="1:7" ht="13.5" thickTop="1" x14ac:dyDescent="0.2">
      <c r="A62" s="144">
        <v>58</v>
      </c>
      <c r="B62" s="144"/>
    </row>
    <row r="63" spans="1:7" x14ac:dyDescent="0.2">
      <c r="A63" s="144">
        <v>59</v>
      </c>
      <c r="B63" s="150" t="s">
        <v>105</v>
      </c>
      <c r="C63" s="189">
        <f>(((C34+Unadj_Op_revenue)/(C61+Unadj_rate_base))-Weighted_cost_debt-Weighted_cost_pref)/Percent_common-Unadj_ROE</f>
        <v>-1.7287716038920917E-2</v>
      </c>
      <c r="D63" s="16">
        <f>(((D34+Unadj_Op_revenue)/(D61+Unadj_rate_base))-Weighted_cost_debt-Weighted_cost_pref)/Percent_common-Unadj_ROE</f>
        <v>1.0007833538387953E-2</v>
      </c>
      <c r="E63" s="151">
        <f>(((E34+Unadj_Op_revenue)/(E61+Unadj_rate_base))-Weighted_cost_debt-Weighted_cost_pref)/Percent_common-Unadj_ROE</f>
        <v>-3.4874893480352512E-2</v>
      </c>
      <c r="F63" s="151">
        <f>(((F34+Unadj_Op_revenue)/(F61+Unadj_rate_base))-Weighted_cost_debt-Weighted_cost_pref)/Percent_common-Unadj_ROE</f>
        <v>3.8634044553156749E-3</v>
      </c>
      <c r="G63" s="151">
        <f>(((G34+Unadj_Op_revenue)/(G61+Unadj_rate_base))-Weighted_cost_debt-Weighted_cost_pref)/Percent_common-Unadj_ROE</f>
        <v>7.796268287129024E-3</v>
      </c>
    </row>
    <row r="64" spans="1:7" x14ac:dyDescent="0.2">
      <c r="A64" s="144">
        <v>60</v>
      </c>
      <c r="B64" s="142" t="s">
        <v>7</v>
      </c>
      <c r="C64" s="152">
        <f t="shared" ref="C64" si="11">-(C34-(C61*Overall_ROR))/gross_up_factor</f>
        <v>15393815.254152553</v>
      </c>
      <c r="D64" s="152">
        <f t="shared" ref="D64:E64" si="12">-(D34-(D61*Overall_ROR))/gross_up_factor</f>
        <v>-7449428.4661718719</v>
      </c>
      <c r="E64" s="152">
        <f t="shared" si="12"/>
        <v>31477222.861230478</v>
      </c>
      <c r="F64" s="152">
        <f t="shared" ref="F64:G64" si="13">-(F34-(F61*Overall_ROR))/gross_up_factor</f>
        <v>-2827110.7249010941</v>
      </c>
      <c r="G64" s="152">
        <f t="shared" si="13"/>
        <v>-5806868.4160049492</v>
      </c>
    </row>
    <row r="65" spans="1:7" x14ac:dyDescent="0.2">
      <c r="A65" s="144">
        <v>61</v>
      </c>
      <c r="B65" s="144"/>
    </row>
    <row r="66" spans="1:7" x14ac:dyDescent="0.2">
      <c r="A66" s="144">
        <v>62</v>
      </c>
      <c r="B66" s="144" t="s">
        <v>61</v>
      </c>
    </row>
    <row r="67" spans="1:7" x14ac:dyDescent="0.2">
      <c r="A67" s="144">
        <v>63</v>
      </c>
      <c r="B67" s="144" t="s">
        <v>62</v>
      </c>
      <c r="C67" s="139">
        <f>SUM(D67:G67)</f>
        <v>2596808.4247970004</v>
      </c>
      <c r="D67" s="139">
        <f>SUM('Pro Forma Adj'!C74:F74)</f>
        <v>7089404.1891611889</v>
      </c>
      <c r="E67" s="139">
        <f t="shared" ref="D67:G67" si="14">E10-E23-E24-E25-E26-E31</f>
        <v>-8135899.2477286449</v>
      </c>
      <c r="F67" s="139">
        <f t="shared" si="14"/>
        <v>-1825266.8767417446</v>
      </c>
      <c r="G67" s="139">
        <f t="shared" si="14"/>
        <v>5468570.3601062009</v>
      </c>
    </row>
    <row r="68" spans="1:7" x14ac:dyDescent="0.2">
      <c r="A68" s="144">
        <v>64</v>
      </c>
      <c r="B68" s="144" t="s">
        <v>63</v>
      </c>
      <c r="C68" s="139">
        <v>0</v>
      </c>
      <c r="D68" s="15">
        <f>SUM('Pro Forma Adj'!C75:F75)</f>
        <v>0</v>
      </c>
      <c r="E68" s="15">
        <f>SUM('Pro Forma Adj'!G75:Q75)</f>
        <v>0</v>
      </c>
      <c r="F68" s="15">
        <f>SUM('Pro Forma Adj'!R75:Y75)</f>
        <v>0</v>
      </c>
      <c r="G68" s="15">
        <f>SUM('Pro Forma Adj'!Z75:AB75)</f>
        <v>0</v>
      </c>
    </row>
    <row r="69" spans="1:7" x14ac:dyDescent="0.2">
      <c r="A69" s="144">
        <v>65</v>
      </c>
      <c r="B69" s="144" t="s">
        <v>64</v>
      </c>
      <c r="C69" s="139">
        <f>SUM(D69:G69)</f>
        <v>0</v>
      </c>
      <c r="D69" s="139">
        <f>SUM('Pro Forma Adj'!C76:F76)</f>
        <v>0</v>
      </c>
      <c r="E69" s="139">
        <f>SUM('Pro Forma Adj'!G76:Q76)</f>
        <v>0</v>
      </c>
      <c r="F69" s="139">
        <f>SUM('Pro Forma Adj'!R76:Y76)</f>
        <v>0</v>
      </c>
      <c r="G69" s="139">
        <f>SUM('Pro Forma Adj'!Z76:AB76)</f>
        <v>0</v>
      </c>
    </row>
    <row r="70" spans="1:7" x14ac:dyDescent="0.2">
      <c r="A70" s="144">
        <v>66</v>
      </c>
      <c r="B70" s="144" t="s">
        <v>65</v>
      </c>
      <c r="C70" s="139">
        <f>SUM(D70:G70)</f>
        <v>5529241.9064362869</v>
      </c>
      <c r="D70" s="139">
        <f>SUM('Pro Forma Adj'!C77:F77)</f>
        <v>0</v>
      </c>
      <c r="E70" s="139">
        <f>SUM('Pro Forma Adj'!G77:Q77)</f>
        <v>0</v>
      </c>
      <c r="F70" s="139">
        <f>SUM('Pro Forma Adj'!R77:Y77)</f>
        <v>5529241.9064362869</v>
      </c>
      <c r="G70" s="139">
        <f>SUM('Pro Forma Adj'!Z77:AB77)</f>
        <v>0</v>
      </c>
    </row>
    <row r="71" spans="1:7" x14ac:dyDescent="0.2">
      <c r="A71" s="144">
        <v>67</v>
      </c>
      <c r="B71" s="148" t="s">
        <v>66</v>
      </c>
      <c r="C71" s="139">
        <f>SUM(D71:G71)</f>
        <v>8396762.3531774096</v>
      </c>
      <c r="D71" s="139">
        <f>SUM('Pro Forma Adj'!C78:F78)</f>
        <v>0</v>
      </c>
      <c r="E71" s="139">
        <f>SUM('Pro Forma Adj'!G78:Q78)</f>
        <v>-1760373.9960824181</v>
      </c>
      <c r="F71" s="139">
        <f>SUM('Pro Forma Adj'!R78:Y78)</f>
        <v>10157136.349259827</v>
      </c>
      <c r="G71" s="139">
        <f>SUM('Pro Forma Adj'!Z78:AB78)</f>
        <v>0</v>
      </c>
    </row>
    <row r="72" spans="1:7" x14ac:dyDescent="0.2">
      <c r="A72" s="144">
        <v>68</v>
      </c>
      <c r="B72" s="148" t="s">
        <v>67</v>
      </c>
      <c r="C72" s="154">
        <f>SUM(D72:G72)</f>
        <v>12330612.238480803</v>
      </c>
      <c r="D72" s="139">
        <f>SUM('Pro Forma Adj'!C79:F79)</f>
        <v>0</v>
      </c>
      <c r="E72" s="139">
        <f>SUM('Pro Forma Adj'!G79:Q79)</f>
        <v>-4696916.164402402</v>
      </c>
      <c r="F72" s="139">
        <f>SUM('Pro Forma Adj'!R79:Y79)</f>
        <v>17027528.402883206</v>
      </c>
      <c r="G72" s="139">
        <f>SUM('Pro Forma Adj'!Z79:AB79)</f>
        <v>0</v>
      </c>
    </row>
    <row r="73" spans="1:7" x14ac:dyDescent="0.2">
      <c r="A73" s="144">
        <v>69</v>
      </c>
      <c r="B73" s="148" t="s">
        <v>68</v>
      </c>
      <c r="C73" s="147">
        <f>SUM(D73:G73)</f>
        <v>-6866283.3669426804</v>
      </c>
      <c r="D73" s="153">
        <f>D67-D69-D70+D71-D72</f>
        <v>7089404.1891611889</v>
      </c>
      <c r="E73" s="153">
        <f>E67-E69-E70+E71-E72</f>
        <v>-5199357.0794086615</v>
      </c>
      <c r="F73" s="153">
        <f>F67-F69-F70+F71-F72</f>
        <v>-14224900.83680141</v>
      </c>
      <c r="G73" s="153">
        <f>G67-G69-G70+G71-G72</f>
        <v>5468570.3601062009</v>
      </c>
    </row>
    <row r="74" spans="1:7" x14ac:dyDescent="0.2">
      <c r="A74" s="144">
        <v>70</v>
      </c>
      <c r="B74" s="144"/>
      <c r="C74" s="139"/>
      <c r="D74" s="139"/>
      <c r="E74" s="139"/>
      <c r="F74" s="139"/>
      <c r="G74" s="139"/>
    </row>
    <row r="75" spans="1:7" x14ac:dyDescent="0.2">
      <c r="A75" s="144">
        <v>71</v>
      </c>
      <c r="B75" s="144" t="s">
        <v>69</v>
      </c>
      <c r="C75" s="139">
        <f>SUM(D75:G75)</f>
        <v>0</v>
      </c>
      <c r="D75" s="139">
        <f>H162</f>
        <v>0</v>
      </c>
      <c r="E75" s="139">
        <f>I162</f>
        <v>0</v>
      </c>
      <c r="F75" s="139">
        <f>J162</f>
        <v>0</v>
      </c>
      <c r="G75" s="139">
        <f>K162</f>
        <v>0</v>
      </c>
    </row>
    <row r="76" spans="1:7" x14ac:dyDescent="0.2">
      <c r="A76" s="144">
        <v>72</v>
      </c>
      <c r="B76" s="144" t="s">
        <v>70</v>
      </c>
      <c r="C76" s="139">
        <f>SUM(D76:G76)</f>
        <v>-6866283.3669426804</v>
      </c>
      <c r="D76" s="139">
        <f>D73-D75</f>
        <v>7089404.1891611889</v>
      </c>
      <c r="E76" s="139">
        <f>E73-E75</f>
        <v>-5199357.0794086615</v>
      </c>
      <c r="F76" s="139">
        <f>F73-F75</f>
        <v>-14224900.83680141</v>
      </c>
      <c r="G76" s="139">
        <f>G73-G75</f>
        <v>5468570.3601062009</v>
      </c>
    </row>
    <row r="77" spans="1:7" x14ac:dyDescent="0.2">
      <c r="A77" s="144">
        <v>73</v>
      </c>
      <c r="B77" s="144"/>
    </row>
    <row r="78" spans="1:7" x14ac:dyDescent="0.2">
      <c r="A78" s="144">
        <v>74</v>
      </c>
      <c r="B78" s="144" t="s">
        <v>83</v>
      </c>
      <c r="C78" s="139">
        <f>SUM(D78:G78)</f>
        <v>-1441919.5070579629</v>
      </c>
      <c r="D78" s="139">
        <f t="shared" ref="D78:G78" si="15">D76*0.21</f>
        <v>1488774.8797238497</v>
      </c>
      <c r="E78" s="139">
        <f t="shared" si="15"/>
        <v>-1091864.9866758189</v>
      </c>
      <c r="F78" s="139">
        <f t="shared" si="15"/>
        <v>-2987229.1757282959</v>
      </c>
      <c r="G78" s="139">
        <f t="shared" si="15"/>
        <v>1148399.7756223022</v>
      </c>
    </row>
    <row r="79" spans="1:7" x14ac:dyDescent="0.2">
      <c r="A79" s="144">
        <v>75</v>
      </c>
      <c r="B79" s="144" t="s">
        <v>82</v>
      </c>
      <c r="C79" s="139">
        <f>SUM(D79:G79)</f>
        <v>-1785376.1653241599</v>
      </c>
      <c r="D79" s="139">
        <f>SUM('Pro Forma Adj'!C86:F86)</f>
        <v>0</v>
      </c>
      <c r="E79" s="139">
        <f>SUM('Pro Forma Adj'!G86:Q86)</f>
        <v>0</v>
      </c>
      <c r="F79" s="139">
        <f>SUM('Pro Forma Adj'!R86:Y86)</f>
        <v>-1688663.3462348077</v>
      </c>
      <c r="G79" s="139">
        <f>SUM('Pro Forma Adj'!Z86:AB86)</f>
        <v>-96712.819089352153</v>
      </c>
    </row>
    <row r="80" spans="1:7" ht="13.5" thickBot="1" x14ac:dyDescent="0.25">
      <c r="A80" s="144">
        <v>76</v>
      </c>
      <c r="B80" s="144" t="s">
        <v>83</v>
      </c>
      <c r="C80" s="143">
        <f>SUM(D80:G80)</f>
        <v>-3227295.6723821233</v>
      </c>
      <c r="D80" s="143">
        <f t="shared" ref="D80:G80" si="16">D78+D79</f>
        <v>1488774.8797238497</v>
      </c>
      <c r="E80" s="143">
        <f t="shared" si="16"/>
        <v>-1091864.9866758189</v>
      </c>
      <c r="F80" s="143">
        <f t="shared" si="16"/>
        <v>-4675892.5219631037</v>
      </c>
      <c r="G80" s="143">
        <f t="shared" si="16"/>
        <v>1051686.95653295</v>
      </c>
    </row>
    <row r="81" ht="13.5" thickTop="1" x14ac:dyDescent="0.2"/>
  </sheetData>
  <mergeCells count="1">
    <mergeCell ref="B1:G1"/>
  </mergeCells>
  <pageMargins left="0.5" right="0.5" top="0.4" bottom="0.25" header="0.25" footer="0.3"/>
  <pageSetup scale="72" orientation="portrait" r:id="rId1"/>
  <customProperties>
    <customPr name="_pios_id" r:id="rId2"/>
  </customProperties>
  <ignoredErrors>
    <ignoredError sqref="C2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2025-03-07T08:00:00+00:00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D58557C-6DCC-4A20-88FB-56F7BCBE5809}"/>
</file>

<file path=customXml/itemProps2.xml><?xml version="1.0" encoding="utf-8"?>
<ds:datastoreItem xmlns:ds="http://schemas.openxmlformats.org/officeDocument/2006/customXml" ds:itemID="{D4DFA626-3D6E-4632-9F2A-697909997747}"/>
</file>

<file path=customXml/itemProps3.xml><?xml version="1.0" encoding="utf-8"?>
<ds:datastoreItem xmlns:ds="http://schemas.openxmlformats.org/officeDocument/2006/customXml" ds:itemID="{90E41FB6-67EE-4602-8F89-B9B776058E36}"/>
</file>

<file path=customXml/itemProps4.xml><?xml version="1.0" encoding="utf-8"?>
<ds:datastoreItem xmlns:ds="http://schemas.openxmlformats.org/officeDocument/2006/customXml" ds:itemID="{BAEE5545-AF17-476F-8230-9A0436D51F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28</vt:i4>
      </vt:variant>
    </vt:vector>
  </HeadingPairs>
  <TitlesOfParts>
    <vt:vector size="35" baseType="lpstr">
      <vt:lpstr>Summary</vt:lpstr>
      <vt:lpstr>Pro Forma Adj</vt:lpstr>
      <vt:lpstr>Interest Calc</vt:lpstr>
      <vt:lpstr>Variables</vt:lpstr>
      <vt:lpstr>Adj Summary_C</vt:lpstr>
      <vt:lpstr>Summary by Tab_C</vt:lpstr>
      <vt:lpstr>PRO Adj_C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'Adj Summary_C'!Print_Area</vt:lpstr>
      <vt:lpstr>'PRO Adj_C'!Print_Area</vt:lpstr>
      <vt:lpstr>'Pro Forma Adj'!Print_Area</vt:lpstr>
      <vt:lpstr>Summary!Print_Area</vt:lpstr>
      <vt:lpstr>'Summary by Tab_C'!Print_Area</vt:lpstr>
      <vt:lpstr>Variables!Print_Area</vt:lpstr>
      <vt:lpstr>'Pro Forma Adj'!Print_Titles</vt:lpstr>
      <vt:lpstr>'Summary by Tab_C'!Print_Titles</vt:lpstr>
      <vt:lpstr>Restated_Op_revenue</vt:lpstr>
      <vt:lpstr>Restated_rate_base</vt:lpstr>
      <vt:lpstr>Restated_ROE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Cheung, Sherona (PacifiCorp)</cp:lastModifiedBy>
  <cp:lastPrinted>2025-03-05T00:29:34Z</cp:lastPrinted>
  <dcterms:created xsi:type="dcterms:W3CDTF">2009-02-17T19:17:29Z</dcterms:created>
  <dcterms:modified xsi:type="dcterms:W3CDTF">2025-03-05T01:12:45Z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