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__Final Order\Models\RY2\RY2 Compliance Models\Cleaned-up workpapers\"/>
    </mc:Choice>
  </mc:AlternateContent>
  <xr:revisionPtr revIDLastSave="0" documentId="13_ncr:1_{4DCF1C08-F836-45EA-8E60-9E80ABCAB5F9}" xr6:coauthVersionLast="47" xr6:coauthVersionMax="47" xr10:uidLastSave="{00000000-0000-0000-0000-000000000000}"/>
  <bookViews>
    <workbookView xWindow="-120" yWindow="480" windowWidth="29040" windowHeight="15840" tabRatio="825" xr2:uid="{FC12A92E-DB12-480C-A4D4-C25550EF1D82}"/>
  </bookViews>
  <sheets>
    <sheet name="Non-NPC Coal Costs (RY2)" sheetId="16" r:id="rId1"/>
    <sheet name="Rev Req - Coal Tracker RY2" sheetId="1" r:id="rId2"/>
    <sheet name="Interest Calc" sheetId="7" r:id="rId3"/>
    <sheet name="Variables" sheetId="3" r:id="rId4"/>
    <sheet name="Deferred Fly Ash Amort." sheetId="17" r:id="rId5"/>
    <sheet name="Unadj. Results" sheetId="4" r:id="rId6"/>
    <sheet name="Non-NPC Coal (RY1_Compliance)" sheetId="19" r:id="rId7"/>
  </sheets>
  <externalReferences>
    <externalReference r:id="rId8"/>
    <externalReference r:id="rId9"/>
  </externalReferences>
  <definedNames>
    <definedName name="__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6" hidden="1">{#N/A,#N/A,FALSE,"schA"}</definedName>
    <definedName name="__________________www1" hidden="1">{#N/A,#N/A,FALSE,"schA"}</definedName>
    <definedName name="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6" hidden="1">{#N/A,#N/A,FALSE,"schA"}</definedName>
    <definedName name="_________________www1" hidden="1">{#N/A,#N/A,FALSE,"schA"}</definedName>
    <definedName name="________________six6" localSheetId="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6" hidden="1">{#N/A,#N/A,FALSE,"schA"}</definedName>
    <definedName name="________________www1" hidden="1">{#N/A,#N/A,FALSE,"schA"}</definedName>
    <definedName name="_______________six6" localSheetId="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6" hidden="1">{#N/A,#N/A,FALSE,"schA"}</definedName>
    <definedName name="_______________www1" hidden="1">{#N/A,#N/A,FALSE,"schA"}</definedName>
    <definedName name="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6" hidden="1">{#N/A,#N/A,FALSE,"schA"}</definedName>
    <definedName name="______________www1" hidden="1">{#N/A,#N/A,FALSE,"schA"}</definedName>
    <definedName name="____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localSheetId="6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6" hidden="1">{#N/A,#N/A,FALSE,"schA"}</definedName>
    <definedName name="_____________www1" hidden="1">{#N/A,#N/A,FALSE,"schA"}</definedName>
    <definedName name="___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6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6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6" hidden="1">{#N/A,#N/A,FALSE,"schA"}</definedName>
    <definedName name="____________www1" hidden="1">{#N/A,#N/A,FALSE,"schA"}</definedName>
    <definedName name="___________OM1" localSheetId="6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6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6" hidden="1">{#N/A,#N/A,FALSE,"schA"}</definedName>
    <definedName name="___________www1" hidden="1">{#N/A,#N/A,FALSE,"schA"}</definedName>
    <definedName name="_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localSheetId="6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6" hidden="1">{#N/A,#N/A,FALSE,"schA"}</definedName>
    <definedName name="__________www1" hidden="1">{#N/A,#N/A,FALSE,"schA"}</definedName>
    <definedName name="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6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6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6" hidden="1">{#N/A,#N/A,FALSE,"schA"}</definedName>
    <definedName name="_________www1" hidden="1">{#N/A,#N/A,FALSE,"schA"}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6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6" hidden="1">{#N/A,#N/A,FALSE,"schA"}</definedName>
    <definedName name="________www1" hidden="1">{#N/A,#N/A,FALSE,"schA"}</definedName>
    <definedName name="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6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6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6" hidden="1">{#N/A,#N/A,FALSE,"schA"}</definedName>
    <definedName name="_______www1" hidden="1">{#N/A,#N/A,FALSE,"schA"}</definedName>
    <definedName name="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6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6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6" hidden="1">{#N/A,#N/A,FALSE,"schA"}</definedName>
    <definedName name="______www1" hidden="1">{#N/A,#N/A,FALSE,"schA"}</definedName>
    <definedName name="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6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6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6" hidden="1">{#N/A,#N/A,FALSE,"schA"}</definedName>
    <definedName name="_____www1" hidden="1">{#N/A,#N/A,FALSE,"schA"}</definedName>
    <definedName name="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6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6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6" hidden="1">{#N/A,#N/A,FALSE,"schA"}</definedName>
    <definedName name="____www1" hidden="1">{#N/A,#N/A,FALSE,"schA"}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6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6" hidden="1">{#N/A,#N/A,FALSE,"CRPT";#N/A,#N/A,FALSE,"TREND";#N/A,#N/A,FALSE,"%Curve"}</definedName>
    <definedName name="___six6" hidden="1">{#N/A,#N/A,FALSE,"CRPT";#N/A,#N/A,FALSE,"TREND";#N/A,#N/A,FALSE,"%Curve"}</definedName>
    <definedName name="___www1" localSheetId="6" hidden="1">{#N/A,#N/A,FALSE,"schA"}</definedName>
    <definedName name="___www1" hidden="1">{#N/A,#N/A,FALSE,"schA"}</definedName>
    <definedName name="__123Graph_A" localSheetId="6" hidden="1">#REF!</definedName>
    <definedName name="__123Graph_A" hidden="1">#REF!</definedName>
    <definedName name="__123Graph_AB06" localSheetId="6" hidden="1">#REF!</definedName>
    <definedName name="__123Graph_AB06" hidden="1">#REF!</definedName>
    <definedName name="__123Graph_B" localSheetId="6" hidden="1">#REF!</definedName>
    <definedName name="__123Graph_B" hidden="1">#REF!</definedName>
    <definedName name="__123Graph_D" localSheetId="6" hidden="1">#REF!</definedName>
    <definedName name="__123Graph_D" hidden="1">#REF!</definedName>
    <definedName name="__123Graph_E" localSheetId="6" hidden="1">#REF!</definedName>
    <definedName name="__123Graph_E" hidden="1">#REF!</definedName>
    <definedName name="__123Graph_ECURRENT" localSheetId="6" hidden="1">#REF!</definedName>
    <definedName name="__123Graph_ECURRENT" hidden="1">#REF!</definedName>
    <definedName name="__123Graph_F" localSheetId="6" hidden="1">#REF!</definedName>
    <definedName name="__123Graph_F" hidden="1">#REF!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6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6" hidden="1">{#N/A,#N/A,FALSE,"CRPT";#N/A,#N/A,FALSE,"TREND";#N/A,#N/A,FALSE,"%Curve"}</definedName>
    <definedName name="__six6" hidden="1">{#N/A,#N/A,FALSE,"CRPT";#N/A,#N/A,FALSE,"TREND";#N/A,#N/A,FALSE,"%Curve"}</definedName>
    <definedName name="__www1" localSheetId="6" hidden="1">{#N/A,#N/A,FALSE,"schA"}</definedName>
    <definedName name="__www1" hidden="1">{#N/A,#N/A,FALSE,"schA"}</definedName>
    <definedName name="_1__123Graph_ACHART_17" localSheetId="6" hidden="1">#REF!</definedName>
    <definedName name="_1__123Graph_ACHART_17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localSheetId="6" hidden="1">{#N/A,#N/A,FALSE,"Summ";#N/A,#N/A,FALSE,"General"}</definedName>
    <definedName name="_ex1" hidden="1">{#N/A,#N/A,FALSE,"Summ";#N/A,#N/A,FALSE,"General"}</definedName>
    <definedName name="_Fill" hidden="1">#REF!</definedName>
    <definedName name="_xlnm._FilterDatabase" localSheetId="6" hidden="1">#REF!</definedName>
    <definedName name="_xlnm._FilterDatabase" hidden="1">#REF!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6" hidden="1">#REF!</definedName>
    <definedName name="_Key2" hidden="1">#REF!</definedName>
    <definedName name="_new1" localSheetId="6" hidden="1">{#N/A,#N/A,FALSE,"Summ";#N/A,#N/A,FALSE,"General"}</definedName>
    <definedName name="_new1" hidden="1">{#N/A,#N/A,FALSE,"Summ";#N/A,#N/A,FALSE,"General"}</definedName>
    <definedName name="_nofill" localSheetId="6" hidden="1">#REF!</definedName>
    <definedName name="_nofill" hidden="1">#REF!</definedName>
    <definedName name="_OM1" localSheetId="6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localSheetId="6" hidden="1">#REF!</definedName>
    <definedName name="_Regression_Out" hidden="1">#REF!</definedName>
    <definedName name="_Regression_X" localSheetId="6" hidden="1">#REF!</definedName>
    <definedName name="_Regression_X" hidden="1">#REF!</definedName>
    <definedName name="_Regression_Y" localSheetId="6" hidden="1">#REF!</definedName>
    <definedName name="_Regression_Y" hidden="1">#REF!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Table2_Out" localSheetId="6" hidden="1">#REF!</definedName>
    <definedName name="_Table2_Out" hidden="1">#REF!</definedName>
    <definedName name="_www1" localSheetId="6" hidden="1">{#N/A,#N/A,FALSE,"schA"}</definedName>
    <definedName name="_www1" hidden="1">{#N/A,#N/A,FALSE,"schA"}</definedName>
    <definedName name="a" localSheetId="6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lkjslkj" localSheetId="6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6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6" hidden="1">#REF!</definedName>
    <definedName name="BEx3L7D0PI38HWZ7VADU16C9E33D" hidden="1">#REF!</definedName>
    <definedName name="BEx3LANPY1HT49TAH98H4B9RC1D4" localSheetId="6" hidden="1">#REF!</definedName>
    <definedName name="BEx3LANPY1HT49TAH98H4B9RC1D4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6" hidden="1">#REF!</definedName>
    <definedName name="BEx3UKOCOQG7S1YQ436S997K1KWV" hidden="1">#REF!</definedName>
    <definedName name="BEx3UNISOEXF3OFHT2BUA6P9RBIJ" localSheetId="6" hidden="1">#REF!</definedName>
    <definedName name="BEx3UNISOEXF3OFHT2BUA6P9RBIJ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6" hidden="1">#REF!</definedName>
    <definedName name="BEx9EG9KBJ77M8LEOR9ITOKN5KXY" hidden="1">#REF!</definedName>
    <definedName name="BEx9EL27NGDBCTVPW97K42QANS5K" localSheetId="6" hidden="1">#REF!</definedName>
    <definedName name="BEx9EL27NGDBCTVPW97K42QANS5K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6" hidden="1">#REF!</definedName>
    <definedName name="BExBCK9SCAABKOT9IP6TEPRR7YDT" hidden="1">#REF!</definedName>
    <definedName name="BExBCKKJFFT2RP50WNPKBT7X8PJ3" localSheetId="6" hidden="1">#REF!</definedName>
    <definedName name="BExBCKKJFFT2RP50WNPKBT7X8PJ3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6" hidden="1">#REF!</definedName>
    <definedName name="BExDCP3UZ3C2O4C1F7KMU0Z9U32N" hidden="1">#REF!</definedName>
    <definedName name="BExENU8ISP26W97JG63CN1XT9KB4" localSheetId="6" hidden="1">#REF!</definedName>
    <definedName name="BExENU8ISP26W97JG63CN1XT9KB4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6" hidden="1">#REF!</definedName>
    <definedName name="BExEUNU7FYVTR4DD1D31SS7PNXX2" hidden="1">#REF!</definedName>
    <definedName name="BExEUOAHB0OT3BACAHNZ3B905C0P" localSheetId="6" hidden="1">#REF!</definedName>
    <definedName name="BExEUOAHB0OT3BACAHNZ3B905C0P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6" hidden="1">#REF!</definedName>
    <definedName name="BExIPKNFUDPDKOSH5GHDVNA8D66S" hidden="1">#REF!</definedName>
    <definedName name="BExIPVL5VEVK9Q7AYB7EC2VZWBEZ" localSheetId="6" hidden="1">#REF!</definedName>
    <definedName name="BExIPVL5VEVK9Q7AYB7EC2VZWBEZ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6" hidden="1">#REF!</definedName>
    <definedName name="BExKGNK5YGKP0YHHTAAOV17Z9EIM" hidden="1">#REF!</definedName>
    <definedName name="BExKGQ3T3TWGZUSNVWJE1XWXHGRQ" localSheetId="6" hidden="1">#REF!</definedName>
    <definedName name="BExKGQ3T3TWGZUSNVWJE1XWXHGRQ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6" hidden="1">#REF!</definedName>
    <definedName name="BExKPFFSVTL757PNITV8R9RN4452" hidden="1">#REF!</definedName>
    <definedName name="BExKPIL5ZWOXQAENH3VP3ZHA2N7N" localSheetId="6" hidden="1">#REF!</definedName>
    <definedName name="BExKPIL5ZWOXQAENH3VP3ZHA2N7N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6" hidden="1">#REF!</definedName>
    <definedName name="BExMBYPQDG9AYDQ5E8IECVFREPO6" hidden="1">#REF!</definedName>
    <definedName name="BExMC7PESEESXVMDCGGIP5LPMUGY" localSheetId="6" hidden="1">#REF!</definedName>
    <definedName name="BExMC7PESEESXVMDCGGIP5LPMUGY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6" hidden="1">#REF!</definedName>
    <definedName name="BExMKP92JGBM5BJO174H9A4HQIB9" hidden="1">#REF!</definedName>
    <definedName name="BExMKPEDT6IOYLLC3KJKRZOETC3Y" localSheetId="6" hidden="1">#REF!</definedName>
    <definedName name="BExMKPEDT6IOYLLC3KJKRZOETC3Y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6" hidden="1">#REF!</definedName>
    <definedName name="BExQG8TYRD2G42UA5ZPCRLNKUDMX" hidden="1">#REF!</definedName>
    <definedName name="BExQG9A8OZ31BDN5QEGQGWG59A43" localSheetId="6" hidden="1">#REF!</definedName>
    <definedName name="BExQG9A8OZ31BDN5QEGQGWG59A43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6" hidden="1">#REF!</definedName>
    <definedName name="BExQL2NSE8OYZFXQH8A23RMVMFW7" hidden="1">#REF!</definedName>
    <definedName name="BExQL4GJ3LZJL6JDEHT7UDXW90TV" localSheetId="6" hidden="1">#REF!</definedName>
    <definedName name="BExQL4GJ3LZJL6JDEHT7UDXW90TV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6" hidden="1">#REF!</definedName>
    <definedName name="BExUAMWQODKBXMRH1QCMJLJBF8M7" hidden="1">#REF!</definedName>
    <definedName name="BExUAPR6Y32097JKJCTGC4C6EGE9" localSheetId="6" hidden="1">#REF!</definedName>
    <definedName name="BExUAPR6Y32097JKJCTGC4C6EGE9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6" hidden="1">#REF!</definedName>
    <definedName name="BExW1U0JLKQ094DW5MMOI8UHO09V" hidden="1">#REF!</definedName>
    <definedName name="BExW1VNZHNB5P9V6232N0DQCE0WE" localSheetId="6" hidden="1">#REF!</definedName>
    <definedName name="BExW1VNZHNB5P9V6232N0DQCE0WE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6" hidden="1">#REF!</definedName>
    <definedName name="BExXO278QHQN8JDK5425EJ615ECC" hidden="1">#REF!</definedName>
    <definedName name="BExXO4QVV7YZ6L5A7WZEMIA5AZOV" localSheetId="6" hidden="1">#REF!</definedName>
    <definedName name="BExXO4QVV7YZ6L5A7WZEMIA5AZOV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6" hidden="1">#REF!</definedName>
    <definedName name="BExZSTNUWCRNCL22SMKXKFSLCJ0O" hidden="1">#REF!</definedName>
    <definedName name="BExZSYRA4NR7K6RLC3I81QSG5SQR" localSheetId="6" hidden="1">#REF!</definedName>
    <definedName name="BExZSYRA4NR7K6RLC3I81QSG5SQR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6" hidden="1">#REF!</definedName>
    <definedName name="BExZZZEMIIFKMLLV4DJKX5TB9R5V" hidden="1">#REF!</definedName>
    <definedName name="bi" localSheetId="6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Camas" localSheetId="6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6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6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localSheetId="6" hidden="1">#REF!</definedName>
    <definedName name="copy" hidden="1">#REF!</definedName>
    <definedName name="Cost_Debt">Variables!$D$8</definedName>
    <definedName name="Cost_equity">Variables!$D$10</definedName>
    <definedName name="Cost_pref">Variables!$D$9</definedName>
    <definedName name="Cwvu.GREY_ALL." localSheetId="6" hidden="1">#REF!</definedName>
    <definedName name="Cwvu.GREY_ALL." hidden="1">#REF!</definedName>
    <definedName name="dana" localSheetId="6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6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d" localSheetId="6" hidden="1">{#N/A,#N/A,FALSE,"CHECKREQ"}</definedName>
    <definedName name="dfd" hidden="1">{#N/A,#N/A,FALSE,"CHECKREQ"}</definedName>
    <definedName name="dfdfdfd" localSheetId="6" hidden="1">{#N/A,#N/A,FALSE,"CHECKREQ"}</definedName>
    <definedName name="dfdfdfd" hidden="1">{#N/A,#N/A,FALSE,"CHECKREQ"}</definedName>
    <definedName name="DFIT" localSheetId="6" hidden="1">{#N/A,#N/A,FALSE,"Coversheet";#N/A,#N/A,FALSE,"QA"}</definedName>
    <definedName name="DFIT" hidden="1">{#N/A,#N/A,FALSE,"Coversheet";#N/A,#N/A,FALSE,"QA"}</definedName>
    <definedName name="dsd" localSheetId="6" hidden="1">#REF!</definedName>
    <definedName name="dsd" hidden="1">#REF!</definedName>
    <definedName name="DUDE" localSheetId="6" hidden="1">#REF!</definedName>
    <definedName name="DUDE" hidden="1">#REF!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6" hidden="1">{#N/A,#N/A,FALSE,"Coversheet";#N/A,#N/A,FALSE,"QA"}</definedName>
    <definedName name="error" hidden="1">{#N/A,#N/A,FALSE,"Coversheet";#N/A,#N/A,FALSE,"QA"}</definedName>
    <definedName name="ert" hidden="1">#REF!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extra2" localSheetId="6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6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6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6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6" hidden="1">{#N/A,#N/A,FALSE,"CHECKREQ"}</definedName>
    <definedName name="fdf" hidden="1">{#N/A,#N/A,FALSE,"CHECKREQ"}</definedName>
    <definedName name="fdgfas" hidden="1">#REF!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6" hidden="1">{#N/A,#N/A,FALSE,"Coversheet";#N/A,#N/A,FALSE,"QA"}</definedName>
    <definedName name="ffff" hidden="1">{#N/A,#N/A,FALSE,"Coversheet";#N/A,#N/A,FALSE,"QA"}</definedName>
    <definedName name="fffgf" localSheetId="6" hidden="1">{#N/A,#N/A,FALSE,"Coversheet";#N/A,#N/A,FALSE,"QA"}</definedName>
    <definedName name="fffgf" hidden="1">{#N/A,#N/A,FALSE,"Coversheet";#N/A,#N/A,FALSE,"QA"}</definedName>
    <definedName name="fhfjhke" localSheetId="6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6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ross_up_factor">Variables!$D$34</definedName>
    <definedName name="helllo" localSheetId="6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6" hidden="1">{#N/A,#N/A,FALSE,"Coversheet";#N/A,#N/A,FALSE,"QA"}</definedName>
    <definedName name="HELP" hidden="1">{#N/A,#N/A,FALSE,"Coversheet";#N/A,#N/A,FALSE,"QA"}</definedName>
    <definedName name="hj" localSheetId="6" hidden="1">#REF!</definedName>
    <definedName name="hj" hidden="1">#REF!</definedName>
    <definedName name="HROptim" localSheetId="6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6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6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localSheetId="6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6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localSheetId="6" hidden="1">{#N/A,#N/A,FALSE,"Summ";#N/A,#N/A,FALSE,"General"}</definedName>
    <definedName name="jfkljsdkljiejgr" hidden="1">{#N/A,#N/A,FALSE,"Summ";#N/A,#N/A,FALSE,"General"}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6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6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6" hidden="1">{#N/A,#N/A,FALSE,"Coversheet";#N/A,#N/A,FALSE,"QA"}</definedName>
    <definedName name="lookup" hidden="1">{#N/A,#N/A,FALSE,"Coversheet";#N/A,#N/A,FALSE,"QA"}</definedName>
    <definedName name="Master" localSheetId="6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6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6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6" hidden="1">#REF!</definedName>
    <definedName name="n" hidden="1">#REF!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6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6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6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6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Variables!$E$11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rcent_common">Variables!$C$10</definedName>
    <definedName name="Percent_debt">Variables!$C$8</definedName>
    <definedName name="Percent_pref">Variables!$C$9</definedName>
    <definedName name="pet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6" hidden="1">#REF!</definedName>
    <definedName name="PricingInfo" hidden="1">#REF!</definedName>
    <definedName name="_xlnm.Print_Area" localSheetId="4">'Deferred Fly Ash Amort.'!$A$1:$I$65</definedName>
    <definedName name="_xlnm.Print_Area" localSheetId="0">'Non-NPC Coal Costs (RY2)'!$A$1:$G$33</definedName>
    <definedName name="_xlnm.Print_Area" localSheetId="1">'Rev Req - Coal Tracker RY2'!$A$1:$O$88</definedName>
    <definedName name="_xlnm.Print_Area" localSheetId="5">'Unadj. Results'!$A$1:$D$84</definedName>
    <definedName name="_xlnm.Print_Titles" localSheetId="1">'Rev Req - Coal Tracker RY2'!$A:$A</definedName>
    <definedName name="q" localSheetId="6" hidden="1">{#N/A,#N/A,FALSE,"Coversheet";#N/A,#N/A,FALSE,"QA"}</definedName>
    <definedName name="q" hidden="1">{#N/A,#N/A,FALSE,"Coversheet";#N/A,#N/A,FALSE,"QA"}</definedName>
    <definedName name="qqq" localSheetId="6" hidden="1">{#N/A,#N/A,FALSE,"schA"}</definedName>
    <definedName name="qqq" hidden="1">{#N/A,#N/A,FALSE,"schA"}</definedName>
    <definedName name="qw" localSheetId="6" hidden="1">#REF!</definedName>
    <definedName name="qw" hidden="1">#REF!</definedName>
    <definedName name="Restated_Op_revenue">'Unadj. Results'!$F$37</definedName>
    <definedName name="Restated_rate_base">'Unadj. Results'!$F$64</definedName>
    <definedName name="Restated_ROE">'Unadj. Results'!$F$67</definedName>
    <definedName name="retail" localSheetId="6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6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6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6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"45J5JLNGI27004SIRR034OPHN"</definedName>
    <definedName name="SAPsysID" hidden="1">"708C5W7SBKP804JT78WJ0JNKI"</definedName>
    <definedName name="SAPwbID" hidden="1">"ARS"</definedName>
    <definedName name="sdlfhsdlhfkl" localSheetId="6" hidden="1">{#N/A,#N/A,FALSE,"Summ";#N/A,#N/A,FALSE,"General"}</definedName>
    <definedName name="sdlfhsdlhfkl" hidden="1">{#N/A,#N/A,FALSE,"Summ";#N/A,#N/A,FALSE,"General"}</definedName>
    <definedName name="seven" localSheetId="6" hidden="1">{#N/A,#N/A,FALSE,"CRPT";#N/A,#N/A,FALSE,"TREND";#N/A,#N/A,FALSE,"%Curve"}</definedName>
    <definedName name="seven" hidden="1">{#N/A,#N/A,FALSE,"CRPT";#N/A,#N/A,FALSE,"TREND";#N/A,#N/A,FALSE,"%Curve"}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adj" localSheetId="4" hidden="1">'Deferred Fly Ash Amort.'!$F$11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2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'Deferred Fly Ash Amort.'!#REF!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0</definedName>
    <definedName name="solver_ver" localSheetId="4" hidden="1">3</definedName>
    <definedName name="SpecMaint" localSheetId="6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6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stub" localSheetId="6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6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6" hidden="1">{"YTD-Total",#N/A,FALSE,"Provision"}</definedName>
    <definedName name="standard1" hidden="1">{"YTD-Total",#N/A,FALSE,"Provision"}</definedName>
    <definedName name="standard1stub" localSheetId="6" hidden="1">{"YTD-Total",#N/A,FALSE,"Provision"}</definedName>
    <definedName name="standard1stub" hidden="1">{"YTD-Total",#N/A,FALSE,"Provision"}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6" hidden="1">{#N/A,#N/A,FALSE,"Summ";#N/A,#N/A,FALSE,"General"}</definedName>
    <definedName name="tem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" localSheetId="6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u" localSheetId="6" hidden="1">{#N/A,#N/A,FALSE,"Summ";#N/A,#N/A,FALSE,"General"}</definedName>
    <definedName name="u" hidden="1">{#N/A,#N/A,FALSE,"Summ";#N/A,#N/A,FALSE,"General"}</definedName>
    <definedName name="Unadj_Op_revenue">'Unadj. Results'!$B$37</definedName>
    <definedName name="Unadj_rate_base">'Unadj. Results'!$B$64</definedName>
    <definedName name="Unadj_ROE">'Unadj. Results'!$B$67</definedName>
    <definedName name="uncollectible_perc">Variables!$D$20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6" hidden="1">{#N/A,#N/A,FALSE,"Coversheet";#N/A,#N/A,FALSE,"QA"}</definedName>
    <definedName name="v" hidden="1">{#N/A,#N/A,FALSE,"Coversheet";#N/A,#N/A,FALSE,"QA"}</definedName>
    <definedName name="Value" localSheetId="6" hidden="1">{#N/A,#N/A,FALSE,"Summ";#N/A,#N/A,FALSE,"General"}</definedName>
    <definedName name="Value" hidden="1">{#N/A,#N/A,FALSE,"Summ";#N/A,#N/A,FALSE,"General"}</definedName>
    <definedName name="vcdv" localSheetId="6" hidden="1">#REF!</definedName>
    <definedName name="vcdv" hidden="1">#REF!</definedName>
    <definedName name="w" localSheetId="6" hidden="1">#REF!</definedName>
    <definedName name="w" hidden="1">#REF!</definedName>
    <definedName name="WA_rev_tax_perc">Variables!$D$22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ighted_cost_debt">Variables!$E$8</definedName>
    <definedName name="Weighted_cost_equity">Variables!$E$10</definedName>
    <definedName name="Weighted_cost_pref">Variables!$E$9</definedName>
    <definedName name="WH" localSheetId="6" hidden="1">{#N/A,#N/A,FALSE,"Coversheet";#N/A,#N/A,FALSE,"QA"}</definedName>
    <definedName name="WH" hidden="1">{#N/A,#N/A,FALSE,"Coversheet";#N/A,#N/A,FALSE,"QA"}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6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6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6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6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localSheetId="6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6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6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ll._.pages.stub" localSheetId="6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_.Sheets." localSheetId="6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ocation._.factor." localSheetId="6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localSheetId="6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6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localSheetId="6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6" hidden="1">{#N/A,#N/A,FALSE,"CHECKREQ"}</definedName>
    <definedName name="wrn.CHECK." hidden="1">{#N/A,#N/A,FALSE,"CHECKREQ"}</definedName>
    <definedName name="wrn.Combined._.YTD." localSheetId="6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6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mplete._.Report." localSheetId="6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6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6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6" hidden="1">{#N/A,#N/A,TRUE,"Cover";#N/A,#N/A,TRUE,"Contents"}</definedName>
    <definedName name="wrn.Cover." hidden="1">{#N/A,#N/A,TRUE,"Cover";#N/A,#N/A,TRUE,"Contents"}</definedName>
    <definedName name="wrn.CoverContents." localSheetId="6" hidden="1">{#N/A,#N/A,FALSE,"Cover";#N/A,#N/A,FALSE,"Contents"}</definedName>
    <definedName name="wrn.CoverContents." hidden="1">{#N/A,#N/A,FALSE,"Cover";#N/A,#N/A,FALSE,"Contents"}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localSheetId="6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ECR." localSheetId="6" hidden="1">{#N/A,#N/A,FALSE,"schA"}</definedName>
    <definedName name="wrn.ECR." hidden="1">{#N/A,#N/A,FALSE,"schA"}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6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6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localSheetId="6" hidden="1">{"FCB_ALL",#N/A,FALSE,"FCB"}</definedName>
    <definedName name="wrn.FCB." hidden="1">{"FCB_ALL",#N/A,FALSE,"FCB"}</definedName>
    <definedName name="wrn.fcb2" localSheetId="6" hidden="1">{"FCB_ALL",#N/A,FALSE,"FCB"}</definedName>
    <definedName name="wrn.fcb2" hidden="1">{"FCB_ALL",#N/A,FALSE,"FCB"}</definedName>
    <definedName name="wrn.Financials." localSheetId="6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ull._.report.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6" hidden="1">{"FullView",#N/A,FALSE,"Consltd-For contngcy"}</definedName>
    <definedName name="wrn.Full._.View." hidden="1">{"FullView",#N/A,FALSE,"Consltd-For contngcy"}</definedName>
    <definedName name="wrn.Full._.View.stub" localSheetId="6" hidden="1">{"FullView",#N/A,FALSE,"Consltd-For contngcy"}</definedName>
    <definedName name="wrn.Full._.View.stub" hidden="1">{"FullView",#N/A,FALSE,"Consltd-For contngcy"}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localSheetId="6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6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localSheetId="6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fe.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6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6" hidden="1">{"Open issues Only",#N/A,FALSE,"TIMELINE"}</definedName>
    <definedName name="wrn.Open._.Issues._.Only." hidden="1">{"Open issues Only",#N/A,FALSE,"TIMELINE"}</definedName>
    <definedName name="wrn.Open._.Issues._.Only.stub" localSheetId="6" hidden="1">{"Open issues Only",#N/A,FALSE,"TIMELINE"}</definedName>
    <definedName name="wrn.Open._.Issues._.Only.stub" hidden="1">{"Open issues Only",#N/A,FALSE,"TIMELINE"}</definedName>
    <definedName name="wrn.OR._.Carring._.Charge._.JV.1stub" localSheetId="6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6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6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6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6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6" hidden="1">{"PFS recon view",#N/A,FALSE,"Hyperion Proof"}</definedName>
    <definedName name="wrn.PFSreconview." hidden="1">{"PFS recon view",#N/A,FALSE,"Hyperion Proof"}</definedName>
    <definedName name="wrn.PFSreconview.stub" localSheetId="6" hidden="1">{"PFS recon view",#N/A,FALSE,"Hyperion Proof"}</definedName>
    <definedName name="wrn.PFSreconview.stub" hidden="1">{"PFS recon view",#N/A,FALSE,"Hyperion Proof"}</definedName>
    <definedName name="wrn.PGHCreconview." localSheetId="6" hidden="1">{"PGHC recon view",#N/A,FALSE,"Hyperion Proof"}</definedName>
    <definedName name="wrn.PGHCreconview." hidden="1">{"PGHC recon view",#N/A,FALSE,"Hyperion Proof"}</definedName>
    <definedName name="wrn.PGHCreconview.stub" localSheetId="6" hidden="1">{"PGHC recon view",#N/A,FALSE,"Hyperion Proof"}</definedName>
    <definedName name="wrn.PGHCreconview.stub" hidden="1">{"PGHC recon view",#N/A,FALSE,"Hyperion Proof"}</definedName>
    <definedName name="wrn.PHI._.all._.other._.months." localSheetId="6" hidden="1">{#N/A,#N/A,FALSE,"PHI MTD";#N/A,#N/A,FALSE,"PHI YTD"}</definedName>
    <definedName name="wrn.PHI._.all._.other._.months." hidden="1">{#N/A,#N/A,FALSE,"PHI MTD";#N/A,#N/A,FALSE,"PHI YTD"}</definedName>
    <definedName name="wrn.PHI._.only." localSheetId="6" hidden="1">{#N/A,#N/A,FALSE,"PHI"}</definedName>
    <definedName name="wrn.PHI._.only." hidden="1">{#N/A,#N/A,FALSE,"PHI"}</definedName>
    <definedName name="wrn.PHI._.Sept._.Dec._.March." localSheetId="6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6" hidden="1">{"PPM Co Code View",#N/A,FALSE,"Comp Codes"}</definedName>
    <definedName name="wrn.PPMCoCodeView." hidden="1">{"PPM Co Code View",#N/A,FALSE,"Comp Codes"}</definedName>
    <definedName name="wrn.PPMCoCodeView.stub" localSheetId="6" hidden="1">{"PPM Co Code View",#N/A,FALSE,"Comp Codes"}</definedName>
    <definedName name="wrn.PPMCoCodeView.stub" hidden="1">{"PPM Co Code View",#N/A,FALSE,"Comp Codes"}</definedName>
    <definedName name="wrn.PPMreconview." localSheetId="6" hidden="1">{"PPM Recon View",#N/A,FALSE,"Hyperion Proof"}</definedName>
    <definedName name="wrn.PPMreconview." hidden="1">{"PPM Recon View",#N/A,FALSE,"Hyperion Proof"}</definedName>
    <definedName name="wrn.PPMreconview.stub" localSheetId="6" hidden="1">{"PPM Recon View",#N/A,FALSE,"Hyperion Proof"}</definedName>
    <definedName name="wrn.PPMreconview.stub" hidden="1">{"PPM Recon View",#N/A,FALSE,"Hyperion Proof"}</definedName>
    <definedName name="wrn.Print." localSheetId="6" hidden="1">{"FC",#N/A,FALSE,"CALENDAR";"P",#N/A,FALSE,"CALENDAR"}</definedName>
    <definedName name="wrn.Print." hidden="1">{"FC",#N/A,FALSE,"CALENDAR";"P",#N/A,FALSE,"CALENDAR"}</definedName>
    <definedName name="wrn.Print._.Option._.1." localSheetId="6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6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All." localSheetId="6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6" hidden="1">{"Electric Only",#N/A,FALSE,"Hyperion Proof"}</definedName>
    <definedName name="wrn.ProofElectricOnly." hidden="1">{"Electric Only",#N/A,FALSE,"Hyperion Proof"}</definedName>
    <definedName name="wrn.ProofElectricOnly.stub" localSheetId="6" hidden="1">{"Electric Only",#N/A,FALSE,"Hyperion Proof"}</definedName>
    <definedName name="wrn.ProofElectricOnly.stub" hidden="1">{"Electric Only",#N/A,FALSE,"Hyperion Proof"}</definedName>
    <definedName name="wrn.ProofTotal." localSheetId="6" hidden="1">{"Proof Total",#N/A,FALSE,"Hyperion Proof"}</definedName>
    <definedName name="wrn.ProofTotal." hidden="1">{"Proof Total",#N/A,FALSE,"Hyperion Proof"}</definedName>
    <definedName name="wrn.ProofTotal.stub" localSheetId="6" hidden="1">{"Proof Total",#N/A,FALSE,"Hyperion Proof"}</definedName>
    <definedName name="wrn.ProofTotal.stub" hidden="1">{"Proof Total",#N/A,FALSE,"Hyperion Proof"}</definedName>
    <definedName name="wrn.Reformat._.only." localSheetId="6" hidden="1">{#N/A,#N/A,FALSE,"Dec 1999 mapping"}</definedName>
    <definedName name="wrn.Reformat._.only." hidden="1">{#N/A,#N/A,FALSE,"Dec 1999 mapping"}</definedName>
    <definedName name="wrn.Reformat._.only.stub" localSheetId="6" hidden="1">{#N/A,#N/A,FALSE,"Dec 1999 mapping"}</definedName>
    <definedName name="wrn.Reformat._.only.stub" hidden="1">{#N/A,#N/A,FALSE,"Dec 1999 mapping"}</definedName>
    <definedName name="wrn.sales." localSheetId="6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6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localSheetId="6" hidden="1">{"FCB_ALL",#N/A,FALSE,"FCB";"GREY_ALL",#N/A,FALSE,"GREY"}</definedName>
    <definedName name="wrn.STAND_ALONE_BOTH." hidden="1">{"FCB_ALL",#N/A,FALSE,"FCB";"GREY_ALL",#N/A,FALSE,"GREY"}</definedName>
    <definedName name="wrn.Standard." localSheetId="6" hidden="1">{"YTD-Total",#N/A,FALSE,"Provision"}</definedName>
    <definedName name="wrn.Standard." hidden="1">{"YTD-Total",#N/A,FALSE,"Provision"}</definedName>
    <definedName name="wrn.Standard._.NonUtility._.Only." localSheetId="6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6" hidden="1">{"YTD-NonUtility",#N/A,FALSE,"Prov NonUtility"}</definedName>
    <definedName name="wrn.Standard._.NonUtility._.Only.stub" hidden="1">{"YTD-NonUtility",#N/A,FALSE,"Prov NonUtility"}</definedName>
    <definedName name="wrn.Standard._.Utility._.Only." localSheetId="6" hidden="1">{"YTD-Utility",#N/A,FALSE,"Prov Utility"}</definedName>
    <definedName name="wrn.Standard._.Utility._.Only." hidden="1">{"YTD-Utility",#N/A,FALSE,"Prov Utility"}</definedName>
    <definedName name="wrn.Standard._.Utility._.Only.stub" localSheetId="6" hidden="1">{"YTD-Utility",#N/A,FALSE,"Prov Utility"}</definedName>
    <definedName name="wrn.Standard._.Utility._.Only.stub" hidden="1">{"YTD-Utility",#N/A,FALSE,"Prov Utility"}</definedName>
    <definedName name="wrn.Standard.stub" localSheetId="6" hidden="1">{"YTD-Total",#N/A,FALSE,"Provision"}</definedName>
    <definedName name="wrn.Standard.stub" hidden="1">{"YTD-Total",#N/A,FALSE,"Provision"}</definedName>
    <definedName name="wrn.Summary." localSheetId="6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6" hidden="1">{#N/A,#N/A,FALSE,"Consltd-For contngcy"}</definedName>
    <definedName name="wrn.Summary._.View." hidden="1">{#N/A,#N/A,FALSE,"Consltd-For contngcy"}</definedName>
    <definedName name="wrn.Summary._.View.stub" localSheetId="6" hidden="1">{#N/A,#N/A,FALSE,"Consltd-For contngcy"}</definedName>
    <definedName name="wrn.Summary._.View.stub" hidden="1">{#N/A,#N/A,FALSE,"Consltd-For contngcy"}</definedName>
    <definedName name="wrn.Tariff99." localSheetId="6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6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6" hidden="1">{"Total Summary",#N/A,FALSE,"Summary"}</definedName>
    <definedName name="wrn.Total._.Summary." hidden="1">{"Total Summary",#N/A,FALSE,"Summary"}</definedName>
    <definedName name="wrn.UK._.Conversion._.Only." localSheetId="6" hidden="1">{#N/A,#N/A,FALSE,"Dec 1999 UK Continuing Ops"}</definedName>
    <definedName name="wrn.UK._.Conversion._.Only." hidden="1">{#N/A,#N/A,FALSE,"Dec 1999 UK Continuing Ops"}</definedName>
    <definedName name="wrn.UK._.Conversion._.Only.stub" localSheetId="6" hidden="1">{#N/A,#N/A,FALSE,"Dec 1999 UK Continuing Ops"}</definedName>
    <definedName name="wrn.UK._.Conversion._.Only.stub" hidden="1">{#N/A,#N/A,FALSE,"Dec 1999 UK Continuing Ops"}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6" hidden="1">{"Area1",#N/A,FALSE,"OREWACC";"Area2",#N/A,FALSE,"OREWACC"}</definedName>
    <definedName name="wrn.Wacc." hidden="1">{"Area1",#N/A,FALSE,"OREWACC";"Area2",#N/A,FALSE,"OREWACC"}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Variables!$D$21</definedName>
    <definedName name="www" localSheetId="6" hidden="1">{#N/A,#N/A,FALSE,"schA"}</definedName>
    <definedName name="www" hidden="1">{#N/A,#N/A,FALSE,"schA"}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#REF!</definedName>
    <definedName name="y" localSheetId="6" hidden="1">#REF!</definedName>
    <definedName name="y" hidden="1">#REF!</definedName>
    <definedName name="yuf" localSheetId="6" hidden="1">{#N/A,#N/A,FALSE,"Summ";#N/A,#N/A,FALSE,"General"}</definedName>
    <definedName name="yuf" hidden="1">{#N/A,#N/A,FALSE,"Summ";#N/A,#N/A,FALSE,"General"}</definedName>
    <definedName name="z" localSheetId="6" hidden="1">#REF!</definedName>
    <definedName name="z" hidden="1">#REF!</definedName>
    <definedName name="Z_01844156_6462_4A28_9785_1A86F4D0C834_.wvu.PrintTitles" localSheetId="6" hidden="1">#REF!</definedName>
    <definedName name="Z_01844156_6462_4A28_9785_1A86F4D0C834_.wvu.PrintTitles" hidden="1">#REF!</definedName>
    <definedName name="Z_581AFC92_5FB7_4950_93A7_F010275D5C1A_.wvu.Rows" localSheetId="6" hidden="1">#REF!,#REF!,#REF!</definedName>
    <definedName name="Z_581AFC92_5FB7_4950_93A7_F010275D5C1A_.wvu.Rows" hidden="1">#REF!,#REF!,#REF!</definedName>
    <definedName name="Z_8DEE9286_69B5_447F_9CA7_1E503CCF77AB_.wvu.Cols" localSheetId="6" hidden="1">#REF!</definedName>
    <definedName name="Z_8DEE9286_69B5_447F_9CA7_1E503CCF77AB_.wvu.Cols" hidden="1">#REF!</definedName>
    <definedName name="Z_8DEE9286_69B5_447F_9CA7_1E503CCF77AB_.wvu.PrintTitles" localSheetId="6" hidden="1">#REF!</definedName>
    <definedName name="Z_8DEE9286_69B5_447F_9CA7_1E503CCF77AB_.wvu.PrintTitles" hidden="1">#REF!</definedName>
    <definedName name="Z_9CFFCCF6_95A1_11D6_8DB9_00105A0C4F46_.wvu.Cols" localSheetId="6" hidden="1">#REF!</definedName>
    <definedName name="Z_9CFFCCF6_95A1_11D6_8DB9_00105A0C4F46_.wvu.Cols" hidden="1">#REF!</definedName>
    <definedName name="Z_9CFFCCF6_95A1_11D6_8DB9_00105A0C4F46_.wvu.Rows" localSheetId="6" hidden="1">#REF!</definedName>
    <definedName name="Z_9CFFCCF6_95A1_11D6_8DB9_00105A0C4F46_.wvu.Rows" hidden="1">#REF!</definedName>
    <definedName name="Z_F3B54C8A_1D3B_492A_9994_77E5201A636C_.wvu.Cols" localSheetId="6" hidden="1">#REF!</definedName>
    <definedName name="Z_F3B54C8A_1D3B_492A_9994_77E5201A636C_.wvu.Cols" hidden="1">#REF!</definedName>
    <definedName name="Z_F3B54C8A_1D3B_492A_9994_77E5201A636C_.wvu.Rows" localSheetId="6" hidden="1">#REF!,#REF!</definedName>
    <definedName name="Z_F3B54C8A_1D3B_492A_9994_77E5201A636C_.wvu.Rows" hidden="1">#REF!,#REF!</definedName>
    <definedName name="Z_F6530864_A582_11D6_AAF2_0004755110B4_.wvu.Rows" localSheetId="6" hidden="1">#REF!,#REF!,#REF!</definedName>
    <definedName name="Z_F6530864_A582_11D6_AAF2_0004755110B4_.wvu.Rows" hidden="1">#REF!,#REF!,#REF!</definedName>
    <definedName name="zz" localSheetId="6" hidden="1">#REF!</definedName>
    <definedName name="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C18" i="7" l="1"/>
  <c r="B72" i="4" l="1"/>
  <c r="B68" i="4"/>
  <c r="D41" i="16"/>
  <c r="C9" i="16" l="1" a="1"/>
  <c r="C10" i="16" s="1"/>
  <c r="B9" i="16" a="1"/>
  <c r="B9" i="16" s="1"/>
  <c r="C12" i="16" l="1"/>
  <c r="C11" i="16"/>
  <c r="C17" i="16"/>
  <c r="C9" i="16"/>
  <c r="C16" i="16"/>
  <c r="C15" i="16"/>
  <c r="C14" i="16"/>
  <c r="C21" i="16"/>
  <c r="C13" i="16"/>
  <c r="C20" i="16"/>
  <c r="C19" i="16"/>
  <c r="C18" i="16"/>
  <c r="B16" i="16"/>
  <c r="B14" i="16"/>
  <c r="B13" i="16"/>
  <c r="B12" i="16"/>
  <c r="B10" i="16"/>
  <c r="B15" i="16"/>
  <c r="B21" i="16"/>
  <c r="B20" i="16"/>
  <c r="B19" i="16"/>
  <c r="B11" i="16"/>
  <c r="B18" i="16"/>
  <c r="B17" i="16"/>
  <c r="I65" i="1" l="1"/>
  <c r="I54" i="1"/>
  <c r="I29" i="1"/>
  <c r="I16" i="1"/>
  <c r="I74" i="1" s="1"/>
  <c r="I80" i="1" s="1"/>
  <c r="I83" i="1" s="1"/>
  <c r="I85" i="1" s="1"/>
  <c r="I87" i="1" s="1"/>
  <c r="I33" i="1" l="1"/>
  <c r="I38" i="1" s="1"/>
  <c r="I40" i="1" s="1"/>
  <c r="I67" i="1"/>
  <c r="I71" i="1" l="1"/>
  <c r="B19" i="1" l="1"/>
  <c r="F61" i="17"/>
  <c r="F16" i="19"/>
  <c r="A11" i="19"/>
  <c r="A12" i="19"/>
  <c r="A13" i="19"/>
  <c r="A14" i="19"/>
  <c r="A15" i="19"/>
  <c r="A10" i="19"/>
  <c r="F24" i="16"/>
  <c r="D38" i="19"/>
  <c r="B94" i="1"/>
  <c r="F15" i="19"/>
  <c r="A17" i="16"/>
  <c r="A18" i="16" s="1"/>
  <c r="A19" i="16" s="1"/>
  <c r="A20" i="16" s="1"/>
  <c r="A21" i="16" s="1"/>
  <c r="C11" i="7"/>
  <c r="C21" i="7"/>
  <c r="B79" i="1"/>
  <c r="B78" i="1"/>
  <c r="L65" i="1"/>
  <c r="B57" i="1"/>
  <c r="K65" i="1"/>
  <c r="J54" i="1"/>
  <c r="L54" i="1"/>
  <c r="B45" i="1"/>
  <c r="B30" i="1"/>
  <c r="J29" i="1"/>
  <c r="M29" i="1"/>
  <c r="K29" i="1"/>
  <c r="J16" i="1"/>
  <c r="M16" i="1"/>
  <c r="L16" i="1"/>
  <c r="K16" i="1"/>
  <c r="F41" i="3"/>
  <c r="B7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G36" i="17"/>
  <c r="G58" i="17"/>
  <c r="G33" i="17"/>
  <c r="G34" i="17"/>
  <c r="G30" i="17"/>
  <c r="G31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E8" i="17"/>
  <c r="B9" i="17"/>
  <c r="B10" i="17"/>
  <c r="B11" i="17"/>
  <c r="B12" i="17"/>
  <c r="G7" i="17"/>
  <c r="F62" i="17"/>
  <c r="G41" i="17"/>
  <c r="G49" i="17"/>
  <c r="G57" i="17"/>
  <c r="E9" i="17"/>
  <c r="G35" i="17"/>
  <c r="E10" i="17"/>
  <c r="E7" i="17"/>
  <c r="H7" i="17"/>
  <c r="I7" i="17"/>
  <c r="D8" i="17"/>
  <c r="E11" i="17"/>
  <c r="B13" i="17"/>
  <c r="E12" i="17"/>
  <c r="G32" i="17"/>
  <c r="G39" i="17"/>
  <c r="G47" i="17"/>
  <c r="G55" i="17"/>
  <c r="G44" i="17"/>
  <c r="G52" i="17"/>
  <c r="G38" i="17"/>
  <c r="G46" i="17"/>
  <c r="G54" i="17"/>
  <c r="G43" i="17"/>
  <c r="G51" i="17"/>
  <c r="G59" i="17"/>
  <c r="G40" i="17"/>
  <c r="G48" i="17"/>
  <c r="G56" i="17"/>
  <c r="G37" i="17"/>
  <c r="G45" i="17"/>
  <c r="G53" i="17"/>
  <c r="G42" i="17"/>
  <c r="G50" i="17"/>
  <c r="H8" i="17"/>
  <c r="I8" i="17"/>
  <c r="D9" i="17"/>
  <c r="B14" i="17"/>
  <c r="E13" i="17"/>
  <c r="H9" i="17"/>
  <c r="I9" i="17"/>
  <c r="D10" i="17"/>
  <c r="B15" i="17"/>
  <c r="E14" i="17"/>
  <c r="H10" i="17"/>
  <c r="I10" i="17"/>
  <c r="D11" i="17"/>
  <c r="B16" i="17"/>
  <c r="E15" i="17"/>
  <c r="B17" i="17"/>
  <c r="E16" i="17"/>
  <c r="H11" i="17"/>
  <c r="I11" i="17"/>
  <c r="D12" i="17"/>
  <c r="H12" i="17"/>
  <c r="I12" i="17"/>
  <c r="D13" i="17"/>
  <c r="B18" i="17"/>
  <c r="E17" i="17"/>
  <c r="H13" i="17"/>
  <c r="I13" i="17"/>
  <c r="D14" i="17"/>
  <c r="B19" i="17"/>
  <c r="E18" i="17"/>
  <c r="H14" i="17"/>
  <c r="I14" i="17"/>
  <c r="D15" i="17"/>
  <c r="B20" i="17"/>
  <c r="E19" i="17"/>
  <c r="H15" i="17"/>
  <c r="I15" i="17"/>
  <c r="D16" i="17"/>
  <c r="B21" i="17"/>
  <c r="E20" i="17"/>
  <c r="B22" i="17"/>
  <c r="E21" i="17"/>
  <c r="H16" i="17"/>
  <c r="I16" i="17"/>
  <c r="D17" i="17"/>
  <c r="H17" i="17"/>
  <c r="I17" i="17"/>
  <c r="D18" i="17"/>
  <c r="B23" i="17"/>
  <c r="E22" i="17"/>
  <c r="H18" i="17"/>
  <c r="I18" i="17"/>
  <c r="D19" i="17"/>
  <c r="B24" i="17"/>
  <c r="E23" i="17"/>
  <c r="C14" i="7"/>
  <c r="C24" i="7" s="1"/>
  <c r="B25" i="17"/>
  <c r="E24" i="17"/>
  <c r="H19" i="17"/>
  <c r="I19" i="17"/>
  <c r="D20" i="17"/>
  <c r="E10" i="3"/>
  <c r="E9" i="3"/>
  <c r="E8" i="3"/>
  <c r="H20" i="17"/>
  <c r="I20" i="17"/>
  <c r="D21" i="17"/>
  <c r="B26" i="17"/>
  <c r="E25" i="17"/>
  <c r="H21" i="17"/>
  <c r="I21" i="17"/>
  <c r="D22" i="17"/>
  <c r="B27" i="17"/>
  <c r="E26" i="17"/>
  <c r="H22" i="17"/>
  <c r="I22" i="17"/>
  <c r="D23" i="17"/>
  <c r="B28" i="17"/>
  <c r="E27" i="17"/>
  <c r="E11" i="3"/>
  <c r="H23" i="17"/>
  <c r="I23" i="17"/>
  <c r="D24" i="17"/>
  <c r="B29" i="17"/>
  <c r="E28" i="17"/>
  <c r="B51" i="1"/>
  <c r="B30" i="17"/>
  <c r="E29" i="17"/>
  <c r="H24" i="17"/>
  <c r="I24" i="17"/>
  <c r="D25" i="17"/>
  <c r="B86" i="1"/>
  <c r="B82" i="1"/>
  <c r="B76" i="1"/>
  <c r="B75" i="1"/>
  <c r="B64" i="1"/>
  <c r="B61" i="1"/>
  <c r="B60" i="1"/>
  <c r="B52" i="1"/>
  <c r="B50" i="1"/>
  <c r="B49" i="1"/>
  <c r="B48" i="1"/>
  <c r="B47" i="1"/>
  <c r="B46" i="1"/>
  <c r="B44" i="1"/>
  <c r="B36" i="1"/>
  <c r="B34" i="1"/>
  <c r="B27" i="1"/>
  <c r="B20" i="1"/>
  <c r="B14" i="1"/>
  <c r="B13" i="1"/>
  <c r="H25" i="17"/>
  <c r="I25" i="17"/>
  <c r="D26" i="17"/>
  <c r="B31" i="17"/>
  <c r="E30" i="17"/>
  <c r="B32" i="1"/>
  <c r="H26" i="17"/>
  <c r="I26" i="17"/>
  <c r="D27" i="17"/>
  <c r="B32" i="17"/>
  <c r="E31" i="17"/>
  <c r="O54" i="1"/>
  <c r="N54" i="1"/>
  <c r="H54" i="1"/>
  <c r="G54" i="1"/>
  <c r="F54" i="1"/>
  <c r="E54" i="1"/>
  <c r="N65" i="1"/>
  <c r="H65" i="1"/>
  <c r="G65" i="1"/>
  <c r="F65" i="1"/>
  <c r="H27" i="17"/>
  <c r="I27" i="17"/>
  <c r="D28" i="17"/>
  <c r="B33" i="17"/>
  <c r="E32" i="17"/>
  <c r="B62" i="1"/>
  <c r="H28" i="17"/>
  <c r="I28" i="17"/>
  <c r="D29" i="17"/>
  <c r="B34" i="17"/>
  <c r="E33" i="17"/>
  <c r="B53" i="1"/>
  <c r="H29" i="17"/>
  <c r="I29" i="17"/>
  <c r="D30" i="17"/>
  <c r="B35" i="17"/>
  <c r="E35" i="17"/>
  <c r="E34" i="17"/>
  <c r="H30" i="17"/>
  <c r="I30" i="17"/>
  <c r="D31" i="17"/>
  <c r="B31" i="1"/>
  <c r="H31" i="17"/>
  <c r="I31" i="17"/>
  <c r="D32" i="17"/>
  <c r="B58" i="1"/>
  <c r="H32" i="17"/>
  <c r="I32" i="17"/>
  <c r="D33" i="17"/>
  <c r="H33" i="17"/>
  <c r="I33" i="17"/>
  <c r="D34" i="17"/>
  <c r="B26" i="1"/>
  <c r="B25" i="1"/>
  <c r="B24" i="1"/>
  <c r="B23" i="1"/>
  <c r="B22" i="1"/>
  <c r="H34" i="17"/>
  <c r="I34" i="17"/>
  <c r="D35" i="17"/>
  <c r="B21" i="1"/>
  <c r="B28" i="1"/>
  <c r="B37" i="1"/>
  <c r="H35" i="17"/>
  <c r="I35" i="17"/>
  <c r="D36" i="17"/>
  <c r="B15" i="1"/>
  <c r="H36" i="17"/>
  <c r="I36" i="17"/>
  <c r="D37" i="17"/>
  <c r="O29" i="1"/>
  <c r="O74" i="1" s="1"/>
  <c r="O80" i="1" s="1"/>
  <c r="O83" i="1" s="1"/>
  <c r="O85" i="1" s="1"/>
  <c r="O87" i="1" s="1"/>
  <c r="O33" i="1" s="1"/>
  <c r="N29" i="1"/>
  <c r="H29" i="1"/>
  <c r="G29" i="1"/>
  <c r="F29" i="1"/>
  <c r="O16" i="1"/>
  <c r="N16" i="1"/>
  <c r="H16" i="1"/>
  <c r="G16" i="1"/>
  <c r="F16" i="1"/>
  <c r="H37" i="17"/>
  <c r="I37" i="17"/>
  <c r="D38" i="17"/>
  <c r="B12" i="1"/>
  <c r="H38" i="17"/>
  <c r="I38" i="17"/>
  <c r="D39" i="17"/>
  <c r="H39" i="17"/>
  <c r="I39" i="17"/>
  <c r="D40" i="17"/>
  <c r="E29" i="1"/>
  <c r="D29" i="1"/>
  <c r="E16" i="1"/>
  <c r="D16" i="1"/>
  <c r="H40" i="17"/>
  <c r="I40" i="17"/>
  <c r="D41" i="17"/>
  <c r="H41" i="17"/>
  <c r="I41" i="17"/>
  <c r="D42" i="17"/>
  <c r="D54" i="1"/>
  <c r="D65" i="1"/>
  <c r="H42" i="17"/>
  <c r="I42" i="17"/>
  <c r="D43" i="17"/>
  <c r="H43" i="17"/>
  <c r="I43" i="17"/>
  <c r="D44" i="17"/>
  <c r="B39" i="1"/>
  <c r="H44" i="17"/>
  <c r="I44" i="17"/>
  <c r="D45" i="17"/>
  <c r="A10" i="16"/>
  <c r="A11" i="16" s="1"/>
  <c r="A12" i="16" s="1"/>
  <c r="A13" i="16" s="1"/>
  <c r="A14" i="16" s="1"/>
  <c r="A15" i="16" s="1"/>
  <c r="H45" i="17"/>
  <c r="I45" i="17"/>
  <c r="D46" i="17"/>
  <c r="H46" i="17"/>
  <c r="I46" i="17"/>
  <c r="D47" i="17"/>
  <c r="C16" i="1"/>
  <c r="C29" i="1"/>
  <c r="C54" i="1"/>
  <c r="C67" i="1" s="1"/>
  <c r="C65" i="1"/>
  <c r="H47" i="17"/>
  <c r="I47" i="17"/>
  <c r="D48" i="17"/>
  <c r="H48" i="17"/>
  <c r="I48" i="17"/>
  <c r="D49" i="17"/>
  <c r="H49" i="17"/>
  <c r="I49" i="17"/>
  <c r="D50" i="17"/>
  <c r="H50" i="17"/>
  <c r="I50" i="17"/>
  <c r="D51" i="17"/>
  <c r="H51" i="17"/>
  <c r="I51" i="17"/>
  <c r="D52" i="17"/>
  <c r="H52" i="17"/>
  <c r="I52" i="17"/>
  <c r="D53" i="17"/>
  <c r="H53" i="17"/>
  <c r="I53" i="17"/>
  <c r="D54" i="17"/>
  <c r="E65" i="1"/>
  <c r="H54" i="17"/>
  <c r="I54" i="17"/>
  <c r="D55" i="17"/>
  <c r="H55" i="17"/>
  <c r="I55" i="17"/>
  <c r="D56" i="17"/>
  <c r="H56" i="17"/>
  <c r="I56" i="17"/>
  <c r="D57" i="17"/>
  <c r="H57" i="17"/>
  <c r="I57" i="17"/>
  <c r="D58" i="17"/>
  <c r="C12" i="7"/>
  <c r="C15" i="7" s="1"/>
  <c r="H58" i="17"/>
  <c r="I58" i="17"/>
  <c r="D59" i="17"/>
  <c r="H59" i="17"/>
  <c r="I59" i="17"/>
  <c r="D26" i="3"/>
  <c r="D30" i="3"/>
  <c r="D32" i="3"/>
  <c r="D34" i="3"/>
  <c r="E67" i="1" l="1"/>
  <c r="D67" i="1"/>
  <c r="N67" i="1"/>
  <c r="G67" i="1"/>
  <c r="M65" i="1"/>
  <c r="C74" i="1"/>
  <c r="C80" i="1" s="1"/>
  <c r="C83" i="1" s="1"/>
  <c r="C85" i="1" s="1"/>
  <c r="C87" i="1" s="1"/>
  <c r="C33" i="1" s="1"/>
  <c r="C38" i="1" s="1"/>
  <c r="C40" i="1" s="1"/>
  <c r="C71" i="1" s="1"/>
  <c r="J65" i="1"/>
  <c r="J67" i="1" s="1"/>
  <c r="O35" i="1"/>
  <c r="B35" i="1" s="1"/>
  <c r="N74" i="1"/>
  <c r="K54" i="1"/>
  <c r="K67" i="1" s="1"/>
  <c r="O38" i="1"/>
  <c r="O40" i="1" s="1"/>
  <c r="H67" i="1"/>
  <c r="J74" i="1"/>
  <c r="J80" i="1" s="1"/>
  <c r="J83" i="1" s="1"/>
  <c r="J85" i="1" s="1"/>
  <c r="J87" i="1" s="1"/>
  <c r="J33" i="1" s="1"/>
  <c r="J38" i="1" s="1"/>
  <c r="J40" i="1" s="1"/>
  <c r="M74" i="1"/>
  <c r="M80" i="1" s="1"/>
  <c r="M83" i="1" s="1"/>
  <c r="M85" i="1" s="1"/>
  <c r="M87" i="1" s="1"/>
  <c r="M33" i="1" s="1"/>
  <c r="M38" i="1" s="1"/>
  <c r="M40" i="1" s="1"/>
  <c r="L67" i="1"/>
  <c r="D74" i="1"/>
  <c r="D80" i="1" s="1"/>
  <c r="D83" i="1" s="1"/>
  <c r="D85" i="1" s="1"/>
  <c r="D87" i="1" s="1"/>
  <c r="D33" i="1" s="1"/>
  <c r="D38" i="1" s="1"/>
  <c r="D40" i="1" s="1"/>
  <c r="B63" i="1"/>
  <c r="B16" i="1"/>
  <c r="G74" i="1"/>
  <c r="G80" i="1" s="1"/>
  <c r="G83" i="1" s="1"/>
  <c r="G85" i="1" s="1"/>
  <c r="G87" i="1" s="1"/>
  <c r="G33" i="1" s="1"/>
  <c r="G38" i="1" s="1"/>
  <c r="G40" i="1" s="1"/>
  <c r="E74" i="1"/>
  <c r="E80" i="1" s="1"/>
  <c r="E83" i="1" s="1"/>
  <c r="E85" i="1" s="1"/>
  <c r="E87" i="1" s="1"/>
  <c r="E33" i="1" s="1"/>
  <c r="E38" i="1" s="1"/>
  <c r="B43" i="1"/>
  <c r="F74" i="1"/>
  <c r="F80" i="1" s="1"/>
  <c r="F83" i="1" s="1"/>
  <c r="F85" i="1" s="1"/>
  <c r="F87" i="1" s="1"/>
  <c r="F33" i="1" s="1"/>
  <c r="F38" i="1" s="1"/>
  <c r="F40" i="1" s="1"/>
  <c r="F67" i="1"/>
  <c r="O59" i="1"/>
  <c r="O65" i="1" s="1"/>
  <c r="O67" i="1" s="1"/>
  <c r="E40" i="1"/>
  <c r="H74" i="1"/>
  <c r="H80" i="1" s="1"/>
  <c r="H83" i="1" s="1"/>
  <c r="H85" i="1" s="1"/>
  <c r="H87" i="1" s="1"/>
  <c r="H33" i="1" s="1"/>
  <c r="H38" i="1" s="1"/>
  <c r="H40" i="1" s="1"/>
  <c r="M54" i="1"/>
  <c r="M67" i="1" s="1"/>
  <c r="K74" i="1"/>
  <c r="K80" i="1" s="1"/>
  <c r="K83" i="1" s="1"/>
  <c r="K85" i="1" s="1"/>
  <c r="K87" i="1" s="1"/>
  <c r="K33" i="1" s="1"/>
  <c r="K38" i="1" s="1"/>
  <c r="K40" i="1" s="1"/>
  <c r="L29" i="1"/>
  <c r="G71" i="1" l="1"/>
  <c r="B59" i="1"/>
  <c r="J71" i="1"/>
  <c r="D71" i="1"/>
  <c r="E9" i="16" a="1"/>
  <c r="B65" i="1"/>
  <c r="H71" i="1"/>
  <c r="K71" i="1"/>
  <c r="B67" i="1"/>
  <c r="B54" i="1"/>
  <c r="F71" i="1"/>
  <c r="E71" i="1"/>
  <c r="O71" i="1"/>
  <c r="M71" i="1"/>
  <c r="D9" i="19" a="1"/>
  <c r="E9" i="19" a="1"/>
  <c r="L74" i="1"/>
  <c r="B29" i="1"/>
  <c r="C19" i="7" l="1"/>
  <c r="C20" i="7" s="1"/>
  <c r="C22" i="7" s="1"/>
  <c r="C25" i="7" s="1"/>
  <c r="N77" i="1" s="1"/>
  <c r="E9" i="16"/>
  <c r="E16" i="16"/>
  <c r="E19" i="16"/>
  <c r="E10" i="16"/>
  <c r="E11" i="16"/>
  <c r="E15" i="16"/>
  <c r="E18" i="16"/>
  <c r="E14" i="16"/>
  <c r="E17" i="16"/>
  <c r="E21" i="16"/>
  <c r="E20" i="16"/>
  <c r="E13" i="16"/>
  <c r="E12" i="16"/>
  <c r="D9" i="19"/>
  <c r="E9" i="19"/>
  <c r="E13" i="19"/>
  <c r="F13" i="19" s="1"/>
  <c r="E11" i="19"/>
  <c r="F11" i="19" s="1"/>
  <c r="E10" i="19"/>
  <c r="F10" i="19" s="1"/>
  <c r="E12" i="19"/>
  <c r="F12" i="19" s="1"/>
  <c r="E14" i="19"/>
  <c r="F14" i="19" s="1"/>
  <c r="L80" i="1"/>
  <c r="B74" i="1"/>
  <c r="B77" i="1" l="1"/>
  <c r="N80" i="1"/>
  <c r="N83" i="1" s="1"/>
  <c r="N85" i="1" s="1"/>
  <c r="N87" i="1" s="1"/>
  <c r="N33" i="1" s="1"/>
  <c r="N38" i="1" s="1"/>
  <c r="N40" i="1" s="1"/>
  <c r="E22" i="16"/>
  <c r="D17" i="19"/>
  <c r="F9" i="19"/>
  <c r="F17" i="19" s="1"/>
  <c r="E17" i="19"/>
  <c r="L83" i="1"/>
  <c r="N71" i="1" l="1"/>
  <c r="B80" i="1"/>
  <c r="D37" i="19"/>
  <c r="F20" i="19"/>
  <c r="D31" i="19"/>
  <c r="D32" i="19" s="1"/>
  <c r="D35" i="19" s="1"/>
  <c r="L85" i="1"/>
  <c r="B83" i="1"/>
  <c r="D39" i="19" l="1"/>
  <c r="B85" i="1"/>
  <c r="L87" i="1"/>
  <c r="B87" i="1" l="1"/>
  <c r="L33" i="1"/>
  <c r="B33" i="1" l="1"/>
  <c r="L38" i="1"/>
  <c r="B38" i="1" l="1"/>
  <c r="L40" i="1"/>
  <c r="D9" i="16" s="1" a="1"/>
  <c r="D13" i="16" l="1"/>
  <c r="D9" i="16"/>
  <c r="D20" i="16"/>
  <c r="D19" i="16"/>
  <c r="D12" i="16"/>
  <c r="D16" i="16"/>
  <c r="D17" i="16"/>
  <c r="D18" i="16"/>
  <c r="D10" i="16"/>
  <c r="D21" i="16"/>
  <c r="F21" i="16" s="1"/>
  <c r="D14" i="16"/>
  <c r="D15" i="16"/>
  <c r="D11" i="16"/>
  <c r="L71" i="1"/>
  <c r="B40" i="1"/>
  <c r="B71" i="1" l="1"/>
  <c r="B95" i="1" s="1"/>
  <c r="F14" i="16"/>
  <c r="F12" i="16"/>
  <c r="F18" i="16"/>
  <c r="F16" i="16"/>
  <c r="F11" i="16"/>
  <c r="F13" i="16"/>
  <c r="F19" i="16"/>
  <c r="F17" i="16"/>
  <c r="F10" i="16"/>
  <c r="F15" i="16"/>
  <c r="F20" i="16"/>
  <c r="D42" i="16" l="1"/>
  <c r="D43" i="16" s="1"/>
  <c r="F9" i="16"/>
  <c r="D22" i="16"/>
  <c r="F22" i="16" l="1"/>
  <c r="F25" i="16"/>
  <c r="F27" i="16" s="1"/>
  <c r="F34" i="16"/>
  <c r="D45" i="16" l="1"/>
  <c r="D46" i="16" s="1"/>
  <c r="D47" i="16" s="1"/>
  <c r="D49" i="16" s="1"/>
  <c r="B59" i="4" l="1"/>
  <c r="B48" i="4"/>
  <c r="B31" i="4"/>
  <c r="B27" i="4"/>
  <c r="B18" i="4"/>
  <c r="B12" i="4"/>
  <c r="B11" i="4"/>
  <c r="B60" i="4"/>
  <c r="B56" i="4"/>
  <c r="B16" i="4"/>
  <c r="B50" i="4" l="1"/>
  <c r="B20" i="4"/>
  <c r="B42" i="4"/>
  <c r="B21" i="4"/>
  <c r="B74" i="4"/>
  <c r="B57" i="4"/>
  <c r="B41" i="4"/>
  <c r="B10" i="4"/>
  <c r="B73" i="4"/>
  <c r="B33" i="4"/>
  <c r="B19" i="4"/>
  <c r="B45" i="4"/>
  <c r="B24" i="4"/>
  <c r="B76" i="4"/>
  <c r="B54" i="4"/>
  <c r="B32" i="4"/>
  <c r="B28" i="4"/>
  <c r="B49" i="4"/>
  <c r="B43" i="4"/>
  <c r="B17" i="4"/>
  <c r="B75" i="4"/>
  <c r="B47" i="4"/>
  <c r="B25" i="4"/>
  <c r="B46" i="4"/>
  <c r="B44" i="4"/>
  <c r="B40" i="4"/>
  <c r="B34" i="4"/>
  <c r="B55" i="4"/>
  <c r="B23" i="4"/>
  <c r="B58" i="4"/>
  <c r="B62" i="4" l="1"/>
  <c r="B51" i="4"/>
  <c r="B64" i="4" s="1"/>
  <c r="B22" i="4" l="1"/>
  <c r="B26" i="4" s="1"/>
  <c r="B29" i="4"/>
  <c r="B9" i="4"/>
  <c r="B13" i="4" s="1"/>
  <c r="B71" i="4" l="1"/>
  <c r="B77" i="4" s="1"/>
  <c r="B80" i="4" s="1"/>
  <c r="B82" i="4" s="1"/>
  <c r="B84" i="4" l="1"/>
  <c r="B83" i="4" s="1"/>
  <c r="B30" i="4" l="1"/>
  <c r="B35" i="4" s="1"/>
  <c r="B37" i="4" s="1"/>
  <c r="B66" i="4" l="1"/>
  <c r="B67" i="4" s="1"/>
  <c r="I70" i="1" s="1"/>
  <c r="H70" i="1"/>
  <c r="M70" i="1" l="1"/>
  <c r="B70" i="1"/>
  <c r="C70" i="1"/>
  <c r="K70" i="1"/>
  <c r="L70" i="1"/>
  <c r="D70" i="1"/>
  <c r="G70" i="1"/>
  <c r="N70" i="1"/>
  <c r="F70" i="1"/>
  <c r="E70" i="1"/>
  <c r="O70" i="1"/>
  <c r="J7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<sst xmlns="http://schemas.openxmlformats.org/spreadsheetml/2006/main" count="351" uniqueCount="224">
  <si>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</si>
  <si>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</si>
  <si>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</si>
  <si>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</si>
  <si>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</si>
  <si>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</si>
  <si>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</si>
  <si>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</si>
  <si>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</si>
  <si>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</si>
  <si>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</si>
  <si>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</si>
  <si>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</si>
  <si>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</si>
  <si>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</si>
  <si>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</si>
  <si>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</si>
  <si>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</si>
  <si>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</si>
  <si>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</si>
  <si>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</si>
  <si>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</si>
  <si>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</si>
  <si>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</si>
  <si>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</si>
  <si>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</si>
  <si>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</si>
  <si>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</si>
  <si>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</si>
  <si>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</si>
  <si>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</si>
  <si>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</si>
  <si>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</si>
  <si>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</si>
  <si>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</si>
  <si>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</si>
  <si>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</si>
  <si>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</si>
  <si>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</si>
  <si>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</si>
  <si>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</si>
  <si>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</si>
  <si>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</si>
  <si>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</si>
  <si>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</si>
  <si>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</si>
  <si>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</si>
  <si>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</si>
  <si>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</si>
  <si>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</si>
  <si>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</si>
  <si>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</si>
  <si>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</si>
  <si>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</si>
  <si>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</si>
  <si>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</si>
  <si>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</si>
  <si>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</si>
  <si>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</si>
  <si>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</si>
  <si>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</si>
  <si>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</si>
  <si>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</si>
  <si>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</si>
  <si>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</si>
  <si>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</si>
  <si>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</si>
  <si>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</si>
  <si>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</si>
  <si>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</si>
  <si>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</si>
  <si>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(1)</t>
  </si>
  <si>
    <t>Unadjusted Interest Expense</t>
  </si>
  <si>
    <t>Weighted Cost of Debt</t>
  </si>
  <si>
    <t>Restated Interest Expense</t>
  </si>
  <si>
    <t>Federal Income Taxes Before Credits</t>
  </si>
  <si>
    <t>Federal Income Taxes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</si>
  <si>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</si>
  <si>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</si>
  <si>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</si>
  <si>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</si>
  <si>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</si>
  <si>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</si>
  <si>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</si>
  <si>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</si>
  <si>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</si>
  <si>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Unadjusted Results</t>
  </si>
  <si>
    <t>Capital Structure and Cost</t>
  </si>
  <si>
    <t>Estimated Return on Equity Impact</t>
  </si>
  <si>
    <t>Variables</t>
  </si>
  <si>
    <t>Above</t>
  </si>
  <si>
    <t>Reference</t>
  </si>
  <si>
    <t>NOI</t>
  </si>
  <si>
    <t>Rate Base</t>
  </si>
  <si>
    <t>Rev. Req.</t>
  </si>
  <si>
    <t xml:space="preserve">Notes: </t>
  </si>
  <si>
    <t>Revenue Requirement Adjustment Summary</t>
  </si>
  <si>
    <t>Line No.</t>
  </si>
  <si>
    <t>A</t>
  </si>
  <si>
    <t>B</t>
  </si>
  <si>
    <t>C</t>
  </si>
  <si>
    <t>D</t>
  </si>
  <si>
    <t>E</t>
  </si>
  <si>
    <t>F</t>
  </si>
  <si>
    <t>WUTC Public Utility Tax</t>
  </si>
  <si>
    <t>Total Restating Adjustments</t>
  </si>
  <si>
    <t>Federal Income Tax @ 21.00%</t>
  </si>
  <si>
    <t>Washington 2023 General Rate Case</t>
  </si>
  <si>
    <t>10.1</t>
  </si>
  <si>
    <t>10.5</t>
  </si>
  <si>
    <t>10.8</t>
  </si>
  <si>
    <t>Energy &amp; Other Tax Credits</t>
  </si>
  <si>
    <t>Fly Ash Revenues - Year 1</t>
  </si>
  <si>
    <t>Coal Resources O&amp;M</t>
  </si>
  <si>
    <t>Description</t>
  </si>
  <si>
    <t>Adj. No.
Ref.</t>
  </si>
  <si>
    <t>Settlement Model - Interest</t>
  </si>
  <si>
    <t>Settlement Washington Allocated Rate Base</t>
  </si>
  <si>
    <t>Settlement Model - Rate Base</t>
  </si>
  <si>
    <t>10.4</t>
  </si>
  <si>
    <t>Jim Bridger Mine Rate Base - Year 1</t>
  </si>
  <si>
    <t>Existing Coal Fired Generation Assets - Year 1</t>
  </si>
  <si>
    <t>10.6</t>
  </si>
  <si>
    <t>6.4</t>
  </si>
  <si>
    <t>Interest Synchronization</t>
  </si>
  <si>
    <t>Compliance Filing</t>
  </si>
  <si>
    <t>Pro Forma JB Units 3, 4 Additions - 
Year 1</t>
  </si>
  <si>
    <t>check to "Rev Req" tab</t>
  </si>
  <si>
    <t>Coal Decomm., Other Closure and Reclamation Costs</t>
  </si>
  <si>
    <t>Remove Deferred State Tax Expense &amp; Balance</t>
  </si>
  <si>
    <t>The table below presents the Company's ratemaking adjustments for coal resource costs and their impact on net operating income (NOI), rate base, and the Washington revenue requirement.</t>
  </si>
  <si>
    <t>Deferred Fly Ash Revenues Amortization</t>
  </si>
  <si>
    <t>UE-191024 WA GRC JBG Factor</t>
  </si>
  <si>
    <t>WA-alloc. Share</t>
  </si>
  <si>
    <t>Month</t>
  </si>
  <si>
    <t>In - Rates</t>
  </si>
  <si>
    <t>Opening Bal.</t>
  </si>
  <si>
    <t>Amortization</t>
  </si>
  <si>
    <t>Interest Rate</t>
  </si>
  <si>
    <t>Balance</t>
  </si>
  <si>
    <t>Quarter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</si>
  <si>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</si>
  <si>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</si>
  <si>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</si>
  <si>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</si>
  <si>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</si>
  <si>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</si>
  <si>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</si>
  <si>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</si>
  <si>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</si>
  <si>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</si>
  <si>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</si>
  <si>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</si>
  <si>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</si>
  <si>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>Q2'24</t>
  </si>
  <si>
    <t>Annual Amortization</t>
  </si>
  <si>
    <t>1) Actuals through March 25, 2024.  Interest Rate updated to reflect 2024 FERC Q1 and Q2 interest rates.</t>
  </si>
  <si>
    <t>Net Coal Cost Revenue Requirement - Net Fly Ash Deferred Revenues Amortization</t>
  </si>
  <si>
    <t>Deferral @ 50% of difference</t>
  </si>
  <si>
    <t>Net Revenue Requirement for Compliance</t>
  </si>
  <si>
    <r>
      <t>Booked</t>
    </r>
    <r>
      <rPr>
        <b/>
        <vertAlign val="superscript"/>
        <sz val="10"/>
        <color theme="1"/>
        <rFont val="Arial"/>
        <family val="2"/>
      </rPr>
      <t>1</t>
    </r>
  </si>
  <si>
    <t>(1) The revenue requirement column is calculated using the Company's approved return on rate base of 7.29% and the NOI conversion factor of 75.182%.</t>
  </si>
  <si>
    <t>The development of these percentages can be found on the "Variables" tab.</t>
  </si>
  <si>
    <t>"Variables" tab</t>
  </si>
  <si>
    <t>Non-NPC Coal Cost Tracker - Interest True-up Calculation</t>
  </si>
  <si>
    <t>Total Estimated Amortization</t>
  </si>
  <si>
    <t>2) Interest rate for 2024 Q3 and after will be updated as rates are publised by FERC, and will impact the overall total amount amortized.</t>
  </si>
  <si>
    <r>
      <t>Interest Rate</t>
    </r>
    <r>
      <rPr>
        <b/>
        <vertAlign val="superscript"/>
        <sz val="10"/>
        <color theme="1"/>
        <rFont val="Arial"/>
        <family val="2"/>
      </rPr>
      <t>2</t>
    </r>
  </si>
  <si>
    <t>Stipulated Rate Year 1 Revenue Requirement</t>
  </si>
  <si>
    <t>Non-NPC Coal Costs to Tracker</t>
  </si>
  <si>
    <t>Compliance Impacts - NPC and associated adj.</t>
  </si>
  <si>
    <t>Non-Coal Costs in Summary Model from Stiuplation</t>
  </si>
  <si>
    <t>Non-Coal Costs in Summary model for Compliance</t>
  </si>
  <si>
    <t>Non-NPC Coal Costs Tracker</t>
  </si>
  <si>
    <t>check Summary Model</t>
  </si>
  <si>
    <t>Def State Tax Rate in the Combined Deferred Tax Rate</t>
  </si>
  <si>
    <t>Combined Deferred Tax Rate</t>
  </si>
  <si>
    <t>Ratio of Deferred State Tax Rate to Combined Deferred Tax rate</t>
  </si>
  <si>
    <t>14.5</t>
  </si>
  <si>
    <t>14.6_C</t>
  </si>
  <si>
    <t>14.7_C</t>
  </si>
  <si>
    <t>14.4_R</t>
  </si>
  <si>
    <t>Jim Bridger Mine Rate Base - Year 2</t>
  </si>
  <si>
    <t xml:space="preserve">Restated Washington Allocated Rate Base </t>
  </si>
  <si>
    <t>Restating Adjustment (RY1)</t>
  </si>
  <si>
    <t>Compliance Filing (RY 1) - Non-NPC Coal Tracker WP ("Interest Calc" tab)</t>
  </si>
  <si>
    <t>Summary of Non-NPC Coal Resource Costs - Rate Year 2</t>
  </si>
  <si>
    <t>Total Interest Expense Adjustment (RY2)</t>
  </si>
  <si>
    <t>Washington Allocated Rate Base Adjustments (RY2)</t>
  </si>
  <si>
    <t>Per stipulation</t>
  </si>
  <si>
    <t>Deferred State Tax Removal</t>
  </si>
  <si>
    <t>Stipulated Rate Year 2 Rate Change</t>
  </si>
  <si>
    <t>RY1 Coal Tracker Compliance Model</t>
  </si>
  <si>
    <t>Incremental Pro Forma Adjustment (RY2)</t>
  </si>
  <si>
    <t>Revenue Requirement Adjustment Summary - Rate Year 2 Compliance Filing</t>
  </si>
  <si>
    <t>13.5</t>
  </si>
  <si>
    <t>Fly Ash Revenues - Year 2</t>
  </si>
  <si>
    <t>Non-NPC Coal Cost Tracker RY 2 Incremental Price Change</t>
  </si>
  <si>
    <t>Net Non-NPC Coal Cost Revenue Requirement - Net Fly Ash Deferred Revenues Amortization</t>
  </si>
  <si>
    <t>Rate Year 2 Fly Ash Revenues Update</t>
  </si>
  <si>
    <t>Total Updated Rate Year 2 Price Change for Compliance</t>
  </si>
  <si>
    <t>Sitpulated Rate Year 2 Rate Change, with NPC/PTC/Wind Tax Update</t>
  </si>
  <si>
    <t>Non-NPC Coal Tracker Rate Year 2 Price Change</t>
  </si>
  <si>
    <t>Rate Year 2 Base Rate Price Change</t>
  </si>
  <si>
    <t>Total Rate Year 2 Price Change for Compliance</t>
  </si>
  <si>
    <t>(From Rate Year 1 - Non-Coal Compliance)</t>
  </si>
  <si>
    <t>Rate Year 1 Results of Operations</t>
  </si>
  <si>
    <t>Results with Price Change</t>
  </si>
  <si>
    <t>Rate Year 1 Compliance</t>
  </si>
  <si>
    <t>Rate Year 2 Incremental</t>
  </si>
  <si>
    <t>Q3'24</t>
  </si>
  <si>
    <t>Q4'24</t>
  </si>
  <si>
    <t xml:space="preserve">Washington Allocated Rate Base Adjustments (RY1) </t>
  </si>
  <si>
    <t xml:space="preserve">Washington Allocated Rate Base Adjustments (RY2) Cum. </t>
  </si>
  <si>
    <t>Compliance Filing (RY 1) - Non-NPC Coal Tracker WP ("Rev Req" tab)</t>
  </si>
  <si>
    <t>"Rev Req - Coal Tracker RY2" tab</t>
  </si>
  <si>
    <t xml:space="preserve">(2) Line No. 1 through 6 items are adjustments as filed in rate year 1's non-NPC coal cost tracker compliance workpaper. </t>
  </si>
  <si>
    <t>WA 2023 GRC - RevReqSummary Model (Non-Coal Costs) RY2.xlsx</t>
  </si>
  <si>
    <t>Check</t>
  </si>
  <si>
    <t>Adj. Ref.</t>
  </si>
  <si>
    <t>7.1_C/15.1_C</t>
  </si>
  <si>
    <t>7.6_C/15.6_C</t>
  </si>
  <si>
    <t>7.1</t>
  </si>
  <si>
    <t>Total Coal Cost Tracker RY2 Rev. Req.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</si>
</sst>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23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i/>
      <u val="singleAccounting"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243">
    <xf numFmtId="0" fontId="0" fillId="0" borderId="0" xfId="0"/>
    <xf numFmtId="164" fontId="7" fillId="0" borderId="0" xfId="1" applyNumberFormat="1" applyFont="1" applyAlignment="1">
      <alignment horizontal="left"/>
    </xf>
    <xf numFmtId="164" fontId="5" fillId="0" borderId="0" xfId="1" applyNumberFormat="1" applyFont="1" applyFill="1" applyBorder="1"/>
    <xf numFmtId="164" fontId="5" fillId="0" borderId="0" xfId="1" applyNumberFormat="1" applyFont="1"/>
    <xf numFmtId="164" fontId="7" fillId="0" borderId="0" xfId="1" applyNumberFormat="1" applyFont="1" applyFill="1" applyBorder="1"/>
    <xf numFmtId="164" fontId="7" fillId="0" borderId="0" xfId="1" applyNumberFormat="1" applyFont="1"/>
    <xf numFmtId="164" fontId="7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5" fillId="0" borderId="0" xfId="1" applyNumberFormat="1" applyFont="1" applyFill="1" applyBorder="1" applyProtection="1">
      <protection locked="0"/>
    </xf>
    <xf numFmtId="164" fontId="5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/>
    <xf numFmtId="165" fontId="5" fillId="0" borderId="0" xfId="2" applyNumberFormat="1" applyFont="1" applyFill="1" applyBorder="1" applyAlignment="1">
      <alignment vertical="center"/>
    </xf>
    <xf numFmtId="165" fontId="5" fillId="0" borderId="9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vertical="center"/>
    </xf>
    <xf numFmtId="0" fontId="5" fillId="0" borderId="0" xfId="0" applyFont="1"/>
    <xf numFmtId="165" fontId="5" fillId="0" borderId="0" xfId="2" applyNumberFormat="1" applyFont="1" applyBorder="1" applyAlignment="1">
      <alignment vertical="center"/>
    </xf>
    <xf numFmtId="164" fontId="7" fillId="0" borderId="0" xfId="1" quotePrefix="1" applyNumberFormat="1" applyFont="1" applyBorder="1" applyAlignment="1">
      <alignment horizontal="left" vertical="center"/>
    </xf>
    <xf numFmtId="10" fontId="5" fillId="0" borderId="0" xfId="2" applyNumberFormat="1" applyFont="1" applyBorder="1" applyAlignment="1">
      <alignment vertical="center"/>
    </xf>
    <xf numFmtId="0" fontId="7" fillId="0" borderId="0" xfId="0" applyFont="1"/>
    <xf numFmtId="0" fontId="7" fillId="0" borderId="2" xfId="0" applyFont="1" applyBorder="1"/>
    <xf numFmtId="164" fontId="5" fillId="0" borderId="9" xfId="1" applyNumberFormat="1" applyFont="1" applyFill="1" applyBorder="1" applyProtection="1">
      <protection locked="0"/>
    </xf>
    <xf numFmtId="164" fontId="5" fillId="0" borderId="9" xfId="1" quotePrefix="1" applyNumberFormat="1" applyFont="1" applyFill="1" applyBorder="1" applyAlignment="1" applyProtection="1">
      <alignment horizontal="left"/>
      <protection locked="0"/>
    </xf>
    <xf numFmtId="164" fontId="5" fillId="0" borderId="9" xfId="1" applyNumberFormat="1" applyFont="1" applyFill="1" applyBorder="1" applyAlignment="1" applyProtection="1">
      <alignment horizontal="left"/>
      <protection locked="0"/>
    </xf>
    <xf numFmtId="164" fontId="5" fillId="0" borderId="13" xfId="1" applyNumberFormat="1" applyFont="1" applyFill="1" applyBorder="1" applyAlignment="1" applyProtection="1">
      <alignment horizontal="left"/>
      <protection locked="0"/>
    </xf>
    <xf numFmtId="164" fontId="5" fillId="0" borderId="9" xfId="0" applyNumberFormat="1" applyFont="1" applyBorder="1"/>
    <xf numFmtId="164" fontId="5" fillId="0" borderId="9" xfId="1" applyNumberFormat="1" applyFont="1" applyFill="1" applyBorder="1"/>
    <xf numFmtId="165" fontId="5" fillId="0" borderId="0" xfId="2" applyNumberFormat="1" applyFont="1"/>
    <xf numFmtId="165" fontId="5" fillId="0" borderId="2" xfId="2" applyNumberFormat="1" applyFont="1" applyBorder="1"/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2" xfId="0" applyFont="1" applyBorder="1"/>
    <xf numFmtId="165" fontId="5" fillId="0" borderId="0" xfId="2" quotePrefix="1" applyNumberFormat="1" applyFont="1"/>
    <xf numFmtId="10" fontId="5" fillId="0" borderId="0" xfId="2" applyNumberFormat="1" applyFont="1"/>
    <xf numFmtId="165" fontId="5" fillId="0" borderId="3" xfId="2" quotePrefix="1" applyNumberFormat="1" applyFont="1" applyBorder="1"/>
    <xf numFmtId="165" fontId="5" fillId="0" borderId="0" xfId="2" quotePrefix="1" applyNumberFormat="1" applyFont="1" applyBorder="1"/>
    <xf numFmtId="0" fontId="5" fillId="0" borderId="0" xfId="0" quotePrefix="1" applyFont="1" applyAlignment="1">
      <alignment horizontal="left"/>
    </xf>
    <xf numFmtId="164" fontId="6" fillId="0" borderId="0" xfId="1" applyNumberFormat="1" applyFont="1" applyFill="1"/>
    <xf numFmtId="0" fontId="6" fillId="0" borderId="0" xfId="0" applyFont="1"/>
    <xf numFmtId="43" fontId="6" fillId="0" borderId="0" xfId="0" applyNumberFormat="1" applyFont="1"/>
    <xf numFmtId="164" fontId="5" fillId="0" borderId="0" xfId="1" quotePrefix="1" applyNumberFormat="1" applyFont="1" applyFill="1" applyBorder="1" applyAlignment="1" applyProtection="1">
      <alignment horizontal="center"/>
      <protection locked="0"/>
    </xf>
    <xf numFmtId="164" fontId="5" fillId="0" borderId="10" xfId="1" applyNumberFormat="1" applyFont="1" applyFill="1" applyBorder="1" applyProtection="1">
      <protection locked="0"/>
    </xf>
    <xf numFmtId="164" fontId="5" fillId="0" borderId="0" xfId="1" quotePrefix="1" applyNumberFormat="1" applyFont="1" applyFill="1" applyBorder="1" applyAlignment="1" applyProtection="1">
      <alignment horizontal="left"/>
      <protection locked="0"/>
    </xf>
    <xf numFmtId="164" fontId="5" fillId="0" borderId="10" xfId="1" quotePrefix="1" applyNumberFormat="1" applyFont="1" applyFill="1" applyBorder="1" applyAlignment="1" applyProtection="1">
      <alignment horizontal="left"/>
      <protection locked="0"/>
    </xf>
    <xf numFmtId="164" fontId="5" fillId="0" borderId="0" xfId="1" applyNumberFormat="1" applyFont="1" applyFill="1" applyBorder="1" applyAlignment="1" applyProtection="1">
      <alignment horizontal="left"/>
      <protection locked="0"/>
    </xf>
    <xf numFmtId="164" fontId="5" fillId="0" borderId="10" xfId="1" applyNumberFormat="1" applyFont="1" applyFill="1" applyBorder="1" applyAlignment="1" applyProtection="1">
      <alignment horizontal="left"/>
      <protection locked="0"/>
    </xf>
    <xf numFmtId="164" fontId="5" fillId="0" borderId="10" xfId="1" applyNumberFormat="1" applyFont="1" applyFill="1" applyBorder="1"/>
    <xf numFmtId="164" fontId="5" fillId="0" borderId="2" xfId="1" applyNumberFormat="1" applyFont="1" applyFill="1" applyBorder="1" applyAlignment="1" applyProtection="1">
      <alignment horizontal="left"/>
      <protection locked="0"/>
    </xf>
    <xf numFmtId="164" fontId="5" fillId="0" borderId="2" xfId="1" quotePrefix="1" applyNumberFormat="1" applyFont="1" applyFill="1" applyBorder="1" applyAlignment="1" applyProtection="1">
      <alignment horizontal="left"/>
      <protection locked="0"/>
    </xf>
    <xf numFmtId="164" fontId="5" fillId="0" borderId="14" xfId="1" applyNumberFormat="1" applyFont="1" applyFill="1" applyBorder="1" applyAlignment="1" applyProtection="1">
      <alignment horizontal="left"/>
      <protection locked="0"/>
    </xf>
    <xf numFmtId="164" fontId="5" fillId="0" borderId="13" xfId="1" quotePrefix="1" applyNumberFormat="1" applyFont="1" applyFill="1" applyBorder="1" applyAlignment="1" applyProtection="1">
      <alignment horizontal="left"/>
      <protection locked="0"/>
    </xf>
    <xf numFmtId="164" fontId="5" fillId="0" borderId="14" xfId="1" quotePrefix="1" applyNumberFormat="1" applyFont="1" applyFill="1" applyBorder="1" applyAlignment="1" applyProtection="1">
      <alignment horizontal="left"/>
      <protection locked="0"/>
    </xf>
    <xf numFmtId="164" fontId="7" fillId="0" borderId="9" xfId="1" applyNumberFormat="1" applyFont="1" applyFill="1" applyBorder="1" applyAlignment="1" applyProtection="1">
      <alignment horizontal="center" wrapText="1"/>
      <protection locked="0"/>
    </xf>
    <xf numFmtId="164" fontId="7" fillId="0" borderId="0" xfId="1" applyNumberFormat="1" applyFont="1" applyFill="1" applyBorder="1" applyAlignment="1" applyProtection="1">
      <alignment horizontal="center" wrapText="1"/>
      <protection locked="0"/>
    </xf>
    <xf numFmtId="164" fontId="7" fillId="0" borderId="0" xfId="1" applyNumberFormat="1" applyFont="1" applyFill="1" applyAlignment="1">
      <alignment horizontal="left"/>
    </xf>
    <xf numFmtId="164" fontId="7" fillId="0" borderId="0" xfId="1" applyNumberFormat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/>
    <xf numFmtId="0" fontId="6" fillId="0" borderId="0" xfId="0" applyFont="1" applyAlignment="1">
      <alignment horizontal="center"/>
    </xf>
    <xf numFmtId="164" fontId="6" fillId="0" borderId="0" xfId="1" applyNumberFormat="1" applyFont="1" applyFill="1" applyBorder="1"/>
    <xf numFmtId="164" fontId="10" fillId="0" borderId="0" xfId="1" applyNumberFormat="1" applyFont="1" applyFill="1" applyBorder="1"/>
    <xf numFmtId="0" fontId="10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5" fillId="0" borderId="5" xfId="2" applyNumberFormat="1" applyFont="1" applyFill="1" applyBorder="1"/>
    <xf numFmtId="165" fontId="5" fillId="0" borderId="0" xfId="2" applyNumberFormat="1" applyFont="1" applyFill="1" applyBorder="1"/>
    <xf numFmtId="165" fontId="5" fillId="0" borderId="6" xfId="2" applyNumberFormat="1" applyFont="1" applyFill="1" applyBorder="1"/>
    <xf numFmtId="165" fontId="5" fillId="0" borderId="2" xfId="2" applyNumberFormat="1" applyFont="1" applyFill="1" applyBorder="1"/>
    <xf numFmtId="165" fontId="5" fillId="0" borderId="0" xfId="2" applyNumberFormat="1" applyFont="1" applyFill="1"/>
    <xf numFmtId="164" fontId="5" fillId="0" borderId="2" xfId="1" applyNumberFormat="1" applyFont="1" applyFill="1" applyBorder="1" applyAlignment="1">
      <alignment vertical="center"/>
    </xf>
    <xf numFmtId="164" fontId="6" fillId="0" borderId="0" xfId="0" applyNumberFormat="1" applyFont="1"/>
    <xf numFmtId="0" fontId="5" fillId="0" borderId="0" xfId="0" applyFont="1" applyAlignment="1" applyProtection="1">
      <alignment horizontal="left"/>
      <protection locked="0"/>
    </xf>
    <xf numFmtId="164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9" xfId="1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164" fontId="7" fillId="0" borderId="0" xfId="1" applyNumberFormat="1" applyFont="1" applyFill="1" applyBorder="1" applyAlignment="1">
      <alignment horizontal="center"/>
    </xf>
    <xf numFmtId="43" fontId="5" fillId="0" borderId="0" xfId="0" applyNumberFormat="1" applyFont="1"/>
    <xf numFmtId="164" fontId="5" fillId="0" borderId="0" xfId="2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164" fontId="7" fillId="2" borderId="0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64" fontId="5" fillId="2" borderId="12" xfId="1" applyNumberFormat="1" applyFont="1" applyFill="1" applyBorder="1" applyProtection="1">
      <protection locked="0"/>
    </xf>
    <xf numFmtId="164" fontId="5" fillId="2" borderId="0" xfId="1" applyNumberFormat="1" applyFont="1" applyFill="1" applyBorder="1" applyProtection="1">
      <protection locked="0"/>
    </xf>
    <xf numFmtId="164" fontId="5" fillId="2" borderId="24" xfId="1" applyNumberFormat="1" applyFont="1" applyFill="1" applyBorder="1" applyProtection="1">
      <protection locked="0"/>
    </xf>
    <xf numFmtId="164" fontId="5" fillId="2" borderId="9" xfId="1" applyNumberFormat="1" applyFont="1" applyFill="1" applyBorder="1" applyProtection="1">
      <protection locked="0"/>
    </xf>
    <xf numFmtId="164" fontId="5" fillId="2" borderId="10" xfId="1" applyNumberFormat="1" applyFont="1" applyFill="1" applyBorder="1" applyProtection="1">
      <protection locked="0"/>
    </xf>
    <xf numFmtId="164" fontId="5" fillId="2" borderId="9" xfId="1" quotePrefix="1" applyNumberFormat="1" applyFont="1" applyFill="1" applyBorder="1" applyAlignment="1" applyProtection="1">
      <alignment horizontal="left"/>
      <protection locked="0"/>
    </xf>
    <xf numFmtId="164" fontId="5" fillId="2" borderId="9" xfId="1" applyNumberFormat="1" applyFont="1" applyFill="1" applyBorder="1" applyAlignment="1" applyProtection="1">
      <alignment horizontal="left"/>
      <protection locked="0"/>
    </xf>
    <xf numFmtId="164" fontId="5" fillId="2" borderId="0" xfId="1" applyNumberFormat="1" applyFont="1" applyFill="1" applyBorder="1" applyAlignment="1" applyProtection="1">
      <alignment horizontal="left"/>
      <protection locked="0"/>
    </xf>
    <xf numFmtId="164" fontId="5" fillId="2" borderId="10" xfId="1" applyNumberFormat="1" applyFont="1" applyFill="1" applyBorder="1" applyAlignment="1" applyProtection="1">
      <alignment horizontal="left"/>
      <protection locked="0"/>
    </xf>
    <xf numFmtId="164" fontId="5" fillId="2" borderId="15" xfId="1" applyNumberFormat="1" applyFont="1" applyFill="1" applyBorder="1" applyAlignment="1"/>
    <xf numFmtId="164" fontId="5" fillId="2" borderId="3" xfId="1" applyNumberFormat="1" applyFont="1" applyFill="1" applyBorder="1" applyAlignment="1"/>
    <xf numFmtId="164" fontId="5" fillId="2" borderId="16" xfId="1" applyNumberFormat="1" applyFont="1" applyFill="1" applyBorder="1" applyAlignment="1"/>
    <xf numFmtId="164" fontId="5" fillId="2" borderId="11" xfId="1" quotePrefix="1" applyNumberFormat="1" applyFont="1" applyFill="1" applyBorder="1" applyAlignment="1" applyProtection="1">
      <alignment horizontal="left"/>
      <protection locked="0"/>
    </xf>
    <xf numFmtId="164" fontId="5" fillId="2" borderId="1" xfId="1" quotePrefix="1" applyNumberFormat="1" applyFont="1" applyFill="1" applyBorder="1" applyAlignment="1" applyProtection="1">
      <alignment horizontal="left"/>
      <protection locked="0"/>
    </xf>
    <xf numFmtId="164" fontId="5" fillId="2" borderId="12" xfId="1" quotePrefix="1" applyNumberFormat="1" applyFont="1" applyFill="1" applyBorder="1" applyAlignment="1" applyProtection="1">
      <alignment horizontal="left"/>
      <protection locked="0"/>
    </xf>
    <xf numFmtId="164" fontId="5" fillId="2" borderId="15" xfId="1" applyNumberFormat="1" applyFont="1" applyFill="1" applyBorder="1" applyAlignment="1">
      <alignment vertical="center"/>
    </xf>
    <xf numFmtId="164" fontId="5" fillId="2" borderId="3" xfId="1" applyNumberFormat="1" applyFont="1" applyFill="1" applyBorder="1" applyAlignment="1">
      <alignment vertical="center"/>
    </xf>
    <xf numFmtId="164" fontId="5" fillId="2" borderId="16" xfId="1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5" fontId="5" fillId="2" borderId="10" xfId="2" applyNumberFormat="1" applyFont="1" applyFill="1" applyBorder="1" applyAlignment="1">
      <alignment vertical="center"/>
    </xf>
    <xf numFmtId="164" fontId="5" fillId="2" borderId="9" xfId="0" applyNumberFormat="1" applyFont="1" applyFill="1" applyBorder="1"/>
    <xf numFmtId="164" fontId="5" fillId="2" borderId="10" xfId="0" applyNumberFormat="1" applyFont="1" applyFill="1" applyBorder="1"/>
    <xf numFmtId="164" fontId="5" fillId="2" borderId="24" xfId="1" applyNumberFormat="1" applyFont="1" applyFill="1" applyBorder="1" applyAlignment="1">
      <alignment vertical="center"/>
    </xf>
    <xf numFmtId="164" fontId="5" fillId="2" borderId="9" xfId="1" applyNumberFormat="1" applyFont="1" applyFill="1" applyBorder="1" applyAlignment="1">
      <alignment vertical="center"/>
    </xf>
    <xf numFmtId="164" fontId="5" fillId="2" borderId="10" xfId="1" applyNumberFormat="1" applyFont="1" applyFill="1" applyBorder="1" applyAlignment="1">
      <alignment vertical="center"/>
    </xf>
    <xf numFmtId="164" fontId="5" fillId="2" borderId="9" xfId="1" applyNumberFormat="1" applyFont="1" applyFill="1" applyBorder="1"/>
    <xf numFmtId="164" fontId="5" fillId="2" borderId="17" xfId="1" applyNumberFormat="1" applyFont="1" applyFill="1" applyBorder="1"/>
    <xf numFmtId="164" fontId="5" fillId="2" borderId="17" xfId="1" applyNumberFormat="1" applyFont="1" applyFill="1" applyBorder="1" applyProtection="1">
      <protection locked="0"/>
    </xf>
    <xf numFmtId="164" fontId="5" fillId="2" borderId="18" xfId="1" applyNumberFormat="1" applyFont="1" applyFill="1" applyBorder="1" applyProtection="1">
      <protection locked="0"/>
    </xf>
    <xf numFmtId="164" fontId="5" fillId="2" borderId="19" xfId="1" applyNumberFormat="1" applyFont="1" applyFill="1" applyBorder="1" applyProtection="1">
      <protection locked="0"/>
    </xf>
    <xf numFmtId="165" fontId="5" fillId="0" borderId="5" xfId="2" applyNumberFormat="1" applyFont="1" applyBorder="1"/>
    <xf numFmtId="165" fontId="5" fillId="0" borderId="7" xfId="0" applyNumberFormat="1" applyFont="1" applyBorder="1"/>
    <xf numFmtId="43" fontId="5" fillId="0" borderId="0" xfId="1" applyFont="1" applyFill="1" applyBorder="1"/>
    <xf numFmtId="0" fontId="7" fillId="0" borderId="0" xfId="0" applyFont="1" applyAlignment="1">
      <alignment horizontal="left"/>
    </xf>
    <xf numFmtId="0" fontId="5" fillId="0" borderId="0" xfId="0" quotePrefix="1" applyFont="1" applyAlignment="1">
      <alignment horizontal="centerContinuous"/>
    </xf>
    <xf numFmtId="164" fontId="5" fillId="0" borderId="0" xfId="0" applyNumberFormat="1" applyFont="1"/>
    <xf numFmtId="10" fontId="5" fillId="0" borderId="0" xfId="2" applyNumberFormat="1" applyFont="1" applyBorder="1"/>
    <xf numFmtId="164" fontId="13" fillId="0" borderId="0" xfId="1" applyNumberFormat="1" applyFont="1" applyFill="1" applyBorder="1"/>
    <xf numFmtId="164" fontId="7" fillId="0" borderId="10" xfId="1" applyNumberFormat="1" applyFont="1" applyFill="1" applyBorder="1" applyAlignment="1" applyProtection="1">
      <alignment horizontal="center" wrapText="1"/>
      <protection locked="0"/>
    </xf>
    <xf numFmtId="164" fontId="6" fillId="0" borderId="2" xfId="1" applyNumberFormat="1" applyFont="1" applyFill="1" applyBorder="1"/>
    <xf numFmtId="164" fontId="10" fillId="0" borderId="2" xfId="1" applyNumberFormat="1" applyFont="1" applyFill="1" applyBorder="1"/>
    <xf numFmtId="43" fontId="7" fillId="0" borderId="0" xfId="1" applyFont="1" applyFill="1" applyBorder="1"/>
    <xf numFmtId="164" fontId="5" fillId="0" borderId="0" xfId="9" applyNumberFormat="1" applyFont="1" applyFill="1"/>
    <xf numFmtId="165" fontId="5" fillId="0" borderId="0" xfId="8" applyNumberFormat="1" applyFont="1" applyBorder="1"/>
    <xf numFmtId="164" fontId="5" fillId="0" borderId="0" xfId="9" applyNumberFormat="1" applyFont="1"/>
    <xf numFmtId="10" fontId="5" fillId="0" borderId="0" xfId="9" applyNumberFormat="1" applyFont="1"/>
    <xf numFmtId="10" fontId="5" fillId="0" borderId="0" xfId="9" applyNumberFormat="1" applyFont="1" applyFill="1"/>
    <xf numFmtId="164" fontId="5" fillId="0" borderId="0" xfId="9" applyNumberFormat="1" applyFont="1" applyFill="1" applyBorder="1"/>
    <xf numFmtId="164" fontId="5" fillId="3" borderId="0" xfId="9" applyNumberFormat="1" applyFont="1" applyFill="1"/>
    <xf numFmtId="164" fontId="5" fillId="0" borderId="25" xfId="9" applyNumberFormat="1" applyFont="1" applyFill="1" applyBorder="1"/>
    <xf numFmtId="164" fontId="5" fillId="0" borderId="26" xfId="9" applyNumberFormat="1" applyFont="1" applyBorder="1"/>
    <xf numFmtId="164" fontId="5" fillId="0" borderId="27" xfId="9" applyNumberFormat="1" applyFont="1" applyBorder="1"/>
    <xf numFmtId="164" fontId="5" fillId="0" borderId="0" xfId="9" applyNumberFormat="1" applyFont="1" applyBorder="1"/>
    <xf numFmtId="164" fontId="5" fillId="0" borderId="20" xfId="9" applyNumberFormat="1" applyFont="1" applyFill="1" applyBorder="1"/>
    <xf numFmtId="164" fontId="5" fillId="0" borderId="21" xfId="9" applyNumberFormat="1" applyFont="1" applyFill="1" applyBorder="1" applyAlignment="1">
      <alignment horizontal="right"/>
    </xf>
    <xf numFmtId="164" fontId="5" fillId="0" borderId="0" xfId="9" applyNumberFormat="1" applyFont="1" applyAlignment="1">
      <alignment horizontal="right"/>
    </xf>
    <xf numFmtId="0" fontId="17" fillId="0" borderId="0" xfId="7" applyFont="1"/>
    <xf numFmtId="164" fontId="18" fillId="0" borderId="0" xfId="9" applyNumberFormat="1" applyFont="1" applyBorder="1"/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center" wrapText="1"/>
    </xf>
    <xf numFmtId="14" fontId="17" fillId="0" borderId="0" xfId="7" applyNumberFormat="1" applyFont="1"/>
    <xf numFmtId="10" fontId="17" fillId="0" borderId="0" xfId="7" applyNumberFormat="1" applyFont="1"/>
    <xf numFmtId="43" fontId="17" fillId="0" borderId="0" xfId="7" applyNumberFormat="1" applyFont="1"/>
    <xf numFmtId="17" fontId="17" fillId="0" borderId="0" xfId="7" applyNumberFormat="1" applyFont="1"/>
    <xf numFmtId="164" fontId="5" fillId="0" borderId="22" xfId="9" applyNumberFormat="1" applyFont="1" applyFill="1" applyBorder="1"/>
    <xf numFmtId="164" fontId="17" fillId="0" borderId="0" xfId="7" applyNumberFormat="1" applyFont="1"/>
    <xf numFmtId="164" fontId="7" fillId="0" borderId="0" xfId="1" applyNumberFormat="1" applyFont="1" applyFill="1" applyBorder="1" applyAlignment="1">
      <alignment horizontal="right"/>
    </xf>
    <xf numFmtId="164" fontId="5" fillId="0" borderId="20" xfId="9" applyNumberFormat="1" applyFont="1" applyBorder="1"/>
    <xf numFmtId="164" fontId="5" fillId="0" borderId="21" xfId="9" applyNumberFormat="1" applyFont="1" applyBorder="1" applyAlignment="1">
      <alignment horizontal="right"/>
    </xf>
    <xf numFmtId="164" fontId="5" fillId="0" borderId="22" xfId="9" applyNumberFormat="1" applyFont="1" applyBorder="1"/>
    <xf numFmtId="164" fontId="14" fillId="0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/>
    <xf numFmtId="164" fontId="16" fillId="0" borderId="0" xfId="1" applyNumberFormat="1" applyFont="1" applyFill="1" applyBorder="1" applyAlignment="1">
      <alignment horizontal="right"/>
    </xf>
    <xf numFmtId="164" fontId="16" fillId="0" borderId="0" xfId="1" applyNumberFormat="1" applyFont="1" applyFill="1" applyBorder="1"/>
    <xf numFmtId="164" fontId="20" fillId="4" borderId="28" xfId="1" applyNumberFormat="1" applyFont="1" applyFill="1" applyBorder="1"/>
    <xf numFmtId="43" fontId="6" fillId="0" borderId="0" xfId="1" applyFont="1"/>
    <xf numFmtId="164" fontId="6" fillId="0" borderId="0" xfId="1" applyNumberFormat="1" applyFont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164" fontId="8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22" fillId="0" borderId="0" xfId="1" applyNumberFormat="1" applyFont="1" applyFill="1" applyBorder="1" applyAlignment="1" applyProtection="1">
      <alignment horizontal="right"/>
      <protection locked="0"/>
    </xf>
    <xf numFmtId="164" fontId="5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/>
    <xf numFmtId="164" fontId="5" fillId="0" borderId="23" xfId="1" quotePrefix="1" applyNumberFormat="1" applyFont="1" applyFill="1" applyBorder="1" applyAlignment="1" applyProtection="1">
      <alignment horizontal="center"/>
      <protection locked="0"/>
    </xf>
    <xf numFmtId="164" fontId="5" fillId="0" borderId="29" xfId="1" quotePrefix="1" applyNumberFormat="1" applyFont="1" applyFill="1" applyBorder="1" applyAlignment="1" applyProtection="1">
      <alignment horizontal="center"/>
      <protection locked="0"/>
    </xf>
    <xf numFmtId="164" fontId="5" fillId="0" borderId="30" xfId="1" quotePrefix="1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164" fontId="8" fillId="0" borderId="0" xfId="1" applyNumberFormat="1" applyFont="1" applyBorder="1"/>
    <xf numFmtId="0" fontId="8" fillId="0" borderId="0" xfId="0" applyFont="1" applyAlignment="1" applyProtection="1">
      <alignment horizontal="left"/>
      <protection locked="0"/>
    </xf>
    <xf numFmtId="10" fontId="8" fillId="0" borderId="0" xfId="2" applyNumberFormat="1" applyFont="1" applyBorder="1"/>
    <xf numFmtId="0" fontId="9" fillId="0" borderId="0" xfId="0" applyFont="1"/>
    <xf numFmtId="164" fontId="9" fillId="0" borderId="0" xfId="1" applyNumberFormat="1" applyFont="1" applyBorder="1"/>
    <xf numFmtId="164" fontId="9" fillId="0" borderId="0" xfId="0" applyNumberFormat="1" applyFont="1"/>
    <xf numFmtId="0" fontId="6" fillId="0" borderId="0" xfId="6" applyFont="1" applyAlignment="1">
      <alignment horizontal="right"/>
    </xf>
    <xf numFmtId="0" fontId="6" fillId="0" borderId="0" xfId="6" applyFont="1"/>
    <xf numFmtId="164" fontId="6" fillId="0" borderId="0" xfId="6" applyNumberFormat="1" applyFont="1"/>
    <xf numFmtId="164" fontId="6" fillId="0" borderId="2" xfId="6" applyNumberFormat="1" applyFont="1" applyBorder="1"/>
    <xf numFmtId="0" fontId="10" fillId="0" borderId="0" xfId="6" applyFont="1" applyAlignment="1">
      <alignment horizontal="right"/>
    </xf>
    <xf numFmtId="164" fontId="10" fillId="0" borderId="28" xfId="6" applyNumberFormat="1" applyFont="1" applyBorder="1"/>
    <xf numFmtId="0" fontId="12" fillId="0" borderId="0" xfId="6" applyFont="1" applyAlignment="1">
      <alignment horizontal="left"/>
    </xf>
    <xf numFmtId="0" fontId="6" fillId="0" borderId="0" xfId="6" applyFont="1" applyAlignment="1">
      <alignment horizontal="center"/>
    </xf>
    <xf numFmtId="0" fontId="11" fillId="0" borderId="0" xfId="6" applyFont="1" applyAlignment="1">
      <alignment horizontal="centerContinuous"/>
    </xf>
    <xf numFmtId="0" fontId="6" fillId="0" borderId="0" xfId="6" applyFont="1" applyAlignment="1">
      <alignment horizontal="left"/>
    </xf>
    <xf numFmtId="0" fontId="5" fillId="0" borderId="0" xfId="6" applyAlignment="1">
      <alignment horizontal="center"/>
    </xf>
    <xf numFmtId="0" fontId="10" fillId="0" borderId="0" xfId="6" applyFont="1" applyAlignment="1">
      <alignment horizontal="center"/>
    </xf>
    <xf numFmtId="0" fontId="10" fillId="0" borderId="2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wrapText="1"/>
    </xf>
    <xf numFmtId="0" fontId="10" fillId="0" borderId="1" xfId="6" applyFont="1" applyBorder="1" applyAlignment="1">
      <alignment horizontal="center"/>
    </xf>
    <xf numFmtId="0" fontId="10" fillId="0" borderId="2" xfId="6" applyFont="1" applyBorder="1" applyAlignment="1">
      <alignment horizontal="center"/>
    </xf>
    <xf numFmtId="0" fontId="6" fillId="0" borderId="0" xfId="6" applyFont="1" applyAlignment="1">
      <alignment horizontal="center" vertical="center" wrapText="1"/>
    </xf>
    <xf numFmtId="43" fontId="6" fillId="0" borderId="0" xfId="6" applyNumberFormat="1" applyFont="1"/>
    <xf numFmtId="0" fontId="6" fillId="0" borderId="0" xfId="6" quotePrefix="1" applyFont="1" applyAlignment="1">
      <alignment horizontal="center"/>
    </xf>
    <xf numFmtId="0" fontId="10" fillId="0" borderId="0" xfId="6" applyFont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164" fontId="6" fillId="5" borderId="0" xfId="1" applyNumberFormat="1" applyFont="1" applyFill="1"/>
    <xf numFmtId="0" fontId="6" fillId="5" borderId="0" xfId="0" quotePrefix="1" applyFont="1" applyFill="1" applyAlignment="1">
      <alignment horizontal="center"/>
    </xf>
    <xf numFmtId="164" fontId="6" fillId="5" borderId="0" xfId="1" applyNumberFormat="1" applyFont="1" applyFill="1" applyBorder="1"/>
    <xf numFmtId="10" fontId="8" fillId="0" borderId="0" xfId="0" applyNumberFormat="1" applyFont="1"/>
    <xf numFmtId="43" fontId="8" fillId="0" borderId="0" xfId="0" applyNumberFormat="1" applyFont="1"/>
    <xf numFmtId="164" fontId="6" fillId="0" borderId="0" xfId="1" applyNumberFormat="1" applyFont="1" applyAlignment="1">
      <alignment horizontal="right"/>
    </xf>
    <xf numFmtId="164" fontId="10" fillId="0" borderId="28" xfId="1" applyNumberFormat="1" applyFont="1" applyFill="1" applyBorder="1"/>
    <xf numFmtId="0" fontId="6" fillId="0" borderId="0" xfId="0" applyFont="1" applyAlignment="1">
      <alignment horizontal="center" vertical="center"/>
    </xf>
    <xf numFmtId="164" fontId="6" fillId="0" borderId="2" xfId="0" applyNumberFormat="1" applyFont="1" applyBorder="1"/>
    <xf numFmtId="165" fontId="2" fillId="0" borderId="0" xfId="5" applyNumberFormat="1" applyFont="1" applyFill="1" applyBorder="1" applyAlignment="1">
      <alignment horizontal="center"/>
    </xf>
    <xf numFmtId="17" fontId="2" fillId="0" borderId="0" xfId="0" applyNumberFormat="1" applyFont="1"/>
    <xf numFmtId="41" fontId="2" fillId="0" borderId="0" xfId="10" applyFont="1" applyFill="1" applyBorder="1" applyAlignment="1">
      <alignment horizontal="center"/>
    </xf>
    <xf numFmtId="0" fontId="2" fillId="0" borderId="0" xfId="0" applyFont="1"/>
    <xf numFmtId="0" fontId="5" fillId="0" borderId="20" xfId="0" applyFont="1" applyBorder="1"/>
    <xf numFmtId="0" fontId="5" fillId="0" borderId="21" xfId="0" applyFont="1" applyBorder="1"/>
    <xf numFmtId="165" fontId="2" fillId="0" borderId="22" xfId="5" applyNumberFormat="1" applyFont="1" applyFill="1" applyBorder="1" applyAlignment="1">
      <alignment horizontal="center"/>
    </xf>
    <xf numFmtId="0" fontId="1" fillId="0" borderId="0" xfId="7" applyFont="1"/>
    <xf numFmtId="164" fontId="5" fillId="0" borderId="2" xfId="1" applyNumberFormat="1" applyFont="1" applyBorder="1"/>
    <xf numFmtId="164" fontId="5" fillId="0" borderId="0" xfId="1" applyNumberFormat="1" applyFont="1" applyFill="1" applyBorder="1" applyAlignment="1"/>
    <xf numFmtId="164" fontId="5" fillId="2" borderId="0" xfId="0" applyNumberFormat="1" applyFont="1" applyFill="1"/>
    <xf numFmtId="164" fontId="10" fillId="0" borderId="28" xfId="0" applyNumberFormat="1" applyFont="1" applyBorder="1"/>
    <xf numFmtId="0" fontId="5" fillId="0" borderId="0" xfId="0" applyFont="1" applyAlignment="1">
      <alignment horizontal="left" wrapText="1"/>
    </xf>
    <xf numFmtId="0" fontId="18" fillId="0" borderId="0" xfId="7" applyFont="1" applyAlignment="1">
      <alignment horizontal="center"/>
    </xf>
    <xf numFmtId="0" fontId="5" fillId="0" borderId="0" xfId="6" applyAlignment="1">
      <alignment horizontal="left" wrapText="1"/>
    </xf>
  </cellXfs>
  <cellStyles count="11">
    <cellStyle name="Comma" xfId="1" builtinId="3"/>
    <cellStyle name="Comma [0]" xfId="10" builtinId="6"/>
    <cellStyle name="Comma 2" xfId="4" xr:uid="{00000000-0005-0000-0000-000001000000}"/>
    <cellStyle name="Comma 3" xfId="9" xr:uid="{F0AAB8F7-F64E-4584-ABF9-DAE85CE185AE}"/>
    <cellStyle name="Normal" xfId="0" builtinId="0"/>
    <cellStyle name="Normal 2" xfId="3" xr:uid="{00000000-0005-0000-0000-000003000000}"/>
    <cellStyle name="Normal 3" xfId="6" xr:uid="{00000000-0005-0000-0000-000004000000}"/>
    <cellStyle name="Normal 4" xfId="7" xr:uid="{A99FA767-9D34-43AD-9A7F-75B0E21D0F86}"/>
    <cellStyle name="Percent" xfId="2" builtinId="5"/>
    <cellStyle name="Percent 2" xfId="5" xr:uid="{00000000-0005-0000-0000-000006000000}"/>
    <cellStyle name="Percent 3" xfId="8" xr:uid="{8A10BB52-20E5-46EA-BB6E-91DD44497DD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__Final%20Order\Models\RY2\RY2%20Compliance%20Models\Cleaned-up%20workpapers\WA%202023%20GRC%20-%20RevReqSummaryModel%20(Non-Coal%20Costs)%20RY2.xlsx" TargetMode="External"/><Relationship Id="rId1" Type="http://schemas.openxmlformats.org/officeDocument/2006/relationships/externalLinkPath" Target="WA%202023%20GRC%20-%20RevReqSummaryModel%20(Non-Coal%20Costs)%20RY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cificorp.us\dfs\PDXCO\PSB1\REGULATN\ER\_2022\Washington\WA%202024-2025%20Rate%20Plan%20Filing\__Final%20Order\Models\RY2\RY2%20Compliance%20Models\Cleaned-up%20workpapers\230172-PAC-SLC-13-5FlyAshRevenuesYear2.xlsx" TargetMode="External"/><Relationship Id="rId1" Type="http://schemas.openxmlformats.org/officeDocument/2006/relationships/externalLinkPath" Target="230172-PAC-SLC-13-5FlyAshRevenuesYe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ro Forma Adj"/>
      <sheetName val="Interest Calc"/>
      <sheetName val="Variables"/>
      <sheetName val="Adj Summary_C"/>
      <sheetName val="Summary by Tab_C"/>
      <sheetName val="PRO Adj_C"/>
    </sheetNames>
    <sheetDataSet>
      <sheetData sheetId="0">
        <row r="9">
          <cell r="F9">
            <v>412218144.1600036</v>
          </cell>
        </row>
        <row r="10">
          <cell r="F10">
            <v>0</v>
          </cell>
        </row>
        <row r="11">
          <cell r="F11">
            <v>18523597.616923146</v>
          </cell>
        </row>
        <row r="12">
          <cell r="F12">
            <v>18407563.766656935</v>
          </cell>
        </row>
        <row r="16">
          <cell r="F16">
            <v>43917695.317417219</v>
          </cell>
        </row>
        <row r="17">
          <cell r="F17">
            <v>0</v>
          </cell>
        </row>
        <row r="18">
          <cell r="F18">
            <v>3432438.5798518136</v>
          </cell>
        </row>
        <row r="19">
          <cell r="F19">
            <v>172804968.54888943</v>
          </cell>
        </row>
        <row r="20">
          <cell r="F20">
            <v>19723421.853431858</v>
          </cell>
        </row>
        <row r="21">
          <cell r="F21">
            <v>18511696.538340323</v>
          </cell>
        </row>
        <row r="22">
          <cell r="F22">
            <v>6777076.120244313</v>
          </cell>
        </row>
        <row r="23">
          <cell r="F23">
            <v>707164.28582669166</v>
          </cell>
        </row>
        <row r="24">
          <cell r="F24">
            <v>0</v>
          </cell>
        </row>
        <row r="25">
          <cell r="F25">
            <v>20634363.233885195</v>
          </cell>
        </row>
        <row r="27">
          <cell r="F27">
            <v>53851354.121397726</v>
          </cell>
        </row>
        <row r="28">
          <cell r="F28">
            <v>12158524.644094493</v>
          </cell>
        </row>
        <row r="29">
          <cell r="F29">
            <v>29202124.773337904</v>
          </cell>
        </row>
        <row r="30">
          <cell r="F30">
            <v>-13151933.463076366</v>
          </cell>
        </row>
        <row r="31">
          <cell r="F31">
            <v>0</v>
          </cell>
        </row>
        <row r="32">
          <cell r="F32">
            <v>-914527.67211332289</v>
          </cell>
        </row>
        <row r="33">
          <cell r="F33">
            <v>0</v>
          </cell>
        </row>
        <row r="34">
          <cell r="F34">
            <v>-98259.164157068604</v>
          </cell>
        </row>
        <row r="40">
          <cell r="F40">
            <v>2222312244.4742155</v>
          </cell>
        </row>
        <row r="41">
          <cell r="F41">
            <v>467184.71621561563</v>
          </cell>
        </row>
        <row r="42">
          <cell r="F42">
            <v>-187305.4531018649</v>
          </cell>
        </row>
        <row r="43">
          <cell r="F43">
            <v>115844.19848648913</v>
          </cell>
        </row>
        <row r="44">
          <cell r="F44">
            <v>0</v>
          </cell>
        </row>
        <row r="45">
          <cell r="F45">
            <v>4.6566128730773926E-9</v>
          </cell>
        </row>
        <row r="46">
          <cell r="F46">
            <v>0</v>
          </cell>
        </row>
        <row r="47">
          <cell r="F47">
            <v>8.6884945631027222E-5</v>
          </cell>
        </row>
        <row r="48">
          <cell r="F48">
            <v>29873668.417190563</v>
          </cell>
        </row>
        <row r="49">
          <cell r="F49">
            <v>3311.89</v>
          </cell>
        </row>
        <row r="50">
          <cell r="F50">
            <v>0</v>
          </cell>
        </row>
        <row r="54">
          <cell r="F54">
            <v>-825050284.47702587</v>
          </cell>
        </row>
        <row r="55">
          <cell r="F55">
            <v>-64995002.633910976</v>
          </cell>
        </row>
        <row r="56">
          <cell r="F56">
            <v>-161428474.99656531</v>
          </cell>
        </row>
        <row r="57">
          <cell r="F57">
            <v>-14943.338687945423</v>
          </cell>
        </row>
        <row r="58">
          <cell r="F58">
            <v>-7825156.6492933892</v>
          </cell>
        </row>
        <row r="59">
          <cell r="F59">
            <v>-408390.63249999989</v>
          </cell>
        </row>
        <row r="60">
          <cell r="F60">
            <v>-73614386.165271983</v>
          </cell>
        </row>
        <row r="73">
          <cell r="F73">
            <v>-3636274.7351071914</v>
          </cell>
        </row>
        <row r="74">
          <cell r="F74">
            <v>28479172.499058776</v>
          </cell>
        </row>
        <row r="75">
          <cell r="F75">
            <v>94733504.432607815</v>
          </cell>
        </row>
        <row r="76">
          <cell r="F76">
            <v>114380790.72417834</v>
          </cell>
        </row>
        <row r="84">
          <cell r="F84">
            <v>-13151933.463076366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3.5"/>
      <sheetName val="13.5.1"/>
    </sheetNames>
    <sheetDataSet>
      <sheetData sheetId="0">
        <row r="10">
          <cell r="I10">
            <v>-926658.40970894846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49"/>
  <sheetViews>
    <sheetView tabSelected="1" view="pageBreakPreview" zoomScaleNormal="100" zoomScaleSheetLayoutView="100" workbookViewId="0">
      <selection activeCell="K31" sqref="K31"/>
    </sheetView>
  </sheetViews>
  <sheetFormatPr defaultColWidth="9.140625" defaultRowHeight="11.25"/>
  <cols>
    <col min="1" max="1" width="4.28515625" style="47" customWidth="1"/>
    <col min="2" max="2" width="11.28515625" style="67" customWidth="1"/>
    <col min="3" max="3" width="50" style="47" customWidth="1"/>
    <col min="4" max="4" width="10.7109375" style="47" customWidth="1"/>
    <col min="5" max="5" width="12" style="47" bestFit="1" customWidth="1"/>
    <col min="6" max="6" width="10.7109375" style="47" customWidth="1"/>
    <col min="7" max="7" width="19.42578125" style="47" customWidth="1"/>
    <col min="8" max="8" width="10.42578125" style="47" bestFit="1" customWidth="1"/>
    <col min="9" max="16384" width="9.140625" style="47"/>
  </cols>
  <sheetData>
    <row r="1" spans="1:9" ht="19.5">
      <c r="A1" s="71" t="s">
        <v>194</v>
      </c>
      <c r="C1" s="72"/>
      <c r="D1" s="72"/>
      <c r="E1" s="72"/>
      <c r="F1" s="72"/>
      <c r="G1" s="72"/>
    </row>
    <row r="2" spans="1:9" ht="6" customHeight="1">
      <c r="A2" s="73"/>
    </row>
    <row r="3" spans="1:9" ht="12.75" customHeight="1">
      <c r="A3" s="240" t="s">
        <v>130</v>
      </c>
      <c r="B3" s="240"/>
      <c r="C3" s="240"/>
      <c r="D3" s="240"/>
      <c r="E3" s="240"/>
      <c r="F3" s="240"/>
      <c r="G3" s="240"/>
    </row>
    <row r="4" spans="1:9" ht="12.75" customHeight="1">
      <c r="A4" s="240"/>
      <c r="B4" s="240"/>
      <c r="C4" s="240"/>
      <c r="D4" s="240"/>
      <c r="E4" s="240"/>
      <c r="F4" s="240"/>
      <c r="G4" s="240"/>
    </row>
    <row r="5" spans="1:9" ht="12.75">
      <c r="B5" s="38"/>
    </row>
    <row r="7" spans="1:9">
      <c r="B7" s="78" t="s">
        <v>98</v>
      </c>
      <c r="C7" s="78" t="s">
        <v>99</v>
      </c>
      <c r="D7" s="78" t="s">
        <v>100</v>
      </c>
      <c r="E7" s="78" t="s">
        <v>101</v>
      </c>
      <c r="F7" s="78" t="s">
        <v>102</v>
      </c>
      <c r="G7" s="78" t="s">
        <v>103</v>
      </c>
    </row>
    <row r="8" spans="1:9" s="77" customFormat="1" ht="24.75" customHeight="1">
      <c r="A8" s="76" t="s">
        <v>97</v>
      </c>
      <c r="B8" s="76" t="s">
        <v>115</v>
      </c>
      <c r="C8" s="76" t="s">
        <v>114</v>
      </c>
      <c r="D8" s="74" t="s">
        <v>92</v>
      </c>
      <c r="E8" s="75" t="s">
        <v>93</v>
      </c>
      <c r="F8" s="74" t="s">
        <v>94</v>
      </c>
      <c r="G8" s="89" t="s">
        <v>91</v>
      </c>
      <c r="I8" s="226"/>
    </row>
    <row r="9" spans="1:9">
      <c r="A9" s="217">
        <v>1</v>
      </c>
      <c r="B9" s="217" t="str">
        <f t="array" ref="B9:B21">TRANSPOSE('Rev Req - Coal Tracker RY2'!C8:O8)</f>
        <v>10.1</v>
      </c>
      <c r="C9" s="218" t="str">
        <f t="array" ref="C9:C21">TRANSPOSE('Rev Req - Coal Tracker RY2'!C9:O9)</f>
        <v>Coal Resources O&amp;M</v>
      </c>
      <c r="D9" s="219">
        <f t="array" ref="D9:D21">TRANSPOSE('Rev Req - Coal Tracker RY2'!C40:O40)</f>
        <v>-1382081.2976351536</v>
      </c>
      <c r="E9" s="219">
        <f t="array" ref="E9:E21">TRANSPOSE('Rev Req - Coal Tracker RY2'!C67:O67)</f>
        <v>0</v>
      </c>
      <c r="F9" s="219">
        <f t="shared" ref="F9:F21" si="0">-(D9-(E9*Overall_ROR))/gross_up_factor</f>
        <v>1838314.0879933408</v>
      </c>
      <c r="G9" s="219"/>
      <c r="H9" s="48"/>
      <c r="I9" s="85"/>
    </row>
    <row r="10" spans="1:9">
      <c r="A10" s="217">
        <f>A9+1</f>
        <v>2</v>
      </c>
      <c r="B10" s="220" t="str">
        <v>10.4</v>
      </c>
      <c r="C10" s="218" t="str">
        <v>Jim Bridger Mine Rate Base - Year 1</v>
      </c>
      <c r="D10" s="219">
        <v>0</v>
      </c>
      <c r="E10" s="219">
        <v>5338722.5603168681</v>
      </c>
      <c r="F10" s="219">
        <f t="shared" si="0"/>
        <v>517667.62609015405</v>
      </c>
      <c r="G10" s="219"/>
      <c r="I10" s="85"/>
    </row>
    <row r="11" spans="1:9">
      <c r="A11" s="217">
        <f t="shared" ref="A11:A21" si="1">A10+1</f>
        <v>3</v>
      </c>
      <c r="B11" s="217" t="str">
        <v>10.5</v>
      </c>
      <c r="C11" s="218" t="str">
        <v>Existing Coal Fired Generation Assets - Year 1</v>
      </c>
      <c r="D11" s="221">
        <v>-1146984.6655504657</v>
      </c>
      <c r="E11" s="221">
        <v>-10630932.278690815</v>
      </c>
      <c r="F11" s="219">
        <f t="shared" si="0"/>
        <v>494785.59021295694</v>
      </c>
      <c r="G11" s="219"/>
      <c r="I11" s="85"/>
    </row>
    <row r="12" spans="1:9">
      <c r="A12" s="217">
        <f>A11+1</f>
        <v>4</v>
      </c>
      <c r="B12" s="217" t="str">
        <v>10.6</v>
      </c>
      <c r="C12" s="218" t="str">
        <v>Pro Forma JB Units 3, 4 Additions - 
Year 1</v>
      </c>
      <c r="D12" s="221">
        <v>-25277.037643615313</v>
      </c>
      <c r="E12" s="221">
        <v>2780326.7358191526</v>
      </c>
      <c r="F12" s="219">
        <f t="shared" si="0"/>
        <v>303214.67463599198</v>
      </c>
      <c r="G12" s="219"/>
      <c r="I12" s="85"/>
    </row>
    <row r="13" spans="1:9">
      <c r="A13" s="217">
        <f t="shared" si="1"/>
        <v>5</v>
      </c>
      <c r="B13" s="217" t="str">
        <v>10.8</v>
      </c>
      <c r="C13" s="218" t="str">
        <v>Fly Ash Revenues - Year 1</v>
      </c>
      <c r="D13" s="219">
        <v>1778276.8044081284</v>
      </c>
      <c r="E13" s="219">
        <v>0</v>
      </c>
      <c r="F13" s="219">
        <f t="shared" si="0"/>
        <v>-2365295.9543615868</v>
      </c>
      <c r="G13" s="219"/>
      <c r="H13" s="85"/>
      <c r="I13" s="85"/>
    </row>
    <row r="14" spans="1:9">
      <c r="A14" s="217">
        <f t="shared" si="1"/>
        <v>6</v>
      </c>
      <c r="B14" s="217" t="str">
        <v>6.4</v>
      </c>
      <c r="C14" s="218" t="str">
        <v>Coal Decomm., Other Closure and Reclamation Costs</v>
      </c>
      <c r="D14" s="219">
        <v>-4288458.9060298428</v>
      </c>
      <c r="E14" s="219">
        <v>-16284222.220060062</v>
      </c>
      <c r="F14" s="219">
        <f t="shared" si="0"/>
        <v>4125108.5448477888</v>
      </c>
      <c r="G14" s="219"/>
      <c r="H14" s="85"/>
      <c r="I14" s="85"/>
    </row>
    <row r="15" spans="1:9">
      <c r="A15" s="67">
        <f t="shared" si="1"/>
        <v>7</v>
      </c>
      <c r="B15" s="67" t="str">
        <v>13.5</v>
      </c>
      <c r="C15" s="47" t="str">
        <v>Fly Ash Revenues - Year 2</v>
      </c>
      <c r="D15" s="46">
        <v>-732060.14367006929</v>
      </c>
      <c r="E15" s="46">
        <v>0</v>
      </c>
      <c r="F15" s="46">
        <f t="shared" si="0"/>
        <v>973717.30423514836</v>
      </c>
      <c r="G15" s="46"/>
      <c r="H15" s="46"/>
    </row>
    <row r="16" spans="1:9">
      <c r="A16" s="67">
        <v>8</v>
      </c>
      <c r="B16" s="67" t="str">
        <v>14.4_R</v>
      </c>
      <c r="C16" s="47" t="str">
        <v>Coal Decomm., Other Closure and Reclamation Costs</v>
      </c>
      <c r="D16" s="68">
        <v>0</v>
      </c>
      <c r="E16" s="68">
        <v>-4288458.4545407239</v>
      </c>
      <c r="F16" s="68">
        <f t="shared" si="0"/>
        <v>-415829.08320611145</v>
      </c>
      <c r="G16" s="46"/>
      <c r="H16" s="46"/>
    </row>
    <row r="17" spans="1:8">
      <c r="A17" s="67">
        <f t="shared" si="1"/>
        <v>9</v>
      </c>
      <c r="B17" s="67" t="str">
        <v>14.5</v>
      </c>
      <c r="C17" s="47" t="str">
        <v>Jim Bridger Mine Rate Base - Year 2</v>
      </c>
      <c r="D17" s="68">
        <v>0</v>
      </c>
      <c r="E17" s="68">
        <v>-883607.65821111342</v>
      </c>
      <c r="F17" s="68">
        <f t="shared" si="0"/>
        <v>-85678.750609973344</v>
      </c>
      <c r="G17" s="46"/>
      <c r="H17" s="46"/>
    </row>
    <row r="18" spans="1:8">
      <c r="A18" s="67">
        <f t="shared" si="1"/>
        <v>10</v>
      </c>
      <c r="B18" s="67" t="str">
        <v>14.6_C</v>
      </c>
      <c r="C18" s="47" t="str">
        <v>Existing Coal Fired Generation Assets - Year 1</v>
      </c>
      <c r="D18" s="68">
        <v>-2499.2570997914668</v>
      </c>
      <c r="E18" s="68">
        <v>-1493611.0159929795</v>
      </c>
      <c r="F18" s="68">
        <f t="shared" si="0"/>
        <v>-141503.26669428416</v>
      </c>
      <c r="G18" s="46"/>
      <c r="H18" s="46"/>
    </row>
    <row r="19" spans="1:8">
      <c r="A19" s="67">
        <f t="shared" si="1"/>
        <v>11</v>
      </c>
      <c r="B19" s="67" t="str">
        <v>14.7_C</v>
      </c>
      <c r="C19" s="47" t="str">
        <v>Pro Forma JB Units 3, 4 Additions - 
Year 1</v>
      </c>
      <c r="D19" s="68">
        <v>-1188.0481289819309</v>
      </c>
      <c r="E19" s="68">
        <v>99850.290731552479</v>
      </c>
      <c r="F19" s="68">
        <f t="shared" si="0"/>
        <v>11262.182867324766</v>
      </c>
      <c r="G19" s="46"/>
      <c r="H19" s="46"/>
    </row>
    <row r="20" spans="1:8">
      <c r="A20" s="67">
        <f t="shared" si="1"/>
        <v>12</v>
      </c>
      <c r="B20" s="67" t="str">
        <v>7.1_C/15.1_C</v>
      </c>
      <c r="C20" s="47" t="str">
        <v>Interest Synchronization</v>
      </c>
      <c r="D20" s="68">
        <v>-133318.84337689562</v>
      </c>
      <c r="E20" s="68">
        <v>0</v>
      </c>
      <c r="F20" s="68">
        <f t="shared" si="0"/>
        <v>177328.14154570989</v>
      </c>
      <c r="G20" s="46"/>
      <c r="H20" s="46"/>
    </row>
    <row r="21" spans="1:8">
      <c r="A21" s="67">
        <f t="shared" si="1"/>
        <v>13</v>
      </c>
      <c r="B21" s="67" t="str">
        <v>7.6_C/15.6_C</v>
      </c>
      <c r="C21" s="47" t="str">
        <v>Remove Deferred State Tax Expense &amp; Balance</v>
      </c>
      <c r="D21" s="141">
        <v>-253582.61647936964</v>
      </c>
      <c r="E21" s="141">
        <v>399939.30567074427</v>
      </c>
      <c r="F21" s="141">
        <f t="shared" si="0"/>
        <v>376071.65526690811</v>
      </c>
      <c r="G21" s="46"/>
      <c r="H21" s="46"/>
    </row>
    <row r="22" spans="1:8">
      <c r="A22" s="67"/>
      <c r="C22" s="70"/>
      <c r="D22" s="69">
        <f>SUM(D9:D20)</f>
        <v>-5933591.3947266871</v>
      </c>
      <c r="E22" s="69">
        <f>SUM(E9:E20)</f>
        <v>-25361932.04062812</v>
      </c>
      <c r="F22" s="69">
        <f>SUM(F9:F21)</f>
        <v>5809162.7528233677</v>
      </c>
      <c r="G22" s="46"/>
    </row>
    <row r="23" spans="1:8">
      <c r="A23" s="67"/>
      <c r="C23" s="70"/>
      <c r="D23" s="69"/>
      <c r="E23" s="69"/>
      <c r="F23" s="69"/>
      <c r="G23" s="46"/>
    </row>
    <row r="24" spans="1:8">
      <c r="A24" s="67"/>
      <c r="C24" s="47" t="s">
        <v>131</v>
      </c>
      <c r="D24" s="69"/>
      <c r="E24" s="69"/>
      <c r="F24" s="142">
        <f>-SUM('Deferred Fly Ash Amort.'!F48:F59)</f>
        <v>-1735595.4798920334</v>
      </c>
      <c r="G24" s="46"/>
    </row>
    <row r="25" spans="1:8" ht="12" thickBot="1">
      <c r="A25" s="67"/>
      <c r="C25" s="47" t="s">
        <v>198</v>
      </c>
      <c r="D25" s="69"/>
      <c r="E25" s="69"/>
      <c r="F25" s="225">
        <f>SUM(F22:F24)</f>
        <v>4073567.2729313346</v>
      </c>
      <c r="G25" s="46"/>
    </row>
    <row r="26" spans="1:8">
      <c r="A26" s="67"/>
      <c r="D26" s="69"/>
      <c r="E26" s="69"/>
      <c r="F26" s="69"/>
      <c r="G26" s="46"/>
    </row>
    <row r="27" spans="1:8" ht="12" thickBot="1">
      <c r="A27" s="67"/>
      <c r="C27" s="70" t="s">
        <v>197</v>
      </c>
      <c r="D27" s="69"/>
      <c r="E27" s="69"/>
      <c r="F27" s="177">
        <f>F25-'Non-NPC Coal (RY1_Compliance)'!F20</f>
        <v>370434.70820137579</v>
      </c>
      <c r="G27" s="46"/>
    </row>
    <row r="28" spans="1:8">
      <c r="A28" s="67"/>
      <c r="C28" s="70"/>
      <c r="D28" s="69"/>
      <c r="E28" s="69"/>
      <c r="F28" s="69"/>
      <c r="G28" s="46"/>
    </row>
    <row r="29" spans="1:8">
      <c r="A29" s="67"/>
      <c r="B29" s="73" t="s">
        <v>95</v>
      </c>
      <c r="C29" s="70"/>
      <c r="D29" s="69"/>
      <c r="E29" s="69"/>
      <c r="F29" s="69"/>
      <c r="G29" s="46"/>
    </row>
    <row r="30" spans="1:8">
      <c r="A30" s="67"/>
      <c r="B30" s="73" t="s">
        <v>161</v>
      </c>
    </row>
    <row r="31" spans="1:8">
      <c r="A31" s="67"/>
      <c r="B31" s="73" t="s">
        <v>162</v>
      </c>
    </row>
    <row r="32" spans="1:8">
      <c r="A32" s="67"/>
      <c r="B32" s="73" t="s">
        <v>216</v>
      </c>
    </row>
    <row r="33" spans="1:7">
      <c r="A33" s="67"/>
    </row>
    <row r="34" spans="1:7">
      <c r="A34" s="67"/>
      <c r="F34" s="85">
        <f>F22-'Rev Req - Coal Tracker RY2'!B71</f>
        <v>0</v>
      </c>
      <c r="G34" s="47" t="s">
        <v>127</v>
      </c>
    </row>
    <row r="35" spans="1:7">
      <c r="A35" s="67"/>
    </row>
    <row r="39" spans="1:7">
      <c r="C39" s="197" t="s">
        <v>191</v>
      </c>
      <c r="D39" s="224">
        <v>21065564</v>
      </c>
      <c r="E39" s="198" t="s">
        <v>189</v>
      </c>
    </row>
    <row r="40" spans="1:7">
      <c r="C40" s="197" t="s">
        <v>170</v>
      </c>
      <c r="D40" s="200">
        <v>-6275031.1337689795</v>
      </c>
    </row>
    <row r="41" spans="1:7">
      <c r="C41" s="90" t="s">
        <v>201</v>
      </c>
      <c r="D41" s="85">
        <f>SUM(D39:D40)</f>
        <v>14790532.866231021</v>
      </c>
    </row>
    <row r="42" spans="1:7">
      <c r="C42" s="90" t="s">
        <v>199</v>
      </c>
      <c r="D42" s="227">
        <f>F15</f>
        <v>973717.30423514836</v>
      </c>
    </row>
    <row r="43" spans="1:7" ht="12" thickBot="1">
      <c r="C43" s="90" t="s">
        <v>200</v>
      </c>
      <c r="D43" s="239">
        <f>SUM(D41:D42)</f>
        <v>15764250.17046617</v>
      </c>
    </row>
    <row r="45" spans="1:7">
      <c r="C45" s="90" t="s">
        <v>202</v>
      </c>
      <c r="D45" s="85">
        <f>F27</f>
        <v>370434.70820137579</v>
      </c>
      <c r="E45" s="47" t="s">
        <v>90</v>
      </c>
    </row>
    <row r="46" spans="1:7">
      <c r="C46" s="90" t="s">
        <v>203</v>
      </c>
      <c r="D46" s="227">
        <f>D43-D45</f>
        <v>15393815.462264795</v>
      </c>
      <c r="E46" s="47" t="s">
        <v>217</v>
      </c>
    </row>
    <row r="47" spans="1:7" ht="12" thickBot="1">
      <c r="C47" s="90" t="s">
        <v>204</v>
      </c>
      <c r="D47" s="239">
        <f>SUM(D45:D46)</f>
        <v>15764250.17046617</v>
      </c>
    </row>
    <row r="49" spans="4:5">
      <c r="D49" s="85">
        <f>D43-D47</f>
        <v>0</v>
      </c>
      <c r="E49" s="47" t="s">
        <v>218</v>
      </c>
    </row>
  </sheetData>
  <mergeCells count="1">
    <mergeCell ref="A3:G4"/>
  </mergeCells>
  <printOptions horizontalCentered="1"/>
  <pageMargins left="0.7" right="0.7" top="0.75" bottom="0.75" header="0.3" footer="0.3"/>
  <pageSetup scale="78" orientation="portrait" useFirstPageNumber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V153"/>
  <sheetViews>
    <sheetView view="pageBreakPreview" zoomScale="70" zoomScaleNormal="80" zoomScaleSheetLayoutView="70" workbookViewId="0">
      <selection activeCell="A7" sqref="A7"/>
    </sheetView>
  </sheetViews>
  <sheetFormatPr defaultColWidth="9.140625" defaultRowHeight="12.75"/>
  <cols>
    <col min="1" max="1" width="52.42578125" style="2" customWidth="1"/>
    <col min="2" max="2" width="24.7109375" style="14" customWidth="1"/>
    <col min="3" max="3" width="17.28515625" style="2" bestFit="1" customWidth="1"/>
    <col min="4" max="10" width="17.42578125" style="2" customWidth="1"/>
    <col min="11" max="11" width="17.28515625" style="2" bestFit="1" customWidth="1"/>
    <col min="12" max="13" width="17.42578125" style="2" customWidth="1"/>
    <col min="14" max="21" width="17.28515625" style="2" bestFit="1" customWidth="1"/>
    <col min="22" max="22" width="9.140625" style="2"/>
    <col min="23" max="16384" width="9.140625" style="14"/>
  </cols>
  <sheetData>
    <row r="1" spans="1:22">
      <c r="A1" s="4" t="s">
        <v>6</v>
      </c>
    </row>
    <row r="2" spans="1:22" s="2" customFormat="1" ht="12.75" customHeight="1">
      <c r="A2" s="63" t="s">
        <v>107</v>
      </c>
    </row>
    <row r="3" spans="1:22" s="2" customFormat="1">
      <c r="A3" s="64" t="s">
        <v>186</v>
      </c>
    </row>
    <row r="4" spans="1:22" s="2" customFormat="1">
      <c r="A4" s="64" t="s">
        <v>125</v>
      </c>
      <c r="J4" s="181"/>
      <c r="L4" s="181"/>
      <c r="M4" s="181"/>
      <c r="P4" s="180"/>
    </row>
    <row r="5" spans="1:22" s="2" customFormat="1">
      <c r="A5" s="63"/>
      <c r="J5" s="182"/>
      <c r="L5" s="182"/>
      <c r="M5" s="182"/>
    </row>
    <row r="6" spans="1:22" s="4" customFormat="1">
      <c r="A6" s="65"/>
    </row>
    <row r="7" spans="1:22" s="66" customFormat="1" ht="13.5" thickBot="1">
      <c r="A7" s="4"/>
      <c r="B7" s="91"/>
      <c r="C7" s="91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91"/>
      <c r="Q7" s="91"/>
      <c r="R7" s="91"/>
      <c r="S7" s="91"/>
      <c r="T7" s="91"/>
      <c r="U7" s="91"/>
      <c r="V7" s="4"/>
    </row>
    <row r="8" spans="1:22">
      <c r="B8" s="187" t="s">
        <v>219</v>
      </c>
      <c r="C8" s="187" t="s">
        <v>108</v>
      </c>
      <c r="D8" s="188" t="s">
        <v>119</v>
      </c>
      <c r="E8" s="188" t="s">
        <v>109</v>
      </c>
      <c r="F8" s="189" t="s">
        <v>122</v>
      </c>
      <c r="G8" s="187" t="s">
        <v>110</v>
      </c>
      <c r="H8" s="188" t="s">
        <v>123</v>
      </c>
      <c r="I8" s="188" t="s">
        <v>195</v>
      </c>
      <c r="J8" s="188" t="s">
        <v>181</v>
      </c>
      <c r="K8" s="188" t="s">
        <v>178</v>
      </c>
      <c r="L8" s="189" t="s">
        <v>179</v>
      </c>
      <c r="M8" s="187" t="s">
        <v>180</v>
      </c>
      <c r="N8" s="188" t="s">
        <v>220</v>
      </c>
      <c r="O8" s="189" t="s">
        <v>221</v>
      </c>
      <c r="P8" s="49"/>
      <c r="Q8" s="49"/>
      <c r="R8" s="49"/>
      <c r="S8" s="49"/>
      <c r="T8" s="49"/>
      <c r="U8" s="49"/>
    </row>
    <row r="9" spans="1:22" s="13" customFormat="1" ht="81" customHeight="1">
      <c r="B9" s="87" t="s">
        <v>105</v>
      </c>
      <c r="C9" s="61" t="s">
        <v>113</v>
      </c>
      <c r="D9" s="62" t="s">
        <v>120</v>
      </c>
      <c r="E9" s="62" t="s">
        <v>121</v>
      </c>
      <c r="F9" s="140" t="s">
        <v>126</v>
      </c>
      <c r="G9" s="61" t="s">
        <v>112</v>
      </c>
      <c r="H9" s="62" t="s">
        <v>128</v>
      </c>
      <c r="I9" s="62" t="s">
        <v>196</v>
      </c>
      <c r="J9" s="62" t="s">
        <v>128</v>
      </c>
      <c r="K9" s="62" t="s">
        <v>182</v>
      </c>
      <c r="L9" s="140" t="s">
        <v>121</v>
      </c>
      <c r="M9" s="61" t="s">
        <v>126</v>
      </c>
      <c r="N9" s="62" t="s">
        <v>124</v>
      </c>
      <c r="O9" s="140" t="s">
        <v>129</v>
      </c>
      <c r="P9" s="62"/>
      <c r="Q9" s="62"/>
      <c r="R9" s="62"/>
      <c r="S9" s="62"/>
      <c r="T9" s="62"/>
      <c r="U9" s="62"/>
    </row>
    <row r="10" spans="1:22">
      <c r="B10" s="88"/>
      <c r="C10" s="29"/>
      <c r="F10" s="55"/>
      <c r="G10" s="29"/>
      <c r="L10" s="55"/>
      <c r="M10" s="29"/>
      <c r="O10" s="55"/>
    </row>
    <row r="11" spans="1:22">
      <c r="A11" s="13" t="s">
        <v>9</v>
      </c>
      <c r="B11" s="24"/>
      <c r="C11" s="24"/>
      <c r="D11" s="11"/>
      <c r="E11" s="11"/>
      <c r="F11" s="50"/>
      <c r="G11" s="24"/>
      <c r="H11" s="11"/>
      <c r="I11" s="11"/>
      <c r="J11" s="11"/>
      <c r="K11" s="11"/>
      <c r="L11" s="50"/>
      <c r="M11" s="24"/>
      <c r="N11" s="11"/>
      <c r="O11" s="50"/>
      <c r="P11" s="11"/>
      <c r="Q11" s="11"/>
      <c r="R11" s="11"/>
      <c r="S11" s="11"/>
      <c r="T11" s="11"/>
      <c r="U11" s="11"/>
    </row>
    <row r="12" spans="1:22">
      <c r="A12" s="13" t="s">
        <v>10</v>
      </c>
      <c r="B12" s="25">
        <f>SUM(C12:O12)</f>
        <v>0</v>
      </c>
      <c r="C12" s="26"/>
      <c r="D12" s="53"/>
      <c r="E12" s="53"/>
      <c r="F12" s="54"/>
      <c r="G12" s="26"/>
      <c r="H12" s="53"/>
      <c r="I12" s="53"/>
      <c r="J12" s="53"/>
      <c r="K12" s="53"/>
      <c r="L12" s="54"/>
      <c r="M12" s="26"/>
      <c r="N12" s="53"/>
      <c r="O12" s="54"/>
      <c r="P12" s="53"/>
      <c r="Q12" s="53"/>
      <c r="R12" s="53"/>
      <c r="S12" s="53"/>
      <c r="T12" s="53"/>
      <c r="U12" s="53"/>
    </row>
    <row r="13" spans="1:22">
      <c r="A13" s="13" t="s">
        <v>11</v>
      </c>
      <c r="B13" s="25">
        <f>SUM(C13:O13)</f>
        <v>0</v>
      </c>
      <c r="C13" s="26"/>
      <c r="D13" s="53"/>
      <c r="E13" s="53"/>
      <c r="F13" s="54"/>
      <c r="G13" s="26"/>
      <c r="H13" s="53"/>
      <c r="I13" s="53"/>
      <c r="J13" s="53"/>
      <c r="K13" s="53"/>
      <c r="L13" s="54"/>
      <c r="M13" s="26"/>
      <c r="N13" s="53"/>
      <c r="O13" s="54"/>
      <c r="P13" s="53"/>
      <c r="Q13" s="53"/>
      <c r="R13" s="53"/>
      <c r="S13" s="53"/>
      <c r="T13" s="53"/>
      <c r="U13" s="53"/>
    </row>
    <row r="14" spans="1:22">
      <c r="A14" s="13" t="s">
        <v>12</v>
      </c>
      <c r="B14" s="25">
        <f>SUM(C14:O14)</f>
        <v>0</v>
      </c>
      <c r="C14" s="26"/>
      <c r="D14" s="53"/>
      <c r="E14" s="53"/>
      <c r="F14" s="54"/>
      <c r="G14" s="26"/>
      <c r="H14" s="53"/>
      <c r="I14" s="53"/>
      <c r="J14" s="53"/>
      <c r="K14" s="53"/>
      <c r="L14" s="54"/>
      <c r="M14" s="26"/>
      <c r="N14" s="53"/>
      <c r="O14" s="54"/>
      <c r="P14" s="53"/>
      <c r="Q14" s="53"/>
      <c r="R14" s="53"/>
      <c r="S14" s="53"/>
      <c r="T14" s="53"/>
      <c r="U14" s="53"/>
    </row>
    <row r="15" spans="1:22">
      <c r="A15" s="13" t="s">
        <v>13</v>
      </c>
      <c r="B15" s="25">
        <f>SUM(C15:O15)</f>
        <v>1324324.8870102013</v>
      </c>
      <c r="C15" s="26"/>
      <c r="D15" s="53"/>
      <c r="E15" s="53"/>
      <c r="F15" s="54"/>
      <c r="G15" s="26">
        <v>2250983.2967191497</v>
      </c>
      <c r="H15" s="53"/>
      <c r="I15" s="53">
        <f>'[2]13.5'!$I$10</f>
        <v>-926658.40970894846</v>
      </c>
      <c r="J15" s="53"/>
      <c r="K15" s="53"/>
      <c r="L15" s="54"/>
      <c r="M15" s="26"/>
      <c r="N15" s="53"/>
      <c r="O15" s="54"/>
      <c r="P15" s="53"/>
      <c r="Q15" s="53"/>
      <c r="R15" s="53"/>
      <c r="S15" s="53"/>
      <c r="T15" s="53"/>
      <c r="U15" s="53"/>
    </row>
    <row r="16" spans="1:22">
      <c r="A16" s="96" t="s">
        <v>14</v>
      </c>
      <c r="B16" s="97">
        <f>SUM(C16:O16)</f>
        <v>1324324.8870102013</v>
      </c>
      <c r="C16" s="97">
        <f>SUM(C12:C15)</f>
        <v>0</v>
      </c>
      <c r="D16" s="98">
        <f t="shared" ref="D16:E16" si="0">SUM(D12:D15)</f>
        <v>0</v>
      </c>
      <c r="E16" s="98">
        <f t="shared" si="0"/>
        <v>0</v>
      </c>
      <c r="F16" s="99">
        <f t="shared" ref="F16:O16" si="1">SUM(F12:F15)</f>
        <v>0</v>
      </c>
      <c r="G16" s="97">
        <f t="shared" si="1"/>
        <v>2250983.2967191497</v>
      </c>
      <c r="H16" s="98">
        <f t="shared" si="1"/>
        <v>0</v>
      </c>
      <c r="I16" s="98">
        <f t="shared" si="1"/>
        <v>-926658.40970894846</v>
      </c>
      <c r="J16" s="98">
        <f>SUM(J12:J15)</f>
        <v>0</v>
      </c>
      <c r="K16" s="98">
        <f t="shared" ref="K16:M16" si="2">SUM(K12:K15)</f>
        <v>0</v>
      </c>
      <c r="L16" s="99">
        <f t="shared" si="2"/>
        <v>0</v>
      </c>
      <c r="M16" s="97">
        <f t="shared" si="2"/>
        <v>0</v>
      </c>
      <c r="N16" s="98">
        <f t="shared" si="1"/>
        <v>0</v>
      </c>
      <c r="O16" s="99">
        <f t="shared" si="1"/>
        <v>0</v>
      </c>
      <c r="P16" s="11"/>
      <c r="Q16" s="11"/>
      <c r="R16" s="11"/>
      <c r="S16" s="11"/>
      <c r="T16" s="11"/>
      <c r="U16" s="11"/>
    </row>
    <row r="17" spans="1:21">
      <c r="A17" s="13"/>
      <c r="B17" s="24"/>
      <c r="C17" s="24"/>
      <c r="D17" s="11"/>
      <c r="E17" s="11"/>
      <c r="F17" s="50"/>
      <c r="G17" s="24"/>
      <c r="H17" s="11"/>
      <c r="I17" s="11"/>
      <c r="J17" s="11"/>
      <c r="K17" s="11"/>
      <c r="L17" s="50"/>
      <c r="M17" s="24"/>
      <c r="N17" s="11"/>
      <c r="O17" s="50"/>
      <c r="P17" s="11"/>
      <c r="Q17" s="11"/>
      <c r="R17" s="11"/>
      <c r="S17" s="11"/>
      <c r="T17" s="11"/>
      <c r="U17" s="11"/>
    </row>
    <row r="18" spans="1:21">
      <c r="A18" s="13" t="s">
        <v>15</v>
      </c>
      <c r="B18" s="24"/>
      <c r="C18" s="24"/>
      <c r="D18" s="11"/>
      <c r="E18" s="11"/>
      <c r="F18" s="50"/>
      <c r="G18" s="24"/>
      <c r="H18" s="11"/>
      <c r="I18" s="11"/>
      <c r="J18" s="11"/>
      <c r="K18" s="11"/>
      <c r="L18" s="50"/>
      <c r="M18" s="24"/>
      <c r="N18" s="11"/>
      <c r="O18" s="50"/>
      <c r="P18" s="11"/>
      <c r="Q18" s="11"/>
      <c r="R18" s="11"/>
      <c r="S18" s="11"/>
      <c r="T18" s="11"/>
      <c r="U18" s="11"/>
    </row>
    <row r="19" spans="1:21">
      <c r="A19" s="13" t="s">
        <v>16</v>
      </c>
      <c r="B19" s="25">
        <f t="shared" ref="B19:B38" si="3">SUM(C19:O19)</f>
        <v>3744634.5087966202</v>
      </c>
      <c r="C19" s="26">
        <v>1755172.9760006012</v>
      </c>
      <c r="D19" s="53"/>
      <c r="E19" s="53"/>
      <c r="F19" s="54"/>
      <c r="G19" s="26"/>
      <c r="H19" s="53">
        <v>1986017.4321633733</v>
      </c>
      <c r="I19" s="53"/>
      <c r="J19" s="53"/>
      <c r="K19" s="53"/>
      <c r="L19" s="54">
        <v>3444.1006326457582</v>
      </c>
      <c r="M19" s="26"/>
      <c r="N19" s="53"/>
      <c r="O19" s="54"/>
      <c r="P19" s="53"/>
      <c r="Q19" s="53"/>
      <c r="R19" s="53"/>
      <c r="S19" s="53"/>
      <c r="T19" s="53"/>
      <c r="U19" s="53"/>
    </row>
    <row r="20" spans="1:21">
      <c r="A20" s="13" t="s">
        <v>17</v>
      </c>
      <c r="B20" s="25">
        <f t="shared" si="3"/>
        <v>0</v>
      </c>
      <c r="C20" s="26"/>
      <c r="D20" s="53"/>
      <c r="E20" s="53"/>
      <c r="F20" s="54"/>
      <c r="G20" s="26"/>
      <c r="H20" s="53"/>
      <c r="I20" s="53"/>
      <c r="J20" s="53"/>
      <c r="K20" s="53"/>
      <c r="L20" s="54"/>
      <c r="M20" s="26"/>
      <c r="N20" s="53"/>
      <c r="O20" s="54"/>
      <c r="P20" s="53"/>
      <c r="Q20" s="53"/>
      <c r="R20" s="53"/>
      <c r="S20" s="53"/>
      <c r="T20" s="53"/>
      <c r="U20" s="53"/>
    </row>
    <row r="21" spans="1:21">
      <c r="A21" s="13" t="s">
        <v>18</v>
      </c>
      <c r="B21" s="25">
        <f t="shared" si="3"/>
        <v>0</v>
      </c>
      <c r="C21" s="26"/>
      <c r="D21" s="53"/>
      <c r="E21" s="53"/>
      <c r="F21" s="54"/>
      <c r="G21" s="26"/>
      <c r="H21" s="53"/>
      <c r="I21" s="53"/>
      <c r="J21" s="53"/>
      <c r="K21" s="53"/>
      <c r="L21" s="54"/>
      <c r="M21" s="26"/>
      <c r="N21" s="53"/>
      <c r="O21" s="54"/>
      <c r="P21" s="53"/>
      <c r="Q21" s="53"/>
      <c r="R21" s="53"/>
      <c r="S21" s="53"/>
      <c r="T21" s="53"/>
      <c r="U21" s="53"/>
    </row>
    <row r="22" spans="1:21">
      <c r="A22" s="13" t="s">
        <v>19</v>
      </c>
      <c r="B22" s="25">
        <f t="shared" si="3"/>
        <v>0</v>
      </c>
      <c r="C22" s="26"/>
      <c r="D22" s="53"/>
      <c r="E22" s="53"/>
      <c r="F22" s="54"/>
      <c r="G22" s="26"/>
      <c r="H22" s="53"/>
      <c r="I22" s="53"/>
      <c r="J22" s="53"/>
      <c r="K22" s="53"/>
      <c r="L22" s="54"/>
      <c r="M22" s="26"/>
      <c r="N22" s="53"/>
      <c r="O22" s="54"/>
      <c r="P22" s="53"/>
      <c r="Q22" s="53"/>
      <c r="R22" s="53"/>
      <c r="S22" s="53"/>
      <c r="T22" s="53"/>
      <c r="U22" s="53"/>
    </row>
    <row r="23" spans="1:21">
      <c r="A23" s="13" t="s">
        <v>20</v>
      </c>
      <c r="B23" s="25">
        <f t="shared" si="3"/>
        <v>0</v>
      </c>
      <c r="C23" s="26"/>
      <c r="D23" s="53"/>
      <c r="E23" s="53"/>
      <c r="F23" s="54"/>
      <c r="G23" s="26"/>
      <c r="H23" s="53"/>
      <c r="I23" s="53"/>
      <c r="J23" s="53"/>
      <c r="K23" s="53"/>
      <c r="L23" s="54"/>
      <c r="M23" s="26"/>
      <c r="N23" s="53"/>
      <c r="O23" s="54"/>
      <c r="P23" s="53"/>
      <c r="Q23" s="53"/>
      <c r="R23" s="53"/>
      <c r="S23" s="53"/>
      <c r="T23" s="53"/>
      <c r="U23" s="53"/>
    </row>
    <row r="24" spans="1:21">
      <c r="A24" s="13" t="s">
        <v>21</v>
      </c>
      <c r="B24" s="25">
        <f t="shared" si="3"/>
        <v>0</v>
      </c>
      <c r="C24" s="26"/>
      <c r="D24" s="53"/>
      <c r="E24" s="53"/>
      <c r="F24" s="54"/>
      <c r="G24" s="26"/>
      <c r="H24" s="53"/>
      <c r="I24" s="53"/>
      <c r="J24" s="53"/>
      <c r="K24" s="53"/>
      <c r="L24" s="54"/>
      <c r="M24" s="26"/>
      <c r="N24" s="53"/>
      <c r="O24" s="54"/>
      <c r="P24" s="53"/>
      <c r="Q24" s="53"/>
      <c r="R24" s="53"/>
      <c r="S24" s="53"/>
      <c r="T24" s="53"/>
      <c r="U24" s="53"/>
    </row>
    <row r="25" spans="1:21">
      <c r="A25" s="13" t="s">
        <v>22</v>
      </c>
      <c r="B25" s="25">
        <f t="shared" si="3"/>
        <v>0</v>
      </c>
      <c r="C25" s="26"/>
      <c r="D25" s="53"/>
      <c r="E25" s="53"/>
      <c r="F25" s="54"/>
      <c r="G25" s="26"/>
      <c r="H25" s="53"/>
      <c r="I25" s="53"/>
      <c r="J25" s="53"/>
      <c r="K25" s="53"/>
      <c r="L25" s="54"/>
      <c r="M25" s="26"/>
      <c r="N25" s="53"/>
      <c r="O25" s="54"/>
      <c r="P25" s="53"/>
      <c r="Q25" s="53"/>
      <c r="R25" s="53"/>
      <c r="S25" s="53"/>
      <c r="T25" s="53"/>
      <c r="U25" s="53"/>
    </row>
    <row r="26" spans="1:21">
      <c r="A26" s="13" t="s">
        <v>23</v>
      </c>
      <c r="B26" s="25">
        <f t="shared" si="3"/>
        <v>0</v>
      </c>
      <c r="C26" s="26"/>
      <c r="D26" s="53"/>
      <c r="E26" s="53"/>
      <c r="F26" s="54"/>
      <c r="G26" s="26"/>
      <c r="H26" s="53"/>
      <c r="I26" s="53"/>
      <c r="J26" s="53"/>
      <c r="K26" s="53"/>
      <c r="L26" s="54"/>
      <c r="M26" s="26"/>
      <c r="N26" s="53"/>
      <c r="O26" s="54"/>
      <c r="P26" s="53"/>
      <c r="Q26" s="53"/>
      <c r="R26" s="53"/>
      <c r="S26" s="53"/>
      <c r="T26" s="53"/>
      <c r="U26" s="53"/>
    </row>
    <row r="27" spans="1:21">
      <c r="A27" s="13" t="s">
        <v>24</v>
      </c>
      <c r="B27" s="25">
        <f t="shared" si="3"/>
        <v>0</v>
      </c>
      <c r="C27" s="26"/>
      <c r="D27" s="53"/>
      <c r="E27" s="53"/>
      <c r="F27" s="54"/>
      <c r="G27" s="26"/>
      <c r="H27" s="53"/>
      <c r="I27" s="53"/>
      <c r="J27" s="53"/>
      <c r="K27" s="53"/>
      <c r="L27" s="54"/>
      <c r="M27" s="26"/>
      <c r="N27" s="53"/>
      <c r="O27" s="54"/>
      <c r="P27" s="53"/>
      <c r="Q27" s="53"/>
      <c r="R27" s="53"/>
      <c r="S27" s="53"/>
      <c r="T27" s="53"/>
      <c r="U27" s="53"/>
    </row>
    <row r="28" spans="1:21">
      <c r="A28" s="13" t="s">
        <v>25</v>
      </c>
      <c r="B28" s="25">
        <f t="shared" si="3"/>
        <v>-5702.9789940776418</v>
      </c>
      <c r="C28" s="27">
        <v>-5702.9789940776418</v>
      </c>
      <c r="D28" s="56"/>
      <c r="E28" s="56"/>
      <c r="F28" s="58"/>
      <c r="G28" s="27"/>
      <c r="H28" s="56"/>
      <c r="I28" s="56"/>
      <c r="J28" s="56"/>
      <c r="K28" s="56"/>
      <c r="L28" s="58"/>
      <c r="M28" s="27"/>
      <c r="N28" s="56"/>
      <c r="O28" s="58"/>
      <c r="P28" s="53"/>
      <c r="Q28" s="53"/>
      <c r="R28" s="53"/>
      <c r="S28" s="53"/>
      <c r="T28" s="53"/>
      <c r="U28" s="53"/>
    </row>
    <row r="29" spans="1:21">
      <c r="A29" s="96" t="s">
        <v>26</v>
      </c>
      <c r="B29" s="101">
        <f t="shared" si="3"/>
        <v>3738931.5298025426</v>
      </c>
      <c r="C29" s="102">
        <f t="shared" ref="C29" si="4">SUM(C19:C28)</f>
        <v>1749469.9970065237</v>
      </c>
      <c r="D29" s="100">
        <f t="shared" ref="D29:E29" si="5">SUM(D19:D28)</f>
        <v>0</v>
      </c>
      <c r="E29" s="100">
        <f t="shared" si="5"/>
        <v>0</v>
      </c>
      <c r="F29" s="103">
        <f t="shared" ref="F29:O29" si="6">SUM(F19:F28)</f>
        <v>0</v>
      </c>
      <c r="G29" s="102">
        <f t="shared" si="6"/>
        <v>0</v>
      </c>
      <c r="H29" s="100">
        <f t="shared" si="6"/>
        <v>1986017.4321633733</v>
      </c>
      <c r="I29" s="100">
        <f t="shared" si="6"/>
        <v>0</v>
      </c>
      <c r="J29" s="100">
        <f>SUM(J19:J28)</f>
        <v>0</v>
      </c>
      <c r="K29" s="100">
        <f t="shared" ref="K29:M29" si="7">SUM(K19:K28)</f>
        <v>0</v>
      </c>
      <c r="L29" s="103">
        <f t="shared" si="7"/>
        <v>3444.1006326457582</v>
      </c>
      <c r="M29" s="102">
        <f t="shared" si="7"/>
        <v>0</v>
      </c>
      <c r="N29" s="100">
        <f t="shared" si="6"/>
        <v>0</v>
      </c>
      <c r="O29" s="103">
        <f t="shared" si="6"/>
        <v>0</v>
      </c>
      <c r="P29" s="11"/>
      <c r="Q29" s="11"/>
      <c r="R29" s="11"/>
      <c r="S29" s="11"/>
      <c r="T29" s="11"/>
      <c r="U29" s="11"/>
    </row>
    <row r="30" spans="1:21">
      <c r="A30" s="13" t="s">
        <v>27</v>
      </c>
      <c r="B30" s="25">
        <f t="shared" si="3"/>
        <v>1588729.6050946186</v>
      </c>
      <c r="C30" s="26"/>
      <c r="D30" s="53"/>
      <c r="E30" s="53">
        <v>1563207.2771988716</v>
      </c>
      <c r="F30" s="54">
        <v>23871.2950445813</v>
      </c>
      <c r="G30" s="26"/>
      <c r="H30" s="53"/>
      <c r="I30" s="53"/>
      <c r="J30" s="53"/>
      <c r="K30" s="53"/>
      <c r="L30" s="54"/>
      <c r="M30" s="26">
        <v>1651.0328511656346</v>
      </c>
      <c r="N30" s="53"/>
      <c r="O30" s="54"/>
      <c r="P30" s="53"/>
      <c r="Q30" s="53"/>
      <c r="R30" s="53"/>
      <c r="S30" s="53"/>
      <c r="T30" s="53"/>
      <c r="U30" s="53"/>
    </row>
    <row r="31" spans="1:21">
      <c r="A31" s="13" t="s">
        <v>28</v>
      </c>
      <c r="B31" s="25">
        <f t="shared" si="3"/>
        <v>3700582.6343244445</v>
      </c>
      <c r="C31" s="26"/>
      <c r="D31" s="53"/>
      <c r="E31" s="53"/>
      <c r="F31" s="54"/>
      <c r="G31" s="26"/>
      <c r="H31" s="53">
        <v>3700582.6343244445</v>
      </c>
      <c r="I31" s="53"/>
      <c r="J31" s="53"/>
      <c r="K31" s="53"/>
      <c r="L31" s="54"/>
      <c r="M31" s="26"/>
      <c r="N31" s="53"/>
      <c r="O31" s="54"/>
      <c r="P31" s="53"/>
      <c r="Q31" s="53"/>
      <c r="R31" s="53"/>
      <c r="S31" s="53"/>
      <c r="T31" s="53"/>
      <c r="U31" s="53"/>
    </row>
    <row r="32" spans="1:21">
      <c r="A32" s="13" t="s">
        <v>29</v>
      </c>
      <c r="B32" s="25">
        <f t="shared" si="3"/>
        <v>0</v>
      </c>
      <c r="C32" s="26"/>
      <c r="D32" s="53"/>
      <c r="E32" s="53"/>
      <c r="F32" s="54"/>
      <c r="G32" s="26"/>
      <c r="H32" s="53"/>
      <c r="I32" s="53"/>
      <c r="J32" s="53"/>
      <c r="K32" s="53"/>
      <c r="L32" s="54"/>
      <c r="M32" s="26"/>
      <c r="N32" s="53"/>
      <c r="O32" s="54"/>
      <c r="P32" s="53"/>
      <c r="Q32" s="53"/>
      <c r="R32" s="53"/>
      <c r="S32" s="53"/>
      <c r="T32" s="53"/>
      <c r="U32" s="53"/>
    </row>
    <row r="33" spans="1:21">
      <c r="A33" s="96" t="s">
        <v>30</v>
      </c>
      <c r="B33" s="104">
        <f t="shared" si="3"/>
        <v>-3835.1029170665424</v>
      </c>
      <c r="C33" s="105">
        <f>C87</f>
        <v>-367388.69937136996</v>
      </c>
      <c r="D33" s="106">
        <f t="shared" ref="D33:E33" si="8">D87</f>
        <v>0</v>
      </c>
      <c r="E33" s="106">
        <f t="shared" si="8"/>
        <v>-4892.3912441574084</v>
      </c>
      <c r="F33" s="107">
        <f t="shared" ref="F33:O33" si="9">F87</f>
        <v>-42591.989460030534</v>
      </c>
      <c r="G33" s="105">
        <f t="shared" si="9"/>
        <v>472706.49231102143</v>
      </c>
      <c r="H33" s="106">
        <f t="shared" si="9"/>
        <v>-4.9131069174036382E-2</v>
      </c>
      <c r="I33" s="106">
        <f t="shared" ref="I33" si="10">I87</f>
        <v>-194598.26603887917</v>
      </c>
      <c r="J33" s="106">
        <f>J87</f>
        <v>0</v>
      </c>
      <c r="K33" s="106">
        <f t="shared" si="9"/>
        <v>0</v>
      </c>
      <c r="L33" s="107">
        <f t="shared" si="9"/>
        <v>-723.26113285560916</v>
      </c>
      <c r="M33" s="105">
        <f t="shared" si="9"/>
        <v>334.21777337820794</v>
      </c>
      <c r="N33" s="106">
        <f t="shared" si="9"/>
        <v>133318.84337689562</v>
      </c>
      <c r="O33" s="107">
        <f t="shared" si="9"/>
        <v>0</v>
      </c>
      <c r="P33" s="53"/>
      <c r="Q33" s="53"/>
      <c r="R33" s="53"/>
      <c r="S33" s="53"/>
      <c r="T33" s="53"/>
      <c r="U33" s="53"/>
    </row>
    <row r="34" spans="1:21">
      <c r="A34" s="13" t="s">
        <v>31</v>
      </c>
      <c r="B34" s="25">
        <f t="shared" si="3"/>
        <v>0</v>
      </c>
      <c r="C34" s="25">
        <v>0</v>
      </c>
      <c r="D34" s="51">
        <v>0</v>
      </c>
      <c r="E34" s="51">
        <v>0</v>
      </c>
      <c r="F34" s="52">
        <v>0</v>
      </c>
      <c r="G34" s="25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  <c r="M34" s="25">
        <v>0</v>
      </c>
      <c r="N34" s="51">
        <v>0</v>
      </c>
      <c r="O34" s="52">
        <v>0</v>
      </c>
      <c r="P34" s="51"/>
      <c r="Q34" s="51"/>
      <c r="R34" s="51"/>
      <c r="S34" s="51"/>
      <c r="T34" s="51"/>
      <c r="U34" s="51"/>
    </row>
    <row r="35" spans="1:21">
      <c r="A35" s="13" t="s">
        <v>32</v>
      </c>
      <c r="B35" s="25">
        <f t="shared" si="3"/>
        <v>-1512909.7680882809</v>
      </c>
      <c r="C35" s="26"/>
      <c r="D35" s="53"/>
      <c r="E35" s="53">
        <v>-411330.22040424845</v>
      </c>
      <c r="F35" s="54">
        <v>43997.732059064547</v>
      </c>
      <c r="G35" s="26"/>
      <c r="H35" s="53">
        <v>-1398141.1113269059</v>
      </c>
      <c r="I35" s="53"/>
      <c r="J35" s="53"/>
      <c r="K35" s="53"/>
      <c r="L35" s="54">
        <v>-221.58239999868238</v>
      </c>
      <c r="M35" s="26">
        <v>-797.20249556191186</v>
      </c>
      <c r="N35" s="53"/>
      <c r="O35" s="54">
        <f>253434-SUM(J35:N35)*Variables!$F$41</f>
        <v>253582.61647936964</v>
      </c>
      <c r="P35" s="53"/>
      <c r="Q35" s="53"/>
      <c r="R35" s="53"/>
      <c r="S35" s="53"/>
      <c r="T35" s="53"/>
      <c r="U35" s="53"/>
    </row>
    <row r="36" spans="1:21">
      <c r="A36" s="13" t="s">
        <v>33</v>
      </c>
      <c r="B36" s="25">
        <f t="shared" si="3"/>
        <v>0</v>
      </c>
      <c r="C36" s="26"/>
      <c r="D36" s="53"/>
      <c r="E36" s="53"/>
      <c r="F36" s="54"/>
      <c r="G36" s="26"/>
      <c r="H36" s="53"/>
      <c r="I36" s="53"/>
      <c r="J36" s="53"/>
      <c r="K36" s="53"/>
      <c r="L36" s="54"/>
      <c r="M36" s="26"/>
      <c r="N36" s="53"/>
      <c r="O36" s="54"/>
      <c r="P36" s="53"/>
      <c r="Q36" s="53"/>
      <c r="R36" s="53"/>
      <c r="S36" s="53"/>
      <c r="T36" s="53"/>
      <c r="U36" s="53"/>
    </row>
    <row r="37" spans="1:21">
      <c r="A37" s="13" t="s">
        <v>34</v>
      </c>
      <c r="B37" s="25">
        <f t="shared" si="3"/>
        <v>0</v>
      </c>
      <c r="C37" s="26"/>
      <c r="D37" s="53"/>
      <c r="E37" s="53"/>
      <c r="F37" s="54"/>
      <c r="G37" s="26"/>
      <c r="H37" s="53"/>
      <c r="I37" s="53"/>
      <c r="J37" s="53"/>
      <c r="K37" s="53"/>
      <c r="L37" s="54"/>
      <c r="M37" s="26"/>
      <c r="N37" s="53"/>
      <c r="O37" s="54"/>
      <c r="P37" s="53"/>
      <c r="Q37" s="53"/>
      <c r="R37" s="53"/>
      <c r="S37" s="53"/>
      <c r="T37" s="53"/>
      <c r="U37" s="53"/>
    </row>
    <row r="38" spans="1:21">
      <c r="A38" s="96" t="s">
        <v>35</v>
      </c>
      <c r="B38" s="97">
        <f t="shared" si="3"/>
        <v>7511498.8982162587</v>
      </c>
      <c r="C38" s="97">
        <f t="shared" ref="C38" si="11">SUM(C29:C37)</f>
        <v>1382081.2976351536</v>
      </c>
      <c r="D38" s="98">
        <f t="shared" ref="D38:E38" si="12">SUM(D29:D37)</f>
        <v>0</v>
      </c>
      <c r="E38" s="98">
        <f t="shared" si="12"/>
        <v>1146984.6655504657</v>
      </c>
      <c r="F38" s="99">
        <f t="shared" ref="F38:O38" si="13">SUM(F29:F37)</f>
        <v>25277.037643615313</v>
      </c>
      <c r="G38" s="97">
        <f t="shared" si="13"/>
        <v>472706.49231102143</v>
      </c>
      <c r="H38" s="98">
        <f t="shared" si="13"/>
        <v>4288458.9060298428</v>
      </c>
      <c r="I38" s="98">
        <f t="shared" ref="I38" si="14">SUM(I29:I37)</f>
        <v>-194598.26603887917</v>
      </c>
      <c r="J38" s="98">
        <f>SUM(J29:J37)</f>
        <v>0</v>
      </c>
      <c r="K38" s="98">
        <f t="shared" ref="K38:L38" si="15">SUM(K29:K37)</f>
        <v>0</v>
      </c>
      <c r="L38" s="99">
        <f t="shared" si="15"/>
        <v>2499.2570997914668</v>
      </c>
      <c r="M38" s="97">
        <f t="shared" ref="M38" si="16">SUM(M29:M37)</f>
        <v>1188.0481289819309</v>
      </c>
      <c r="N38" s="98">
        <f t="shared" si="13"/>
        <v>133318.84337689562</v>
      </c>
      <c r="O38" s="99">
        <f t="shared" si="13"/>
        <v>253582.61647936964</v>
      </c>
      <c r="P38" s="11"/>
      <c r="Q38" s="11"/>
      <c r="R38" s="11"/>
      <c r="S38" s="11"/>
      <c r="T38" s="11"/>
      <c r="U38" s="11"/>
    </row>
    <row r="39" spans="1:21">
      <c r="A39" s="13"/>
      <c r="B39" s="24">
        <f>SUM(C39:C39)</f>
        <v>0</v>
      </c>
      <c r="C39" s="24"/>
      <c r="D39" s="11"/>
      <c r="E39" s="11"/>
      <c r="F39" s="50"/>
      <c r="G39" s="24"/>
      <c r="H39" s="11"/>
      <c r="I39" s="11"/>
      <c r="J39" s="11"/>
      <c r="K39" s="11"/>
      <c r="L39" s="50"/>
      <c r="M39" s="24"/>
      <c r="N39" s="11"/>
      <c r="O39" s="50"/>
      <c r="P39" s="11"/>
      <c r="Q39" s="11"/>
      <c r="R39" s="11"/>
      <c r="S39" s="11"/>
      <c r="T39" s="11"/>
      <c r="U39" s="11"/>
    </row>
    <row r="40" spans="1:21" ht="13.5" thickBot="1">
      <c r="A40" s="96" t="s">
        <v>36</v>
      </c>
      <c r="B40" s="108">
        <f>SUM(C40:O40)</f>
        <v>-6187174.0112060569</v>
      </c>
      <c r="C40" s="108">
        <f t="shared" ref="C40" si="17">C16-C38</f>
        <v>-1382081.2976351536</v>
      </c>
      <c r="D40" s="109">
        <f t="shared" ref="D40:E40" si="18">D16-D38</f>
        <v>0</v>
      </c>
      <c r="E40" s="109">
        <f t="shared" si="18"/>
        <v>-1146984.6655504657</v>
      </c>
      <c r="F40" s="110">
        <f t="shared" ref="F40:O40" si="19">F16-F38</f>
        <v>-25277.037643615313</v>
      </c>
      <c r="G40" s="108">
        <f t="shared" si="19"/>
        <v>1778276.8044081284</v>
      </c>
      <c r="H40" s="109">
        <f t="shared" si="19"/>
        <v>-4288458.9060298428</v>
      </c>
      <c r="I40" s="109">
        <f t="shared" ref="I40" si="20">I16-I38</f>
        <v>-732060.14367006929</v>
      </c>
      <c r="J40" s="109">
        <f>J16-J38</f>
        <v>0</v>
      </c>
      <c r="K40" s="109">
        <f t="shared" si="19"/>
        <v>0</v>
      </c>
      <c r="L40" s="110">
        <f t="shared" si="19"/>
        <v>-2499.2570997914668</v>
      </c>
      <c r="M40" s="108">
        <f t="shared" si="19"/>
        <v>-1188.0481289819309</v>
      </c>
      <c r="N40" s="109">
        <f t="shared" si="19"/>
        <v>-133318.84337689562</v>
      </c>
      <c r="O40" s="110">
        <f t="shared" si="19"/>
        <v>-253582.61647936964</v>
      </c>
      <c r="P40" s="237"/>
      <c r="Q40" s="237"/>
      <c r="R40" s="237"/>
      <c r="S40" s="237"/>
      <c r="T40" s="237"/>
      <c r="U40" s="237"/>
    </row>
    <row r="41" spans="1:21" ht="13.5" thickTop="1">
      <c r="A41" s="13"/>
      <c r="B41" s="24"/>
      <c r="C41" s="24"/>
      <c r="D41" s="11"/>
      <c r="E41" s="11"/>
      <c r="F41" s="50"/>
      <c r="G41" s="24"/>
      <c r="H41" s="11"/>
      <c r="I41" s="11"/>
      <c r="J41" s="11"/>
      <c r="K41" s="11"/>
      <c r="L41" s="50"/>
      <c r="M41" s="24"/>
      <c r="N41" s="11"/>
      <c r="O41" s="50"/>
      <c r="P41" s="11"/>
      <c r="Q41" s="11"/>
      <c r="R41" s="11"/>
      <c r="S41" s="11"/>
      <c r="T41" s="11"/>
      <c r="U41" s="11"/>
    </row>
    <row r="42" spans="1:21">
      <c r="A42" s="13" t="s">
        <v>37</v>
      </c>
      <c r="B42" s="24"/>
      <c r="C42" s="24"/>
      <c r="D42" s="11"/>
      <c r="E42" s="11"/>
      <c r="F42" s="50"/>
      <c r="G42" s="24"/>
      <c r="H42" s="11"/>
      <c r="I42" s="11"/>
      <c r="J42" s="11"/>
      <c r="K42" s="11"/>
      <c r="L42" s="50"/>
      <c r="M42" s="24"/>
      <c r="N42" s="11"/>
      <c r="O42" s="50"/>
      <c r="P42" s="11"/>
      <c r="Q42" s="11"/>
      <c r="R42" s="11"/>
      <c r="S42" s="11"/>
      <c r="T42" s="11"/>
      <c r="U42" s="11"/>
    </row>
    <row r="43" spans="1:21">
      <c r="A43" s="13" t="s">
        <v>38</v>
      </c>
      <c r="B43" s="25">
        <f t="shared" ref="B43:B54" si="21">SUM(C43:O43)</f>
        <v>188988024.43954331</v>
      </c>
      <c r="C43" s="26"/>
      <c r="D43" s="53">
        <v>40072259.394654654</v>
      </c>
      <c r="E43" s="53">
        <v>144746212.19226265</v>
      </c>
      <c r="F43" s="54">
        <v>2818840.4452612875</v>
      </c>
      <c r="G43" s="26"/>
      <c r="H43" s="53"/>
      <c r="I43" s="53"/>
      <c r="J43" s="53"/>
      <c r="K43" s="53">
        <v>1155586.2634248782</v>
      </c>
      <c r="L43" s="54"/>
      <c r="M43" s="26">
        <v>195126.14393982818</v>
      </c>
      <c r="N43" s="53"/>
      <c r="O43" s="54"/>
      <c r="P43" s="53"/>
      <c r="Q43" s="53"/>
      <c r="R43" s="53"/>
      <c r="S43" s="53"/>
      <c r="T43" s="53"/>
      <c r="U43" s="53"/>
    </row>
    <row r="44" spans="1:21">
      <c r="A44" s="13" t="s">
        <v>39</v>
      </c>
      <c r="B44" s="25">
        <f t="shared" si="21"/>
        <v>0</v>
      </c>
      <c r="C44" s="26"/>
      <c r="D44" s="53"/>
      <c r="E44" s="53"/>
      <c r="F44" s="54"/>
      <c r="G44" s="26"/>
      <c r="H44" s="53"/>
      <c r="I44" s="53"/>
      <c r="J44" s="53"/>
      <c r="K44" s="53"/>
      <c r="L44" s="54"/>
      <c r="M44" s="26"/>
      <c r="N44" s="53"/>
      <c r="O44" s="54"/>
      <c r="P44" s="53"/>
      <c r="Q44" s="53"/>
      <c r="R44" s="53"/>
      <c r="S44" s="53"/>
      <c r="T44" s="53"/>
      <c r="U44" s="53"/>
    </row>
    <row r="45" spans="1:21">
      <c r="A45" s="13" t="s">
        <v>40</v>
      </c>
      <c r="B45" s="25">
        <f t="shared" si="21"/>
        <v>0</v>
      </c>
      <c r="C45" s="26"/>
      <c r="D45" s="53">
        <v>0</v>
      </c>
      <c r="E45" s="53"/>
      <c r="F45" s="54"/>
      <c r="G45" s="26"/>
      <c r="H45" s="53"/>
      <c r="I45" s="53"/>
      <c r="J45" s="53"/>
      <c r="K45" s="53">
        <v>0</v>
      </c>
      <c r="L45" s="54"/>
      <c r="M45" s="26"/>
      <c r="N45" s="53"/>
      <c r="O45" s="54"/>
      <c r="P45" s="53"/>
      <c r="Q45" s="53"/>
      <c r="R45" s="53"/>
      <c r="S45" s="53"/>
      <c r="T45" s="53"/>
      <c r="U45" s="53"/>
    </row>
    <row r="46" spans="1:21">
      <c r="A46" s="13" t="s">
        <v>41</v>
      </c>
      <c r="B46" s="25">
        <f t="shared" si="21"/>
        <v>0</v>
      </c>
      <c r="C46" s="26"/>
      <c r="D46" s="53"/>
      <c r="E46" s="53"/>
      <c r="F46" s="54"/>
      <c r="G46" s="26"/>
      <c r="H46" s="53"/>
      <c r="I46" s="53"/>
      <c r="J46" s="53"/>
      <c r="K46" s="53"/>
      <c r="L46" s="54"/>
      <c r="M46" s="26"/>
      <c r="N46" s="53"/>
      <c r="O46" s="54"/>
      <c r="P46" s="53"/>
      <c r="Q46" s="53"/>
      <c r="R46" s="53"/>
      <c r="S46" s="53"/>
      <c r="T46" s="53"/>
      <c r="U46" s="53"/>
    </row>
    <row r="47" spans="1:21">
      <c r="A47" s="13" t="s">
        <v>42</v>
      </c>
      <c r="B47" s="25">
        <f t="shared" si="21"/>
        <v>0</v>
      </c>
      <c r="C47" s="26"/>
      <c r="D47" s="53"/>
      <c r="E47" s="53"/>
      <c r="F47" s="54"/>
      <c r="G47" s="26"/>
      <c r="H47" s="53"/>
      <c r="I47" s="53"/>
      <c r="J47" s="53"/>
      <c r="K47" s="53"/>
      <c r="L47" s="54"/>
      <c r="M47" s="26"/>
      <c r="N47" s="53"/>
      <c r="O47" s="54"/>
      <c r="P47" s="53"/>
      <c r="Q47" s="53"/>
      <c r="R47" s="53"/>
      <c r="S47" s="53"/>
      <c r="T47" s="53"/>
      <c r="U47" s="53"/>
    </row>
    <row r="48" spans="1:21">
      <c r="A48" s="13" t="s">
        <v>43</v>
      </c>
      <c r="B48" s="25">
        <f t="shared" si="21"/>
        <v>0</v>
      </c>
      <c r="C48" s="26"/>
      <c r="D48" s="53"/>
      <c r="E48" s="53"/>
      <c r="F48" s="54"/>
      <c r="G48" s="26"/>
      <c r="H48" s="53"/>
      <c r="I48" s="53"/>
      <c r="J48" s="53"/>
      <c r="K48" s="53"/>
      <c r="L48" s="54"/>
      <c r="M48" s="26"/>
      <c r="N48" s="53"/>
      <c r="O48" s="54"/>
      <c r="P48" s="53"/>
      <c r="Q48" s="53"/>
      <c r="R48" s="53"/>
      <c r="S48" s="53"/>
      <c r="T48" s="53"/>
      <c r="U48" s="53"/>
    </row>
    <row r="49" spans="1:21">
      <c r="A49" s="13" t="s">
        <v>44</v>
      </c>
      <c r="B49" s="25">
        <f t="shared" si="21"/>
        <v>0</v>
      </c>
      <c r="C49" s="26"/>
      <c r="D49" s="53"/>
      <c r="E49" s="53"/>
      <c r="F49" s="54"/>
      <c r="G49" s="26"/>
      <c r="H49" s="53"/>
      <c r="I49" s="53"/>
      <c r="J49" s="53"/>
      <c r="K49" s="53"/>
      <c r="L49" s="54"/>
      <c r="M49" s="26"/>
      <c r="N49" s="53"/>
      <c r="O49" s="54"/>
      <c r="P49" s="53"/>
      <c r="Q49" s="53"/>
      <c r="R49" s="53"/>
      <c r="S49" s="53"/>
      <c r="T49" s="53"/>
      <c r="U49" s="53"/>
    </row>
    <row r="50" spans="1:21">
      <c r="A50" s="13" t="s">
        <v>45</v>
      </c>
      <c r="B50" s="25">
        <f t="shared" si="21"/>
        <v>0</v>
      </c>
      <c r="C50" s="26"/>
      <c r="D50" s="53"/>
      <c r="E50" s="53"/>
      <c r="F50" s="54"/>
      <c r="G50" s="26"/>
      <c r="H50" s="53"/>
      <c r="I50" s="53"/>
      <c r="J50" s="53"/>
      <c r="K50" s="53"/>
      <c r="L50" s="54"/>
      <c r="M50" s="26"/>
      <c r="N50" s="53"/>
      <c r="O50" s="54"/>
      <c r="P50" s="53"/>
      <c r="Q50" s="53"/>
      <c r="R50" s="53"/>
      <c r="S50" s="53"/>
      <c r="T50" s="53"/>
      <c r="U50" s="53"/>
    </row>
    <row r="51" spans="1:21">
      <c r="A51" s="13" t="s">
        <v>46</v>
      </c>
      <c r="B51" s="25">
        <f t="shared" si="21"/>
        <v>0</v>
      </c>
      <c r="C51" s="26"/>
      <c r="D51" s="53"/>
      <c r="E51" s="53"/>
      <c r="F51" s="54"/>
      <c r="G51" s="26"/>
      <c r="H51" s="53"/>
      <c r="I51" s="53"/>
      <c r="J51" s="53"/>
      <c r="K51" s="53"/>
      <c r="L51" s="54"/>
      <c r="M51" s="26"/>
      <c r="N51" s="53"/>
      <c r="O51" s="54"/>
      <c r="P51" s="53"/>
      <c r="Q51" s="53"/>
      <c r="R51" s="53"/>
      <c r="S51" s="53"/>
      <c r="T51" s="53"/>
      <c r="U51" s="53"/>
    </row>
    <row r="52" spans="1:21">
      <c r="A52" s="13" t="s">
        <v>47</v>
      </c>
      <c r="B52" s="25">
        <f t="shared" si="21"/>
        <v>0</v>
      </c>
      <c r="C52" s="26"/>
      <c r="D52" s="53"/>
      <c r="E52" s="53"/>
      <c r="F52" s="54"/>
      <c r="G52" s="26"/>
      <c r="H52" s="53"/>
      <c r="I52" s="53"/>
      <c r="J52" s="53"/>
      <c r="K52" s="53"/>
      <c r="L52" s="54"/>
      <c r="M52" s="26"/>
      <c r="N52" s="53"/>
      <c r="O52" s="54"/>
      <c r="P52" s="53"/>
      <c r="Q52" s="53"/>
      <c r="R52" s="53"/>
      <c r="S52" s="53"/>
      <c r="T52" s="53"/>
      <c r="U52" s="53"/>
    </row>
    <row r="53" spans="1:21">
      <c r="A53" s="13" t="s">
        <v>48</v>
      </c>
      <c r="B53" s="25">
        <f t="shared" si="21"/>
        <v>0</v>
      </c>
      <c r="C53" s="26"/>
      <c r="D53" s="53"/>
      <c r="E53" s="53"/>
      <c r="F53" s="54"/>
      <c r="G53" s="26"/>
      <c r="H53" s="53"/>
      <c r="I53" s="53"/>
      <c r="J53" s="53"/>
      <c r="K53" s="53"/>
      <c r="L53" s="54"/>
      <c r="M53" s="26"/>
      <c r="N53" s="53"/>
      <c r="O53" s="54"/>
      <c r="P53" s="53"/>
      <c r="Q53" s="53"/>
      <c r="R53" s="53"/>
      <c r="S53" s="53"/>
      <c r="T53" s="53"/>
      <c r="U53" s="53"/>
    </row>
    <row r="54" spans="1:21">
      <c r="A54" s="96" t="s">
        <v>49</v>
      </c>
      <c r="B54" s="111">
        <f t="shared" si="21"/>
        <v>188988024.43954331</v>
      </c>
      <c r="C54" s="111">
        <f>SUM(C43:C53)</f>
        <v>0</v>
      </c>
      <c r="D54" s="112">
        <f t="shared" ref="D54:O54" si="22">SUM(D43:D53)</f>
        <v>40072259.394654654</v>
      </c>
      <c r="E54" s="112">
        <f t="shared" si="22"/>
        <v>144746212.19226265</v>
      </c>
      <c r="F54" s="113">
        <f t="shared" si="22"/>
        <v>2818840.4452612875</v>
      </c>
      <c r="G54" s="111">
        <f t="shared" si="22"/>
        <v>0</v>
      </c>
      <c r="H54" s="112">
        <f t="shared" si="22"/>
        <v>0</v>
      </c>
      <c r="I54" s="112">
        <f t="shared" si="22"/>
        <v>0</v>
      </c>
      <c r="J54" s="112">
        <f>SUM(J43:J53)</f>
        <v>0</v>
      </c>
      <c r="K54" s="112">
        <f t="shared" ref="K54:M54" si="23">SUM(K43:K53)</f>
        <v>1155586.2634248782</v>
      </c>
      <c r="L54" s="113">
        <f t="shared" si="23"/>
        <v>0</v>
      </c>
      <c r="M54" s="111">
        <f t="shared" si="23"/>
        <v>195126.14393982818</v>
      </c>
      <c r="N54" s="112">
        <f t="shared" si="22"/>
        <v>0</v>
      </c>
      <c r="O54" s="113">
        <f t="shared" si="22"/>
        <v>0</v>
      </c>
      <c r="P54" s="51"/>
      <c r="Q54" s="51"/>
      <c r="R54" s="51"/>
      <c r="S54" s="51"/>
      <c r="T54" s="51"/>
      <c r="U54" s="51"/>
    </row>
    <row r="55" spans="1:21">
      <c r="A55" s="13"/>
      <c r="B55" s="24"/>
      <c r="C55" s="24"/>
      <c r="D55" s="11"/>
      <c r="E55" s="11"/>
      <c r="F55" s="50"/>
      <c r="G55" s="24"/>
      <c r="H55" s="11"/>
      <c r="I55" s="11"/>
      <c r="J55" s="11"/>
      <c r="K55" s="11"/>
      <c r="L55" s="50"/>
      <c r="M55" s="24"/>
      <c r="N55" s="11"/>
      <c r="O55" s="50"/>
      <c r="P55" s="11"/>
      <c r="Q55" s="11"/>
      <c r="R55" s="11"/>
      <c r="S55" s="11"/>
      <c r="T55" s="11"/>
      <c r="U55" s="11"/>
    </row>
    <row r="56" spans="1:21">
      <c r="A56" s="13" t="s">
        <v>50</v>
      </c>
      <c r="B56" s="24"/>
      <c r="C56" s="24"/>
      <c r="D56" s="11"/>
      <c r="E56" s="11"/>
      <c r="F56" s="50"/>
      <c r="G56" s="24"/>
      <c r="H56" s="11"/>
      <c r="I56" s="11"/>
      <c r="J56" s="11"/>
      <c r="K56" s="11"/>
      <c r="L56" s="50"/>
      <c r="M56" s="24"/>
      <c r="N56" s="11"/>
      <c r="O56" s="50"/>
      <c r="P56" s="11"/>
      <c r="Q56" s="11"/>
      <c r="R56" s="11"/>
      <c r="S56" s="11"/>
      <c r="T56" s="11"/>
      <c r="U56" s="11"/>
    </row>
    <row r="57" spans="1:21">
      <c r="A57" s="13" t="s">
        <v>51</v>
      </c>
      <c r="B57" s="25">
        <f t="shared" ref="B57:B65" si="24">SUM(C57:O57)</f>
        <v>-184328449.8581796</v>
      </c>
      <c r="C57" s="26"/>
      <c r="D57" s="53">
        <v>-34739396.253725342</v>
      </c>
      <c r="E57" s="53">
        <v>-145939584.60045871</v>
      </c>
      <c r="F57" s="54">
        <v>-22531.760830106788</v>
      </c>
      <c r="G57" s="26"/>
      <c r="H57" s="53"/>
      <c r="I57" s="53"/>
      <c r="J57" s="53"/>
      <c r="K57" s="53">
        <v>-2039193.9216359917</v>
      </c>
      <c r="L57" s="54">
        <v>-1563207.2771989743</v>
      </c>
      <c r="M57" s="26">
        <v>-24536.044330474469</v>
      </c>
      <c r="N57" s="53"/>
      <c r="O57" s="54"/>
      <c r="P57" s="53"/>
      <c r="Q57" s="53"/>
      <c r="R57" s="53"/>
      <c r="S57" s="53"/>
      <c r="T57" s="53"/>
      <c r="U57" s="53"/>
    </row>
    <row r="58" spans="1:21">
      <c r="A58" s="13" t="s">
        <v>52</v>
      </c>
      <c r="B58" s="25">
        <f t="shared" si="24"/>
        <v>0</v>
      </c>
      <c r="C58" s="26"/>
      <c r="D58" s="53"/>
      <c r="E58" s="53"/>
      <c r="F58" s="54"/>
      <c r="G58" s="26"/>
      <c r="H58" s="53"/>
      <c r="I58" s="53"/>
      <c r="J58" s="53"/>
      <c r="K58" s="53"/>
      <c r="L58" s="54"/>
      <c r="M58" s="26"/>
      <c r="N58" s="53"/>
      <c r="O58" s="54"/>
      <c r="P58" s="53"/>
      <c r="Q58" s="53"/>
      <c r="R58" s="53"/>
      <c r="S58" s="53"/>
      <c r="T58" s="53"/>
      <c r="U58" s="53"/>
    </row>
    <row r="59" spans="1:21">
      <c r="A59" s="13" t="s">
        <v>53</v>
      </c>
      <c r="B59" s="25">
        <f t="shared" si="24"/>
        <v>-2341695.5755120357</v>
      </c>
      <c r="C59" s="26"/>
      <c r="D59" s="53">
        <v>5859.4193875578885</v>
      </c>
      <c r="E59" s="53">
        <v>-9437559.870494768</v>
      </c>
      <c r="F59" s="54">
        <v>-15981.948612028087</v>
      </c>
      <c r="G59" s="26"/>
      <c r="H59" s="53">
        <v>5309049.4542611726</v>
      </c>
      <c r="I59" s="53"/>
      <c r="J59" s="53">
        <v>1398141.6119470925</v>
      </c>
      <c r="K59" s="53"/>
      <c r="L59" s="54">
        <v>69596.261205994757</v>
      </c>
      <c r="M59" s="26">
        <v>-70739.808877801232</v>
      </c>
      <c r="N59" s="53"/>
      <c r="O59" s="54">
        <f>-SUM(C59:N59)*Variables!$F$41</f>
        <v>399939.30567074427</v>
      </c>
      <c r="P59" s="53"/>
      <c r="Q59" s="53"/>
      <c r="R59" s="53"/>
      <c r="S59" s="53"/>
      <c r="T59" s="53"/>
      <c r="U59" s="53"/>
    </row>
    <row r="60" spans="1:21">
      <c r="A60" s="13" t="s">
        <v>54</v>
      </c>
      <c r="B60" s="25">
        <f t="shared" si="24"/>
        <v>0</v>
      </c>
      <c r="C60" s="26"/>
      <c r="D60" s="53"/>
      <c r="E60" s="53"/>
      <c r="F60" s="54"/>
      <c r="G60" s="26"/>
      <c r="H60" s="53"/>
      <c r="I60" s="53"/>
      <c r="J60" s="53"/>
      <c r="K60" s="53"/>
      <c r="L60" s="54"/>
      <c r="M60" s="26"/>
      <c r="N60" s="53"/>
      <c r="O60" s="54"/>
      <c r="P60" s="53"/>
      <c r="Q60" s="53"/>
      <c r="R60" s="53"/>
      <c r="S60" s="53"/>
      <c r="T60" s="53"/>
      <c r="U60" s="53"/>
    </row>
    <row r="61" spans="1:21">
      <c r="A61" s="13" t="s">
        <v>55</v>
      </c>
      <c r="B61" s="25">
        <f t="shared" si="24"/>
        <v>0</v>
      </c>
      <c r="C61" s="26"/>
      <c r="D61" s="53"/>
      <c r="E61" s="53"/>
      <c r="F61" s="54"/>
      <c r="G61" s="26"/>
      <c r="H61" s="53"/>
      <c r="I61" s="53"/>
      <c r="J61" s="53"/>
      <c r="K61" s="53"/>
      <c r="L61" s="54"/>
      <c r="M61" s="26"/>
      <c r="N61" s="53"/>
      <c r="O61" s="54"/>
      <c r="P61" s="53"/>
      <c r="Q61" s="53"/>
      <c r="R61" s="53"/>
      <c r="S61" s="53"/>
      <c r="T61" s="53"/>
      <c r="U61" s="53"/>
    </row>
    <row r="62" spans="1:21">
      <c r="A62" s="13" t="s">
        <v>56</v>
      </c>
      <c r="B62" s="25">
        <f t="shared" si="24"/>
        <v>0</v>
      </c>
      <c r="C62" s="26"/>
      <c r="D62" s="53"/>
      <c r="E62" s="53"/>
      <c r="F62" s="54"/>
      <c r="G62" s="26"/>
      <c r="H62" s="53"/>
      <c r="I62" s="53"/>
      <c r="J62" s="53"/>
      <c r="K62" s="53"/>
      <c r="L62" s="54"/>
      <c r="M62" s="26"/>
      <c r="N62" s="53"/>
      <c r="O62" s="54"/>
      <c r="P62" s="53"/>
      <c r="Q62" s="53"/>
      <c r="R62" s="53"/>
      <c r="S62" s="53"/>
      <c r="T62" s="53"/>
      <c r="U62" s="53"/>
    </row>
    <row r="63" spans="1:21">
      <c r="A63" s="13" t="s">
        <v>57</v>
      </c>
      <c r="B63" s="25">
        <f t="shared" si="24"/>
        <v>-27279871.740809049</v>
      </c>
      <c r="C63" s="26"/>
      <c r="D63" s="53"/>
      <c r="E63" s="53"/>
      <c r="F63" s="54"/>
      <c r="G63" s="26"/>
      <c r="H63" s="53">
        <v>-21593271.674321234</v>
      </c>
      <c r="I63" s="53"/>
      <c r="J63" s="53">
        <v>-5686600.0664878162</v>
      </c>
      <c r="K63" s="53"/>
      <c r="L63" s="54"/>
      <c r="M63" s="26"/>
      <c r="N63" s="53"/>
      <c r="O63" s="54"/>
      <c r="P63" s="53"/>
      <c r="Q63" s="53"/>
      <c r="R63" s="53"/>
      <c r="S63" s="53"/>
      <c r="T63" s="53"/>
      <c r="U63" s="53"/>
    </row>
    <row r="64" spans="1:21">
      <c r="A64" s="13"/>
      <c r="B64" s="24">
        <f t="shared" si="24"/>
        <v>0</v>
      </c>
      <c r="C64" s="24"/>
      <c r="D64" s="11"/>
      <c r="E64" s="11"/>
      <c r="F64" s="50"/>
      <c r="G64" s="24"/>
      <c r="H64" s="11"/>
      <c r="I64" s="11"/>
      <c r="J64" s="11"/>
      <c r="K64" s="11"/>
      <c r="L64" s="50"/>
      <c r="M64" s="24"/>
      <c r="N64" s="11"/>
      <c r="O64" s="50"/>
      <c r="P64" s="11"/>
      <c r="Q64" s="11"/>
      <c r="R64" s="11"/>
      <c r="S64" s="11"/>
      <c r="T64" s="11"/>
      <c r="U64" s="11"/>
    </row>
    <row r="65" spans="1:22">
      <c r="A65" s="96" t="s">
        <v>58</v>
      </c>
      <c r="B65" s="97">
        <f t="shared" si="24"/>
        <v>-213950017.17450064</v>
      </c>
      <c r="C65" s="97">
        <f t="shared" ref="C65" si="25">SUM(C57:C64)</f>
        <v>0</v>
      </c>
      <c r="D65" s="98">
        <f t="shared" ref="D65:O65" si="26">SUM(D57:D64)</f>
        <v>-34733536.834337786</v>
      </c>
      <c r="E65" s="98">
        <f t="shared" si="26"/>
        <v>-155377144.47095346</v>
      </c>
      <c r="F65" s="99">
        <f t="shared" si="26"/>
        <v>-38513.709442134874</v>
      </c>
      <c r="G65" s="97">
        <f t="shared" si="26"/>
        <v>0</v>
      </c>
      <c r="H65" s="98">
        <f t="shared" si="26"/>
        <v>-16284222.220060062</v>
      </c>
      <c r="I65" s="98">
        <f t="shared" ref="I65" si="27">SUM(I57:I64)</f>
        <v>0</v>
      </c>
      <c r="J65" s="98">
        <f>SUM(J57:J64)</f>
        <v>-4288458.4545407239</v>
      </c>
      <c r="K65" s="98">
        <f t="shared" ref="K65:M65" si="28">SUM(K57:K64)</f>
        <v>-2039193.9216359917</v>
      </c>
      <c r="L65" s="99">
        <f t="shared" si="28"/>
        <v>-1493611.0159929795</v>
      </c>
      <c r="M65" s="97">
        <f t="shared" si="28"/>
        <v>-95275.853208275701</v>
      </c>
      <c r="N65" s="98">
        <f t="shared" si="26"/>
        <v>0</v>
      </c>
      <c r="O65" s="99">
        <f t="shared" si="26"/>
        <v>399939.30567074427</v>
      </c>
      <c r="P65" s="11"/>
      <c r="Q65" s="11"/>
      <c r="R65" s="11"/>
      <c r="S65" s="11"/>
      <c r="T65" s="11"/>
      <c r="U65" s="11"/>
    </row>
    <row r="66" spans="1:22">
      <c r="A66" s="13"/>
      <c r="B66" s="24"/>
      <c r="C66" s="24"/>
      <c r="D66" s="11"/>
      <c r="E66" s="11"/>
      <c r="F66" s="50"/>
      <c r="G66" s="24"/>
      <c r="H66" s="11"/>
      <c r="I66" s="11"/>
      <c r="J66" s="11"/>
      <c r="K66" s="11"/>
      <c r="L66" s="50"/>
      <c r="M66" s="24"/>
      <c r="N66" s="11"/>
      <c r="O66" s="50"/>
      <c r="P66" s="11"/>
      <c r="Q66" s="11"/>
      <c r="R66" s="11"/>
      <c r="S66" s="11"/>
      <c r="T66" s="11"/>
      <c r="U66" s="11"/>
    </row>
    <row r="67" spans="1:22" ht="13.5" thickBot="1">
      <c r="A67" s="96" t="s">
        <v>59</v>
      </c>
      <c r="B67" s="114">
        <f>SUM(C67:O67)</f>
        <v>-24961992.734957375</v>
      </c>
      <c r="C67" s="114">
        <f t="shared" ref="C67" si="29">C54+C65</f>
        <v>0</v>
      </c>
      <c r="D67" s="115">
        <f t="shared" ref="D67:E67" si="30">D54+D65</f>
        <v>5338722.5603168681</v>
      </c>
      <c r="E67" s="115">
        <f t="shared" si="30"/>
        <v>-10630932.278690815</v>
      </c>
      <c r="F67" s="116">
        <f t="shared" ref="F67:O67" si="31">F54+F65</f>
        <v>2780326.7358191526</v>
      </c>
      <c r="G67" s="114">
        <f t="shared" si="31"/>
        <v>0</v>
      </c>
      <c r="H67" s="115">
        <f t="shared" si="31"/>
        <v>-16284222.220060062</v>
      </c>
      <c r="I67" s="115">
        <f t="shared" ref="I67" si="32">I54+I65</f>
        <v>0</v>
      </c>
      <c r="J67" s="115">
        <f>J54+J65</f>
        <v>-4288458.4545407239</v>
      </c>
      <c r="K67" s="115">
        <f t="shared" si="31"/>
        <v>-883607.65821111342</v>
      </c>
      <c r="L67" s="116">
        <f t="shared" si="31"/>
        <v>-1493611.0159929795</v>
      </c>
      <c r="M67" s="114">
        <f t="shared" si="31"/>
        <v>99850.290731552479</v>
      </c>
      <c r="N67" s="115">
        <f t="shared" si="31"/>
        <v>0</v>
      </c>
      <c r="O67" s="116">
        <f t="shared" si="31"/>
        <v>399939.30567074427</v>
      </c>
      <c r="P67" s="12"/>
      <c r="Q67" s="12"/>
      <c r="R67" s="12"/>
      <c r="S67" s="12"/>
      <c r="T67" s="12"/>
      <c r="U67" s="12"/>
    </row>
    <row r="68" spans="1:22" ht="13.5" thickTop="1">
      <c r="A68" s="13"/>
      <c r="B68" s="24"/>
      <c r="C68" s="24"/>
      <c r="D68" s="11"/>
      <c r="E68" s="11"/>
      <c r="F68" s="50"/>
      <c r="G68" s="24"/>
      <c r="H68" s="11"/>
      <c r="I68" s="11"/>
      <c r="J68" s="11"/>
      <c r="K68" s="11"/>
      <c r="L68" s="50"/>
      <c r="M68" s="24"/>
      <c r="N68" s="11"/>
      <c r="O68" s="50"/>
      <c r="P68" s="11"/>
      <c r="Q68" s="11"/>
      <c r="R68" s="11"/>
      <c r="S68" s="11"/>
      <c r="T68" s="11"/>
      <c r="U68" s="11"/>
    </row>
    <row r="69" spans="1:22">
      <c r="A69" s="13"/>
      <c r="B69" s="24"/>
      <c r="C69" s="24"/>
      <c r="D69" s="11"/>
      <c r="E69" s="11"/>
      <c r="F69" s="50"/>
      <c r="G69" s="24"/>
      <c r="H69" s="11"/>
      <c r="I69" s="11"/>
      <c r="J69" s="11"/>
      <c r="K69" s="11"/>
      <c r="L69" s="50"/>
      <c r="M69" s="24"/>
      <c r="N69" s="11"/>
      <c r="O69" s="50"/>
      <c r="P69" s="11"/>
      <c r="Q69" s="11"/>
      <c r="R69" s="11"/>
      <c r="S69" s="11"/>
      <c r="T69" s="11"/>
      <c r="U69" s="11"/>
    </row>
    <row r="70" spans="1:22" s="83" customFormat="1">
      <c r="A70" s="118" t="s">
        <v>88</v>
      </c>
      <c r="B70" s="119">
        <f t="shared" ref="B70:C70" si="33">(((B40+Unadj_Op_revenue)/(B67+Unadj_rate_base))-Weighted_cost_debt-Weighted_cost_pref)/Percent_common-Unadj_ROE</f>
        <v>-7.982270749549325E-3</v>
      </c>
      <c r="C70" s="119">
        <f t="shared" si="33"/>
        <v>-2.4696598352478283E-3</v>
      </c>
      <c r="D70" s="120">
        <f t="shared" ref="D70:E70" si="34">(((D40+Unadj_Op_revenue)/(D67+Unadj_rate_base))-Weighted_cost_debt-Weighted_cost_pref)/Percent_common-Unadj_ROE</f>
        <v>-6.9215248776655081E-4</v>
      </c>
      <c r="E70" s="120">
        <f t="shared" si="34"/>
        <v>-6.71087694297412E-4</v>
      </c>
      <c r="F70" s="121">
        <f t="shared" ref="F70:O70" si="35">(((F40+Unadj_Op_revenue)/(F67+Unadj_rate_base))-Weighted_cost_debt-Weighted_cost_pref)/Percent_common-Unadj_ROE</f>
        <v>-4.0634051503185553E-4</v>
      </c>
      <c r="G70" s="119">
        <f t="shared" si="35"/>
        <v>3.1776269654427425E-3</v>
      </c>
      <c r="H70" s="120">
        <f t="shared" si="35"/>
        <v>-5.6236448665694938E-3</v>
      </c>
      <c r="I70" s="120">
        <f t="shared" ref="I70" si="36">(((I40+Unadj_Op_revenue)/(I67+Unadj_rate_base))-Weighted_cost_debt-Weighted_cost_pref)/Percent_common-Unadj_ROE</f>
        <v>-1.3081282098970914E-3</v>
      </c>
      <c r="J70" s="120">
        <f>(((J40+Unadj_Op_revenue)/(J67+Unadj_rate_base))-Weighted_cost_debt-Weighted_cost_pref)/Percent_common-Unadj_ROE</f>
        <v>5.6078899351333367E-4</v>
      </c>
      <c r="K70" s="120">
        <f t="shared" ref="K70:L70" si="37">(((K40+Unadj_Op_revenue)/(K67+Unadj_rate_base))-Weighted_cost_debt-Weighted_cost_pref)/Percent_common-Unadj_ROE</f>
        <v>1.1519497188564043E-4</v>
      </c>
      <c r="L70" s="121">
        <f t="shared" si="37"/>
        <v>1.9035479052126325E-4</v>
      </c>
      <c r="M70" s="119">
        <f t="shared" ref="M70" si="38">(((M40+Unadj_Op_revenue)/(M67+Unadj_rate_base))-Weighted_cost_debt-Weighted_cost_pref)/Percent_common-Unadj_ROE</f>
        <v>-1.5128686995546925E-5</v>
      </c>
      <c r="N70" s="120">
        <f t="shared" si="35"/>
        <v>-2.3822925129873829E-4</v>
      </c>
      <c r="O70" s="121">
        <f t="shared" si="35"/>
        <v>-5.0504824314176466E-4</v>
      </c>
      <c r="P70" s="15"/>
      <c r="Q70" s="15"/>
      <c r="R70" s="15"/>
      <c r="S70" s="15"/>
      <c r="T70" s="15"/>
      <c r="U70" s="15"/>
      <c r="V70" s="80"/>
    </row>
    <row r="71" spans="1:22">
      <c r="A71" s="96" t="s">
        <v>7</v>
      </c>
      <c r="B71" s="122">
        <f>SUM(C71:O71)</f>
        <v>5809162.7528233677</v>
      </c>
      <c r="C71" s="122">
        <f t="shared" ref="C71" si="39">-(C40-(C67*Overall_ROR))/gross_up_factor</f>
        <v>1838314.0879933408</v>
      </c>
      <c r="D71" s="238">
        <f t="shared" ref="D71:E71" si="40">-(D40-(D67*Overall_ROR))/gross_up_factor</f>
        <v>517667.62609015405</v>
      </c>
      <c r="E71" s="238">
        <f t="shared" si="40"/>
        <v>494785.59021295694</v>
      </c>
      <c r="F71" s="123">
        <f t="shared" ref="F71:O71" si="41">-(F40-(F67*Overall_ROR))/gross_up_factor</f>
        <v>303214.67463599198</v>
      </c>
      <c r="G71" s="122">
        <f t="shared" si="41"/>
        <v>-2365295.9543615868</v>
      </c>
      <c r="H71" s="238">
        <f t="shared" si="41"/>
        <v>4125108.5448477888</v>
      </c>
      <c r="I71" s="238">
        <f t="shared" ref="I71" si="42">-(I40-(I67*Overall_ROR))/gross_up_factor</f>
        <v>973717.30423514836</v>
      </c>
      <c r="J71" s="238">
        <f>-(J40-(J67*Overall_ROR))/gross_up_factor</f>
        <v>-415829.08320611145</v>
      </c>
      <c r="K71" s="238">
        <f t="shared" ref="K71:L71" si="43">-(K40-(K67*Overall_ROR))/gross_up_factor</f>
        <v>-85678.750609973344</v>
      </c>
      <c r="L71" s="123">
        <f t="shared" si="43"/>
        <v>-141503.26669428416</v>
      </c>
      <c r="M71" s="122">
        <f t="shared" ref="M71" si="44">-(M40-(M67*Overall_ROR))/gross_up_factor</f>
        <v>11262.182867324766</v>
      </c>
      <c r="N71" s="238">
        <f t="shared" si="41"/>
        <v>177328.14154570989</v>
      </c>
      <c r="O71" s="123">
        <f t="shared" si="41"/>
        <v>376071.65526690811</v>
      </c>
      <c r="P71" s="137"/>
      <c r="Q71" s="137"/>
      <c r="R71" s="137"/>
      <c r="S71" s="137"/>
      <c r="T71" s="137"/>
      <c r="U71" s="137"/>
    </row>
    <row r="72" spans="1:22">
      <c r="A72" s="13"/>
      <c r="B72" s="16"/>
      <c r="C72" s="16"/>
      <c r="D72" s="15"/>
      <c r="E72" s="15"/>
      <c r="F72" s="17"/>
      <c r="G72" s="16"/>
      <c r="H72" s="15"/>
      <c r="I72" s="15"/>
      <c r="J72" s="15"/>
      <c r="K72" s="15"/>
      <c r="L72" s="17"/>
      <c r="M72" s="16"/>
      <c r="N72" s="15"/>
      <c r="O72" s="17"/>
      <c r="P72" s="15"/>
      <c r="Q72" s="15"/>
      <c r="R72" s="15"/>
      <c r="S72" s="15"/>
      <c r="T72" s="15"/>
      <c r="U72" s="15"/>
    </row>
    <row r="73" spans="1:22">
      <c r="A73" s="13" t="s">
        <v>61</v>
      </c>
      <c r="B73" s="24"/>
      <c r="C73" s="24"/>
      <c r="D73" s="11"/>
      <c r="E73" s="11"/>
      <c r="F73" s="50"/>
      <c r="G73" s="24"/>
      <c r="H73" s="11"/>
      <c r="I73" s="11"/>
      <c r="J73" s="11"/>
      <c r="K73" s="11"/>
      <c r="L73" s="50"/>
      <c r="M73" s="24"/>
      <c r="N73" s="11"/>
      <c r="O73" s="50"/>
      <c r="P73" s="11"/>
      <c r="Q73" s="11"/>
      <c r="R73" s="11"/>
      <c r="S73" s="11"/>
      <c r="T73" s="11"/>
      <c r="U73" s="11"/>
    </row>
    <row r="74" spans="1:22">
      <c r="A74" s="96" t="s">
        <v>62</v>
      </c>
      <c r="B74" s="122">
        <f t="shared" ref="B74:B80" si="45">SUM(C74:O74)</f>
        <v>-7703918.8822114058</v>
      </c>
      <c r="C74" s="122">
        <f t="shared" ref="C74" si="46">C16-C29-C30-C31-C32-C37</f>
        <v>-1749469.9970065237</v>
      </c>
      <c r="D74" s="238">
        <f t="shared" ref="D74:E74" si="47">D16-D29-D30-D31-D32-D37</f>
        <v>0</v>
      </c>
      <c r="E74" s="238">
        <f t="shared" si="47"/>
        <v>-1563207.2771988716</v>
      </c>
      <c r="F74" s="123">
        <f t="shared" ref="F74:O74" si="48">F16-F29-F30-F31-F32-F37</f>
        <v>-23871.2950445813</v>
      </c>
      <c r="G74" s="122">
        <f t="shared" si="48"/>
        <v>2250983.2967191497</v>
      </c>
      <c r="H74" s="238">
        <f t="shared" si="48"/>
        <v>-5686600.066487818</v>
      </c>
      <c r="I74" s="238">
        <f t="shared" si="48"/>
        <v>-926658.40970894846</v>
      </c>
      <c r="J74" s="238">
        <f>J16-J29-J30-J31-J32-J37</f>
        <v>0</v>
      </c>
      <c r="K74" s="238">
        <f t="shared" si="48"/>
        <v>0</v>
      </c>
      <c r="L74" s="123">
        <f t="shared" si="48"/>
        <v>-3444.1006326457582</v>
      </c>
      <c r="M74" s="122">
        <f t="shared" si="48"/>
        <v>-1651.0328511656346</v>
      </c>
      <c r="N74" s="238">
        <f t="shared" si="48"/>
        <v>0</v>
      </c>
      <c r="O74" s="123">
        <f t="shared" si="48"/>
        <v>0</v>
      </c>
      <c r="P74" s="137"/>
      <c r="Q74" s="137"/>
      <c r="R74" s="137"/>
      <c r="S74" s="137"/>
      <c r="T74" s="137"/>
      <c r="U74" s="137"/>
    </row>
    <row r="75" spans="1:22">
      <c r="A75" s="13" t="s">
        <v>63</v>
      </c>
      <c r="B75" s="28">
        <f t="shared" si="45"/>
        <v>0</v>
      </c>
      <c r="C75" s="24"/>
      <c r="D75" s="11"/>
      <c r="E75" s="11"/>
      <c r="F75" s="50"/>
      <c r="G75" s="24"/>
      <c r="H75" s="11"/>
      <c r="I75" s="11"/>
      <c r="J75" s="11"/>
      <c r="K75" s="11"/>
      <c r="L75" s="50"/>
      <c r="M75" s="24"/>
      <c r="N75" s="11"/>
      <c r="O75" s="50"/>
      <c r="P75" s="11"/>
      <c r="Q75" s="11"/>
      <c r="R75" s="11"/>
      <c r="S75" s="11"/>
      <c r="T75" s="11"/>
      <c r="U75" s="11"/>
    </row>
    <row r="76" spans="1:22">
      <c r="A76" s="13" t="s">
        <v>64</v>
      </c>
      <c r="B76" s="28">
        <f t="shared" si="45"/>
        <v>0</v>
      </c>
      <c r="C76" s="25"/>
      <c r="D76" s="51"/>
      <c r="E76" s="51"/>
      <c r="F76" s="52"/>
      <c r="G76" s="25"/>
      <c r="H76" s="51"/>
      <c r="I76" s="51"/>
      <c r="J76" s="51"/>
      <c r="K76" s="51"/>
      <c r="L76" s="52"/>
      <c r="M76" s="25"/>
      <c r="N76" s="51"/>
      <c r="O76" s="52"/>
      <c r="P76" s="51"/>
      <c r="Q76" s="51"/>
      <c r="R76" s="51"/>
      <c r="S76" s="51"/>
      <c r="T76" s="51"/>
      <c r="U76" s="51"/>
    </row>
    <row r="77" spans="1:22">
      <c r="A77" s="13" t="s">
        <v>65</v>
      </c>
      <c r="B77" s="28">
        <f t="shared" si="45"/>
        <v>-634851.63512807444</v>
      </c>
      <c r="C77" s="25"/>
      <c r="D77" s="51"/>
      <c r="E77" s="51"/>
      <c r="F77" s="52"/>
      <c r="G77" s="25"/>
      <c r="H77" s="51"/>
      <c r="I77" s="51"/>
      <c r="J77" s="51"/>
      <c r="K77" s="51"/>
      <c r="L77" s="52"/>
      <c r="M77" s="25"/>
      <c r="N77" s="51">
        <f>'Interest Calc'!C25</f>
        <v>-634851.63512807444</v>
      </c>
      <c r="O77" s="52"/>
      <c r="P77" s="51"/>
      <c r="Q77" s="51"/>
      <c r="R77" s="51"/>
      <c r="S77" s="51"/>
      <c r="T77" s="51"/>
      <c r="U77" s="51"/>
    </row>
    <row r="78" spans="1:22">
      <c r="A78" s="13" t="s">
        <v>66</v>
      </c>
      <c r="B78" s="28">
        <f t="shared" si="45"/>
        <v>7281537.957428976</v>
      </c>
      <c r="C78" s="25"/>
      <c r="D78" s="51"/>
      <c r="E78" s="51">
        <v>1569416.0292294936</v>
      </c>
      <c r="F78" s="52">
        <v>23871.073414752143</v>
      </c>
      <c r="G78" s="25"/>
      <c r="H78" s="51">
        <v>5686599.8325303458</v>
      </c>
      <c r="I78" s="51"/>
      <c r="J78" s="51"/>
      <c r="K78" s="51"/>
      <c r="L78" s="52"/>
      <c r="M78" s="25">
        <v>1651.0222543840509</v>
      </c>
      <c r="N78" s="51"/>
      <c r="O78" s="52"/>
      <c r="P78" s="51"/>
      <c r="Q78" s="51"/>
      <c r="R78" s="51"/>
      <c r="S78" s="51"/>
      <c r="T78" s="51"/>
      <c r="U78" s="51"/>
    </row>
    <row r="79" spans="1:22">
      <c r="A79" s="13" t="s">
        <v>67</v>
      </c>
      <c r="B79" s="28">
        <f t="shared" si="45"/>
        <v>201227.25199554319</v>
      </c>
      <c r="C79" s="59"/>
      <c r="D79" s="57"/>
      <c r="E79" s="57"/>
      <c r="F79" s="60">
        <v>202818.77579888768</v>
      </c>
      <c r="G79" s="59"/>
      <c r="H79" s="57"/>
      <c r="I79" s="57"/>
      <c r="J79" s="57"/>
      <c r="K79" s="57"/>
      <c r="L79" s="60"/>
      <c r="M79" s="59">
        <v>-1591.5238033444787</v>
      </c>
      <c r="N79" s="57"/>
      <c r="O79" s="60"/>
      <c r="P79" s="51"/>
      <c r="Q79" s="51"/>
      <c r="R79" s="51"/>
      <c r="S79" s="51"/>
      <c r="T79" s="51"/>
      <c r="U79" s="51"/>
    </row>
    <row r="80" spans="1:22">
      <c r="A80" s="96" t="s">
        <v>68</v>
      </c>
      <c r="B80" s="124">
        <f t="shared" si="45"/>
        <v>11243.458350101952</v>
      </c>
      <c r="C80" s="125">
        <f t="shared" ref="C80" si="49">C74-C76-C77+C78-C79</f>
        <v>-1749469.9970065237</v>
      </c>
      <c r="D80" s="117">
        <f t="shared" ref="D80" si="50">D74-D76-D77+D78-D79</f>
        <v>0</v>
      </c>
      <c r="E80" s="117">
        <f>E74-E76-E77+E78-E79</f>
        <v>6208.7520306219812</v>
      </c>
      <c r="F80" s="126">
        <f t="shared" ref="F80:O80" si="51">F74-F76-F77+F78-F79</f>
        <v>-202818.99742871683</v>
      </c>
      <c r="G80" s="125">
        <f t="shared" si="51"/>
        <v>2250983.2967191497</v>
      </c>
      <c r="H80" s="117">
        <f t="shared" si="51"/>
        <v>-0.23395747225731611</v>
      </c>
      <c r="I80" s="117">
        <f t="shared" ref="I80" si="52">I74-I76-I77+I78-I79</f>
        <v>-926658.40970894846</v>
      </c>
      <c r="J80" s="117">
        <f>J74-J76-J77+J78-J79</f>
        <v>0</v>
      </c>
      <c r="K80" s="117">
        <f t="shared" si="51"/>
        <v>0</v>
      </c>
      <c r="L80" s="126">
        <f>L74-L76-L77+L78-L79</f>
        <v>-3444.1006326457582</v>
      </c>
      <c r="M80" s="125">
        <f t="shared" ref="M80" si="53">M74-M76-M77+M78-M79</f>
        <v>1591.513206562895</v>
      </c>
      <c r="N80" s="117">
        <f t="shared" si="51"/>
        <v>634851.63512807444</v>
      </c>
      <c r="O80" s="126">
        <f t="shared" si="51"/>
        <v>0</v>
      </c>
      <c r="P80" s="12"/>
      <c r="Q80" s="12"/>
      <c r="R80" s="12"/>
      <c r="S80" s="12"/>
      <c r="T80" s="12"/>
      <c r="U80" s="12"/>
    </row>
    <row r="81" spans="1:21">
      <c r="A81" s="13"/>
      <c r="B81" s="24"/>
      <c r="C81" s="24"/>
      <c r="D81" s="11"/>
      <c r="E81" s="11"/>
      <c r="F81" s="50"/>
      <c r="G81" s="24"/>
      <c r="H81" s="11"/>
      <c r="I81" s="11"/>
      <c r="J81" s="11"/>
      <c r="K81" s="11"/>
      <c r="L81" s="50"/>
      <c r="M81" s="24"/>
      <c r="N81" s="11"/>
      <c r="O81" s="50"/>
      <c r="P81" s="11"/>
      <c r="Q81" s="11"/>
      <c r="R81" s="11"/>
      <c r="S81" s="11"/>
      <c r="T81" s="11"/>
      <c r="U81" s="11"/>
    </row>
    <row r="82" spans="1:21">
      <c r="A82" s="13" t="s">
        <v>69</v>
      </c>
      <c r="B82" s="29">
        <f>SUM(C82:O82)</f>
        <v>0</v>
      </c>
      <c r="C82" s="24">
        <v>0</v>
      </c>
      <c r="D82" s="11">
        <v>0</v>
      </c>
      <c r="E82" s="11">
        <v>0</v>
      </c>
      <c r="F82" s="50">
        <v>0</v>
      </c>
      <c r="G82" s="24">
        <v>0</v>
      </c>
      <c r="H82" s="11">
        <v>0</v>
      </c>
      <c r="I82" s="11">
        <v>0</v>
      </c>
      <c r="J82" s="11">
        <v>0</v>
      </c>
      <c r="K82" s="11">
        <v>0</v>
      </c>
      <c r="L82" s="50">
        <v>0</v>
      </c>
      <c r="M82" s="24">
        <v>0</v>
      </c>
      <c r="N82" s="11">
        <v>0</v>
      </c>
      <c r="O82" s="50">
        <v>0</v>
      </c>
      <c r="P82" s="11"/>
      <c r="Q82" s="11"/>
      <c r="R82" s="11"/>
      <c r="S82" s="11"/>
      <c r="T82" s="11"/>
      <c r="U82" s="11"/>
    </row>
    <row r="83" spans="1:21">
      <c r="A83" s="96" t="s">
        <v>70</v>
      </c>
      <c r="B83" s="127">
        <f>SUM(C83:O83)</f>
        <v>11243.458350101952</v>
      </c>
      <c r="C83" s="102">
        <f>C80-C82</f>
        <v>-1749469.9970065237</v>
      </c>
      <c r="D83" s="100">
        <f t="shared" ref="D83" si="54">D80-D82</f>
        <v>0</v>
      </c>
      <c r="E83" s="100">
        <f>E80-E82</f>
        <v>6208.7520306219812</v>
      </c>
      <c r="F83" s="103">
        <f t="shared" ref="F83:O83" si="55">F80-F82</f>
        <v>-202818.99742871683</v>
      </c>
      <c r="G83" s="102">
        <f t="shared" si="55"/>
        <v>2250983.2967191497</v>
      </c>
      <c r="H83" s="100">
        <f t="shared" si="55"/>
        <v>-0.23395747225731611</v>
      </c>
      <c r="I83" s="100">
        <f t="shared" ref="I83" si="56">I80-I82</f>
        <v>-926658.40970894846</v>
      </c>
      <c r="J83" s="100">
        <f>J80-J82</f>
        <v>0</v>
      </c>
      <c r="K83" s="100">
        <f t="shared" si="55"/>
        <v>0</v>
      </c>
      <c r="L83" s="103">
        <f>L80-L82</f>
        <v>-3444.1006326457582</v>
      </c>
      <c r="M83" s="102">
        <f t="shared" ref="M83" si="57">M80-M82</f>
        <v>1591.513206562895</v>
      </c>
      <c r="N83" s="100">
        <f t="shared" si="55"/>
        <v>634851.63512807444</v>
      </c>
      <c r="O83" s="103">
        <f t="shared" si="55"/>
        <v>0</v>
      </c>
      <c r="P83" s="11"/>
      <c r="Q83" s="11"/>
      <c r="R83" s="11"/>
      <c r="S83" s="11"/>
      <c r="T83" s="11"/>
      <c r="U83" s="11"/>
    </row>
    <row r="84" spans="1:21">
      <c r="A84" s="13"/>
      <c r="B84" s="29"/>
      <c r="C84" s="24"/>
      <c r="D84" s="11"/>
      <c r="E84" s="11"/>
      <c r="F84" s="50"/>
      <c r="G84" s="24"/>
      <c r="H84" s="11"/>
      <c r="I84" s="11"/>
      <c r="J84" s="11"/>
      <c r="K84" s="11"/>
      <c r="L84" s="50"/>
      <c r="M84" s="24"/>
      <c r="N84" s="11"/>
      <c r="O84" s="50"/>
      <c r="P84" s="11"/>
      <c r="Q84" s="11"/>
      <c r="R84" s="11"/>
      <c r="S84" s="11"/>
      <c r="T84" s="11"/>
      <c r="U84" s="11"/>
    </row>
    <row r="85" spans="1:21">
      <c r="A85" s="96" t="s">
        <v>75</v>
      </c>
      <c r="B85" s="127">
        <f>SUM(C85:O85)</f>
        <v>2361.1262535214337</v>
      </c>
      <c r="C85" s="102">
        <f>C83*0.21</f>
        <v>-367388.69937136996</v>
      </c>
      <c r="D85" s="100">
        <f t="shared" ref="D85:E85" si="58">D83*0.21</f>
        <v>0</v>
      </c>
      <c r="E85" s="100">
        <f t="shared" si="58"/>
        <v>1303.8379264306161</v>
      </c>
      <c r="F85" s="103">
        <f t="shared" ref="F85:O85" si="59">F83*0.21</f>
        <v>-42591.989460030534</v>
      </c>
      <c r="G85" s="102">
        <f t="shared" si="59"/>
        <v>472706.49231102143</v>
      </c>
      <c r="H85" s="100">
        <f t="shared" si="59"/>
        <v>-4.9131069174036382E-2</v>
      </c>
      <c r="I85" s="100">
        <f t="shared" ref="I85" si="60">I83*0.21</f>
        <v>-194598.26603887917</v>
      </c>
      <c r="J85" s="100">
        <f>J83*0.21</f>
        <v>0</v>
      </c>
      <c r="K85" s="100">
        <f t="shared" si="59"/>
        <v>0</v>
      </c>
      <c r="L85" s="103">
        <f t="shared" si="59"/>
        <v>-723.26113285560916</v>
      </c>
      <c r="M85" s="102">
        <f t="shared" si="59"/>
        <v>334.21777337820794</v>
      </c>
      <c r="N85" s="100">
        <f t="shared" si="59"/>
        <v>133318.84337689562</v>
      </c>
      <c r="O85" s="103">
        <f t="shared" si="59"/>
        <v>0</v>
      </c>
      <c r="P85" s="11"/>
      <c r="Q85" s="11"/>
      <c r="R85" s="11"/>
      <c r="S85" s="11"/>
      <c r="T85" s="11"/>
      <c r="U85" s="11"/>
    </row>
    <row r="86" spans="1:21">
      <c r="A86" s="13" t="s">
        <v>111</v>
      </c>
      <c r="B86" s="29">
        <f>SUM(C86:O86)</f>
        <v>-6196.2291705880243</v>
      </c>
      <c r="C86" s="24"/>
      <c r="D86" s="11"/>
      <c r="E86" s="11">
        <v>-6196.2291705880243</v>
      </c>
      <c r="F86" s="50"/>
      <c r="G86" s="24"/>
      <c r="H86" s="11"/>
      <c r="I86" s="11"/>
      <c r="J86" s="11"/>
      <c r="K86" s="11"/>
      <c r="L86" s="50"/>
      <c r="M86" s="24"/>
      <c r="N86" s="11"/>
      <c r="O86" s="50"/>
      <c r="P86" s="11"/>
      <c r="Q86" s="11"/>
      <c r="R86" s="11"/>
      <c r="S86" s="11"/>
      <c r="T86" s="11"/>
      <c r="U86" s="11"/>
    </row>
    <row r="87" spans="1:21" s="2" customFormat="1" ht="13.5" thickBot="1">
      <c r="A87" s="96" t="s">
        <v>76</v>
      </c>
      <c r="B87" s="128">
        <f>SUM(C87:O87)</f>
        <v>-3835.1029170665424</v>
      </c>
      <c r="C87" s="129">
        <f>C85+C86</f>
        <v>-367388.69937136996</v>
      </c>
      <c r="D87" s="130">
        <f t="shared" ref="D87:E87" si="61">D85+D86</f>
        <v>0</v>
      </c>
      <c r="E87" s="130">
        <f t="shared" si="61"/>
        <v>-4892.3912441574084</v>
      </c>
      <c r="F87" s="131">
        <f t="shared" ref="F87:O87" si="62">F85+F86</f>
        <v>-42591.989460030534</v>
      </c>
      <c r="G87" s="129">
        <f t="shared" si="62"/>
        <v>472706.49231102143</v>
      </c>
      <c r="H87" s="130">
        <f t="shared" si="62"/>
        <v>-4.9131069174036382E-2</v>
      </c>
      <c r="I87" s="130">
        <f t="shared" ref="I87" si="63">I85+I86</f>
        <v>-194598.26603887917</v>
      </c>
      <c r="J87" s="130">
        <f>J85+J86</f>
        <v>0</v>
      </c>
      <c r="K87" s="130">
        <f t="shared" si="62"/>
        <v>0</v>
      </c>
      <c r="L87" s="131">
        <f t="shared" si="62"/>
        <v>-723.26113285560916</v>
      </c>
      <c r="M87" s="129">
        <f t="shared" si="62"/>
        <v>334.21777337820794</v>
      </c>
      <c r="N87" s="130">
        <f t="shared" si="62"/>
        <v>133318.84337689562</v>
      </c>
      <c r="O87" s="131">
        <f t="shared" si="62"/>
        <v>0</v>
      </c>
      <c r="P87" s="11"/>
      <c r="Q87" s="11"/>
      <c r="R87" s="11"/>
      <c r="S87" s="11"/>
      <c r="T87" s="11"/>
      <c r="U87" s="11"/>
    </row>
    <row r="88" spans="1:21" s="2" customFormat="1">
      <c r="A88" s="1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s="2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s="2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s="2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s="2" customFormat="1">
      <c r="A92" s="18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5">
      <c r="J93" s="184"/>
      <c r="K93" s="183"/>
      <c r="L93" s="183"/>
      <c r="M93" s="183"/>
    </row>
    <row r="94" spans="1:21">
      <c r="A94" s="4" t="s">
        <v>131</v>
      </c>
      <c r="B94" s="14">
        <f>'Non-NPC Coal (RY1_Compliance)'!F19</f>
        <v>-1735595.4798920334</v>
      </c>
      <c r="K94" s="185"/>
      <c r="L94" s="185"/>
      <c r="M94" s="185"/>
    </row>
    <row r="95" spans="1:21">
      <c r="A95" s="4" t="s">
        <v>223</v>
      </c>
      <c r="B95" s="2">
        <f>B71+B94</f>
        <v>4073567.2729313346</v>
      </c>
    </row>
    <row r="96" spans="1:21" ht="15">
      <c r="B96" s="173"/>
    </row>
    <row r="97" spans="1:13">
      <c r="B97" s="2"/>
    </row>
    <row r="98" spans="1:13">
      <c r="B98" s="2"/>
    </row>
    <row r="99" spans="1:13">
      <c r="B99" s="2"/>
      <c r="J99" s="181"/>
      <c r="K99" s="181"/>
      <c r="L99" s="181"/>
      <c r="M99" s="181"/>
    </row>
    <row r="100" spans="1:13" ht="15">
      <c r="A100" s="174"/>
      <c r="B100" s="2"/>
    </row>
    <row r="101" spans="1:13">
      <c r="B101" s="2"/>
    </row>
    <row r="102" spans="1:13">
      <c r="B102" s="2"/>
    </row>
    <row r="103" spans="1:13">
      <c r="B103" s="2"/>
    </row>
    <row r="104" spans="1:13" ht="6.75" customHeight="1">
      <c r="B104" s="2"/>
    </row>
    <row r="105" spans="1:13">
      <c r="B105" s="2"/>
    </row>
    <row r="106" spans="1:13">
      <c r="B106" s="2"/>
    </row>
    <row r="107" spans="1:13">
      <c r="B107" s="2"/>
      <c r="K107" s="181"/>
    </row>
    <row r="108" spans="1:13">
      <c r="A108" s="175"/>
      <c r="B108" s="176"/>
      <c r="K108" s="181"/>
    </row>
    <row r="109" spans="1:13">
      <c r="B109" s="2"/>
      <c r="K109" s="181"/>
    </row>
    <row r="110" spans="1:13" s="2" customFormat="1">
      <c r="A110" s="169"/>
      <c r="B110" s="4"/>
      <c r="K110" s="181"/>
    </row>
    <row r="111" spans="1:13" s="2" customFormat="1">
      <c r="B111" s="134"/>
      <c r="K111" s="181"/>
    </row>
    <row r="112" spans="1:13" s="2" customFormat="1">
      <c r="A112" s="4"/>
      <c r="B112" s="143"/>
      <c r="K112" s="181"/>
    </row>
    <row r="113" spans="11:11" s="2" customFormat="1">
      <c r="K113" s="181"/>
    </row>
    <row r="114" spans="11:11" s="2" customFormat="1">
      <c r="K114" s="181"/>
    </row>
    <row r="115" spans="11:11">
      <c r="K115" s="181"/>
    </row>
    <row r="116" spans="11:11">
      <c r="K116" s="181"/>
    </row>
    <row r="117" spans="11:11">
      <c r="K117" s="181"/>
    </row>
    <row r="118" spans="11:11">
      <c r="K118" s="181"/>
    </row>
    <row r="119" spans="11:11">
      <c r="K119" s="181"/>
    </row>
    <row r="120" spans="11:11">
      <c r="K120" s="181"/>
    </row>
    <row r="121" spans="11:11">
      <c r="K121" s="181"/>
    </row>
    <row r="122" spans="11:11">
      <c r="K122" s="181"/>
    </row>
    <row r="123" spans="11:11">
      <c r="K123" s="181"/>
    </row>
    <row r="124" spans="11:11">
      <c r="K124" s="181"/>
    </row>
    <row r="125" spans="11:11">
      <c r="K125" s="181"/>
    </row>
    <row r="126" spans="11:11">
      <c r="K126" s="181"/>
    </row>
    <row r="127" spans="11:11">
      <c r="K127" s="181"/>
    </row>
    <row r="128" spans="11:11">
      <c r="K128" s="181"/>
    </row>
    <row r="129" spans="11:11">
      <c r="K129" s="181"/>
    </row>
    <row r="130" spans="11:11">
      <c r="K130" s="181"/>
    </row>
    <row r="131" spans="11:11">
      <c r="K131" s="181"/>
    </row>
    <row r="132" spans="11:11">
      <c r="K132" s="181"/>
    </row>
    <row r="133" spans="11:11">
      <c r="K133" s="181"/>
    </row>
    <row r="134" spans="11:11">
      <c r="K134" s="181"/>
    </row>
    <row r="135" spans="11:11">
      <c r="K135" s="181"/>
    </row>
    <row r="136" spans="11:11">
      <c r="K136" s="181"/>
    </row>
    <row r="137" spans="11:11">
      <c r="K137" s="181"/>
    </row>
    <row r="138" spans="11:11">
      <c r="K138" s="181"/>
    </row>
    <row r="139" spans="11:11">
      <c r="K139" s="181"/>
    </row>
    <row r="140" spans="11:11">
      <c r="K140" s="181"/>
    </row>
    <row r="141" spans="11:11">
      <c r="K141" s="181"/>
    </row>
    <row r="142" spans="11:11">
      <c r="K142" s="181"/>
    </row>
    <row r="143" spans="11:11">
      <c r="K143" s="181"/>
    </row>
    <row r="144" spans="11:11">
      <c r="K144" s="181"/>
    </row>
    <row r="145" spans="11:11">
      <c r="K145" s="181"/>
    </row>
    <row r="146" spans="11:11">
      <c r="K146" s="181"/>
    </row>
    <row r="147" spans="11:11">
      <c r="K147" s="181"/>
    </row>
    <row r="148" spans="11:11">
      <c r="K148" s="181"/>
    </row>
    <row r="149" spans="11:11">
      <c r="K149" s="181"/>
    </row>
    <row r="150" spans="11:11">
      <c r="K150" s="181"/>
    </row>
    <row r="151" spans="11:11">
      <c r="K151" s="181"/>
    </row>
    <row r="152" spans="11:11">
      <c r="K152" s="181"/>
    </row>
    <row r="153" spans="11:11">
      <c r="K153" s="181"/>
    </row>
  </sheetData>
  <phoneticPr fontId="6" type="noConversion"/>
  <pageMargins left="0.7" right="0.7" top="0.75" bottom="0.75" header="0.3" footer="0.3"/>
  <pageSetup scale="58" firstPageNumber="17" fitToWidth="0" orientation="portrait" useFirstPageNumber="1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I33"/>
  <sheetViews>
    <sheetView workbookViewId="0">
      <selection activeCell="D35" sqref="D35"/>
    </sheetView>
  </sheetViews>
  <sheetFormatPr defaultColWidth="9.140625" defaultRowHeight="12.75"/>
  <cols>
    <col min="1" max="1" width="3.140625" style="18" customWidth="1"/>
    <col min="2" max="2" width="53.85546875" style="18" customWidth="1"/>
    <col min="3" max="3" width="16.28515625" style="18" customWidth="1"/>
    <col min="4" max="4" width="28.5703125" style="18" bestFit="1" customWidth="1"/>
    <col min="5" max="5" width="14" style="18" bestFit="1" customWidth="1"/>
    <col min="6" max="7" width="9.140625" style="18"/>
    <col min="8" max="9" width="14" style="18" bestFit="1" customWidth="1"/>
    <col min="10" max="16384" width="9.140625" style="18"/>
  </cols>
  <sheetData>
    <row r="1" spans="2:9">
      <c r="B1" s="22" t="s">
        <v>6</v>
      </c>
    </row>
    <row r="2" spans="2:9">
      <c r="B2" s="22" t="s">
        <v>107</v>
      </c>
    </row>
    <row r="3" spans="2:9">
      <c r="B3" s="22" t="s">
        <v>164</v>
      </c>
    </row>
    <row r="5" spans="2:9">
      <c r="B5" s="23" t="s">
        <v>86</v>
      </c>
      <c r="D5" s="94" t="s">
        <v>91</v>
      </c>
    </row>
    <row r="6" spans="2:9">
      <c r="B6" s="18" t="s">
        <v>72</v>
      </c>
      <c r="C6" s="3">
        <v>28016279.561949566</v>
      </c>
      <c r="D6" s="86" t="s">
        <v>116</v>
      </c>
      <c r="H6" s="137"/>
    </row>
    <row r="7" spans="2:9">
      <c r="B7" s="18" t="s">
        <v>117</v>
      </c>
      <c r="C7" s="3">
        <v>1101056343.3688536</v>
      </c>
      <c r="D7" s="18" t="s">
        <v>118</v>
      </c>
    </row>
    <row r="8" spans="2:9">
      <c r="D8" s="95"/>
    </row>
    <row r="9" spans="2:9">
      <c r="B9" s="23" t="s">
        <v>208</v>
      </c>
      <c r="D9" s="95"/>
    </row>
    <row r="10" spans="2:9">
      <c r="B10" s="18" t="s">
        <v>183</v>
      </c>
      <c r="C10" s="3">
        <v>1082863966.1662388</v>
      </c>
      <c r="D10" s="86" t="s">
        <v>185</v>
      </c>
      <c r="I10" s="137"/>
    </row>
    <row r="11" spans="2:9">
      <c r="B11" s="18" t="s">
        <v>73</v>
      </c>
      <c r="C11" s="42">
        <f>Percent_debt*Cost_Debt</f>
        <v>2.5444910000000001E-2</v>
      </c>
      <c r="D11" s="18" t="s">
        <v>163</v>
      </c>
    </row>
    <row r="12" spans="2:9">
      <c r="B12" s="18" t="s">
        <v>74</v>
      </c>
      <c r="C12" s="3">
        <f>C10*C11</f>
        <v>27553376.161342993</v>
      </c>
      <c r="D12" s="86"/>
    </row>
    <row r="14" spans="2:9">
      <c r="B14" s="18" t="s">
        <v>72</v>
      </c>
      <c r="C14" s="3">
        <f>C6</f>
        <v>28016279.561949566</v>
      </c>
      <c r="D14" s="18" t="s">
        <v>90</v>
      </c>
    </row>
    <row r="15" spans="2:9">
      <c r="B15" s="18" t="s">
        <v>184</v>
      </c>
      <c r="C15" s="3">
        <f>C12-C14</f>
        <v>-462903.40060657263</v>
      </c>
    </row>
    <row r="16" spans="2:9">
      <c r="D16" s="95"/>
    </row>
    <row r="17" spans="2:9">
      <c r="B17" s="23" t="s">
        <v>209</v>
      </c>
      <c r="D17" s="95"/>
    </row>
    <row r="18" spans="2:9">
      <c r="B18" s="18" t="s">
        <v>212</v>
      </c>
      <c r="C18" s="137">
        <f>C10-C7</f>
        <v>-18192377.202614784</v>
      </c>
      <c r="D18" s="86" t="s">
        <v>214</v>
      </c>
    </row>
    <row r="19" spans="2:9">
      <c r="B19" s="18" t="s">
        <v>213</v>
      </c>
      <c r="C19" s="236">
        <f>'Rev Req - Coal Tracker RY2'!B67</f>
        <v>-24961992.734957375</v>
      </c>
      <c r="D19" s="18" t="s">
        <v>215</v>
      </c>
    </row>
    <row r="20" spans="2:9">
      <c r="B20" s="18" t="s">
        <v>188</v>
      </c>
      <c r="C20" s="3">
        <f>C19-C18</f>
        <v>-6769615.5323425904</v>
      </c>
      <c r="D20" s="86"/>
    </row>
    <row r="21" spans="2:9">
      <c r="B21" s="18" t="s">
        <v>73</v>
      </c>
      <c r="C21" s="42">
        <f>Weighted_cost_debt</f>
        <v>2.5399999999999999E-2</v>
      </c>
      <c r="D21" s="18" t="s">
        <v>163</v>
      </c>
    </row>
    <row r="22" spans="2:9">
      <c r="B22" s="18" t="s">
        <v>193</v>
      </c>
      <c r="C22" s="3">
        <f>C20*C21</f>
        <v>-171948.23452150178</v>
      </c>
    </row>
    <row r="23" spans="2:9">
      <c r="C23" s="3"/>
    </row>
    <row r="24" spans="2:9">
      <c r="B24" s="18" t="s">
        <v>72</v>
      </c>
      <c r="C24" s="3">
        <f>C14</f>
        <v>28016279.561949566</v>
      </c>
      <c r="D24" s="18" t="s">
        <v>90</v>
      </c>
    </row>
    <row r="25" spans="2:9">
      <c r="B25" s="22" t="s">
        <v>187</v>
      </c>
      <c r="C25" s="5">
        <f>C15+C22</f>
        <v>-634851.63512807444</v>
      </c>
    </row>
    <row r="27" spans="2:9">
      <c r="B27" s="190"/>
      <c r="C27" s="95"/>
      <c r="D27" s="95"/>
      <c r="E27" s="95"/>
      <c r="F27" s="95"/>
      <c r="G27" s="95"/>
      <c r="H27" s="95"/>
      <c r="I27" s="95"/>
    </row>
    <row r="28" spans="2:9">
      <c r="B28" s="95"/>
      <c r="C28" s="191"/>
      <c r="D28" s="192"/>
      <c r="E28" s="95"/>
      <c r="F28" s="95"/>
      <c r="G28" s="95"/>
      <c r="H28" s="95"/>
      <c r="I28" s="95"/>
    </row>
    <row r="29" spans="2:9">
      <c r="B29" s="95"/>
      <c r="C29" s="193"/>
      <c r="D29" s="222"/>
      <c r="E29" s="95"/>
      <c r="F29" s="95"/>
      <c r="G29" s="95"/>
      <c r="H29" s="95"/>
      <c r="I29" s="95"/>
    </row>
    <row r="30" spans="2:9">
      <c r="B30" s="194"/>
      <c r="C30" s="195"/>
      <c r="D30" s="223"/>
      <c r="E30" s="95"/>
      <c r="F30" s="95"/>
      <c r="G30" s="95"/>
      <c r="H30" s="95"/>
      <c r="I30" s="95"/>
    </row>
    <row r="31" spans="2:9">
      <c r="B31" s="95"/>
      <c r="C31" s="95"/>
      <c r="D31" s="95"/>
      <c r="E31" s="95"/>
      <c r="F31" s="95"/>
      <c r="G31" s="95"/>
      <c r="H31" s="95"/>
      <c r="I31" s="95"/>
    </row>
    <row r="32" spans="2:9">
      <c r="B32" s="194"/>
      <c r="C32" s="196"/>
      <c r="D32" s="95"/>
      <c r="E32" s="95"/>
      <c r="F32" s="95"/>
      <c r="G32" s="95"/>
      <c r="H32" s="95"/>
      <c r="I32" s="95"/>
    </row>
    <row r="33" spans="2:9">
      <c r="B33" s="95"/>
      <c r="C33" s="95"/>
      <c r="D33" s="95"/>
      <c r="E33" s="95"/>
      <c r="F33" s="95"/>
      <c r="G33" s="95"/>
      <c r="H33" s="95"/>
      <c r="I33" s="95"/>
    </row>
  </sheetData>
  <pageMargins left="0.7" right="0.7" top="0.75" bottom="0.75" header="0.3" footer="0.3"/>
  <pageSetup scale="62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41"/>
  <sheetViews>
    <sheetView workbookViewId="0">
      <selection activeCell="G25" sqref="G25"/>
    </sheetView>
  </sheetViews>
  <sheetFormatPr defaultColWidth="9.140625" defaultRowHeight="12.75"/>
  <cols>
    <col min="1" max="1" width="3.85546875" style="18" customWidth="1"/>
    <col min="2" max="4" width="15.7109375" style="18" customWidth="1"/>
    <col min="5" max="5" width="13.42578125" style="18" bestFit="1" customWidth="1"/>
    <col min="6" max="16384" width="9.140625" style="18"/>
  </cols>
  <sheetData>
    <row r="1" spans="2:5">
      <c r="B1" s="22" t="s">
        <v>6</v>
      </c>
    </row>
    <row r="2" spans="2:5">
      <c r="B2" s="22" t="s">
        <v>107</v>
      </c>
    </row>
    <row r="3" spans="2:5">
      <c r="B3" s="22" t="s">
        <v>89</v>
      </c>
    </row>
    <row r="4" spans="2:5">
      <c r="B4" s="22" t="s">
        <v>125</v>
      </c>
    </row>
    <row r="6" spans="2:5">
      <c r="B6" s="22" t="s">
        <v>87</v>
      </c>
      <c r="C6" s="39"/>
      <c r="D6" s="39"/>
      <c r="E6" s="39"/>
    </row>
    <row r="7" spans="2:5" s="38" customFormat="1">
      <c r="B7" s="34"/>
      <c r="C7" s="34" t="s">
        <v>0</v>
      </c>
      <c r="D7" s="35" t="s">
        <v>1</v>
      </c>
      <c r="E7" s="34" t="s">
        <v>2</v>
      </c>
    </row>
    <row r="8" spans="2:5">
      <c r="B8" s="36" t="s">
        <v>3</v>
      </c>
      <c r="C8" s="79">
        <v>0.49990000000000001</v>
      </c>
      <c r="D8" s="80">
        <v>5.0900000000000001E-2</v>
      </c>
      <c r="E8" s="132">
        <f>ROUND(C8*D8,4)</f>
        <v>2.5399999999999999E-2</v>
      </c>
    </row>
    <row r="9" spans="2:5">
      <c r="B9" s="36" t="s">
        <v>4</v>
      </c>
      <c r="C9" s="79">
        <v>1E-4</v>
      </c>
      <c r="D9" s="80">
        <v>6.7500000000000004E-2</v>
      </c>
      <c r="E9" s="132">
        <f t="shared" ref="E9:E10" si="0">ROUND(C9*D9,4)</f>
        <v>0</v>
      </c>
    </row>
    <row r="10" spans="2:5">
      <c r="B10" s="37" t="s">
        <v>5</v>
      </c>
      <c r="C10" s="81">
        <v>0.5</v>
      </c>
      <c r="D10" s="82">
        <v>9.5000000000000001E-2</v>
      </c>
      <c r="E10" s="132">
        <f t="shared" si="0"/>
        <v>4.7500000000000001E-2</v>
      </c>
    </row>
    <row r="11" spans="2:5">
      <c r="E11" s="133">
        <f>SUM(E8:E10)</f>
        <v>7.2899999999999993E-2</v>
      </c>
    </row>
    <row r="16" spans="2:5">
      <c r="B16" s="23" t="s">
        <v>84</v>
      </c>
      <c r="C16" s="40"/>
    </row>
    <row r="17" spans="2:6">
      <c r="B17" s="18" t="s">
        <v>62</v>
      </c>
      <c r="D17" s="30">
        <v>1</v>
      </c>
    </row>
    <row r="18" spans="2:6">
      <c r="D18" s="30"/>
    </row>
    <row r="19" spans="2:6">
      <c r="B19" s="18" t="s">
        <v>78</v>
      </c>
      <c r="D19" s="30"/>
    </row>
    <row r="20" spans="2:6">
      <c r="B20" s="18" t="s">
        <v>79</v>
      </c>
      <c r="D20" s="83">
        <v>5.5958046338404543E-3</v>
      </c>
      <c r="F20" s="45"/>
    </row>
    <row r="21" spans="2:6">
      <c r="B21" s="18" t="s">
        <v>77</v>
      </c>
      <c r="D21" s="83">
        <v>4.0000000000000001E-3</v>
      </c>
    </row>
    <row r="22" spans="2:6">
      <c r="B22" s="18" t="s">
        <v>104</v>
      </c>
      <c r="D22" s="83">
        <v>3.8733999999999998E-2</v>
      </c>
    </row>
    <row r="23" spans="2:6">
      <c r="B23" s="18" t="s">
        <v>80</v>
      </c>
      <c r="D23" s="83">
        <v>0</v>
      </c>
    </row>
    <row r="24" spans="2:6">
      <c r="B24" s="18" t="s">
        <v>81</v>
      </c>
      <c r="D24" s="82">
        <v>0</v>
      </c>
    </row>
    <row r="25" spans="2:6">
      <c r="D25" s="30"/>
    </row>
    <row r="26" spans="2:6">
      <c r="B26" s="18" t="s">
        <v>82</v>
      </c>
      <c r="D26" s="41">
        <f>D17-SUM(D19:D24)</f>
        <v>0.95167019536615949</v>
      </c>
    </row>
    <row r="27" spans="2:6">
      <c r="D27" s="30"/>
    </row>
    <row r="28" spans="2:6">
      <c r="B28" s="18" t="s">
        <v>85</v>
      </c>
      <c r="D28" s="31">
        <v>0</v>
      </c>
    </row>
    <row r="29" spans="2:6">
      <c r="D29" s="30"/>
    </row>
    <row r="30" spans="2:6">
      <c r="B30" s="18" t="s">
        <v>82</v>
      </c>
      <c r="D30" s="41">
        <f>D26-D28</f>
        <v>0.95167019536615949</v>
      </c>
    </row>
    <row r="31" spans="2:6">
      <c r="D31" s="30"/>
    </row>
    <row r="32" spans="2:6">
      <c r="B32" s="18" t="s">
        <v>106</v>
      </c>
      <c r="D32" s="31">
        <f>D30*0.21</f>
        <v>0.19985074102689349</v>
      </c>
    </row>
    <row r="33" spans="2:6">
      <c r="D33" s="42"/>
    </row>
    <row r="34" spans="2:6" ht="13.5" thickBot="1">
      <c r="B34" s="18" t="s">
        <v>83</v>
      </c>
      <c r="D34" s="43">
        <f>ROUND(D30-D32,5)</f>
        <v>0.75182000000000004</v>
      </c>
    </row>
    <row r="35" spans="2:6" ht="13.5" thickTop="1">
      <c r="D35" s="44"/>
    </row>
    <row r="37" spans="2:6">
      <c r="B37" s="18" t="s">
        <v>175</v>
      </c>
      <c r="F37" s="228">
        <v>3.5866000000000002E-2</v>
      </c>
    </row>
    <row r="38" spans="2:6">
      <c r="B38" s="229"/>
      <c r="F38" s="230"/>
    </row>
    <row r="39" spans="2:6">
      <c r="B39" s="231" t="s">
        <v>176</v>
      </c>
      <c r="F39" s="228">
        <v>0.245866</v>
      </c>
    </row>
    <row r="40" spans="2:6" ht="13.5" thickBot="1"/>
    <row r="41" spans="2:6" ht="13.5" thickBot="1">
      <c r="B41" s="232" t="s">
        <v>177</v>
      </c>
      <c r="C41" s="233"/>
      <c r="D41" s="233"/>
      <c r="E41" s="233"/>
      <c r="F41" s="234">
        <f>ROUND(F37/F39,8)</f>
        <v>0.14587621000000001</v>
      </c>
    </row>
  </sheetData>
  <phoneticPr fontId="6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6ED1A-B9D7-40E5-BA45-EF3E34E5AB2C}">
  <sheetPr>
    <pageSetUpPr fitToPage="1"/>
  </sheetPr>
  <dimension ref="A1:M73"/>
  <sheetViews>
    <sheetView zoomScale="80" zoomScaleNormal="80" workbookViewId="0">
      <pane ySplit="6" topLeftCell="A22" activePane="bottomLeft" state="frozen"/>
      <selection pane="bottomLeft" activeCell="G39" sqref="G39"/>
    </sheetView>
  </sheetViews>
  <sheetFormatPr defaultRowHeight="12.75"/>
  <cols>
    <col min="1" max="1" width="10.42578125" style="158" bestFit="1" customWidth="1"/>
    <col min="2" max="2" width="12" style="158" bestFit="1" customWidth="1"/>
    <col min="3" max="3" width="13.5703125" style="158" bestFit="1" customWidth="1"/>
    <col min="4" max="4" width="13.42578125" style="158" customWidth="1"/>
    <col min="5" max="5" width="14.140625" style="158" bestFit="1" customWidth="1"/>
    <col min="6" max="6" width="13.5703125" style="158" customWidth="1"/>
    <col min="7" max="7" width="8.85546875" style="158" customWidth="1"/>
    <col min="8" max="8" width="13.7109375" style="158" bestFit="1" customWidth="1"/>
    <col min="9" max="9" width="14.7109375" style="158" customWidth="1"/>
    <col min="10" max="10" width="13.42578125" style="158" bestFit="1" customWidth="1"/>
    <col min="11" max="11" width="15.85546875" style="158" bestFit="1" customWidth="1"/>
    <col min="12" max="12" width="9.140625" style="158"/>
    <col min="13" max="13" width="9.28515625" style="158" bestFit="1" customWidth="1"/>
    <col min="14" max="16384" width="9.140625" style="158"/>
  </cols>
  <sheetData>
    <row r="1" spans="1:13">
      <c r="A1" s="160" t="s">
        <v>6</v>
      </c>
    </row>
    <row r="2" spans="1:13">
      <c r="A2" s="160" t="s">
        <v>107</v>
      </c>
      <c r="E2" s="146"/>
      <c r="L2" s="145">
        <v>0.21577192756641544</v>
      </c>
      <c r="M2" s="146" t="s">
        <v>132</v>
      </c>
    </row>
    <row r="3" spans="1:13">
      <c r="A3" s="160" t="s">
        <v>131</v>
      </c>
      <c r="E3" s="146"/>
      <c r="L3" s="145"/>
      <c r="M3" s="146"/>
    </row>
    <row r="4" spans="1:13">
      <c r="A4" s="160"/>
      <c r="C4" s="159"/>
      <c r="D4" s="146"/>
      <c r="E4" s="146"/>
    </row>
    <row r="5" spans="1:13">
      <c r="A5" s="160"/>
      <c r="B5" s="241" t="s">
        <v>133</v>
      </c>
      <c r="C5" s="241"/>
      <c r="D5" s="160"/>
      <c r="E5" s="160"/>
      <c r="F5" s="160"/>
      <c r="G5" s="160"/>
      <c r="H5" s="160"/>
      <c r="I5" s="161"/>
    </row>
    <row r="6" spans="1:13" ht="38.25">
      <c r="A6" s="161" t="s">
        <v>134</v>
      </c>
      <c r="B6" s="161" t="s">
        <v>135</v>
      </c>
      <c r="C6" s="161" t="s">
        <v>160</v>
      </c>
      <c r="D6" s="161" t="s">
        <v>136</v>
      </c>
      <c r="E6" s="162" t="s">
        <v>158</v>
      </c>
      <c r="F6" s="161" t="s">
        <v>137</v>
      </c>
      <c r="G6" s="162" t="s">
        <v>167</v>
      </c>
      <c r="H6" s="161" t="s">
        <v>65</v>
      </c>
      <c r="I6" s="161" t="s">
        <v>139</v>
      </c>
      <c r="L6" s="161" t="s">
        <v>140</v>
      </c>
      <c r="M6" s="162" t="s">
        <v>138</v>
      </c>
    </row>
    <row r="7" spans="1:13">
      <c r="A7" s="163">
        <v>44508</v>
      </c>
      <c r="B7" s="146">
        <f>B8*(A8-A7)/30</f>
        <v>-32049.970795151996</v>
      </c>
      <c r="C7" s="144">
        <v>-218617.42951483361</v>
      </c>
      <c r="D7" s="146">
        <v>0</v>
      </c>
      <c r="E7" s="146">
        <f>(C7-B7)/2</f>
        <v>-93283.7293598408</v>
      </c>
      <c r="F7" s="146">
        <v>0</v>
      </c>
      <c r="G7" s="147">
        <f t="shared" ref="G7:G8" si="0">$M$10</f>
        <v>3.2500000000000001E-2</v>
      </c>
      <c r="H7" s="146">
        <f t="shared" ref="H7:H59" si="1">(D7+0.5*(E7+F7))*G7/12</f>
        <v>-126.32171684145108</v>
      </c>
      <c r="I7" s="146">
        <f t="shared" ref="I7:I59" si="2">D7+E7+F7+H7</f>
        <v>-93410.051076682255</v>
      </c>
      <c r="L7" s="158" t="s">
        <v>141</v>
      </c>
      <c r="M7" s="164">
        <v>3.2500000000000001E-2</v>
      </c>
    </row>
    <row r="8" spans="1:13">
      <c r="A8" s="163">
        <v>44531</v>
      </c>
      <c r="B8" s="144">
        <v>-41804.309732806949</v>
      </c>
      <c r="C8" s="144">
        <v>-218364.60455434158</v>
      </c>
      <c r="D8" s="144">
        <f t="shared" ref="D8:D10" si="3">I7</f>
        <v>-93410.051076682255</v>
      </c>
      <c r="E8" s="144">
        <f t="shared" ref="E8:E35" si="4">(C8-B8)/2</f>
        <v>-88280.147410767313</v>
      </c>
      <c r="F8" s="144">
        <v>0</v>
      </c>
      <c r="G8" s="148">
        <f t="shared" si="0"/>
        <v>3.2500000000000001E-2</v>
      </c>
      <c r="H8" s="144">
        <f t="shared" si="1"/>
        <v>-372.53158795142855</v>
      </c>
      <c r="I8" s="144">
        <f t="shared" si="2"/>
        <v>-182062.73007540099</v>
      </c>
      <c r="L8" s="158" t="s">
        <v>142</v>
      </c>
      <c r="M8" s="164">
        <v>3.2500000000000001E-2</v>
      </c>
    </row>
    <row r="9" spans="1:13">
      <c r="A9" s="163">
        <v>44562</v>
      </c>
      <c r="B9" s="146">
        <f t="shared" ref="B9:B35" si="5">B8</f>
        <v>-41804.309732806949</v>
      </c>
      <c r="C9" s="144">
        <v>-246135.35321356138</v>
      </c>
      <c r="D9" s="146">
        <f t="shared" si="3"/>
        <v>-182062.73007540099</v>
      </c>
      <c r="E9" s="146">
        <f t="shared" si="4"/>
        <v>-102165.52174037721</v>
      </c>
      <c r="F9" s="146">
        <v>0</v>
      </c>
      <c r="G9" s="147">
        <f>$M$11</f>
        <v>3.2500000000000001E-2</v>
      </c>
      <c r="H9" s="146">
        <f t="shared" si="1"/>
        <v>-631.43570464430525</v>
      </c>
      <c r="I9" s="146">
        <f t="shared" si="2"/>
        <v>-284859.68752042251</v>
      </c>
      <c r="L9" s="158" t="s">
        <v>143</v>
      </c>
      <c r="M9" s="164">
        <v>3.2500000000000001E-2</v>
      </c>
    </row>
    <row r="10" spans="1:13">
      <c r="A10" s="163">
        <v>44593</v>
      </c>
      <c r="B10" s="146">
        <f t="shared" si="5"/>
        <v>-41804.309732806949</v>
      </c>
      <c r="C10" s="144">
        <v>-266302.76411945978</v>
      </c>
      <c r="D10" s="146">
        <f t="shared" si="3"/>
        <v>-284859.68752042251</v>
      </c>
      <c r="E10" s="146">
        <f t="shared" si="4"/>
        <v>-112249.22719332641</v>
      </c>
      <c r="F10" s="146">
        <v>0</v>
      </c>
      <c r="G10" s="147">
        <f t="shared" ref="G10:G11" si="6">$M$11</f>
        <v>3.2500000000000001E-2</v>
      </c>
      <c r="H10" s="146">
        <f t="shared" si="1"/>
        <v>-923.49914885877388</v>
      </c>
      <c r="I10" s="146">
        <f t="shared" si="2"/>
        <v>-398032.41386260767</v>
      </c>
      <c r="J10" s="165"/>
      <c r="L10" s="158" t="s">
        <v>144</v>
      </c>
      <c r="M10" s="164">
        <v>3.2500000000000001E-2</v>
      </c>
    </row>
    <row r="11" spans="1:13">
      <c r="A11" s="163">
        <v>44621</v>
      </c>
      <c r="B11" s="146">
        <f t="shared" si="5"/>
        <v>-41804.309732806949</v>
      </c>
      <c r="C11" s="144">
        <v>-177835.02665548818</v>
      </c>
      <c r="D11" s="146">
        <f>I10</f>
        <v>-398032.41386260767</v>
      </c>
      <c r="E11" s="146">
        <f t="shared" si="4"/>
        <v>-68015.358461340613</v>
      </c>
      <c r="F11" s="146">
        <v>0</v>
      </c>
      <c r="G11" s="147">
        <f t="shared" si="6"/>
        <v>3.2500000000000001E-2</v>
      </c>
      <c r="H11" s="146">
        <f t="shared" si="1"/>
        <v>-1170.1085854609612</v>
      </c>
      <c r="I11" s="146">
        <f t="shared" si="2"/>
        <v>-467217.88090940926</v>
      </c>
      <c r="L11" s="158" t="s">
        <v>145</v>
      </c>
      <c r="M11" s="164">
        <v>3.2500000000000001E-2</v>
      </c>
    </row>
    <row r="12" spans="1:13">
      <c r="A12" s="163">
        <v>44652</v>
      </c>
      <c r="B12" s="146">
        <f t="shared" si="5"/>
        <v>-41804.309732806949</v>
      </c>
      <c r="C12" s="144">
        <v>-255927.2267748572</v>
      </c>
      <c r="D12" s="146">
        <f t="shared" ref="D12:D45" si="7">I11</f>
        <v>-467217.88090940926</v>
      </c>
      <c r="E12" s="146">
        <f t="shared" si="4"/>
        <v>-107061.45852102512</v>
      </c>
      <c r="F12" s="146">
        <v>0</v>
      </c>
      <c r="G12" s="147">
        <f>$M$12</f>
        <v>3.2500000000000001E-2</v>
      </c>
      <c r="H12" s="146">
        <f t="shared" si="1"/>
        <v>-1410.3608192102049</v>
      </c>
      <c r="I12" s="146">
        <f t="shared" si="2"/>
        <v>-575689.70024964458</v>
      </c>
      <c r="L12" s="158" t="s">
        <v>146</v>
      </c>
      <c r="M12" s="164">
        <v>3.2500000000000001E-2</v>
      </c>
    </row>
    <row r="13" spans="1:13">
      <c r="A13" s="163">
        <v>44682</v>
      </c>
      <c r="B13" s="146">
        <f t="shared" si="5"/>
        <v>-41804.309732806949</v>
      </c>
      <c r="C13" s="144">
        <v>-229168.24564469676</v>
      </c>
      <c r="D13" s="146">
        <f t="shared" si="7"/>
        <v>-575689.70024964458</v>
      </c>
      <c r="E13" s="146">
        <f t="shared" si="4"/>
        <v>-93681.9679559449</v>
      </c>
      <c r="F13" s="146">
        <v>0</v>
      </c>
      <c r="G13" s="147">
        <f t="shared" ref="G13:G14" si="8">$M$12</f>
        <v>3.2500000000000001E-2</v>
      </c>
      <c r="H13" s="146">
        <f t="shared" si="1"/>
        <v>-1686.0206031164628</v>
      </c>
      <c r="I13" s="146">
        <f t="shared" si="2"/>
        <v>-671057.68880870601</v>
      </c>
      <c r="L13" s="158" t="s">
        <v>147</v>
      </c>
      <c r="M13" s="164">
        <v>3.5999999999999997E-2</v>
      </c>
    </row>
    <row r="14" spans="1:13">
      <c r="A14" s="163">
        <v>44713</v>
      </c>
      <c r="B14" s="146">
        <f t="shared" si="5"/>
        <v>-41804.309732806949</v>
      </c>
      <c r="C14" s="144">
        <v>-243434.69063276067</v>
      </c>
      <c r="D14" s="146">
        <f t="shared" si="7"/>
        <v>-671057.68880870601</v>
      </c>
      <c r="E14" s="146">
        <f t="shared" si="4"/>
        <v>-100815.19044997686</v>
      </c>
      <c r="F14" s="146">
        <v>0</v>
      </c>
      <c r="G14" s="147">
        <f t="shared" si="8"/>
        <v>3.2500000000000001E-2</v>
      </c>
      <c r="H14" s="146">
        <f t="shared" si="1"/>
        <v>-1953.9684775912558</v>
      </c>
      <c r="I14" s="146">
        <f t="shared" si="2"/>
        <v>-773826.84773627413</v>
      </c>
      <c r="L14" s="158" t="s">
        <v>148</v>
      </c>
      <c r="M14" s="164">
        <v>4.9099999999999998E-2</v>
      </c>
    </row>
    <row r="15" spans="1:13">
      <c r="A15" s="163">
        <v>44743</v>
      </c>
      <c r="B15" s="146">
        <f t="shared" si="5"/>
        <v>-41804.309732806949</v>
      </c>
      <c r="C15" s="144">
        <v>-220800.9929292227</v>
      </c>
      <c r="D15" s="146">
        <f t="shared" si="7"/>
        <v>-773826.84773627413</v>
      </c>
      <c r="E15" s="146">
        <f t="shared" si="4"/>
        <v>-89498.341598207873</v>
      </c>
      <c r="F15" s="146">
        <v>0</v>
      </c>
      <c r="G15" s="147">
        <f>$M$13</f>
        <v>3.5999999999999997E-2</v>
      </c>
      <c r="H15" s="146">
        <f t="shared" si="1"/>
        <v>-2455.7280556061337</v>
      </c>
      <c r="I15" s="146">
        <f t="shared" si="2"/>
        <v>-865780.91739008809</v>
      </c>
      <c r="L15" s="158" t="s">
        <v>149</v>
      </c>
      <c r="M15" s="164">
        <v>6.3100000000000003E-2</v>
      </c>
    </row>
    <row r="16" spans="1:13">
      <c r="A16" s="163">
        <v>44774</v>
      </c>
      <c r="B16" s="146">
        <f t="shared" si="5"/>
        <v>-41804.309732806949</v>
      </c>
      <c r="C16" s="144">
        <v>-269251.85815447936</v>
      </c>
      <c r="D16" s="146">
        <f t="shared" si="7"/>
        <v>-865780.91739008809</v>
      </c>
      <c r="E16" s="146">
        <f t="shared" si="4"/>
        <v>-113723.7742108362</v>
      </c>
      <c r="F16" s="146">
        <v>0</v>
      </c>
      <c r="G16" s="147">
        <f t="shared" ref="G16:G17" si="9">$M$13</f>
        <v>3.5999999999999997E-2</v>
      </c>
      <c r="H16" s="146">
        <f t="shared" si="1"/>
        <v>-2767.9284134865188</v>
      </c>
      <c r="I16" s="146">
        <f t="shared" si="2"/>
        <v>-982272.62001441082</v>
      </c>
      <c r="L16" s="158" t="s">
        <v>150</v>
      </c>
      <c r="M16" s="164">
        <v>7.4999999999999997E-2</v>
      </c>
    </row>
    <row r="17" spans="1:13">
      <c r="A17" s="163">
        <v>44805</v>
      </c>
      <c r="B17" s="146">
        <f t="shared" si="5"/>
        <v>-41804.309732806949</v>
      </c>
      <c r="C17" s="144">
        <v>-351668.94626904855</v>
      </c>
      <c r="D17" s="146">
        <f t="shared" si="7"/>
        <v>-982272.62001441082</v>
      </c>
      <c r="E17" s="146">
        <f t="shared" si="4"/>
        <v>-154932.31826812081</v>
      </c>
      <c r="F17" s="146">
        <v>0</v>
      </c>
      <c r="G17" s="147">
        <f t="shared" si="9"/>
        <v>3.5999999999999997E-2</v>
      </c>
      <c r="H17" s="146">
        <f t="shared" si="1"/>
        <v>-3179.216337445414</v>
      </c>
      <c r="I17" s="146">
        <f t="shared" si="2"/>
        <v>-1140384.1546199771</v>
      </c>
      <c r="L17" s="158" t="s">
        <v>151</v>
      </c>
      <c r="M17" s="164">
        <v>8.0199999999999994E-2</v>
      </c>
    </row>
    <row r="18" spans="1:13">
      <c r="A18" s="163">
        <v>44835</v>
      </c>
      <c r="B18" s="146">
        <f t="shared" si="5"/>
        <v>-41804.309732806949</v>
      </c>
      <c r="C18" s="144">
        <v>-291929.24686831451</v>
      </c>
      <c r="D18" s="146">
        <f t="shared" si="7"/>
        <v>-1140384.1546199771</v>
      </c>
      <c r="E18" s="146">
        <f t="shared" si="4"/>
        <v>-125062.46856775378</v>
      </c>
      <c r="F18" s="146">
        <v>0</v>
      </c>
      <c r="G18" s="147">
        <f>$M$14</f>
        <v>4.9099999999999998E-2</v>
      </c>
      <c r="H18" s="146">
        <f t="shared" si="1"/>
        <v>-4921.9287995982686</v>
      </c>
      <c r="I18" s="146">
        <f t="shared" si="2"/>
        <v>-1270368.551987329</v>
      </c>
      <c r="L18" s="158" t="s">
        <v>152</v>
      </c>
      <c r="M18" s="164">
        <v>8.3500000000000005E-2</v>
      </c>
    </row>
    <row r="19" spans="1:13">
      <c r="A19" s="163">
        <v>44866</v>
      </c>
      <c r="B19" s="146">
        <f t="shared" si="5"/>
        <v>-41804.309732806949</v>
      </c>
      <c r="C19" s="144">
        <v>-301735.6620190487</v>
      </c>
      <c r="D19" s="146">
        <f t="shared" si="7"/>
        <v>-1270368.551987329</v>
      </c>
      <c r="E19" s="146">
        <f t="shared" si="4"/>
        <v>-129965.67614312087</v>
      </c>
      <c r="F19" s="146">
        <v>0</v>
      </c>
      <c r="G19" s="147">
        <f t="shared" ref="G19:G20" si="10">$M$14</f>
        <v>4.9099999999999998E-2</v>
      </c>
      <c r="H19" s="146">
        <f t="shared" si="1"/>
        <v>-5463.8127709909559</v>
      </c>
      <c r="I19" s="146">
        <f t="shared" si="2"/>
        <v>-1405798.0409014409</v>
      </c>
      <c r="L19" s="158" t="s">
        <v>153</v>
      </c>
      <c r="M19" s="164">
        <v>8.5000000000000006E-2</v>
      </c>
    </row>
    <row r="20" spans="1:13">
      <c r="A20" s="163">
        <v>44896</v>
      </c>
      <c r="B20" s="146">
        <f t="shared" si="5"/>
        <v>-41804.309732806949</v>
      </c>
      <c r="C20" s="144">
        <v>-300250.84044581605</v>
      </c>
      <c r="D20" s="146">
        <f t="shared" si="7"/>
        <v>-1405798.0409014409</v>
      </c>
      <c r="E20" s="146">
        <f t="shared" si="4"/>
        <v>-129223.26535650455</v>
      </c>
      <c r="F20" s="146">
        <v>0</v>
      </c>
      <c r="G20" s="147">
        <f t="shared" si="10"/>
        <v>4.9099999999999998E-2</v>
      </c>
      <c r="H20" s="146">
        <f t="shared" si="1"/>
        <v>-6016.4262477302436</v>
      </c>
      <c r="I20" s="146">
        <f t="shared" si="2"/>
        <v>-1541037.7325056756</v>
      </c>
      <c r="L20" s="158" t="s">
        <v>154</v>
      </c>
      <c r="M20" s="164">
        <v>8.5000000000000006E-2</v>
      </c>
    </row>
    <row r="21" spans="1:13">
      <c r="A21" s="163">
        <v>44927</v>
      </c>
      <c r="B21" s="146">
        <f t="shared" si="5"/>
        <v>-41804.309732806949</v>
      </c>
      <c r="C21" s="146">
        <v>-270856.87806922599</v>
      </c>
      <c r="D21" s="146">
        <f t="shared" si="7"/>
        <v>-1541037.7325056756</v>
      </c>
      <c r="E21" s="146">
        <f t="shared" si="4"/>
        <v>-114526.28416820952</v>
      </c>
      <c r="F21" s="146">
        <v>0</v>
      </c>
      <c r="G21" s="147">
        <f>$M$15</f>
        <v>6.3100000000000003E-2</v>
      </c>
      <c r="H21" s="146">
        <f t="shared" si="1"/>
        <v>-8404.3987655512628</v>
      </c>
      <c r="I21" s="146">
        <f t="shared" si="2"/>
        <v>-1663968.4154394362</v>
      </c>
      <c r="L21" s="235" t="s">
        <v>210</v>
      </c>
      <c r="M21" s="164">
        <v>8.5000000000000006E-2</v>
      </c>
    </row>
    <row r="22" spans="1:13">
      <c r="A22" s="163">
        <v>44958</v>
      </c>
      <c r="B22" s="146">
        <f t="shared" si="5"/>
        <v>-41804.309732806949</v>
      </c>
      <c r="C22" s="146">
        <v>-226344.75201716981</v>
      </c>
      <c r="D22" s="146">
        <f t="shared" si="7"/>
        <v>-1663968.4154394362</v>
      </c>
      <c r="E22" s="146">
        <f t="shared" si="4"/>
        <v>-92270.221142181428</v>
      </c>
      <c r="F22" s="146">
        <v>0</v>
      </c>
      <c r="G22" s="147">
        <f t="shared" ref="G22:G23" si="11">$M$15</f>
        <v>6.3100000000000003E-2</v>
      </c>
      <c r="H22" s="146">
        <f t="shared" si="1"/>
        <v>-8992.2943742720217</v>
      </c>
      <c r="I22" s="146">
        <f t="shared" si="2"/>
        <v>-1765230.9309558896</v>
      </c>
      <c r="K22" s="165"/>
      <c r="L22" s="235" t="s">
        <v>211</v>
      </c>
      <c r="M22" s="164">
        <v>8.5000000000000006E-2</v>
      </c>
    </row>
    <row r="23" spans="1:13">
      <c r="A23" s="163">
        <v>44986</v>
      </c>
      <c r="B23" s="146">
        <f t="shared" si="5"/>
        <v>-41804.309732806949</v>
      </c>
      <c r="C23" s="146">
        <v>-163285.28518098788</v>
      </c>
      <c r="D23" s="146">
        <f t="shared" si="7"/>
        <v>-1765230.9309558896</v>
      </c>
      <c r="E23" s="146">
        <f t="shared" si="4"/>
        <v>-60740.487724090461</v>
      </c>
      <c r="F23" s="146">
        <v>0</v>
      </c>
      <c r="G23" s="147">
        <f t="shared" si="11"/>
        <v>6.3100000000000003E-2</v>
      </c>
      <c r="H23" s="146">
        <f t="shared" si="1"/>
        <v>-9441.8695109176424</v>
      </c>
      <c r="I23" s="146">
        <f t="shared" si="2"/>
        <v>-1835413.2881908978</v>
      </c>
      <c r="M23" s="164"/>
    </row>
    <row r="24" spans="1:13">
      <c r="A24" s="163">
        <v>45017</v>
      </c>
      <c r="B24" s="146">
        <f t="shared" si="5"/>
        <v>-41804.309732806949</v>
      </c>
      <c r="C24" s="146">
        <v>-182991.94574641238</v>
      </c>
      <c r="D24" s="146">
        <f t="shared" si="7"/>
        <v>-1835413.2881908978</v>
      </c>
      <c r="E24" s="146">
        <f t="shared" si="4"/>
        <v>-70593.818006802714</v>
      </c>
      <c r="F24" s="146">
        <v>0</v>
      </c>
      <c r="G24" s="147">
        <f>$M$16</f>
        <v>7.4999999999999997E-2</v>
      </c>
      <c r="H24" s="146">
        <f t="shared" si="1"/>
        <v>-11691.938732464369</v>
      </c>
      <c r="I24" s="146">
        <f t="shared" si="2"/>
        <v>-1917699.0449301649</v>
      </c>
      <c r="M24" s="164"/>
    </row>
    <row r="25" spans="1:13">
      <c r="A25" s="163">
        <v>45047</v>
      </c>
      <c r="B25" s="146">
        <f t="shared" si="5"/>
        <v>-41804.309732806949</v>
      </c>
      <c r="C25" s="146">
        <v>-85322.917720392317</v>
      </c>
      <c r="D25" s="146">
        <f t="shared" si="7"/>
        <v>-1917699.0449301649</v>
      </c>
      <c r="E25" s="146">
        <f t="shared" si="4"/>
        <v>-21759.303993792684</v>
      </c>
      <c r="F25" s="146">
        <v>0</v>
      </c>
      <c r="G25" s="147">
        <f t="shared" ref="G25:G26" si="12">$M$16</f>
        <v>7.4999999999999997E-2</v>
      </c>
      <c r="H25" s="146">
        <f t="shared" si="1"/>
        <v>-12053.616855794133</v>
      </c>
      <c r="I25" s="146">
        <f t="shared" si="2"/>
        <v>-1951511.9657797518</v>
      </c>
      <c r="J25" s="146"/>
      <c r="M25" s="164"/>
    </row>
    <row r="26" spans="1:13">
      <c r="A26" s="163">
        <v>45078</v>
      </c>
      <c r="B26" s="146">
        <f t="shared" si="5"/>
        <v>-41804.309732806949</v>
      </c>
      <c r="C26" s="146">
        <v>-176038.72550234574</v>
      </c>
      <c r="D26" s="146">
        <f t="shared" si="7"/>
        <v>-1951511.9657797518</v>
      </c>
      <c r="E26" s="146">
        <f t="shared" si="4"/>
        <v>-67117.207884769392</v>
      </c>
      <c r="F26" s="146">
        <v>0</v>
      </c>
      <c r="G26" s="147">
        <f t="shared" si="12"/>
        <v>7.4999999999999997E-2</v>
      </c>
      <c r="H26" s="146">
        <f t="shared" si="1"/>
        <v>-12406.691060763353</v>
      </c>
      <c r="I26" s="146">
        <f t="shared" si="2"/>
        <v>-2031035.8647252845</v>
      </c>
      <c r="M26" s="164"/>
    </row>
    <row r="27" spans="1:13">
      <c r="A27" s="163">
        <v>45108</v>
      </c>
      <c r="B27" s="146">
        <f t="shared" si="5"/>
        <v>-41804.309732806949</v>
      </c>
      <c r="C27" s="144">
        <v>-277948.91095376271</v>
      </c>
      <c r="D27" s="146">
        <f t="shared" si="7"/>
        <v>-2031035.8647252845</v>
      </c>
      <c r="E27" s="146">
        <f t="shared" si="4"/>
        <v>-118072.30061047788</v>
      </c>
      <c r="F27" s="146">
        <v>0</v>
      </c>
      <c r="G27" s="147">
        <f>$M$17</f>
        <v>8.0199999999999994E-2</v>
      </c>
      <c r="H27" s="146">
        <f t="shared" si="1"/>
        <v>-13968.647967120663</v>
      </c>
      <c r="I27" s="146">
        <f t="shared" si="2"/>
        <v>-2163076.8133028829</v>
      </c>
      <c r="M27" s="164"/>
    </row>
    <row r="28" spans="1:13">
      <c r="A28" s="163">
        <v>45139</v>
      </c>
      <c r="B28" s="146">
        <f t="shared" si="5"/>
        <v>-41804.309732806949</v>
      </c>
      <c r="C28" s="144">
        <v>-302968.78822803823</v>
      </c>
      <c r="D28" s="146">
        <f t="shared" si="7"/>
        <v>-2163076.8133028829</v>
      </c>
      <c r="E28" s="146">
        <f t="shared" si="4"/>
        <v>-130582.23924761564</v>
      </c>
      <c r="F28" s="146">
        <v>0</v>
      </c>
      <c r="G28" s="147">
        <f t="shared" ref="G28:G29" si="13">$M$17</f>
        <v>8.0199999999999994E-2</v>
      </c>
      <c r="H28" s="146">
        <f t="shared" si="1"/>
        <v>-14892.925685060049</v>
      </c>
      <c r="I28" s="146">
        <f t="shared" si="2"/>
        <v>-2308551.9782355586</v>
      </c>
      <c r="M28" s="164"/>
    </row>
    <row r="29" spans="1:13">
      <c r="A29" s="163">
        <v>45170</v>
      </c>
      <c r="B29" s="146">
        <f t="shared" si="5"/>
        <v>-41804.309732806949</v>
      </c>
      <c r="C29" s="144">
        <v>-339718.21270344674</v>
      </c>
      <c r="D29" s="146">
        <f t="shared" si="7"/>
        <v>-2308551.9782355586</v>
      </c>
      <c r="E29" s="146">
        <f t="shared" si="4"/>
        <v>-148956.95148531991</v>
      </c>
      <c r="F29" s="146">
        <v>0</v>
      </c>
      <c r="G29" s="147">
        <f t="shared" si="13"/>
        <v>8.0199999999999994E-2</v>
      </c>
      <c r="H29" s="146">
        <f t="shared" si="1"/>
        <v>-15926.586867421094</v>
      </c>
      <c r="I29" s="146">
        <f t="shared" si="2"/>
        <v>-2473435.5165882995</v>
      </c>
      <c r="M29" s="164"/>
    </row>
    <row r="30" spans="1:13">
      <c r="A30" s="163">
        <v>45200</v>
      </c>
      <c r="B30" s="146">
        <f t="shared" si="5"/>
        <v>-41804.309732806949</v>
      </c>
      <c r="C30" s="144">
        <v>-245914.10608771781</v>
      </c>
      <c r="D30" s="146">
        <f t="shared" si="7"/>
        <v>-2473435.5165882995</v>
      </c>
      <c r="E30" s="146">
        <f t="shared" si="4"/>
        <v>-102054.89817745543</v>
      </c>
      <c r="F30" s="146">
        <v>0</v>
      </c>
      <c r="G30" s="147">
        <f>$M$18</f>
        <v>8.3500000000000005E-2</v>
      </c>
      <c r="H30" s="146">
        <f t="shared" si="1"/>
        <v>-17566.054802835981</v>
      </c>
      <c r="I30" s="146">
        <f t="shared" si="2"/>
        <v>-2593056.4695685911</v>
      </c>
      <c r="M30" s="164"/>
    </row>
    <row r="31" spans="1:13">
      <c r="A31" s="163">
        <v>45231</v>
      </c>
      <c r="B31" s="146">
        <f t="shared" si="5"/>
        <v>-41804.309732806949</v>
      </c>
      <c r="C31" s="144">
        <v>-322620.76847574027</v>
      </c>
      <c r="D31" s="146">
        <f t="shared" si="7"/>
        <v>-2593056.4695685911</v>
      </c>
      <c r="E31" s="146">
        <f t="shared" si="4"/>
        <v>-140408.22937146667</v>
      </c>
      <c r="F31" s="146">
        <v>0</v>
      </c>
      <c r="G31" s="147">
        <f t="shared" ref="G31:G32" si="14">$G$30</f>
        <v>8.3500000000000005E-2</v>
      </c>
      <c r="H31" s="146">
        <f t="shared" si="1"/>
        <v>-18531.854898769674</v>
      </c>
      <c r="I31" s="146">
        <f t="shared" si="2"/>
        <v>-2751996.5538388276</v>
      </c>
      <c r="M31" s="164"/>
    </row>
    <row r="32" spans="1:13">
      <c r="A32" s="163">
        <v>45261</v>
      </c>
      <c r="B32" s="146">
        <f t="shared" si="5"/>
        <v>-41804.309732806949</v>
      </c>
      <c r="C32" s="144">
        <v>-227939.8913038093</v>
      </c>
      <c r="D32" s="146">
        <f t="shared" si="7"/>
        <v>-2751996.5538388276</v>
      </c>
      <c r="E32" s="146">
        <f t="shared" si="4"/>
        <v>-93067.790785501173</v>
      </c>
      <c r="F32" s="146">
        <v>0</v>
      </c>
      <c r="G32" s="147">
        <f t="shared" si="14"/>
        <v>8.3500000000000005E-2</v>
      </c>
      <c r="H32" s="146">
        <f t="shared" si="1"/>
        <v>-19473.107709236399</v>
      </c>
      <c r="I32" s="146">
        <f t="shared" si="2"/>
        <v>-2864537.4523335653</v>
      </c>
      <c r="M32" s="164"/>
    </row>
    <row r="33" spans="1:13">
      <c r="A33" s="163">
        <v>45292</v>
      </c>
      <c r="B33" s="146">
        <f t="shared" si="5"/>
        <v>-41804.309732806949</v>
      </c>
      <c r="C33" s="144">
        <v>-405454.94257551164</v>
      </c>
      <c r="D33" s="146">
        <f t="shared" si="7"/>
        <v>-2864537.4523335653</v>
      </c>
      <c r="E33" s="146">
        <f t="shared" si="4"/>
        <v>-181825.31642135236</v>
      </c>
      <c r="F33" s="146">
        <v>0</v>
      </c>
      <c r="G33" s="147">
        <f>M19</f>
        <v>8.5000000000000006E-2</v>
      </c>
      <c r="H33" s="146">
        <f t="shared" si="1"/>
        <v>-20934.438283021711</v>
      </c>
      <c r="I33" s="146">
        <f t="shared" si="2"/>
        <v>-3067297.2070379392</v>
      </c>
      <c r="M33" s="164"/>
    </row>
    <row r="34" spans="1:13">
      <c r="A34" s="163">
        <v>45323</v>
      </c>
      <c r="B34" s="146">
        <f t="shared" si="5"/>
        <v>-41804.309732806949</v>
      </c>
      <c r="C34" s="144">
        <v>-123317.35277732562</v>
      </c>
      <c r="D34" s="144">
        <f t="shared" si="7"/>
        <v>-3067297.2070379392</v>
      </c>
      <c r="E34" s="146">
        <f t="shared" si="4"/>
        <v>-40756.52152225934</v>
      </c>
      <c r="F34" s="146">
        <v>0</v>
      </c>
      <c r="G34" s="147">
        <f>$G$33</f>
        <v>8.5000000000000006E-2</v>
      </c>
      <c r="H34" s="146">
        <f t="shared" si="1"/>
        <v>-21871.034563576741</v>
      </c>
      <c r="I34" s="146">
        <f t="shared" si="2"/>
        <v>-3129924.7631237754</v>
      </c>
      <c r="M34" s="164"/>
    </row>
    <row r="35" spans="1:13">
      <c r="A35" s="163">
        <v>45352</v>
      </c>
      <c r="B35" s="146">
        <f t="shared" si="5"/>
        <v>-41804.309732806949</v>
      </c>
      <c r="C35" s="144">
        <v>-123554.69758221017</v>
      </c>
      <c r="D35" s="144">
        <f t="shared" si="7"/>
        <v>-3129924.7631237754</v>
      </c>
      <c r="E35" s="146">
        <f t="shared" si="4"/>
        <v>-40875.193924701613</v>
      </c>
      <c r="F35" s="149">
        <v>0</v>
      </c>
      <c r="G35" s="147">
        <f>$G$33</f>
        <v>8.5000000000000006E-2</v>
      </c>
      <c r="H35" s="146">
        <f t="shared" si="1"/>
        <v>-22315.066717276728</v>
      </c>
      <c r="I35" s="146">
        <f t="shared" si="2"/>
        <v>-3193115.023765754</v>
      </c>
      <c r="M35" s="164"/>
    </row>
    <row r="36" spans="1:13">
      <c r="A36" s="163">
        <v>45383</v>
      </c>
      <c r="B36" s="150"/>
      <c r="C36" s="150"/>
      <c r="D36" s="144">
        <f t="shared" si="7"/>
        <v>-3193115.023765754</v>
      </c>
      <c r="E36" s="144"/>
      <c r="F36" s="149">
        <v>144632.95665766942</v>
      </c>
      <c r="G36" s="147">
        <f>$M$20</f>
        <v>8.5000000000000006E-2</v>
      </c>
      <c r="H36" s="146">
        <f t="shared" si="1"/>
        <v>-22105.656363511513</v>
      </c>
      <c r="I36" s="146">
        <f t="shared" si="2"/>
        <v>-3070587.7234715959</v>
      </c>
      <c r="M36" s="164"/>
    </row>
    <row r="37" spans="1:13">
      <c r="A37" s="163">
        <v>45413</v>
      </c>
      <c r="B37" s="150"/>
      <c r="C37" s="150"/>
      <c r="D37" s="146">
        <f t="shared" si="7"/>
        <v>-3070587.7234715959</v>
      </c>
      <c r="E37" s="146"/>
      <c r="F37" s="154">
        <f t="shared" ref="F37:F46" si="15">F36</f>
        <v>144632.95665766942</v>
      </c>
      <c r="G37" s="147">
        <f>$G$36</f>
        <v>8.5000000000000006E-2</v>
      </c>
      <c r="H37" s="146">
        <f t="shared" si="1"/>
        <v>-21237.754653094558</v>
      </c>
      <c r="I37" s="146">
        <f t="shared" si="2"/>
        <v>-2947192.5214670207</v>
      </c>
      <c r="M37" s="164"/>
    </row>
    <row r="38" spans="1:13">
      <c r="A38" s="163">
        <v>45444</v>
      </c>
      <c r="B38" s="150"/>
      <c r="C38" s="150"/>
      <c r="D38" s="146">
        <f t="shared" si="7"/>
        <v>-2947192.5214670207</v>
      </c>
      <c r="E38" s="146"/>
      <c r="F38" s="154">
        <f t="shared" si="15"/>
        <v>144632.95665766942</v>
      </c>
      <c r="G38" s="147">
        <f t="shared" ref="G38:G59" si="16">$G$36</f>
        <v>8.5000000000000006E-2</v>
      </c>
      <c r="H38" s="146">
        <f t="shared" si="1"/>
        <v>-20363.705305562155</v>
      </c>
      <c r="I38" s="146">
        <f t="shared" si="2"/>
        <v>-2822923.2701149136</v>
      </c>
      <c r="M38" s="164"/>
    </row>
    <row r="39" spans="1:13">
      <c r="A39" s="163">
        <v>45474</v>
      </c>
      <c r="B39" s="150"/>
      <c r="C39" s="150"/>
      <c r="D39" s="146">
        <f t="shared" si="7"/>
        <v>-2822923.2701149136</v>
      </c>
      <c r="E39" s="146"/>
      <c r="F39" s="154">
        <f t="shared" si="15"/>
        <v>144632.95665766942</v>
      </c>
      <c r="G39" s="147">
        <f t="shared" si="16"/>
        <v>8.5000000000000006E-2</v>
      </c>
      <c r="H39" s="146">
        <f t="shared" si="1"/>
        <v>-19483.464775151395</v>
      </c>
      <c r="I39" s="146">
        <f t="shared" si="2"/>
        <v>-2697773.7782323956</v>
      </c>
      <c r="M39" s="164"/>
    </row>
    <row r="40" spans="1:13">
      <c r="A40" s="163">
        <v>45505</v>
      </c>
      <c r="B40" s="150"/>
      <c r="C40" s="150"/>
      <c r="D40" s="146">
        <f t="shared" si="7"/>
        <v>-2697773.7782323956</v>
      </c>
      <c r="E40" s="146"/>
      <c r="F40" s="154">
        <f t="shared" si="15"/>
        <v>144632.95665766942</v>
      </c>
      <c r="G40" s="147">
        <f t="shared" si="16"/>
        <v>8.5000000000000006E-2</v>
      </c>
      <c r="H40" s="146">
        <f t="shared" si="1"/>
        <v>-18596.989207650226</v>
      </c>
      <c r="I40" s="146">
        <f t="shared" si="2"/>
        <v>-2571737.8107823762</v>
      </c>
      <c r="M40" s="164"/>
    </row>
    <row r="41" spans="1:13">
      <c r="A41" s="163">
        <v>45536</v>
      </c>
      <c r="B41" s="150"/>
      <c r="C41" s="150"/>
      <c r="D41" s="146">
        <f t="shared" si="7"/>
        <v>-2571737.8107823762</v>
      </c>
      <c r="E41" s="146"/>
      <c r="F41" s="154">
        <f t="shared" si="15"/>
        <v>144632.95665766942</v>
      </c>
      <c r="G41" s="147">
        <f t="shared" si="16"/>
        <v>8.5000000000000006E-2</v>
      </c>
      <c r="H41" s="146">
        <f t="shared" si="1"/>
        <v>-17704.234438212585</v>
      </c>
      <c r="I41" s="146">
        <f t="shared" si="2"/>
        <v>-2444809.0885629193</v>
      </c>
      <c r="M41" s="164"/>
    </row>
    <row r="42" spans="1:13">
      <c r="A42" s="163">
        <v>45566</v>
      </c>
      <c r="B42" s="150"/>
      <c r="C42" s="150"/>
      <c r="D42" s="146">
        <f t="shared" si="7"/>
        <v>-2444809.0885629193</v>
      </c>
      <c r="E42" s="146"/>
      <c r="F42" s="154">
        <f t="shared" si="15"/>
        <v>144632.95665766942</v>
      </c>
      <c r="G42" s="147">
        <f t="shared" si="16"/>
        <v>8.5000000000000006E-2</v>
      </c>
      <c r="H42" s="146">
        <f t="shared" si="1"/>
        <v>-16805.155989158102</v>
      </c>
      <c r="I42" s="146">
        <f t="shared" si="2"/>
        <v>-2316981.2878944078</v>
      </c>
      <c r="M42" s="164"/>
    </row>
    <row r="43" spans="1:13">
      <c r="A43" s="163">
        <v>45597</v>
      </c>
      <c r="B43" s="150"/>
      <c r="C43" s="150"/>
      <c r="D43" s="146">
        <f t="shared" si="7"/>
        <v>-2316981.2878944078</v>
      </c>
      <c r="E43" s="146"/>
      <c r="F43" s="154">
        <f t="shared" si="15"/>
        <v>144632.95665766942</v>
      </c>
      <c r="G43" s="147">
        <f t="shared" si="16"/>
        <v>8.5000000000000006E-2</v>
      </c>
      <c r="H43" s="146">
        <f t="shared" si="1"/>
        <v>-15899.709067756143</v>
      </c>
      <c r="I43" s="146">
        <f t="shared" si="2"/>
        <v>-2188248.0403044946</v>
      </c>
      <c r="M43" s="164"/>
    </row>
    <row r="44" spans="1:13">
      <c r="A44" s="163">
        <v>45627</v>
      </c>
      <c r="B44" s="150"/>
      <c r="C44" s="150"/>
      <c r="D44" s="146">
        <f t="shared" si="7"/>
        <v>-2188248.0403044946</v>
      </c>
      <c r="E44" s="146"/>
      <c r="F44" s="154">
        <f t="shared" si="15"/>
        <v>144632.95665766942</v>
      </c>
      <c r="G44" s="147">
        <f t="shared" si="16"/>
        <v>8.5000000000000006E-2</v>
      </c>
      <c r="H44" s="146">
        <f t="shared" si="1"/>
        <v>-14987.848563994259</v>
      </c>
      <c r="I44" s="146">
        <f t="shared" si="2"/>
        <v>-2058602.9322108193</v>
      </c>
      <c r="M44" s="164"/>
    </row>
    <row r="45" spans="1:13">
      <c r="A45" s="163">
        <v>45658</v>
      </c>
      <c r="B45" s="150"/>
      <c r="C45" s="150"/>
      <c r="D45" s="146">
        <f t="shared" si="7"/>
        <v>-2058602.9322108193</v>
      </c>
      <c r="E45" s="146"/>
      <c r="F45" s="154">
        <f t="shared" si="15"/>
        <v>144632.95665766942</v>
      </c>
      <c r="G45" s="147">
        <f t="shared" si="16"/>
        <v>8.5000000000000006E-2</v>
      </c>
      <c r="H45" s="146">
        <f t="shared" si="1"/>
        <v>-14069.529048330725</v>
      </c>
      <c r="I45" s="146">
        <f t="shared" si="2"/>
        <v>-1928039.5046014804</v>
      </c>
      <c r="M45" s="164"/>
    </row>
    <row r="46" spans="1:13">
      <c r="A46" s="163">
        <v>45689</v>
      </c>
      <c r="B46" s="150"/>
      <c r="C46" s="150"/>
      <c r="D46" s="146">
        <f>I45</f>
        <v>-1928039.5046014804</v>
      </c>
      <c r="E46" s="146"/>
      <c r="F46" s="154">
        <f t="shared" si="15"/>
        <v>144632.95665766942</v>
      </c>
      <c r="G46" s="147">
        <f t="shared" si="16"/>
        <v>8.5000000000000006E-2</v>
      </c>
      <c r="H46" s="146">
        <f t="shared" si="1"/>
        <v>-13144.704769431242</v>
      </c>
      <c r="I46" s="146">
        <f t="shared" si="2"/>
        <v>-1796551.2527132421</v>
      </c>
      <c r="K46" s="165"/>
      <c r="M46" s="164"/>
    </row>
    <row r="47" spans="1:13" ht="13.5" thickBot="1">
      <c r="A47" s="163">
        <v>45717</v>
      </c>
      <c r="B47" s="150"/>
      <c r="C47" s="150"/>
      <c r="D47" s="146">
        <f t="shared" ref="D47:D59" si="17">I46</f>
        <v>-1796551.2527132421</v>
      </c>
      <c r="E47" s="146"/>
      <c r="F47" s="154">
        <f>F46</f>
        <v>144632.95665766942</v>
      </c>
      <c r="G47" s="147">
        <f t="shared" si="16"/>
        <v>8.5000000000000006E-2</v>
      </c>
      <c r="H47" s="146">
        <f t="shared" si="1"/>
        <v>-12213.329651889553</v>
      </c>
      <c r="I47" s="146">
        <f t="shared" si="2"/>
        <v>-1664131.6257074622</v>
      </c>
      <c r="K47" s="165"/>
      <c r="M47" s="164"/>
    </row>
    <row r="48" spans="1:13">
      <c r="A48" s="163">
        <v>45748</v>
      </c>
      <c r="B48" s="150"/>
      <c r="C48" s="150"/>
      <c r="D48" s="146">
        <f t="shared" si="17"/>
        <v>-1664131.6257074622</v>
      </c>
      <c r="E48" s="146"/>
      <c r="F48" s="151">
        <f>F47</f>
        <v>144632.95665766942</v>
      </c>
      <c r="G48" s="147">
        <f t="shared" si="16"/>
        <v>8.5000000000000006E-2</v>
      </c>
      <c r="H48" s="146">
        <f t="shared" si="1"/>
        <v>-11275.357293931944</v>
      </c>
      <c r="I48" s="146">
        <f t="shared" si="2"/>
        <v>-1530774.0263437247</v>
      </c>
      <c r="K48" s="165"/>
      <c r="M48" s="164"/>
    </row>
    <row r="49" spans="1:13">
      <c r="A49" s="163">
        <v>45778</v>
      </c>
      <c r="B49" s="150"/>
      <c r="C49" s="150"/>
      <c r="D49" s="146">
        <f t="shared" si="17"/>
        <v>-1530774.0263437247</v>
      </c>
      <c r="E49" s="146"/>
      <c r="F49" s="152">
        <f t="shared" ref="F49:F58" si="18">F48</f>
        <v>144632.95665766942</v>
      </c>
      <c r="G49" s="147">
        <f t="shared" si="16"/>
        <v>8.5000000000000006E-2</v>
      </c>
      <c r="H49" s="146">
        <f t="shared" si="1"/>
        <v>-10330.740965105471</v>
      </c>
      <c r="I49" s="146">
        <f t="shared" si="2"/>
        <v>-1396471.8106511605</v>
      </c>
      <c r="K49" s="165"/>
      <c r="M49" s="164"/>
    </row>
    <row r="50" spans="1:13">
      <c r="A50" s="163">
        <v>45809</v>
      </c>
      <c r="B50" s="150"/>
      <c r="C50" s="150"/>
      <c r="D50" s="146">
        <f t="shared" si="17"/>
        <v>-1396471.8106511605</v>
      </c>
      <c r="E50" s="146"/>
      <c r="F50" s="152">
        <f t="shared" si="18"/>
        <v>144632.95665766942</v>
      </c>
      <c r="G50" s="147">
        <f t="shared" si="16"/>
        <v>8.5000000000000006E-2</v>
      </c>
      <c r="H50" s="146">
        <f t="shared" si="1"/>
        <v>-9379.4336039498085</v>
      </c>
      <c r="I50" s="146">
        <f t="shared" si="2"/>
        <v>-1261218.2875974409</v>
      </c>
      <c r="K50" s="165"/>
      <c r="M50" s="164"/>
    </row>
    <row r="51" spans="1:13">
      <c r="A51" s="163">
        <v>45839</v>
      </c>
      <c r="B51" s="150"/>
      <c r="C51" s="150"/>
      <c r="D51" s="146">
        <f t="shared" si="17"/>
        <v>-1261218.2875974409</v>
      </c>
      <c r="E51" s="146"/>
      <c r="F51" s="152">
        <f t="shared" si="18"/>
        <v>144632.95665766942</v>
      </c>
      <c r="G51" s="147">
        <f t="shared" si="16"/>
        <v>8.5000000000000006E-2</v>
      </c>
      <c r="H51" s="146">
        <f t="shared" si="1"/>
        <v>-8421.387815652628</v>
      </c>
      <c r="I51" s="146">
        <f t="shared" si="2"/>
        <v>-1125006.718755424</v>
      </c>
      <c r="K51" s="165"/>
      <c r="M51" s="164"/>
    </row>
    <row r="52" spans="1:13">
      <c r="A52" s="163">
        <v>45870</v>
      </c>
      <c r="B52" s="150"/>
      <c r="C52" s="150"/>
      <c r="D52" s="146">
        <f t="shared" si="17"/>
        <v>-1125006.718755424</v>
      </c>
      <c r="E52" s="146"/>
      <c r="F52" s="152">
        <f t="shared" si="18"/>
        <v>144632.95665766942</v>
      </c>
      <c r="G52" s="147">
        <f t="shared" si="16"/>
        <v>8.5000000000000006E-2</v>
      </c>
      <c r="H52" s="146">
        <f t="shared" si="1"/>
        <v>-7456.5558696883418</v>
      </c>
      <c r="I52" s="146">
        <f t="shared" si="2"/>
        <v>-987830.31796744303</v>
      </c>
      <c r="K52" s="165"/>
      <c r="M52" s="164"/>
    </row>
    <row r="53" spans="1:13">
      <c r="A53" s="163">
        <v>45901</v>
      </c>
      <c r="B53" s="150"/>
      <c r="C53" s="150"/>
      <c r="D53" s="146">
        <f t="shared" si="17"/>
        <v>-987830.31796744303</v>
      </c>
      <c r="E53" s="146"/>
      <c r="F53" s="152">
        <f t="shared" si="18"/>
        <v>144632.95665766942</v>
      </c>
      <c r="G53" s="147">
        <f t="shared" si="16"/>
        <v>8.5000000000000006E-2</v>
      </c>
      <c r="H53" s="146">
        <f t="shared" si="1"/>
        <v>-6484.8896974401423</v>
      </c>
      <c r="I53" s="146">
        <f t="shared" si="2"/>
        <v>-849682.25100721372</v>
      </c>
      <c r="K53" s="165"/>
      <c r="M53" s="164"/>
    </row>
    <row r="54" spans="1:13">
      <c r="A54" s="163">
        <v>45931</v>
      </c>
      <c r="B54" s="150"/>
      <c r="C54" s="150"/>
      <c r="D54" s="146">
        <f t="shared" si="17"/>
        <v>-849682.25100721372</v>
      </c>
      <c r="E54" s="146"/>
      <c r="F54" s="152">
        <f t="shared" si="18"/>
        <v>144632.95665766942</v>
      </c>
      <c r="G54" s="147">
        <f t="shared" si="16"/>
        <v>8.5000000000000006E-2</v>
      </c>
      <c r="H54" s="146">
        <f t="shared" si="1"/>
        <v>-5506.3408898051848</v>
      </c>
      <c r="I54" s="146">
        <f t="shared" si="2"/>
        <v>-710555.63523934956</v>
      </c>
      <c r="K54" s="165"/>
      <c r="M54" s="164"/>
    </row>
    <row r="55" spans="1:13">
      <c r="A55" s="163">
        <v>45962</v>
      </c>
      <c r="B55" s="150"/>
      <c r="C55" s="150"/>
      <c r="D55" s="146">
        <f t="shared" si="17"/>
        <v>-710555.63523934956</v>
      </c>
      <c r="E55" s="146"/>
      <c r="F55" s="152">
        <f t="shared" si="18"/>
        <v>144632.95665766942</v>
      </c>
      <c r="G55" s="147">
        <f t="shared" si="16"/>
        <v>8.5000000000000006E-2</v>
      </c>
      <c r="H55" s="146">
        <f t="shared" si="1"/>
        <v>-4520.860694782813</v>
      </c>
      <c r="I55" s="146">
        <f t="shared" si="2"/>
        <v>-570443.53927646298</v>
      </c>
      <c r="K55" s="165"/>
      <c r="M55" s="164"/>
    </row>
    <row r="56" spans="1:13">
      <c r="A56" s="163">
        <v>45992</v>
      </c>
      <c r="B56" s="150"/>
      <c r="C56" s="150"/>
      <c r="D56" s="146">
        <f t="shared" si="17"/>
        <v>-570443.53927646298</v>
      </c>
      <c r="E56" s="146"/>
      <c r="F56" s="152">
        <f t="shared" si="18"/>
        <v>144632.95665766942</v>
      </c>
      <c r="G56" s="147">
        <f t="shared" si="16"/>
        <v>8.5000000000000006E-2</v>
      </c>
      <c r="H56" s="146">
        <f t="shared" si="1"/>
        <v>-3528.4000150457009</v>
      </c>
      <c r="I56" s="146">
        <f t="shared" si="2"/>
        <v>-429338.9826338393</v>
      </c>
      <c r="K56" s="165"/>
      <c r="M56" s="164"/>
    </row>
    <row r="57" spans="1:13">
      <c r="A57" s="163">
        <v>46023</v>
      </c>
      <c r="B57" s="150"/>
      <c r="C57" s="150"/>
      <c r="D57" s="146">
        <f t="shared" si="17"/>
        <v>-429338.9826338393</v>
      </c>
      <c r="E57" s="146"/>
      <c r="F57" s="152">
        <f t="shared" si="18"/>
        <v>144632.95665766942</v>
      </c>
      <c r="G57" s="147">
        <f t="shared" si="16"/>
        <v>8.5000000000000006E-2</v>
      </c>
      <c r="H57" s="146">
        <f t="shared" si="1"/>
        <v>-2528.9094054937827</v>
      </c>
      <c r="I57" s="146">
        <f t="shared" si="2"/>
        <v>-287234.93538166361</v>
      </c>
      <c r="K57" s="165"/>
      <c r="M57" s="164"/>
    </row>
    <row r="58" spans="1:13">
      <c r="A58" s="163">
        <v>46054</v>
      </c>
      <c r="B58" s="150"/>
      <c r="C58" s="150"/>
      <c r="D58" s="146">
        <f t="shared" si="17"/>
        <v>-287234.93538166361</v>
      </c>
      <c r="E58" s="146"/>
      <c r="F58" s="152">
        <f t="shared" si="18"/>
        <v>144632.95665766942</v>
      </c>
      <c r="G58" s="147">
        <f t="shared" si="16"/>
        <v>8.5000000000000006E-2</v>
      </c>
      <c r="H58" s="146">
        <f t="shared" si="1"/>
        <v>-1522.3390707908718</v>
      </c>
      <c r="I58" s="146">
        <f t="shared" si="2"/>
        <v>-144124.31779478508</v>
      </c>
      <c r="K58" s="165"/>
      <c r="M58" s="164"/>
    </row>
    <row r="59" spans="1:13" ht="13.5" thickBot="1">
      <c r="A59" s="163">
        <v>46082</v>
      </c>
      <c r="B59" s="150"/>
      <c r="C59" s="150"/>
      <c r="D59" s="146">
        <f t="shared" si="17"/>
        <v>-144124.31779478508</v>
      </c>
      <c r="E59" s="146"/>
      <c r="F59" s="153">
        <f>F58</f>
        <v>144632.95665766942</v>
      </c>
      <c r="G59" s="147">
        <f t="shared" si="16"/>
        <v>8.5000000000000006E-2</v>
      </c>
      <c r="H59" s="146">
        <f t="shared" si="1"/>
        <v>-508.63886288381514</v>
      </c>
      <c r="I59" s="146">
        <f t="shared" si="2"/>
        <v>5.2637005865108222E-10</v>
      </c>
      <c r="K59" s="165"/>
      <c r="M59" s="164"/>
    </row>
    <row r="60" spans="1:13" ht="13.5" thickBot="1">
      <c r="A60" s="163"/>
      <c r="B60" s="146"/>
      <c r="C60" s="146"/>
      <c r="D60" s="146"/>
      <c r="E60" s="146"/>
      <c r="F60" s="154"/>
      <c r="G60" s="147"/>
      <c r="H60" s="146"/>
      <c r="I60" s="146"/>
      <c r="K60" s="165"/>
      <c r="M60" s="164"/>
    </row>
    <row r="61" spans="1:13" ht="13.5" thickBot="1">
      <c r="A61" s="166"/>
      <c r="B61" s="146"/>
      <c r="C61" s="146"/>
      <c r="D61" s="155"/>
      <c r="E61" s="156" t="s">
        <v>155</v>
      </c>
      <c r="F61" s="167">
        <f>SUM(F48:F59)</f>
        <v>1735595.4798920334</v>
      </c>
      <c r="G61" s="146"/>
      <c r="H61" s="146"/>
      <c r="I61" s="146"/>
      <c r="M61" s="164"/>
    </row>
    <row r="62" spans="1:13" ht="13.5" thickBot="1">
      <c r="A62" s="166"/>
      <c r="B62" s="146"/>
      <c r="C62" s="146"/>
      <c r="D62" s="170"/>
      <c r="E62" s="171" t="s">
        <v>165</v>
      </c>
      <c r="F62" s="172">
        <f>SUM(F36:F59)</f>
        <v>3471190.9597840672</v>
      </c>
      <c r="G62" s="146"/>
      <c r="H62" s="146"/>
      <c r="I62" s="146"/>
      <c r="M62" s="164"/>
    </row>
    <row r="63" spans="1:13">
      <c r="A63" s="166"/>
      <c r="B63" s="146"/>
      <c r="C63" s="146"/>
      <c r="D63" s="146"/>
      <c r="E63" s="146"/>
      <c r="F63" s="146"/>
      <c r="G63" s="146"/>
      <c r="H63" s="146"/>
      <c r="I63" s="146"/>
      <c r="M63" s="164"/>
    </row>
    <row r="64" spans="1:13">
      <c r="A64" s="158" t="s">
        <v>156</v>
      </c>
      <c r="B64" s="146"/>
      <c r="C64" s="146"/>
      <c r="D64" s="146"/>
      <c r="E64" s="146"/>
      <c r="M64" s="164"/>
    </row>
    <row r="65" spans="1:13">
      <c r="A65" s="166" t="s">
        <v>166</v>
      </c>
      <c r="B65" s="146"/>
      <c r="C65" s="146"/>
      <c r="D65" s="146"/>
      <c r="E65" s="157"/>
      <c r="M65" s="164"/>
    </row>
    <row r="66" spans="1:13">
      <c r="M66" s="164"/>
    </row>
    <row r="67" spans="1:13">
      <c r="M67" s="164"/>
    </row>
    <row r="68" spans="1:13">
      <c r="M68" s="164"/>
    </row>
    <row r="69" spans="1:13">
      <c r="M69" s="164"/>
    </row>
    <row r="70" spans="1:13">
      <c r="M70" s="164"/>
    </row>
    <row r="73" spans="1:13">
      <c r="K73" s="168"/>
    </row>
  </sheetData>
  <mergeCells count="1">
    <mergeCell ref="B5:C5"/>
  </mergeCells>
  <pageMargins left="0.7" right="0.7" top="0.75" bottom="0.75" header="0.3" footer="0.3"/>
  <pageSetup scale="8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91"/>
  <sheetViews>
    <sheetView workbookViewId="0">
      <selection activeCell="N37" sqref="N37"/>
    </sheetView>
  </sheetViews>
  <sheetFormatPr defaultColWidth="9.140625" defaultRowHeight="12.75"/>
  <cols>
    <col min="1" max="1" width="40" style="18" customWidth="1"/>
    <col min="2" max="2" width="15.7109375" style="18" customWidth="1"/>
    <col min="3" max="3" width="0.7109375" style="18" customWidth="1"/>
    <col min="4" max="4" width="15.7109375" style="18" customWidth="1"/>
    <col min="5" max="5" width="0.7109375" style="18" customWidth="1"/>
    <col min="6" max="6" width="15.7109375" style="18" customWidth="1"/>
    <col min="7" max="7" width="0.7109375" style="18" customWidth="1"/>
    <col min="8" max="8" width="15.7109375" style="18" customWidth="1"/>
    <col min="9" max="9" width="0.7109375" style="18" customWidth="1"/>
    <col min="10" max="10" width="18.42578125" style="18" customWidth="1"/>
    <col min="11" max="11" width="0.7109375" style="18" customWidth="1"/>
    <col min="12" max="12" width="15.7109375" style="18" customWidth="1"/>
    <col min="13" max="13" width="0.7109375" style="18" customWidth="1"/>
    <col min="14" max="14" width="18.85546875" style="18" customWidth="1"/>
    <col min="15" max="15" width="9.140625" style="18"/>
    <col min="16" max="16" width="24.42578125" style="18" customWidth="1"/>
    <col min="17" max="16384" width="9.140625" style="18"/>
  </cols>
  <sheetData>
    <row r="1" spans="1:16">
      <c r="A1" s="5" t="s">
        <v>6</v>
      </c>
    </row>
    <row r="2" spans="1:16">
      <c r="A2" s="1" t="s">
        <v>107</v>
      </c>
    </row>
    <row r="3" spans="1:16">
      <c r="A3" s="1" t="s">
        <v>206</v>
      </c>
    </row>
    <row r="4" spans="1:16">
      <c r="A4" s="1" t="s">
        <v>125</v>
      </c>
    </row>
    <row r="5" spans="1:16">
      <c r="A5" s="1"/>
      <c r="B5" s="33" t="s">
        <v>71</v>
      </c>
      <c r="C5" s="135"/>
      <c r="D5" s="33"/>
      <c r="E5" s="135"/>
      <c r="F5" s="33"/>
      <c r="G5" s="135"/>
      <c r="H5" s="33"/>
      <c r="I5" s="135"/>
      <c r="J5" s="33"/>
      <c r="K5" s="135"/>
      <c r="L5" s="33"/>
      <c r="M5" s="135"/>
      <c r="N5" s="33"/>
    </row>
    <row r="6" spans="1:16">
      <c r="A6" s="1"/>
      <c r="B6" s="38" t="s">
        <v>205</v>
      </c>
      <c r="C6" s="39"/>
      <c r="D6" s="39"/>
      <c r="F6" s="39"/>
      <c r="H6" s="39"/>
      <c r="J6" s="136"/>
      <c r="L6" s="136"/>
      <c r="N6" s="136"/>
    </row>
    <row r="7" spans="1:16" ht="43.5" customHeight="1">
      <c r="B7" s="32" t="s">
        <v>207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>
      <c r="A8" s="10" t="s">
        <v>9</v>
      </c>
      <c r="B8" s="8"/>
      <c r="C8" s="8"/>
      <c r="D8" s="8"/>
      <c r="F8" s="8"/>
      <c r="H8" s="8"/>
      <c r="J8" s="8"/>
      <c r="L8" s="8"/>
      <c r="N8" s="8"/>
    </row>
    <row r="9" spans="1:16">
      <c r="A9" s="10" t="s">
        <v>10</v>
      </c>
      <c r="B9" s="12">
        <f>[1]Summary!F9</f>
        <v>412218144.1600036</v>
      </c>
      <c r="C9" s="8"/>
      <c r="D9" s="8"/>
      <c r="F9" s="8"/>
      <c r="H9" s="8"/>
      <c r="J9" s="8"/>
      <c r="K9" s="137"/>
      <c r="L9" s="8"/>
      <c r="M9" s="137"/>
      <c r="N9" s="8"/>
      <c r="P9" s="92"/>
    </row>
    <row r="10" spans="1:16">
      <c r="A10" s="10" t="s">
        <v>11</v>
      </c>
      <c r="B10" s="12">
        <f>[1]Summary!F10</f>
        <v>0</v>
      </c>
      <c r="C10" s="8"/>
      <c r="D10" s="8"/>
      <c r="F10" s="8"/>
      <c r="H10" s="8"/>
      <c r="J10" s="8"/>
      <c r="K10" s="137"/>
      <c r="L10" s="8"/>
      <c r="M10" s="137"/>
      <c r="N10" s="8"/>
      <c r="P10" s="92"/>
    </row>
    <row r="11" spans="1:16">
      <c r="A11" s="10" t="s">
        <v>12</v>
      </c>
      <c r="B11" s="12">
        <f>[1]Summary!F11</f>
        <v>18523597.616923146</v>
      </c>
      <c r="C11" s="8"/>
      <c r="D11" s="8"/>
      <c r="F11" s="8"/>
      <c r="H11" s="8"/>
      <c r="J11" s="8"/>
      <c r="K11" s="137"/>
      <c r="L11" s="8"/>
      <c r="M11" s="137"/>
      <c r="N11" s="8"/>
      <c r="P11" s="92"/>
    </row>
    <row r="12" spans="1:16">
      <c r="A12" s="10" t="s">
        <v>13</v>
      </c>
      <c r="B12" s="12">
        <f>[1]Summary!F12</f>
        <v>18407563.766656935</v>
      </c>
      <c r="C12" s="8"/>
      <c r="D12" s="8"/>
      <c r="F12" s="8"/>
      <c r="H12" s="8"/>
      <c r="J12" s="8"/>
      <c r="K12" s="137"/>
      <c r="L12" s="8"/>
      <c r="M12" s="137"/>
      <c r="N12" s="8"/>
      <c r="P12" s="92"/>
    </row>
    <row r="13" spans="1:16" ht="13.5" thickBot="1">
      <c r="A13" s="10" t="s">
        <v>14</v>
      </c>
      <c r="B13" s="9">
        <f>SUM(B9:B12)</f>
        <v>449149305.54358369</v>
      </c>
      <c r="C13" s="8"/>
      <c r="D13" s="8"/>
      <c r="F13" s="8"/>
      <c r="H13" s="8"/>
      <c r="J13" s="8"/>
      <c r="K13" s="137"/>
      <c r="L13" s="8"/>
      <c r="M13" s="137"/>
      <c r="N13" s="8"/>
      <c r="P13" s="92"/>
    </row>
    <row r="14" spans="1:16" ht="13.5" thickTop="1">
      <c r="A14" s="10"/>
      <c r="B14" s="8"/>
      <c r="C14" s="8"/>
      <c r="D14" s="8"/>
      <c r="F14" s="8"/>
      <c r="H14" s="8"/>
      <c r="J14" s="8"/>
      <c r="K14" s="137"/>
      <c r="L14" s="8"/>
      <c r="M14" s="137"/>
      <c r="N14" s="8"/>
      <c r="P14" s="92"/>
    </row>
    <row r="15" spans="1:16">
      <c r="A15" s="10" t="s">
        <v>15</v>
      </c>
      <c r="B15" s="8"/>
      <c r="C15" s="8"/>
      <c r="D15" s="8"/>
      <c r="F15" s="8"/>
      <c r="H15" s="8"/>
      <c r="J15" s="8"/>
      <c r="K15" s="137"/>
      <c r="L15" s="8"/>
      <c r="M15" s="137"/>
      <c r="N15" s="8"/>
      <c r="P15" s="92"/>
    </row>
    <row r="16" spans="1:16">
      <c r="A16" s="10" t="s">
        <v>16</v>
      </c>
      <c r="B16" s="12">
        <f>[1]Summary!F16</f>
        <v>43917695.317417219</v>
      </c>
      <c r="C16" s="8"/>
      <c r="D16" s="8"/>
      <c r="F16" s="8"/>
      <c r="H16" s="8"/>
      <c r="J16" s="8"/>
      <c r="K16" s="137"/>
      <c r="L16" s="8"/>
      <c r="M16" s="137"/>
      <c r="N16" s="8"/>
      <c r="P16" s="92"/>
    </row>
    <row r="17" spans="1:16">
      <c r="A17" s="10" t="s">
        <v>17</v>
      </c>
      <c r="B17" s="12">
        <f>[1]Summary!F17</f>
        <v>0</v>
      </c>
      <c r="C17" s="8"/>
      <c r="D17" s="8"/>
      <c r="F17" s="8"/>
      <c r="H17" s="8"/>
      <c r="J17" s="8"/>
      <c r="K17" s="137"/>
      <c r="L17" s="8"/>
      <c r="M17" s="137"/>
      <c r="N17" s="8"/>
      <c r="P17" s="92"/>
    </row>
    <row r="18" spans="1:16">
      <c r="A18" s="10" t="s">
        <v>18</v>
      </c>
      <c r="B18" s="12">
        <f>[1]Summary!F18</f>
        <v>3432438.5798518136</v>
      </c>
      <c r="C18" s="8"/>
      <c r="D18" s="8"/>
      <c r="F18" s="8"/>
      <c r="H18" s="8"/>
      <c r="J18" s="8"/>
      <c r="K18" s="137"/>
      <c r="L18" s="8"/>
      <c r="M18" s="137"/>
      <c r="N18" s="8"/>
      <c r="P18" s="92"/>
    </row>
    <row r="19" spans="1:16">
      <c r="A19" s="10" t="s">
        <v>19</v>
      </c>
      <c r="B19" s="12">
        <f>[1]Summary!F19</f>
        <v>172804968.54888943</v>
      </c>
      <c r="C19" s="8"/>
      <c r="D19" s="8"/>
      <c r="F19" s="8"/>
      <c r="H19" s="8"/>
      <c r="J19" s="8"/>
      <c r="K19" s="137"/>
      <c r="L19" s="8"/>
      <c r="M19" s="137"/>
      <c r="N19" s="8"/>
      <c r="P19" s="92"/>
    </row>
    <row r="20" spans="1:16">
      <c r="A20" s="10" t="s">
        <v>20</v>
      </c>
      <c r="B20" s="12">
        <f>[1]Summary!F20</f>
        <v>19723421.853431858</v>
      </c>
      <c r="C20" s="8"/>
      <c r="D20" s="8"/>
      <c r="F20" s="8"/>
      <c r="H20" s="8"/>
      <c r="J20" s="8"/>
      <c r="K20" s="137"/>
      <c r="L20" s="8"/>
      <c r="M20" s="137"/>
      <c r="N20" s="8"/>
      <c r="P20" s="92"/>
    </row>
    <row r="21" spans="1:16">
      <c r="A21" s="10" t="s">
        <v>21</v>
      </c>
      <c r="B21" s="12">
        <f>[1]Summary!F21</f>
        <v>18511696.538340323</v>
      </c>
      <c r="C21" s="8"/>
      <c r="D21" s="8"/>
      <c r="F21" s="8"/>
      <c r="H21" s="8"/>
      <c r="J21" s="8"/>
      <c r="K21" s="137"/>
      <c r="L21" s="8"/>
      <c r="M21" s="137"/>
      <c r="N21" s="8"/>
      <c r="P21" s="92"/>
    </row>
    <row r="22" spans="1:16">
      <c r="A22" s="10" t="s">
        <v>22</v>
      </c>
      <c r="B22" s="12">
        <f>[1]Summary!F22</f>
        <v>6777076.120244313</v>
      </c>
      <c r="C22" s="8"/>
      <c r="D22" s="8"/>
      <c r="F22" s="8"/>
      <c r="H22" s="8"/>
      <c r="J22" s="8"/>
      <c r="K22" s="137"/>
      <c r="L22" s="8"/>
      <c r="M22" s="137"/>
      <c r="N22" s="8"/>
      <c r="P22" s="92"/>
    </row>
    <row r="23" spans="1:16">
      <c r="A23" s="10" t="s">
        <v>23</v>
      </c>
      <c r="B23" s="12">
        <f>[1]Summary!F23</f>
        <v>707164.28582669166</v>
      </c>
      <c r="C23" s="8"/>
      <c r="D23" s="8"/>
      <c r="F23" s="8"/>
      <c r="H23" s="8"/>
      <c r="J23" s="8"/>
      <c r="K23" s="137"/>
      <c r="L23" s="8"/>
      <c r="M23" s="137"/>
      <c r="N23" s="8"/>
      <c r="P23" s="92"/>
    </row>
    <row r="24" spans="1:16">
      <c r="A24" s="10" t="s">
        <v>24</v>
      </c>
      <c r="B24" s="12">
        <f>[1]Summary!F24</f>
        <v>0</v>
      </c>
      <c r="C24" s="8"/>
      <c r="D24" s="8"/>
      <c r="F24" s="8"/>
      <c r="H24" s="8"/>
      <c r="J24" s="8"/>
      <c r="K24" s="137"/>
      <c r="L24" s="8"/>
      <c r="M24" s="137"/>
      <c r="N24" s="8"/>
      <c r="P24" s="92"/>
    </row>
    <row r="25" spans="1:16">
      <c r="A25" s="10" t="s">
        <v>25</v>
      </c>
      <c r="B25" s="12">
        <f>[1]Summary!F25</f>
        <v>20634363.233885195</v>
      </c>
      <c r="C25" s="8"/>
      <c r="D25" s="8"/>
      <c r="F25" s="8"/>
      <c r="H25" s="8"/>
      <c r="J25" s="8"/>
      <c r="K25" s="137"/>
      <c r="L25" s="8"/>
      <c r="M25" s="137"/>
      <c r="N25" s="8"/>
      <c r="P25" s="92"/>
    </row>
    <row r="26" spans="1:16">
      <c r="A26" s="10" t="s">
        <v>26</v>
      </c>
      <c r="B26" s="7">
        <f>SUM(B16:B25)</f>
        <v>286508824.47788686</v>
      </c>
      <c r="C26" s="8"/>
      <c r="D26" s="8"/>
      <c r="F26" s="8"/>
      <c r="H26" s="8"/>
      <c r="J26" s="8"/>
      <c r="K26" s="137"/>
      <c r="L26" s="8"/>
      <c r="M26" s="137"/>
      <c r="N26" s="8"/>
      <c r="P26" s="92"/>
    </row>
    <row r="27" spans="1:16">
      <c r="A27" s="10" t="s">
        <v>27</v>
      </c>
      <c r="B27" s="12">
        <f>[1]Summary!F27</f>
        <v>53851354.121397726</v>
      </c>
      <c r="C27" s="8"/>
      <c r="D27" s="12"/>
      <c r="F27" s="8"/>
      <c r="H27" s="8"/>
      <c r="J27" s="8"/>
      <c r="K27" s="137"/>
      <c r="L27" s="8"/>
      <c r="M27" s="137"/>
      <c r="N27" s="8"/>
      <c r="P27" s="92"/>
    </row>
    <row r="28" spans="1:16">
      <c r="A28" s="10" t="s">
        <v>28</v>
      </c>
      <c r="B28" s="12">
        <f>[1]Summary!F28</f>
        <v>12158524.644094493</v>
      </c>
      <c r="C28" s="8"/>
      <c r="D28" s="12"/>
      <c r="F28" s="8"/>
      <c r="H28" s="12"/>
      <c r="J28" s="8"/>
      <c r="K28" s="137"/>
      <c r="L28" s="8"/>
      <c r="M28" s="137"/>
      <c r="N28" s="8"/>
      <c r="P28" s="92"/>
    </row>
    <row r="29" spans="1:16">
      <c r="A29" s="10" t="s">
        <v>29</v>
      </c>
      <c r="B29" s="12">
        <f>[1]Summary!F29</f>
        <v>29202124.773337904</v>
      </c>
      <c r="C29" s="8"/>
      <c r="D29" s="12"/>
      <c r="F29" s="8"/>
      <c r="H29" s="12"/>
      <c r="J29" s="8"/>
      <c r="K29" s="137"/>
      <c r="L29" s="8"/>
      <c r="M29" s="137"/>
      <c r="N29" s="8"/>
      <c r="P29" s="92"/>
    </row>
    <row r="30" spans="1:16">
      <c r="A30" s="10" t="s">
        <v>30</v>
      </c>
      <c r="B30" s="12">
        <f>[1]Summary!F30</f>
        <v>-13151933.463076366</v>
      </c>
      <c r="C30" s="8"/>
      <c r="D30" s="12"/>
      <c r="F30" s="12"/>
      <c r="H30" s="12"/>
      <c r="J30" s="12"/>
      <c r="K30" s="137"/>
      <c r="L30" s="12"/>
      <c r="M30" s="12"/>
      <c r="N30" s="12"/>
      <c r="P30" s="92"/>
    </row>
    <row r="31" spans="1:16">
      <c r="A31" s="10" t="s">
        <v>31</v>
      </c>
      <c r="B31" s="12">
        <f>[1]Summary!F31</f>
        <v>0</v>
      </c>
      <c r="C31" s="8"/>
      <c r="D31" s="12"/>
      <c r="F31" s="8"/>
      <c r="H31" s="12"/>
      <c r="J31" s="8"/>
      <c r="K31" s="137"/>
      <c r="L31" s="8"/>
      <c r="M31" s="137"/>
      <c r="N31" s="8"/>
      <c r="P31" s="92"/>
    </row>
    <row r="32" spans="1:16">
      <c r="A32" s="10" t="s">
        <v>32</v>
      </c>
      <c r="B32" s="12">
        <f>[1]Summary!F32</f>
        <v>-914527.67211332289</v>
      </c>
      <c r="C32" s="8"/>
      <c r="D32" s="12"/>
      <c r="F32" s="8"/>
      <c r="H32" s="12"/>
      <c r="J32" s="8"/>
      <c r="K32" s="137"/>
      <c r="L32" s="8"/>
      <c r="M32" s="137"/>
      <c r="N32" s="8"/>
      <c r="P32" s="92"/>
    </row>
    <row r="33" spans="1:16">
      <c r="A33" s="10" t="s">
        <v>33</v>
      </c>
      <c r="B33" s="12">
        <f>[1]Summary!F33</f>
        <v>0</v>
      </c>
      <c r="C33" s="8"/>
      <c r="D33" s="12"/>
      <c r="F33" s="8"/>
      <c r="H33" s="12"/>
      <c r="J33" s="8"/>
      <c r="K33" s="137"/>
      <c r="L33" s="8"/>
      <c r="M33" s="137"/>
      <c r="N33" s="8"/>
      <c r="P33" s="92"/>
    </row>
    <row r="34" spans="1:16">
      <c r="A34" s="10" t="s">
        <v>34</v>
      </c>
      <c r="B34" s="12">
        <f>[1]Summary!F34</f>
        <v>-98259.164157068604</v>
      </c>
      <c r="C34" s="8"/>
      <c r="D34" s="12"/>
      <c r="F34" s="8"/>
      <c r="H34" s="8"/>
      <c r="J34" s="8"/>
      <c r="K34" s="137"/>
      <c r="L34" s="8"/>
      <c r="M34" s="137"/>
      <c r="N34" s="8"/>
      <c r="P34" s="92"/>
    </row>
    <row r="35" spans="1:16">
      <c r="A35" s="10" t="s">
        <v>35</v>
      </c>
      <c r="B35" s="7">
        <f>SUM(B26:B34)</f>
        <v>367556107.71737021</v>
      </c>
      <c r="C35" s="8"/>
      <c r="D35" s="12"/>
      <c r="F35" s="8"/>
      <c r="H35" s="8"/>
      <c r="J35" s="8"/>
      <c r="K35" s="137"/>
      <c r="L35" s="8"/>
      <c r="M35" s="137"/>
      <c r="N35" s="8"/>
      <c r="P35" s="92"/>
    </row>
    <row r="36" spans="1:16">
      <c r="A36" s="10"/>
      <c r="B36" s="8"/>
      <c r="C36" s="8"/>
      <c r="D36" s="12"/>
      <c r="F36" s="8"/>
      <c r="H36" s="8"/>
      <c r="J36" s="8"/>
      <c r="K36" s="137"/>
      <c r="L36" s="8"/>
      <c r="M36" s="137"/>
      <c r="N36" s="8"/>
      <c r="P36" s="92"/>
    </row>
    <row r="37" spans="1:16" ht="13.5" thickBot="1">
      <c r="A37" s="10" t="s">
        <v>36</v>
      </c>
      <c r="B37" s="9">
        <f>B13-B35</f>
        <v>81593197.826213479</v>
      </c>
      <c r="C37" s="8"/>
      <c r="D37" s="12"/>
      <c r="F37" s="8"/>
      <c r="H37" s="8"/>
      <c r="J37" s="8"/>
      <c r="K37" s="137"/>
      <c r="L37" s="8"/>
      <c r="M37" s="137"/>
      <c r="N37" s="8"/>
      <c r="P37" s="92"/>
    </row>
    <row r="38" spans="1:16" ht="13.5" thickTop="1">
      <c r="A38" s="10"/>
      <c r="B38" s="8"/>
      <c r="C38" s="8"/>
      <c r="D38" s="12"/>
      <c r="F38" s="8"/>
      <c r="H38" s="8"/>
      <c r="J38" s="8"/>
      <c r="K38" s="137"/>
      <c r="L38" s="8"/>
      <c r="M38" s="137"/>
      <c r="N38" s="8"/>
      <c r="P38" s="92"/>
    </row>
    <row r="39" spans="1:16">
      <c r="A39" s="10" t="s">
        <v>37</v>
      </c>
      <c r="B39" s="8"/>
      <c r="C39" s="8"/>
      <c r="D39" s="8"/>
      <c r="F39" s="8"/>
      <c r="H39" s="8"/>
      <c r="J39" s="8"/>
      <c r="K39" s="137"/>
      <c r="L39" s="8"/>
      <c r="M39" s="137"/>
      <c r="N39" s="8"/>
      <c r="P39" s="92"/>
    </row>
    <row r="40" spans="1:16">
      <c r="A40" s="10" t="s">
        <v>38</v>
      </c>
      <c r="B40" s="12">
        <f>[1]Summary!F40</f>
        <v>2222312244.4742155</v>
      </c>
      <c r="C40" s="8"/>
      <c r="D40" s="8"/>
      <c r="F40" s="8"/>
      <c r="H40" s="8"/>
      <c r="J40" s="8"/>
      <c r="K40" s="137"/>
      <c r="L40" s="8"/>
      <c r="M40" s="137"/>
      <c r="N40" s="8"/>
      <c r="P40" s="92"/>
    </row>
    <row r="41" spans="1:16">
      <c r="A41" s="10" t="s">
        <v>39</v>
      </c>
      <c r="B41" s="12">
        <f>[1]Summary!F41</f>
        <v>467184.71621561563</v>
      </c>
      <c r="C41" s="8"/>
      <c r="D41" s="8"/>
      <c r="F41" s="8"/>
      <c r="H41" s="8"/>
      <c r="J41" s="8"/>
      <c r="K41" s="137"/>
      <c r="L41" s="8"/>
      <c r="M41" s="137"/>
      <c r="N41" s="8"/>
      <c r="P41" s="92"/>
    </row>
    <row r="42" spans="1:16">
      <c r="A42" s="10" t="s">
        <v>40</v>
      </c>
      <c r="B42" s="12">
        <f>[1]Summary!F42</f>
        <v>-187305.4531018649</v>
      </c>
      <c r="C42" s="8"/>
      <c r="D42" s="8"/>
      <c r="F42" s="8"/>
      <c r="H42" s="8"/>
      <c r="J42" s="8"/>
      <c r="K42" s="137"/>
      <c r="L42" s="8"/>
      <c r="M42" s="137"/>
      <c r="N42" s="8"/>
      <c r="P42" s="92"/>
    </row>
    <row r="43" spans="1:16">
      <c r="A43" s="10" t="s">
        <v>41</v>
      </c>
      <c r="B43" s="12">
        <f>[1]Summary!F43</f>
        <v>115844.19848648913</v>
      </c>
      <c r="C43" s="8"/>
      <c r="D43" s="8"/>
      <c r="F43" s="8"/>
      <c r="H43" s="8"/>
      <c r="J43" s="8"/>
      <c r="K43" s="137"/>
      <c r="L43" s="8"/>
      <c r="M43" s="137"/>
      <c r="N43" s="8"/>
      <c r="P43" s="92"/>
    </row>
    <row r="44" spans="1:16">
      <c r="A44" s="10" t="s">
        <v>42</v>
      </c>
      <c r="B44" s="12">
        <f>[1]Summary!F44</f>
        <v>0</v>
      </c>
      <c r="C44" s="8"/>
      <c r="D44" s="8"/>
      <c r="F44" s="8"/>
      <c r="H44" s="8"/>
      <c r="J44" s="8"/>
      <c r="K44" s="137"/>
      <c r="L44" s="8"/>
      <c r="M44" s="137"/>
      <c r="N44" s="8"/>
      <c r="P44" s="92"/>
    </row>
    <row r="45" spans="1:16">
      <c r="A45" s="10" t="s">
        <v>43</v>
      </c>
      <c r="B45" s="12">
        <f>[1]Summary!F45</f>
        <v>4.6566128730773926E-9</v>
      </c>
      <c r="C45" s="8"/>
      <c r="D45" s="8"/>
      <c r="F45" s="8"/>
      <c r="H45" s="8"/>
      <c r="J45" s="8"/>
      <c r="K45" s="137"/>
      <c r="L45" s="8"/>
      <c r="M45" s="137"/>
      <c r="N45" s="8"/>
      <c r="P45" s="92"/>
    </row>
    <row r="46" spans="1:16">
      <c r="A46" s="10" t="s">
        <v>44</v>
      </c>
      <c r="B46" s="12">
        <f>[1]Summary!F46</f>
        <v>0</v>
      </c>
      <c r="C46" s="8"/>
      <c r="D46" s="8"/>
      <c r="F46" s="8"/>
      <c r="H46" s="8"/>
      <c r="J46" s="8"/>
      <c r="K46" s="137"/>
      <c r="L46" s="8"/>
      <c r="M46" s="137"/>
      <c r="N46" s="8"/>
      <c r="P46" s="92"/>
    </row>
    <row r="47" spans="1:16">
      <c r="A47" s="10" t="s">
        <v>45</v>
      </c>
      <c r="B47" s="12">
        <f>[1]Summary!F47</f>
        <v>8.6884945631027222E-5</v>
      </c>
      <c r="C47" s="8"/>
      <c r="D47" s="8"/>
      <c r="F47" s="8"/>
      <c r="H47" s="8"/>
      <c r="J47" s="8"/>
      <c r="K47" s="137"/>
      <c r="L47" s="8"/>
      <c r="M47" s="137"/>
      <c r="N47" s="8"/>
      <c r="P47" s="92"/>
    </row>
    <row r="48" spans="1:16">
      <c r="A48" s="10" t="s">
        <v>46</v>
      </c>
      <c r="B48" s="12">
        <f>[1]Summary!F48</f>
        <v>29873668.417190563</v>
      </c>
      <c r="C48" s="8"/>
      <c r="D48" s="8"/>
      <c r="F48" s="8"/>
      <c r="H48" s="8"/>
      <c r="J48" s="8"/>
      <c r="K48" s="137"/>
      <c r="L48" s="8"/>
      <c r="M48" s="137"/>
      <c r="N48" s="8"/>
      <c r="P48" s="92"/>
    </row>
    <row r="49" spans="1:16">
      <c r="A49" s="10" t="s">
        <v>47</v>
      </c>
      <c r="B49" s="12">
        <f>[1]Summary!F49</f>
        <v>3311.89</v>
      </c>
      <c r="C49" s="8"/>
      <c r="D49" s="8"/>
      <c r="F49" s="8"/>
      <c r="H49" s="8"/>
      <c r="J49" s="8"/>
      <c r="K49" s="137"/>
      <c r="L49" s="8"/>
      <c r="M49" s="137"/>
      <c r="N49" s="8"/>
      <c r="P49" s="92"/>
    </row>
    <row r="50" spans="1:16">
      <c r="A50" s="10" t="s">
        <v>48</v>
      </c>
      <c r="B50" s="12">
        <f>[1]Summary!F50</f>
        <v>0</v>
      </c>
      <c r="C50" s="8"/>
      <c r="D50" s="8"/>
      <c r="F50" s="8"/>
      <c r="H50" s="8"/>
      <c r="J50" s="8"/>
      <c r="K50" s="137"/>
      <c r="L50" s="8"/>
      <c r="M50" s="137"/>
      <c r="N50" s="8"/>
      <c r="P50" s="92"/>
    </row>
    <row r="51" spans="1:16" ht="13.5" thickBot="1">
      <c r="A51" s="10" t="s">
        <v>49</v>
      </c>
      <c r="B51" s="9">
        <f>SUM(B40:B50)</f>
        <v>2252584948.243093</v>
      </c>
      <c r="C51" s="8"/>
      <c r="D51" s="8"/>
      <c r="F51" s="8"/>
      <c r="H51" s="8"/>
      <c r="J51" s="8"/>
      <c r="K51" s="137"/>
      <c r="L51" s="8"/>
      <c r="M51" s="137"/>
      <c r="N51" s="8"/>
      <c r="P51" s="92"/>
    </row>
    <row r="52" spans="1:16" ht="13.5" thickTop="1">
      <c r="A52" s="10"/>
      <c r="B52" s="8"/>
      <c r="C52" s="8"/>
      <c r="D52" s="8"/>
      <c r="F52" s="8"/>
      <c r="H52" s="8"/>
      <c r="J52" s="8"/>
      <c r="K52" s="137"/>
      <c r="L52" s="8"/>
      <c r="M52" s="137"/>
      <c r="N52" s="8"/>
      <c r="P52" s="92"/>
    </row>
    <row r="53" spans="1:16">
      <c r="A53" s="10" t="s">
        <v>50</v>
      </c>
      <c r="B53" s="8"/>
      <c r="C53" s="8"/>
      <c r="D53" s="8"/>
      <c r="F53" s="8"/>
      <c r="H53" s="8"/>
      <c r="J53" s="8"/>
      <c r="K53" s="137"/>
      <c r="L53" s="8"/>
      <c r="M53" s="137"/>
      <c r="N53" s="8"/>
      <c r="P53" s="92"/>
    </row>
    <row r="54" spans="1:16">
      <c r="A54" s="10" t="s">
        <v>51</v>
      </c>
      <c r="B54" s="12">
        <f>[1]Summary!F54</f>
        <v>-825050284.47702587</v>
      </c>
      <c r="C54" s="8"/>
      <c r="D54" s="8"/>
      <c r="F54" s="8"/>
      <c r="H54" s="8"/>
      <c r="J54" s="8"/>
      <c r="K54" s="137"/>
      <c r="L54" s="8"/>
      <c r="M54" s="137"/>
      <c r="N54" s="8"/>
      <c r="P54" s="92"/>
    </row>
    <row r="55" spans="1:16">
      <c r="A55" s="10" t="s">
        <v>52</v>
      </c>
      <c r="B55" s="12">
        <f>[1]Summary!F55</f>
        <v>-64995002.633910976</v>
      </c>
      <c r="C55" s="8"/>
      <c r="D55" s="8"/>
      <c r="F55" s="8"/>
      <c r="H55" s="8"/>
      <c r="J55" s="8"/>
      <c r="K55" s="137"/>
      <c r="L55" s="8"/>
      <c r="M55" s="137"/>
      <c r="N55" s="8"/>
      <c r="P55" s="92"/>
    </row>
    <row r="56" spans="1:16">
      <c r="A56" s="10" t="s">
        <v>53</v>
      </c>
      <c r="B56" s="12">
        <f>[1]Summary!F56</f>
        <v>-161428474.99656531</v>
      </c>
      <c r="C56" s="8"/>
      <c r="D56" s="8"/>
      <c r="F56" s="8"/>
      <c r="H56" s="8"/>
      <c r="J56" s="8"/>
      <c r="K56" s="137"/>
      <c r="L56" s="8"/>
      <c r="M56" s="137"/>
      <c r="N56" s="8"/>
      <c r="P56" s="92"/>
    </row>
    <row r="57" spans="1:16">
      <c r="A57" s="10" t="s">
        <v>54</v>
      </c>
      <c r="B57" s="12">
        <f>[1]Summary!F57</f>
        <v>-14943.338687945423</v>
      </c>
      <c r="C57" s="8"/>
      <c r="D57" s="8"/>
      <c r="F57" s="8"/>
      <c r="H57" s="8"/>
      <c r="J57" s="8"/>
      <c r="K57" s="137"/>
      <c r="L57" s="8"/>
      <c r="M57" s="137"/>
      <c r="N57" s="8"/>
      <c r="P57" s="92"/>
    </row>
    <row r="58" spans="1:16">
      <c r="A58" s="10" t="s">
        <v>55</v>
      </c>
      <c r="B58" s="12">
        <f>[1]Summary!F58</f>
        <v>-7825156.6492933892</v>
      </c>
      <c r="C58" s="8"/>
      <c r="D58" s="8"/>
      <c r="F58" s="8"/>
      <c r="H58" s="8"/>
      <c r="J58" s="8"/>
      <c r="K58" s="137"/>
      <c r="L58" s="8"/>
      <c r="M58" s="137"/>
      <c r="N58" s="8"/>
      <c r="P58" s="92"/>
    </row>
    <row r="59" spans="1:16">
      <c r="A59" s="10" t="s">
        <v>56</v>
      </c>
      <c r="B59" s="12">
        <f>[1]Summary!F59</f>
        <v>-408390.63249999989</v>
      </c>
      <c r="C59" s="8"/>
      <c r="D59" s="8"/>
      <c r="F59" s="8"/>
      <c r="H59" s="8"/>
      <c r="J59" s="8"/>
      <c r="K59" s="137"/>
      <c r="L59" s="8"/>
      <c r="M59" s="137"/>
      <c r="N59" s="8"/>
      <c r="P59" s="92"/>
    </row>
    <row r="60" spans="1:16">
      <c r="A60" s="10" t="s">
        <v>57</v>
      </c>
      <c r="B60" s="12">
        <f>[1]Summary!F60</f>
        <v>-73614386.165271983</v>
      </c>
      <c r="C60" s="8"/>
      <c r="D60" s="8"/>
      <c r="F60" s="8"/>
      <c r="H60" s="8"/>
      <c r="J60" s="8"/>
      <c r="K60" s="137"/>
      <c r="L60" s="8"/>
      <c r="M60" s="137"/>
      <c r="N60" s="8"/>
      <c r="P60" s="92"/>
    </row>
    <row r="61" spans="1:16">
      <c r="A61" s="10"/>
      <c r="B61" s="8"/>
      <c r="C61" s="8"/>
      <c r="D61" s="8"/>
      <c r="F61" s="8"/>
      <c r="H61" s="8"/>
      <c r="J61" s="8"/>
      <c r="K61" s="137"/>
      <c r="L61" s="8"/>
      <c r="M61" s="137"/>
      <c r="N61" s="8"/>
      <c r="P61" s="92"/>
    </row>
    <row r="62" spans="1:16" ht="13.5" thickBot="1">
      <c r="A62" s="10" t="s">
        <v>58</v>
      </c>
      <c r="B62" s="9">
        <f>SUM(B54:B60)</f>
        <v>-1133336638.8932555</v>
      </c>
      <c r="C62" s="8"/>
      <c r="D62" s="8"/>
      <c r="F62" s="8"/>
      <c r="H62" s="8"/>
      <c r="J62" s="8"/>
      <c r="K62" s="137"/>
      <c r="L62" s="8"/>
      <c r="M62" s="137"/>
      <c r="N62" s="8"/>
      <c r="P62" s="92"/>
    </row>
    <row r="63" spans="1:16" ht="13.5" thickTop="1">
      <c r="A63" s="10"/>
      <c r="B63" s="8"/>
      <c r="C63" s="8"/>
      <c r="D63" s="8"/>
      <c r="F63" s="8"/>
      <c r="H63" s="8"/>
      <c r="J63" s="8"/>
      <c r="K63" s="137"/>
      <c r="L63" s="8"/>
      <c r="M63" s="137"/>
      <c r="N63" s="8"/>
      <c r="P63" s="92"/>
    </row>
    <row r="64" spans="1:16" ht="13.5" thickBot="1">
      <c r="A64" s="10" t="s">
        <v>59</v>
      </c>
      <c r="B64" s="9">
        <f>B51+B62</f>
        <v>1119248309.3498375</v>
      </c>
      <c r="C64" s="8"/>
      <c r="D64" s="8"/>
      <c r="F64" s="8"/>
      <c r="H64" s="8"/>
      <c r="J64" s="8"/>
      <c r="K64" s="137"/>
      <c r="L64" s="8"/>
      <c r="M64" s="137"/>
      <c r="N64" s="8"/>
      <c r="P64" s="92"/>
    </row>
    <row r="65" spans="1:16" ht="13.5" thickTop="1">
      <c r="A65" s="10"/>
      <c r="B65" s="8"/>
      <c r="C65" s="8"/>
      <c r="D65" s="8"/>
      <c r="F65" s="8"/>
      <c r="H65" s="8"/>
      <c r="J65" s="8"/>
      <c r="K65" s="137"/>
      <c r="L65" s="8"/>
      <c r="M65" s="137"/>
      <c r="N65" s="8"/>
      <c r="P65" s="92"/>
    </row>
    <row r="66" spans="1:16">
      <c r="A66" s="10" t="s">
        <v>8</v>
      </c>
      <c r="B66" s="21">
        <f>B37/B64</f>
        <v>7.2899996492833949E-2</v>
      </c>
      <c r="C66" s="21"/>
      <c r="D66" s="21"/>
      <c r="F66" s="21"/>
      <c r="H66" s="21"/>
      <c r="J66" s="21"/>
      <c r="K66" s="138"/>
      <c r="L66" s="21"/>
      <c r="M66" s="138"/>
      <c r="N66" s="21"/>
      <c r="P66" s="92"/>
    </row>
    <row r="67" spans="1:16">
      <c r="A67" s="10" t="s">
        <v>60</v>
      </c>
      <c r="B67" s="21">
        <f>(B66-Weighted_cost_debt-Weighted_cost_pref)/Percent_common</f>
        <v>9.49999929856679E-2</v>
      </c>
      <c r="C67" s="21"/>
      <c r="D67" s="21"/>
      <c r="F67" s="21"/>
      <c r="H67" s="21"/>
      <c r="J67" s="21"/>
      <c r="K67" s="138"/>
      <c r="L67" s="21"/>
      <c r="M67" s="138"/>
      <c r="N67" s="21"/>
      <c r="P67" s="92"/>
    </row>
    <row r="68" spans="1:16">
      <c r="A68" s="10" t="s">
        <v>7</v>
      </c>
      <c r="B68" s="8">
        <f>IF(ABS(-(F37-(F64*Overall_ROR))/gross_up_factor)&lt;5,0,-(F37-(F64*Overall_ROR))/gross_up_factor)</f>
        <v>0</v>
      </c>
      <c r="C68" s="8"/>
      <c r="D68" s="8"/>
      <c r="F68" s="8"/>
      <c r="H68" s="8"/>
      <c r="J68" s="8"/>
      <c r="K68" s="137"/>
      <c r="L68" s="8"/>
      <c r="M68" s="137"/>
      <c r="N68" s="8"/>
      <c r="P68" s="92"/>
    </row>
    <row r="69" spans="1:16">
      <c r="A69" s="10"/>
      <c r="B69" s="19"/>
      <c r="C69" s="19"/>
      <c r="D69" s="19"/>
      <c r="F69" s="19"/>
      <c r="H69" s="19"/>
      <c r="J69" s="93"/>
      <c r="K69" s="137"/>
      <c r="L69" s="93"/>
      <c r="M69" s="137"/>
      <c r="N69" s="93"/>
      <c r="P69" s="92"/>
    </row>
    <row r="70" spans="1:16">
      <c r="A70" s="10" t="s">
        <v>61</v>
      </c>
      <c r="B70" s="8"/>
      <c r="C70" s="8"/>
      <c r="D70" s="8"/>
      <c r="F70" s="8"/>
      <c r="H70" s="8"/>
      <c r="J70" s="8"/>
      <c r="K70" s="137"/>
      <c r="L70" s="8"/>
      <c r="M70" s="137"/>
      <c r="N70" s="8"/>
      <c r="P70" s="92"/>
    </row>
    <row r="71" spans="1:16">
      <c r="A71" s="10" t="s">
        <v>62</v>
      </c>
      <c r="B71" s="8">
        <f t="shared" ref="B71" si="0">B13-B26-B27-B28-B29-B34</f>
        <v>67526736.691023767</v>
      </c>
      <c r="C71" s="8"/>
      <c r="D71" s="8"/>
      <c r="F71" s="8"/>
      <c r="H71" s="8"/>
      <c r="J71" s="8"/>
      <c r="K71" s="137"/>
      <c r="L71" s="8"/>
      <c r="M71" s="137"/>
      <c r="N71" s="8"/>
      <c r="P71" s="92"/>
    </row>
    <row r="72" spans="1:16">
      <c r="A72" s="10" t="s">
        <v>63</v>
      </c>
      <c r="B72" s="12">
        <f>[1]Summary!F72</f>
        <v>0</v>
      </c>
      <c r="C72" s="8"/>
      <c r="D72" s="8"/>
      <c r="F72" s="8"/>
      <c r="H72" s="8"/>
      <c r="J72" s="8"/>
      <c r="K72" s="137"/>
      <c r="L72" s="8"/>
      <c r="M72" s="137"/>
      <c r="N72" s="8"/>
      <c r="P72" s="92"/>
    </row>
    <row r="73" spans="1:16">
      <c r="A73" s="10" t="s">
        <v>64</v>
      </c>
      <c r="B73" s="12">
        <f>[1]Summary!F73</f>
        <v>-3636274.7351071914</v>
      </c>
      <c r="C73" s="8"/>
      <c r="D73" s="8"/>
      <c r="F73" s="8"/>
      <c r="H73" s="8"/>
      <c r="J73" s="8"/>
      <c r="K73" s="137"/>
      <c r="L73" s="8"/>
      <c r="M73" s="137"/>
      <c r="N73" s="8"/>
      <c r="P73" s="92"/>
    </row>
    <row r="74" spans="1:16">
      <c r="A74" s="10" t="s">
        <v>65</v>
      </c>
      <c r="B74" s="12">
        <f>[1]Summary!F74</f>
        <v>28479172.499058776</v>
      </c>
      <c r="C74" s="8"/>
      <c r="D74" s="8"/>
      <c r="F74" s="8"/>
      <c r="H74" s="8"/>
      <c r="J74" s="8"/>
      <c r="K74" s="137"/>
      <c r="L74" s="8"/>
      <c r="M74" s="137"/>
      <c r="N74" s="8"/>
      <c r="P74" s="92"/>
    </row>
    <row r="75" spans="1:16">
      <c r="A75" s="10" t="s">
        <v>66</v>
      </c>
      <c r="B75" s="12">
        <f>[1]Summary!F75</f>
        <v>94733504.432607815</v>
      </c>
      <c r="C75" s="8"/>
      <c r="D75" s="8"/>
      <c r="F75" s="8"/>
      <c r="H75" s="8"/>
      <c r="J75" s="8"/>
      <c r="K75" s="137"/>
      <c r="L75" s="8"/>
      <c r="M75" s="137"/>
      <c r="N75" s="8"/>
      <c r="P75" s="92"/>
    </row>
    <row r="76" spans="1:16">
      <c r="A76" s="10" t="s">
        <v>67</v>
      </c>
      <c r="B76" s="84">
        <f>[1]Summary!F76</f>
        <v>114380790.72417834</v>
      </c>
      <c r="C76" s="8"/>
      <c r="D76" s="8"/>
      <c r="F76" s="8"/>
      <c r="H76" s="8"/>
      <c r="J76" s="8"/>
      <c r="K76" s="137"/>
      <c r="L76" s="8"/>
      <c r="M76" s="137"/>
      <c r="N76" s="8"/>
      <c r="P76" s="92"/>
    </row>
    <row r="77" spans="1:16">
      <c r="A77" s="10" t="s">
        <v>68</v>
      </c>
      <c r="B77" s="8">
        <f t="shared" ref="B77" si="1">B71-B73-B74+B75-B76</f>
        <v>23036552.635501653</v>
      </c>
      <c r="C77" s="8"/>
      <c r="D77" s="8"/>
      <c r="F77" s="8"/>
      <c r="H77" s="8"/>
      <c r="J77" s="8"/>
      <c r="K77" s="137"/>
      <c r="L77" s="8"/>
      <c r="M77" s="137"/>
      <c r="N77" s="8"/>
      <c r="P77" s="92"/>
    </row>
    <row r="78" spans="1:16">
      <c r="A78" s="10"/>
      <c r="B78" s="8"/>
      <c r="C78" s="8"/>
      <c r="D78" s="8"/>
      <c r="F78" s="8"/>
      <c r="H78" s="8"/>
      <c r="J78" s="8"/>
      <c r="K78" s="137"/>
      <c r="L78" s="8"/>
      <c r="M78" s="137"/>
      <c r="N78" s="8"/>
      <c r="P78" s="92"/>
    </row>
    <row r="79" spans="1:16">
      <c r="A79" s="10" t="s">
        <v>69</v>
      </c>
      <c r="B79" s="8">
        <v>0</v>
      </c>
      <c r="C79" s="8"/>
      <c r="D79" s="8"/>
      <c r="F79" s="8"/>
      <c r="H79" s="8"/>
      <c r="J79" s="8"/>
      <c r="K79" s="137"/>
      <c r="L79" s="8"/>
      <c r="M79" s="137"/>
      <c r="N79" s="8"/>
      <c r="P79" s="92"/>
    </row>
    <row r="80" spans="1:16">
      <c r="A80" s="10" t="s">
        <v>70</v>
      </c>
      <c r="B80" s="8">
        <f>B77-B79</f>
        <v>23036552.635501653</v>
      </c>
      <c r="C80" s="8"/>
      <c r="D80" s="8"/>
      <c r="F80" s="8"/>
      <c r="H80" s="8"/>
      <c r="J80" s="8"/>
      <c r="K80" s="137"/>
      <c r="L80" s="8"/>
      <c r="M80" s="137"/>
      <c r="N80" s="8"/>
      <c r="P80" s="92"/>
    </row>
    <row r="81" spans="1:16">
      <c r="A81" s="10"/>
      <c r="B81" s="8"/>
      <c r="C81" s="8"/>
      <c r="D81" s="8"/>
      <c r="F81" s="8"/>
      <c r="H81" s="8"/>
      <c r="J81" s="8"/>
      <c r="K81" s="137"/>
      <c r="L81" s="8"/>
      <c r="M81" s="137"/>
      <c r="N81" s="8"/>
      <c r="P81" s="92"/>
    </row>
    <row r="82" spans="1:16">
      <c r="A82" s="10" t="s">
        <v>75</v>
      </c>
      <c r="B82" s="8">
        <f>B80*0.21</f>
        <v>4837676.0534553472</v>
      </c>
      <c r="C82" s="8"/>
      <c r="D82" s="8"/>
      <c r="F82" s="8"/>
      <c r="H82" s="8"/>
      <c r="J82" s="8"/>
      <c r="K82" s="137"/>
      <c r="L82" s="8"/>
      <c r="M82" s="137"/>
      <c r="N82" s="8"/>
      <c r="P82" s="92"/>
    </row>
    <row r="83" spans="1:16">
      <c r="A83" s="10" t="s">
        <v>111</v>
      </c>
      <c r="B83" s="8">
        <f>B84-B82</f>
        <v>-17989609.516531713</v>
      </c>
      <c r="C83" s="8"/>
      <c r="D83" s="8"/>
      <c r="F83" s="8"/>
      <c r="H83" s="8"/>
      <c r="J83" s="8"/>
      <c r="K83" s="137"/>
      <c r="L83" s="8"/>
      <c r="M83" s="137"/>
      <c r="N83" s="8"/>
      <c r="P83" s="92"/>
    </row>
    <row r="84" spans="1:16">
      <c r="A84" s="10" t="s">
        <v>76</v>
      </c>
      <c r="B84" s="12">
        <f>[1]Summary!F84</f>
        <v>-13151933.463076366</v>
      </c>
      <c r="C84" s="8"/>
      <c r="D84" s="8"/>
      <c r="F84" s="8"/>
      <c r="H84" s="8"/>
      <c r="J84" s="8"/>
      <c r="K84" s="137"/>
      <c r="L84" s="8"/>
      <c r="M84" s="137"/>
      <c r="N84" s="8"/>
      <c r="P84" s="92"/>
    </row>
    <row r="85" spans="1:16">
      <c r="A85" s="10"/>
      <c r="B85" s="8"/>
      <c r="C85" s="8"/>
      <c r="D85" s="8"/>
      <c r="F85" s="8"/>
      <c r="H85" s="8"/>
      <c r="J85" s="8"/>
      <c r="L85" s="8"/>
      <c r="N85" s="8"/>
      <c r="P85" s="92"/>
    </row>
    <row r="86" spans="1:16">
      <c r="A86" s="10"/>
      <c r="B86" s="8"/>
      <c r="C86" s="8"/>
      <c r="D86" s="8"/>
      <c r="F86" s="8"/>
      <c r="H86" s="8"/>
      <c r="J86" s="8"/>
      <c r="L86" s="8"/>
      <c r="N86" s="8"/>
    </row>
    <row r="87" spans="1:16">
      <c r="A87" s="10"/>
      <c r="B87" s="8"/>
      <c r="C87" s="8"/>
      <c r="D87" s="8"/>
      <c r="F87" s="8"/>
      <c r="H87" s="8"/>
      <c r="J87" s="8"/>
      <c r="L87" s="8"/>
      <c r="N87" s="8"/>
    </row>
    <row r="88" spans="1:16">
      <c r="A88" s="10"/>
      <c r="B88" s="8"/>
      <c r="C88" s="8"/>
      <c r="D88" s="8"/>
      <c r="F88" s="8"/>
      <c r="L88" s="8"/>
    </row>
    <row r="89" spans="1:16">
      <c r="A89" s="10"/>
      <c r="B89" s="8"/>
      <c r="C89" s="8"/>
      <c r="D89" s="8"/>
      <c r="F89" s="8"/>
      <c r="H89" s="8"/>
      <c r="J89" s="139"/>
      <c r="L89" s="8"/>
      <c r="N89" s="8"/>
    </row>
    <row r="90" spans="1:16">
      <c r="A90" s="20"/>
      <c r="B90" s="8"/>
      <c r="C90" s="8"/>
      <c r="D90" s="8"/>
      <c r="F90" s="8"/>
      <c r="H90" s="8"/>
      <c r="J90" s="8"/>
      <c r="L90" s="8"/>
      <c r="N90" s="8"/>
    </row>
    <row r="91" spans="1:16">
      <c r="B91" s="6"/>
      <c r="C91" s="10"/>
      <c r="D91" s="10"/>
      <c r="F91" s="10"/>
      <c r="H91" s="10"/>
      <c r="J91" s="10"/>
      <c r="L91" s="10"/>
      <c r="N91" s="10"/>
    </row>
  </sheetData>
  <phoneticPr fontId="6" type="noConversion"/>
  <pageMargins left="0.5" right="0.5" top="0.5" bottom="0.5" header="0.5" footer="0.5"/>
  <pageSetup scale="66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635C-EA64-4F78-805E-909884806AA3}">
  <sheetPr>
    <pageSetUpPr fitToPage="1"/>
  </sheetPr>
  <dimension ref="A1:H39"/>
  <sheetViews>
    <sheetView workbookViewId="0">
      <selection activeCell="F44" sqref="F44"/>
    </sheetView>
  </sheetViews>
  <sheetFormatPr defaultColWidth="9.140625" defaultRowHeight="11.25"/>
  <cols>
    <col min="1" max="1" width="4.28515625" style="198" customWidth="1"/>
    <col min="2" max="2" width="9" style="204" customWidth="1"/>
    <col min="3" max="3" width="50" style="198" customWidth="1"/>
    <col min="4" max="4" width="10.7109375" style="198" customWidth="1"/>
    <col min="5" max="5" width="12" style="198" bestFit="1" customWidth="1"/>
    <col min="6" max="6" width="10.7109375" style="198" customWidth="1"/>
    <col min="7" max="7" width="26.7109375" style="198" customWidth="1"/>
    <col min="8" max="8" width="10.42578125" style="198" bestFit="1" customWidth="1"/>
    <col min="9" max="16384" width="9.140625" style="198"/>
  </cols>
  <sheetData>
    <row r="1" spans="1:8" ht="19.5">
      <c r="A1" s="203" t="s">
        <v>96</v>
      </c>
      <c r="C1" s="205"/>
      <c r="D1" s="205"/>
      <c r="E1" s="205"/>
      <c r="F1" s="205"/>
      <c r="G1" s="205"/>
    </row>
    <row r="2" spans="1:8" ht="6" customHeight="1">
      <c r="A2" s="206"/>
    </row>
    <row r="3" spans="1:8" ht="12.75" customHeight="1">
      <c r="A3" s="242" t="s">
        <v>130</v>
      </c>
      <c r="B3" s="242"/>
      <c r="C3" s="242"/>
      <c r="D3" s="242"/>
      <c r="E3" s="242"/>
      <c r="F3" s="242"/>
      <c r="G3" s="242"/>
    </row>
    <row r="4" spans="1:8" ht="12.75" customHeight="1">
      <c r="A4" s="242"/>
      <c r="B4" s="242"/>
      <c r="C4" s="242"/>
      <c r="D4" s="242"/>
      <c r="E4" s="242"/>
      <c r="F4" s="242"/>
      <c r="G4" s="242"/>
    </row>
    <row r="5" spans="1:8" ht="12.75">
      <c r="B5" s="207"/>
    </row>
    <row r="7" spans="1:8">
      <c r="B7" s="208" t="s">
        <v>98</v>
      </c>
      <c r="C7" s="208" t="s">
        <v>99</v>
      </c>
      <c r="D7" s="208" t="s">
        <v>100</v>
      </c>
      <c r="E7" s="208" t="s">
        <v>101</v>
      </c>
      <c r="F7" s="208" t="s">
        <v>102</v>
      </c>
      <c r="G7" s="208" t="s">
        <v>103</v>
      </c>
    </row>
    <row r="8" spans="1:8" s="213" customFormat="1" ht="24.75" customHeight="1">
      <c r="A8" s="209" t="s">
        <v>97</v>
      </c>
      <c r="B8" s="209" t="s">
        <v>115</v>
      </c>
      <c r="C8" s="209" t="s">
        <v>114</v>
      </c>
      <c r="D8" s="210" t="s">
        <v>92</v>
      </c>
      <c r="E8" s="211" t="s">
        <v>93</v>
      </c>
      <c r="F8" s="210" t="s">
        <v>94</v>
      </c>
      <c r="G8" s="212" t="s">
        <v>91</v>
      </c>
    </row>
    <row r="9" spans="1:8">
      <c r="A9" s="204">
        <v>1</v>
      </c>
      <c r="B9" s="204" t="s">
        <v>108</v>
      </c>
      <c r="C9" s="198" t="s">
        <v>113</v>
      </c>
      <c r="D9" s="46" cm="1">
        <f t="array" ref="D9:D14">TRANSPOSE('Rev Req - Coal Tracker RY2'!C40:H40)</f>
        <v>-1382081.2976351536</v>
      </c>
      <c r="E9" s="46">
        <f t="array" ref="E9:E14">TRANSPOSE('Rev Req - Coal Tracker RY2'!C67:H67)</f>
        <v>0</v>
      </c>
      <c r="F9" s="46">
        <f t="shared" ref="F9:F16" si="0">-(D9-(E9*Overall_ROR))/gross_up_factor</f>
        <v>1838314.0879933408</v>
      </c>
      <c r="G9" s="46"/>
      <c r="H9" s="214"/>
    </row>
    <row r="10" spans="1:8">
      <c r="A10" s="204">
        <f>A9+1</f>
        <v>2</v>
      </c>
      <c r="B10" s="215" t="s">
        <v>119</v>
      </c>
      <c r="C10" s="198" t="s">
        <v>120</v>
      </c>
      <c r="D10" s="46">
        <v>0</v>
      </c>
      <c r="E10" s="46">
        <v>5338722.5603168681</v>
      </c>
      <c r="F10" s="46">
        <f t="shared" si="0"/>
        <v>517667.62609015405</v>
      </c>
      <c r="G10" s="46"/>
    </row>
    <row r="11" spans="1:8">
      <c r="A11" s="204">
        <f t="shared" ref="A11:A15" si="1">A10+1</f>
        <v>3</v>
      </c>
      <c r="B11" s="204" t="s">
        <v>109</v>
      </c>
      <c r="C11" s="198" t="s">
        <v>121</v>
      </c>
      <c r="D11" s="68">
        <v>-1146984.6655504657</v>
      </c>
      <c r="E11" s="68">
        <v>-10630932.278690815</v>
      </c>
      <c r="F11" s="46">
        <f t="shared" si="0"/>
        <v>494785.59021295694</v>
      </c>
      <c r="G11" s="46"/>
    </row>
    <row r="12" spans="1:8">
      <c r="A12" s="204">
        <f>A11+1</f>
        <v>4</v>
      </c>
      <c r="B12" s="204" t="s">
        <v>122</v>
      </c>
      <c r="C12" s="198" t="s">
        <v>126</v>
      </c>
      <c r="D12" s="68">
        <v>-25277.037643615313</v>
      </c>
      <c r="E12" s="68">
        <v>2780326.7358191526</v>
      </c>
      <c r="F12" s="46">
        <f t="shared" si="0"/>
        <v>303214.67463599198</v>
      </c>
      <c r="G12" s="46"/>
    </row>
    <row r="13" spans="1:8">
      <c r="A13" s="204">
        <f t="shared" si="1"/>
        <v>5</v>
      </c>
      <c r="B13" s="204" t="s">
        <v>110</v>
      </c>
      <c r="C13" s="198" t="s">
        <v>112</v>
      </c>
      <c r="D13" s="46">
        <v>1778276.8044081284</v>
      </c>
      <c r="E13" s="46">
        <v>0</v>
      </c>
      <c r="F13" s="46">
        <f t="shared" si="0"/>
        <v>-2365295.9543615868</v>
      </c>
      <c r="G13" s="46"/>
      <c r="H13" s="199"/>
    </row>
    <row r="14" spans="1:8">
      <c r="A14" s="204">
        <f t="shared" si="1"/>
        <v>6</v>
      </c>
      <c r="B14" s="204" t="s">
        <v>123</v>
      </c>
      <c r="C14" s="198" t="s">
        <v>128</v>
      </c>
      <c r="D14" s="46">
        <v>-4288458.9060298428</v>
      </c>
      <c r="E14" s="46">
        <v>-16284222.220060062</v>
      </c>
      <c r="F14" s="46">
        <f t="shared" si="0"/>
        <v>4125108.5448477888</v>
      </c>
      <c r="G14" s="46"/>
      <c r="H14" s="199"/>
    </row>
    <row r="15" spans="1:8">
      <c r="A15" s="204">
        <f t="shared" si="1"/>
        <v>7</v>
      </c>
      <c r="B15" s="204" t="s">
        <v>222</v>
      </c>
      <c r="C15" s="198" t="s">
        <v>124</v>
      </c>
      <c r="D15" s="46">
        <v>-97209.714127380255</v>
      </c>
      <c r="E15" s="46">
        <v>0</v>
      </c>
      <c r="F15" s="46">
        <f t="shared" si="0"/>
        <v>129299.18614479563</v>
      </c>
      <c r="G15" s="46" t="s">
        <v>192</v>
      </c>
      <c r="H15" s="46"/>
    </row>
    <row r="16" spans="1:8">
      <c r="A16" s="204">
        <v>8</v>
      </c>
      <c r="B16" s="204">
        <v>7.6</v>
      </c>
      <c r="C16" s="198" t="s">
        <v>190</v>
      </c>
      <c r="D16" s="141">
        <v>-253434</v>
      </c>
      <c r="E16" s="141">
        <v>603728</v>
      </c>
      <c r="F16" s="141">
        <f t="shared" si="0"/>
        <v>395634.28905855125</v>
      </c>
      <c r="G16" s="46" t="s">
        <v>192</v>
      </c>
      <c r="H16" s="46"/>
    </row>
    <row r="17" spans="1:7">
      <c r="A17" s="204"/>
      <c r="C17" s="216"/>
      <c r="D17" s="69">
        <f>SUM(D9:D15)</f>
        <v>-5161734.8165783295</v>
      </c>
      <c r="E17" s="69">
        <f t="shared" ref="E17" si="2">SUM(E9:E15)</f>
        <v>-18796105.202614855</v>
      </c>
      <c r="F17" s="69">
        <f>SUM(F9:F16)</f>
        <v>5438728.0446219919</v>
      </c>
      <c r="G17" s="46"/>
    </row>
    <row r="18" spans="1:7" ht="6" customHeight="1">
      <c r="A18" s="204"/>
      <c r="C18" s="216"/>
      <c r="D18" s="69"/>
      <c r="E18" s="69"/>
      <c r="F18" s="69"/>
      <c r="G18" s="46"/>
    </row>
    <row r="19" spans="1:7">
      <c r="A19" s="204"/>
      <c r="C19" s="198" t="s">
        <v>131</v>
      </c>
      <c r="D19" s="69"/>
      <c r="E19" s="69"/>
      <c r="F19" s="142">
        <v>-1735595.4798920334</v>
      </c>
      <c r="G19" s="46"/>
    </row>
    <row r="20" spans="1:7" ht="12" thickBot="1">
      <c r="A20" s="204"/>
      <c r="C20" s="198" t="s">
        <v>157</v>
      </c>
      <c r="D20" s="69"/>
      <c r="E20" s="69"/>
      <c r="F20" s="177">
        <f>SUM(F17:F19)</f>
        <v>3703132.5647299588</v>
      </c>
      <c r="G20" s="46"/>
    </row>
    <row r="21" spans="1:7">
      <c r="A21" s="204"/>
      <c r="C21" s="216"/>
      <c r="D21" s="69"/>
      <c r="E21" s="69"/>
      <c r="F21" s="69"/>
      <c r="G21" s="46"/>
    </row>
    <row r="22" spans="1:7">
      <c r="A22" s="204"/>
      <c r="B22" s="206" t="s">
        <v>95</v>
      </c>
      <c r="C22" s="216"/>
      <c r="D22" s="69"/>
      <c r="E22" s="69"/>
      <c r="F22" s="69"/>
      <c r="G22" s="46"/>
    </row>
    <row r="23" spans="1:7">
      <c r="A23" s="204"/>
      <c r="B23" s="206" t="s">
        <v>161</v>
      </c>
    </row>
    <row r="24" spans="1:7">
      <c r="A24" s="204"/>
      <c r="B24" s="206" t="s">
        <v>162</v>
      </c>
    </row>
    <row r="25" spans="1:7">
      <c r="A25" s="204"/>
    </row>
    <row r="26" spans="1:7">
      <c r="A26" s="204"/>
      <c r="F26" s="199">
        <v>0</v>
      </c>
      <c r="G26" s="198" t="s">
        <v>127</v>
      </c>
    </row>
    <row r="27" spans="1:7">
      <c r="A27" s="204"/>
    </row>
    <row r="29" spans="1:7">
      <c r="D29" s="197"/>
      <c r="E29" s="199"/>
    </row>
    <row r="30" spans="1:7">
      <c r="C30" s="197" t="s">
        <v>168</v>
      </c>
      <c r="D30" s="179">
        <v>13786955</v>
      </c>
      <c r="E30" s="198" t="s">
        <v>189</v>
      </c>
    </row>
    <row r="31" spans="1:7">
      <c r="C31" s="197" t="s">
        <v>169</v>
      </c>
      <c r="D31" s="199">
        <f>F17</f>
        <v>5438728.0446219919</v>
      </c>
      <c r="E31" s="198" t="s">
        <v>90</v>
      </c>
    </row>
    <row r="32" spans="1:7">
      <c r="C32" s="197" t="s">
        <v>171</v>
      </c>
      <c r="D32" s="199">
        <f>D30-D31</f>
        <v>8348226.9553780081</v>
      </c>
    </row>
    <row r="33" spans="3:6">
      <c r="C33" s="197"/>
    </row>
    <row r="34" spans="3:6">
      <c r="C34" s="197" t="s">
        <v>170</v>
      </c>
      <c r="D34" s="200">
        <v>-1154398.6961109117</v>
      </c>
    </row>
    <row r="35" spans="3:6">
      <c r="C35" s="197" t="s">
        <v>172</v>
      </c>
      <c r="D35" s="199">
        <f>D32+D34</f>
        <v>7193828.2592670964</v>
      </c>
      <c r="E35" s="178">
        <v>7.9162418842315674E-8</v>
      </c>
      <c r="F35" s="198" t="s">
        <v>174</v>
      </c>
    </row>
    <row r="36" spans="3:6" ht="4.5" customHeight="1">
      <c r="C36" s="197"/>
    </row>
    <row r="37" spans="3:6">
      <c r="C37" s="197" t="s">
        <v>173</v>
      </c>
      <c r="D37" s="199">
        <f>F17</f>
        <v>5438728.0446219919</v>
      </c>
    </row>
    <row r="38" spans="3:6">
      <c r="C38" s="197" t="s">
        <v>131</v>
      </c>
      <c r="D38" s="200">
        <f>F19</f>
        <v>-1735595.4798920334</v>
      </c>
    </row>
    <row r="39" spans="3:6" ht="12" thickBot="1">
      <c r="C39" s="201" t="s">
        <v>159</v>
      </c>
      <c r="D39" s="202">
        <f>SUM(D35:D38)</f>
        <v>10896960.823997054</v>
      </c>
    </row>
  </sheetData>
  <mergeCells count="1">
    <mergeCell ref="A3:G4"/>
  </mergeCells>
  <printOptions horizontalCentered="1"/>
  <pageMargins left="0.7" right="0.7" top="0.75" bottom="0.75" header="0.3" footer="0.3"/>
  <pageSetup scale="74" orientation="portrait" useFirstPageNumber="1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7E4AA79-FFF6-41E2-8D10-4234B320FEE6}"/>
</file>

<file path=customXml/itemProps2.xml><?xml version="1.0" encoding="utf-8"?>
<ds:datastoreItem xmlns:ds="http://schemas.openxmlformats.org/officeDocument/2006/customXml" ds:itemID="{A963EF70-ED1C-4953-9C27-BB9B28F6658D}"/>
</file>

<file path=customXml/itemProps3.xml><?xml version="1.0" encoding="utf-8"?>
<ds:datastoreItem xmlns:ds="http://schemas.openxmlformats.org/officeDocument/2006/customXml" ds:itemID="{13E1E5EE-BE97-4DCD-BBAB-855FA7C3472F}"/>
</file>

<file path=customXml/itemProps4.xml><?xml version="1.0" encoding="utf-8"?>
<ds:datastoreItem xmlns:ds="http://schemas.openxmlformats.org/officeDocument/2006/customXml" ds:itemID="{082E5DF9-3104-4E76-BA71-B6DA63F053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Non-NPC Coal Costs (RY2)</vt:lpstr>
      <vt:lpstr>Rev Req - Coal Tracker RY2</vt:lpstr>
      <vt:lpstr>Interest Calc</vt:lpstr>
      <vt:lpstr>Variables</vt:lpstr>
      <vt:lpstr>Deferred Fly Ash Amort.</vt:lpstr>
      <vt:lpstr>Unadj. Results</vt:lpstr>
      <vt:lpstr>Non-NPC Coal (RY1_Compliance)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'Deferred Fly Ash Amort.'!Print_Area</vt:lpstr>
      <vt:lpstr>'Non-NPC Coal Costs (RY2)'!Print_Area</vt:lpstr>
      <vt:lpstr>'Rev Req - Coal Tracker RY2'!Print_Area</vt:lpstr>
      <vt:lpstr>'Unadj. Results'!Print_Area</vt:lpstr>
      <vt:lpstr>'Rev Req - Coal Tracker RY2'!Print_Titles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2025-03-05T01:10:26Z</cp:lastPrinted>
  <dcterms:created xsi:type="dcterms:W3CDTF">2009-02-17T19:17:29Z</dcterms:created>
  <dcterms:modified xsi:type="dcterms:W3CDTF">2025-03-05T23:32:07Z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