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7" firstSheet="3" activeTab="5"/>
  </bookViews>
  <sheets>
    <sheet name="Panel4RevReqSummary" sheetId="1" r:id="rId1"/>
    <sheet name="Panel4RevReqCalc" sheetId="2" r:id="rId2"/>
    <sheet name="Panel4Conversion factor" sheetId="3" r:id="rId3"/>
    <sheet name="Panel4 adjs" sheetId="4" r:id="rId4"/>
    <sheet name="Panel4cost of capital" sheetId="5" r:id="rId5"/>
    <sheet name="Panel-5" sheetId="6" r:id="rId6"/>
  </sheets>
  <definedNames>
    <definedName name="_xlnm.Print_Area" localSheetId="3">'Panel4 adjs'!$C$7:$BJ$81</definedName>
    <definedName name="_xlnm.Print_Area" localSheetId="2">'Panel4Conversion factor'!$A$6:$D$38</definedName>
    <definedName name="_xlnm.Print_Area" localSheetId="1">'Panel4RevReqCalc'!$B$7:$D$21</definedName>
    <definedName name="_xlnm.Print_Area" localSheetId="0">'Panel4RevReqSummary'!$C$7:$G$65</definedName>
    <definedName name="_xlnm.Print_Area" localSheetId="5">'Panel-5'!$D$7:$P$68</definedName>
    <definedName name="_xlnm.Print_Titles" localSheetId="3">'Panel4 adjs'!$A:$B,'Panel4 adjs'!$1:$6</definedName>
    <definedName name="_xlnm.Print_Titles" localSheetId="0">'Panel4RevReqSummary'!$A:$B,'Panel4RevReqSummary'!$1:$6</definedName>
    <definedName name="_xlnm.Print_Titles" localSheetId="5">'Panel-5'!$A:$C,'Panel-5'!$1:$6</definedName>
  </definedNames>
  <calcPr fullCalcOnLoad="1"/>
</workbook>
</file>

<file path=xl/sharedStrings.xml><?xml version="1.0" encoding="utf-8"?>
<sst xmlns="http://schemas.openxmlformats.org/spreadsheetml/2006/main" count="425" uniqueCount="261">
  <si>
    <t>Change</t>
  </si>
  <si>
    <t>Return on Rate Base</t>
  </si>
  <si>
    <t>State of Washington</t>
  </si>
  <si>
    <t>Electric Utility Results of Operations</t>
  </si>
  <si>
    <t>for the twelve months ended March 2003</t>
  </si>
  <si>
    <t>Per Company</t>
  </si>
  <si>
    <t>Total</t>
  </si>
  <si>
    <t>4.5&amp;4.6</t>
  </si>
  <si>
    <t>Blank</t>
  </si>
  <si>
    <t>4.7&amp;4.8</t>
  </si>
  <si>
    <t>Ratemaking</t>
  </si>
  <si>
    <t>Weather</t>
  </si>
  <si>
    <t>Effective</t>
  </si>
  <si>
    <t>Revenue</t>
  </si>
  <si>
    <t>USBR/UKRB</t>
  </si>
  <si>
    <t>SO2 Emission</t>
  </si>
  <si>
    <t>Remove</t>
  </si>
  <si>
    <t>Special Revenue</t>
  </si>
  <si>
    <t>Centralia Gain</t>
  </si>
  <si>
    <t>FAS 106 Deferred</t>
  </si>
  <si>
    <t>Pension &amp;</t>
  </si>
  <si>
    <t>Blue Sky</t>
  </si>
  <si>
    <t>Miscellaneous</t>
  </si>
  <si>
    <t xml:space="preserve">General Wage </t>
  </si>
  <si>
    <t>General Wage Incr.</t>
  </si>
  <si>
    <t>FICA Adjustment</t>
  </si>
  <si>
    <t>FERC Price Cap</t>
  </si>
  <si>
    <t xml:space="preserve">Property </t>
  </si>
  <si>
    <t>Sale of Naches</t>
  </si>
  <si>
    <t>Reverse</t>
  </si>
  <si>
    <t>International</t>
  </si>
  <si>
    <t>Bonus</t>
  </si>
  <si>
    <t>Normalize</t>
  </si>
  <si>
    <t>WA-Net Power Cost</t>
  </si>
  <si>
    <t>Removal of</t>
  </si>
  <si>
    <t>Trail Mountain</t>
  </si>
  <si>
    <t>FAS 133</t>
  </si>
  <si>
    <t>W.Valley Lease</t>
  </si>
  <si>
    <t>Load Curtailment</t>
  </si>
  <si>
    <t>BPA Regional</t>
  </si>
  <si>
    <t>MSP Fuel</t>
  </si>
  <si>
    <t>Remove RTO</t>
  </si>
  <si>
    <t xml:space="preserve">Annualize </t>
  </si>
  <si>
    <t>Annualize</t>
  </si>
  <si>
    <t>Pro Forma</t>
  </si>
  <si>
    <t>Interest</t>
  </si>
  <si>
    <t>Flow-through</t>
  </si>
  <si>
    <t>Year-end</t>
  </si>
  <si>
    <t>Malin Midpoint</t>
  </si>
  <si>
    <t>Wyoming Wind</t>
  </si>
  <si>
    <t>Property Tax</t>
  </si>
  <si>
    <t>IRS Tax</t>
  </si>
  <si>
    <t>Environmental</t>
  </si>
  <si>
    <t>Trapper Mine</t>
  </si>
  <si>
    <t>JimBridger Mine</t>
  </si>
  <si>
    <t>Colstrip #4</t>
  </si>
  <si>
    <t>Dave Johnston</t>
  </si>
  <si>
    <t>FERC 105 Asset</t>
  </si>
  <si>
    <t>Trojan Investment</t>
  </si>
  <si>
    <t>Hydro</t>
  </si>
  <si>
    <t xml:space="preserve">System Benefit </t>
  </si>
  <si>
    <t>Sale of  Hydro Proj.-</t>
  </si>
  <si>
    <t xml:space="preserve">Customer </t>
  </si>
  <si>
    <t>Remove Misc.</t>
  </si>
  <si>
    <t>Adjustments</t>
  </si>
  <si>
    <t>Normalization</t>
  </si>
  <si>
    <t>Price Change</t>
  </si>
  <si>
    <t>Normalizing</t>
  </si>
  <si>
    <t>Allowances</t>
  </si>
  <si>
    <t>Contingencies</t>
  </si>
  <si>
    <t>Reclassification</t>
  </si>
  <si>
    <t>Charges</t>
  </si>
  <si>
    <t>Benefit Adj.</t>
  </si>
  <si>
    <t>Program Costs</t>
  </si>
  <si>
    <t>Gen. Expense</t>
  </si>
  <si>
    <t>Increase</t>
  </si>
  <si>
    <t>ProForma</t>
  </si>
  <si>
    <t>Accrual</t>
  </si>
  <si>
    <t>Insurance</t>
  </si>
  <si>
    <t>Hydro Unit</t>
  </si>
  <si>
    <t>Severance Accrual</t>
  </si>
  <si>
    <t>Assignee Adj.</t>
  </si>
  <si>
    <t>Adjustment</t>
  </si>
  <si>
    <t>Severance Pay</t>
  </si>
  <si>
    <t>Excl.Colstrip3&amp;B.Hills</t>
  </si>
  <si>
    <t>Colstrip #3</t>
  </si>
  <si>
    <t>Closure Amort.</t>
  </si>
  <si>
    <t>Expense</t>
  </si>
  <si>
    <t>Removal</t>
  </si>
  <si>
    <t>Exchange</t>
  </si>
  <si>
    <t>West Expenses</t>
  </si>
  <si>
    <t>Depreciation Exp.</t>
  </si>
  <si>
    <t>Acc. Depr.</t>
  </si>
  <si>
    <t>Depr. Exp.</t>
  </si>
  <si>
    <t>True-up</t>
  </si>
  <si>
    <t>Def. Tax-WA</t>
  </si>
  <si>
    <t>WA</t>
  </si>
  <si>
    <t>Tax Credit</t>
  </si>
  <si>
    <t>Settlement</t>
  </si>
  <si>
    <t>Rate Base</t>
  </si>
  <si>
    <t>AFUDC</t>
  </si>
  <si>
    <t>Mine Closure</t>
  </si>
  <si>
    <t>Held for Future Use</t>
  </si>
  <si>
    <t>Amortization</t>
  </si>
  <si>
    <t>Relicensing</t>
  </si>
  <si>
    <t>Charge Sched 191</t>
  </si>
  <si>
    <t>Working Capital</t>
  </si>
  <si>
    <t>Skookumchuck</t>
  </si>
  <si>
    <t>Deposit Adj.</t>
  </si>
  <si>
    <t>Deferred Debits</t>
  </si>
  <si>
    <t>Operating Revenues:</t>
  </si>
  <si>
    <t>new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</si>
  <si>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</si>
  <si>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</si>
  <si>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</si>
  <si>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</si>
  <si>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</si>
  <si>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</si>
  <si>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</si>
  <si>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</si>
  <si>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</si>
  <si>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</si>
  <si>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</si>
  <si>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</si>
  <si>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</si>
  <si>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</si>
  <si>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</si>
  <si>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</si>
  <si>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</si>
  <si>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Depreciation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</si>
  <si>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</si>
  <si>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</si>
  <si>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</si>
  <si>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</si>
  <si>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</si>
  <si>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</si>
  <si>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</si>
  <si>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Operating Revenue for Return: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</si>
  <si>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</si>
  <si>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</si>
  <si>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</si>
  <si>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</si>
  <si>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</si>
  <si>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</si>
  <si>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</si>
  <si>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</si>
  <si>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</si>
  <si>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</si>
  <si>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</si>
  <si>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</si>
  <si>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</si>
  <si>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</si>
  <si>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</si>
  <si>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Accum. Deferred Income Tax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</si>
  <si>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</si>
  <si>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</si>
  <si>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</si>
  <si>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</si>
  <si>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</si>
  <si>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</si>
  <si>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</si>
  <si>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</si>
  <si>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</si>
  <si>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</si>
  <si>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</si>
  <si>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</si>
  <si>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</si>
  <si>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</si>
  <si>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</si>
  <si>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</si>
  <si>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</si>
  <si>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</si>
  <si>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</si>
  <si>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xxxxxxxxxxxxxxxxxxxxxxxxxxxxxx</t>
  </si>
  <si>
    <t>Interest True-up Adjustment</t>
  </si>
  <si>
    <t>Jurisdiction Specific Adjusted Rate Base</t>
  </si>
  <si>
    <t>CWIP</t>
  </si>
  <si>
    <t>Rate Base &amp; CWIP</t>
  </si>
  <si>
    <t>Weighted Cost of Debt</t>
  </si>
  <si>
    <t>Pro forma interest Expense</t>
  </si>
  <si>
    <t>Actual Interest Expense</t>
  </si>
  <si>
    <t>Increase/(decrease) interest expense</t>
  </si>
  <si>
    <t>PacifiCorp Results of Operations For Ratemaking Purposes</t>
  </si>
  <si>
    <t>For The Twelve Months Ended March 2003 - Washington</t>
  </si>
  <si>
    <t>(1)</t>
  </si>
  <si>
    <t>(2)</t>
  </si>
  <si>
    <t>(3)</t>
  </si>
  <si>
    <t>(4)</t>
  </si>
  <si>
    <t>(5)</t>
  </si>
  <si>
    <t>Unadjusted</t>
  </si>
  <si>
    <t>Total Adjusted</t>
  </si>
  <si>
    <t>Price</t>
  </si>
  <si>
    <t>Results With</t>
  </si>
  <si>
    <t>Results</t>
  </si>
  <si>
    <t xml:space="preserve">at Present Rates </t>
  </si>
  <si>
    <t>Total Rate Base Deductions:</t>
  </si>
  <si>
    <t>PER company</t>
  </si>
  <si>
    <t>Federal Income Tax-Current</t>
  </si>
  <si>
    <t>Cap.Structure</t>
  </si>
  <si>
    <t>Weighted Cost</t>
  </si>
  <si>
    <t>Long-term Debt</t>
  </si>
  <si>
    <t>Short term Debt</t>
  </si>
  <si>
    <t>Operating Revenue Deductions:</t>
  </si>
  <si>
    <t>Uncollectible Accounts</t>
  </si>
  <si>
    <t>Franchise Tax</t>
  </si>
  <si>
    <t>WA Revenue Tax</t>
  </si>
  <si>
    <t>WUTC Fee</t>
  </si>
  <si>
    <t>Sub-Total</t>
  </si>
  <si>
    <t>Federal Income Tax @ 35%</t>
  </si>
  <si>
    <t>Calculation of Revenue Requirement Deficiency:</t>
  </si>
  <si>
    <t>a) Net Rate Base - Washington Jurisdiction</t>
  </si>
  <si>
    <t>b) Proposed Rate of Return</t>
  </si>
  <si>
    <t>c) Net Operating Income Requirement</t>
  </si>
  <si>
    <t>d) Proforma Net Operating Income</t>
  </si>
  <si>
    <t>e) Net Operating Income Defiency</t>
  </si>
  <si>
    <t>g) Revenue Requirement Deficiency(line e/line f)</t>
  </si>
  <si>
    <t>Weighted Average Cost of Capital</t>
  </si>
  <si>
    <t>customer accounting</t>
  </si>
  <si>
    <t>other taxes</t>
  </si>
  <si>
    <t>Revenue Sensitive Tax Rates</t>
  </si>
  <si>
    <t>Revenue Tax Rate</t>
  </si>
  <si>
    <t>f) NOI &gt; Revenue Conversion Factor</t>
  </si>
  <si>
    <t>Debt Rate</t>
  </si>
  <si>
    <t>Preferred Stock</t>
  </si>
  <si>
    <t>Common Stock</t>
  </si>
  <si>
    <t>proforma revenues</t>
  </si>
  <si>
    <t>normalized write offs</t>
  </si>
  <si>
    <t>State Income Tax (restored)</t>
  </si>
  <si>
    <t>10.10</t>
  </si>
  <si>
    <t>Net Operating Income Conversion Factor (per Company)</t>
  </si>
  <si>
    <t xml:space="preserve"> Uncollectible Rate</t>
  </si>
  <si>
    <t xml:space="preserve"> Effective WA Revenue Tax</t>
  </si>
  <si>
    <t>Effective rate (as filed)</t>
  </si>
  <si>
    <t>uncollectible rate (as filed)</t>
  </si>
  <si>
    <t>as filed</t>
  </si>
  <si>
    <t>Unspecified</t>
  </si>
  <si>
    <t>for ICNU/PC</t>
  </si>
  <si>
    <t>as agreed</t>
  </si>
  <si>
    <t>Settlement Agreement</t>
  </si>
  <si>
    <t>Conversion factor</t>
  </si>
  <si>
    <t>Net Power</t>
  </si>
  <si>
    <t>Cost</t>
  </si>
  <si>
    <t>Normalized</t>
  </si>
  <si>
    <t>Temp</t>
  </si>
  <si>
    <t>Costs</t>
  </si>
  <si>
    <t>RTO</t>
  </si>
  <si>
    <t>Capital</t>
  </si>
  <si>
    <t>Working</t>
  </si>
  <si>
    <t>Payout</t>
  </si>
  <si>
    <t xml:space="preserve">Incentive </t>
  </si>
  <si>
    <t>7.1**</t>
  </si>
  <si>
    <t>** automatically updated in Staff spreadsheet</t>
  </si>
  <si>
    <t>(rounded)</t>
  </si>
  <si>
    <t>per JTW 5 (rounded)</t>
  </si>
  <si>
    <t xml:space="preserve"> based on </t>
  </si>
  <si>
    <t>PacifiCorp Rebuttal Case</t>
  </si>
  <si>
    <r>
      <t xml:space="preserve">Conversion Factor </t>
    </r>
    <r>
      <rPr>
        <sz val="12"/>
        <color indexed="8"/>
        <rFont val="Palatino Linotype"/>
        <family val="1"/>
      </rPr>
      <t>(as filed in PacifiCorp direct testimony)</t>
    </r>
  </si>
  <si>
    <t>Revenue Requirement Impact</t>
  </si>
  <si>
    <t>based on Protocol Cost Assignments &amp; Allocations</t>
  </si>
  <si>
    <t>PacifiCorp increment #</t>
  </si>
  <si>
    <t>Exhibit __ (Panel-4) Adjustment #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</si>
</sst>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%"/>
    <numFmt numFmtId="175" formatCode="0.00000%"/>
    <numFmt numFmtId="176" formatCode="_(&quot;$&quot;* #,##0.000_);_(&quot;$&quot;* \(#,##0.000\);_(&quot;$&quot;* &quot;-&quot;??_);_(@_)"/>
    <numFmt numFmtId="177" formatCode="0_)"/>
    <numFmt numFmtId="178" formatCode="#,##0.0_);\(#,##0.0\)"/>
    <numFmt numFmtId="179" formatCode="0.00_)"/>
    <numFmt numFmtId="180" formatCode="dd\-mmm\-yy_)"/>
    <numFmt numFmtId="181" formatCode="0.0"/>
    <numFmt numFmtId="182" formatCode="0.00000000%"/>
    <numFmt numFmtId="183" formatCode="0.000000%"/>
    <numFmt numFmtId="184" formatCode="0.0000000%"/>
    <numFmt numFmtId="185" formatCode="#,##0.000000000_);\(#,##0.000000000\)"/>
  </numFmts>
  <fonts count="17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sz val="8"/>
      <name val="Arial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i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8"/>
      <name val="Palatino Linotype"/>
      <family val="1"/>
    </font>
    <font>
      <i/>
      <sz val="10"/>
      <name val="Palatino Linotype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1" fillId="2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5" fontId="1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167" fontId="5" fillId="0" borderId="0" xfId="21" applyNumberFormat="1" applyFont="1" applyAlignment="1" applyProtection="1">
      <alignment/>
      <protection/>
    </xf>
    <xf numFmtId="0" fontId="1" fillId="3" borderId="0" xfId="0" applyFont="1" applyFill="1" applyAlignment="1">
      <alignment/>
    </xf>
    <xf numFmtId="174" fontId="5" fillId="0" borderId="0" xfId="21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69" fontId="6" fillId="0" borderId="3" xfId="17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81" fontId="1" fillId="0" borderId="0" xfId="15" applyNumberFormat="1" applyFont="1" applyAlignment="1" applyProtection="1">
      <alignment horizontal="center"/>
      <protection/>
    </xf>
    <xf numFmtId="181" fontId="1" fillId="0" borderId="0" xfId="15" applyNumberFormat="1" applyFont="1" applyAlignment="1">
      <alignment horizontal="center"/>
    </xf>
    <xf numFmtId="2" fontId="1" fillId="0" borderId="0" xfId="15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37" fontId="1" fillId="4" borderId="0" xfId="0" applyNumberFormat="1" applyFont="1" applyFill="1" applyAlignment="1" applyProtection="1">
      <alignment/>
      <protection/>
    </xf>
    <xf numFmtId="0" fontId="1" fillId="5" borderId="0" xfId="0" applyFont="1" applyFill="1" applyAlignment="1">
      <alignment/>
    </xf>
    <xf numFmtId="0" fontId="1" fillId="0" borderId="0" xfId="0" applyFont="1" applyAlignment="1" applyProtection="1">
      <alignment horizontal="right"/>
      <protection/>
    </xf>
    <xf numFmtId="18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5" fontId="1" fillId="0" borderId="0" xfId="15" applyNumberFormat="1" applyFont="1" applyAlignment="1" applyProtection="1">
      <alignment/>
      <protection/>
    </xf>
    <xf numFmtId="165" fontId="1" fillId="0" borderId="4" xfId="15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165" fontId="2" fillId="0" borderId="2" xfId="15" applyNumberFormat="1" applyFont="1" applyBorder="1" applyAlignment="1" applyProtection="1">
      <alignment/>
      <protection/>
    </xf>
    <xf numFmtId="165" fontId="2" fillId="0" borderId="0" xfId="15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7" fillId="6" borderId="5" xfId="0" applyFont="1" applyFill="1" applyBorder="1" applyAlignment="1" applyProtection="1">
      <alignment/>
      <protection/>
    </xf>
    <xf numFmtId="10" fontId="2" fillId="6" borderId="5" xfId="0" applyNumberFormat="1" applyFont="1" applyFill="1" applyBorder="1" applyAlignment="1" applyProtection="1">
      <alignment/>
      <protection/>
    </xf>
    <xf numFmtId="174" fontId="1" fillId="6" borderId="5" xfId="0" applyNumberFormat="1" applyFont="1" applyFill="1" applyBorder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1" fillId="0" borderId="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7" fontId="1" fillId="0" borderId="0" xfId="0" applyNumberFormat="1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/>
      <protection/>
    </xf>
    <xf numFmtId="5" fontId="1" fillId="0" borderId="0" xfId="17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5" fontId="2" fillId="0" borderId="4" xfId="0" applyNumberFormat="1" applyFont="1" applyBorder="1" applyAlignment="1" applyProtection="1">
      <alignment/>
      <protection/>
    </xf>
    <xf numFmtId="5" fontId="1" fillId="0" borderId="4" xfId="0" applyNumberFormat="1" applyFont="1" applyBorder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6" xfId="0" applyNumberFormat="1" applyFont="1" applyBorder="1" applyAlignment="1" applyProtection="1">
      <alignment horizontal="right"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6" xfId="0" applyNumberFormat="1" applyFont="1" applyFill="1" applyBorder="1" applyAlignment="1" applyProtection="1">
      <alignment/>
      <protection/>
    </xf>
    <xf numFmtId="37" fontId="1" fillId="0" borderId="4" xfId="0" applyNumberFormat="1" applyFont="1" applyFill="1" applyBorder="1" applyAlignment="1" applyProtection="1">
      <alignment horizontal="right"/>
      <protection/>
    </xf>
    <xf numFmtId="5" fontId="2" fillId="0" borderId="2" xfId="0" applyNumberFormat="1" applyFont="1" applyBorder="1" applyAlignment="1" applyProtection="1">
      <alignment/>
      <protection/>
    </xf>
    <xf numFmtId="5" fontId="2" fillId="0" borderId="2" xfId="0" applyNumberFormat="1" applyFont="1" applyFill="1" applyBorder="1" applyAlignment="1" applyProtection="1">
      <alignment/>
      <protection/>
    </xf>
    <xf numFmtId="5" fontId="1" fillId="0" borderId="2" xfId="0" applyNumberFormat="1" applyFont="1" applyFill="1" applyBorder="1" applyAlignment="1" applyProtection="1">
      <alignment/>
      <protection/>
    </xf>
    <xf numFmtId="5" fontId="1" fillId="0" borderId="2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167" fontId="2" fillId="6" borderId="5" xfId="0" applyNumberFormat="1" applyFont="1" applyFill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5" fontId="1" fillId="0" borderId="7" xfId="0" applyNumberFormat="1" applyFont="1" applyBorder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37" fontId="1" fillId="7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0" fontId="1" fillId="0" borderId="0" xfId="21" applyNumberFormat="1" applyFont="1" applyAlignment="1">
      <alignment/>
    </xf>
    <xf numFmtId="175" fontId="1" fillId="0" borderId="0" xfId="21" applyNumberFormat="1" applyFont="1" applyAlignment="1">
      <alignment/>
    </xf>
    <xf numFmtId="166" fontId="1" fillId="0" borderId="0" xfId="21" applyNumberFormat="1" applyFont="1" applyAlignment="1" applyProtection="1">
      <alignment/>
      <protection/>
    </xf>
    <xf numFmtId="167" fontId="1" fillId="0" borderId="0" xfId="21" applyNumberFormat="1" applyFont="1" applyAlignment="1" applyProtection="1">
      <alignment/>
      <protection/>
    </xf>
    <xf numFmtId="175" fontId="2" fillId="0" borderId="3" xfId="21" applyNumberFormat="1" applyFont="1" applyBorder="1" applyAlignment="1" applyProtection="1">
      <alignment/>
      <protection/>
    </xf>
    <xf numFmtId="37" fontId="1" fillId="8" borderId="0" xfId="0" applyNumberFormat="1" applyFont="1" applyFill="1" applyAlignment="1" applyProtection="1">
      <alignment/>
      <protection/>
    </xf>
    <xf numFmtId="182" fontId="1" fillId="0" borderId="0" xfId="21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5" fontId="3" fillId="0" borderId="0" xfId="15" applyNumberFormat="1" applyFont="1" applyAlignment="1" applyProtection="1">
      <alignment/>
      <protection/>
    </xf>
    <xf numFmtId="165" fontId="3" fillId="0" borderId="4" xfId="15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74" fontId="10" fillId="0" borderId="7" xfId="21" applyNumberFormat="1" applyFont="1" applyBorder="1" applyAlignment="1" applyProtection="1">
      <alignment horizontal="right"/>
      <protection/>
    </xf>
    <xf numFmtId="174" fontId="10" fillId="0" borderId="0" xfId="21" applyNumberFormat="1" applyFont="1" applyAlignment="1" applyProtection="1">
      <alignment horizontal="center"/>
      <protection/>
    </xf>
    <xf numFmtId="174" fontId="10" fillId="0" borderId="0" xfId="21" applyNumberFormat="1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0" fontId="10" fillId="0" borderId="0" xfId="21" applyNumberFormat="1" applyFont="1" applyAlignment="1">
      <alignment/>
    </xf>
    <xf numFmtId="167" fontId="10" fillId="0" borderId="0" xfId="21" applyNumberFormat="1" applyFont="1" applyAlignment="1">
      <alignment/>
    </xf>
    <xf numFmtId="174" fontId="10" fillId="0" borderId="0" xfId="21" applyNumberFormat="1" applyFont="1" applyAlignment="1">
      <alignment/>
    </xf>
    <xf numFmtId="0" fontId="10" fillId="0" borderId="0" xfId="0" applyFont="1" applyAlignment="1" applyProtection="1">
      <alignment horizontal="right"/>
      <protection/>
    </xf>
    <xf numFmtId="10" fontId="10" fillId="0" borderId="0" xfId="21" applyNumberFormat="1" applyFont="1" applyAlignment="1" applyProtection="1">
      <alignment/>
      <protection/>
    </xf>
    <xf numFmtId="167" fontId="10" fillId="0" borderId="0" xfId="21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4" fontId="10" fillId="0" borderId="0" xfId="21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174" fontId="10" fillId="0" borderId="0" xfId="21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74" fontId="10" fillId="0" borderId="8" xfId="21" applyNumberFormat="1" applyFont="1" applyBorder="1" applyAlignment="1" applyProtection="1">
      <alignment horizontal="right"/>
      <protection/>
    </xf>
    <xf numFmtId="167" fontId="11" fillId="0" borderId="3" xfId="21" applyNumberFormat="1" applyFont="1" applyBorder="1" applyAlignment="1" applyProtection="1">
      <alignment horizontal="right"/>
      <protection/>
    </xf>
    <xf numFmtId="174" fontId="10" fillId="0" borderId="0" xfId="0" applyNumberFormat="1" applyFont="1" applyAlignment="1" applyProtection="1">
      <alignment/>
      <protection/>
    </xf>
    <xf numFmtId="174" fontId="10" fillId="0" borderId="0" xfId="0" applyNumberFormat="1" applyFont="1" applyAlignment="1" applyProtection="1">
      <alignment horizontal="right"/>
      <protection/>
    </xf>
    <xf numFmtId="5" fontId="8" fillId="0" borderId="0" xfId="0" applyNumberFormat="1" applyFont="1" applyAlignment="1">
      <alignment/>
    </xf>
    <xf numFmtId="169" fontId="8" fillId="0" borderId="7" xfId="17" applyNumberFormat="1" applyFont="1" applyBorder="1" applyAlignment="1">
      <alignment/>
    </xf>
    <xf numFmtId="0" fontId="8" fillId="0" borderId="0" xfId="0" applyFont="1" applyAlignment="1">
      <alignment horizontal="right"/>
    </xf>
    <xf numFmtId="37" fontId="10" fillId="0" borderId="0" xfId="0" applyNumberFormat="1" applyFont="1" applyAlignment="1" applyProtection="1">
      <alignment horizontal="right"/>
      <protection/>
    </xf>
    <xf numFmtId="174" fontId="10" fillId="0" borderId="3" xfId="21" applyNumberFormat="1" applyFont="1" applyBorder="1" applyAlignment="1" applyProtection="1">
      <alignment/>
      <protection/>
    </xf>
    <xf numFmtId="165" fontId="1" fillId="0" borderId="0" xfId="15" applyNumberFormat="1" applyFont="1" applyFill="1" applyAlignment="1" applyProtection="1">
      <alignment/>
      <protection/>
    </xf>
    <xf numFmtId="181" fontId="2" fillId="0" borderId="0" xfId="15" applyNumberFormat="1" applyFont="1" applyFill="1" applyAlignment="1" applyProtection="1">
      <alignment horizontal="center"/>
      <protection/>
    </xf>
    <xf numFmtId="181" fontId="2" fillId="0" borderId="0" xfId="15" applyNumberFormat="1" applyFont="1" applyFill="1" applyAlignment="1">
      <alignment horizontal="center"/>
    </xf>
    <xf numFmtId="2" fontId="2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65" fontId="2" fillId="0" borderId="4" xfId="15" applyNumberFormat="1" applyFont="1" applyFill="1" applyBorder="1" applyAlignment="1" applyProtection="1">
      <alignment/>
      <protection/>
    </xf>
    <xf numFmtId="165" fontId="2" fillId="0" borderId="6" xfId="15" applyNumberFormat="1" applyFont="1" applyFill="1" applyBorder="1" applyAlignment="1" applyProtection="1">
      <alignment/>
      <protection/>
    </xf>
    <xf numFmtId="165" fontId="1" fillId="0" borderId="4" xfId="15" applyNumberFormat="1" applyFont="1" applyFill="1" applyBorder="1" applyAlignment="1" applyProtection="1">
      <alignment/>
      <protection/>
    </xf>
    <xf numFmtId="165" fontId="2" fillId="0" borderId="2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Alignment="1" applyProtection="1">
      <alignment/>
      <protection/>
    </xf>
    <xf numFmtId="174" fontId="1" fillId="0" borderId="5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15" applyNumberFormat="1" applyFont="1" applyFill="1" applyAlignment="1" applyProtection="1">
      <alignment/>
      <protection/>
    </xf>
    <xf numFmtId="165" fontId="3" fillId="0" borderId="1" xfId="15" applyNumberFormat="1" applyFont="1" applyFill="1" applyBorder="1" applyAlignment="1" applyProtection="1">
      <alignment/>
      <protection/>
    </xf>
    <xf numFmtId="165" fontId="3" fillId="0" borderId="0" xfId="15" applyNumberFormat="1" applyFont="1" applyFill="1" applyAlignment="1">
      <alignment/>
    </xf>
    <xf numFmtId="165" fontId="3" fillId="0" borderId="4" xfId="15" applyNumberFormat="1" applyFont="1" applyFill="1" applyBorder="1" applyAlignment="1" applyProtection="1">
      <alignment/>
      <protection/>
    </xf>
    <xf numFmtId="165" fontId="3" fillId="0" borderId="2" xfId="15" applyNumberFormat="1" applyFont="1" applyFill="1" applyBorder="1" applyAlignment="1" applyProtection="1">
      <alignment/>
      <protection/>
    </xf>
    <xf numFmtId="184" fontId="10" fillId="0" borderId="0" xfId="21" applyNumberFormat="1" applyFont="1" applyAlignment="1">
      <alignment/>
    </xf>
    <xf numFmtId="10" fontId="8" fillId="0" borderId="0" xfId="21" applyNumberFormat="1" applyFont="1" applyAlignment="1">
      <alignment/>
    </xf>
    <xf numFmtId="167" fontId="8" fillId="0" borderId="3" xfId="21" applyNumberFormat="1" applyFont="1" applyBorder="1" applyAlignment="1">
      <alignment/>
    </xf>
    <xf numFmtId="174" fontId="0" fillId="0" borderId="0" xfId="0" applyNumberFormat="1" applyAlignment="1">
      <alignment/>
    </xf>
    <xf numFmtId="174" fontId="11" fillId="0" borderId="3" xfId="21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74" fontId="1" fillId="0" borderId="0" xfId="21" applyNumberFormat="1" applyFont="1" applyAlignment="1">
      <alignment horizontal="right"/>
    </xf>
    <xf numFmtId="167" fontId="8" fillId="0" borderId="0" xfId="0" applyNumberFormat="1" applyFont="1" applyAlignment="1">
      <alignment/>
    </xf>
    <xf numFmtId="165" fontId="1" fillId="0" borderId="0" xfId="15" applyNumberFormat="1" applyFont="1" applyFill="1" applyAlignment="1" applyProtection="1">
      <alignment horizontal="center"/>
      <protection/>
    </xf>
    <xf numFmtId="10" fontId="10" fillId="0" borderId="0" xfId="21" applyNumberFormat="1" applyFont="1" applyAlignment="1" applyProtection="1">
      <alignment horizontal="center"/>
      <protection/>
    </xf>
    <xf numFmtId="165" fontId="1" fillId="0" borderId="0" xfId="15" applyNumberFormat="1" applyFont="1" applyFill="1" applyAlignment="1">
      <alignment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7" fillId="6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 applyProtection="1">
      <alignment/>
      <protection/>
    </xf>
    <xf numFmtId="165" fontId="1" fillId="0" borderId="0" xfId="15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Fill="1" applyBorder="1" applyAlignment="1" applyProtection="1">
      <alignment/>
      <protection/>
    </xf>
    <xf numFmtId="165" fontId="1" fillId="0" borderId="11" xfId="15" applyNumberFormat="1" applyFont="1" applyFill="1" applyBorder="1" applyAlignment="1" applyProtection="1">
      <alignment/>
      <protection/>
    </xf>
    <xf numFmtId="37" fontId="1" fillId="0" borderId="12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2" fillId="5" borderId="0" xfId="15" applyNumberFormat="1" applyFont="1" applyFill="1" applyAlignment="1" applyProtection="1">
      <alignment/>
      <protection/>
    </xf>
    <xf numFmtId="165" fontId="15" fillId="5" borderId="0" xfId="15" applyNumberFormat="1" applyFont="1" applyFill="1" applyAlignment="1" applyProtection="1">
      <alignment/>
      <protection/>
    </xf>
    <xf numFmtId="165" fontId="3" fillId="0" borderId="7" xfId="15" applyNumberFormat="1" applyFont="1" applyBorder="1" applyAlignment="1">
      <alignment/>
    </xf>
    <xf numFmtId="0" fontId="1" fillId="0" borderId="7" xfId="0" applyFont="1" applyBorder="1" applyAlignment="1" applyProtection="1">
      <alignment/>
      <protection/>
    </xf>
    <xf numFmtId="165" fontId="1" fillId="0" borderId="6" xfId="15" applyNumberFormat="1" applyFont="1" applyBorder="1" applyAlignment="1" applyProtection="1">
      <alignment/>
      <protection/>
    </xf>
    <xf numFmtId="165" fontId="1" fillId="0" borderId="6" xfId="15" applyNumberFormat="1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65" fontId="2" fillId="5" borderId="0" xfId="15" applyNumberFormat="1" applyFont="1" applyFill="1" applyAlignment="1">
      <alignment/>
    </xf>
    <xf numFmtId="0" fontId="2" fillId="6" borderId="5" xfId="0" applyFont="1" applyFill="1" applyBorder="1" applyAlignment="1" applyProtection="1">
      <alignment/>
      <protection/>
    </xf>
    <xf numFmtId="2" fontId="2" fillId="0" borderId="8" xfId="15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0" fontId="1" fillId="0" borderId="0" xfId="0" applyFont="1" applyAlignment="1">
      <alignment horizontal="center" wrapText="1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Fill="1" applyAlignment="1" quotePrefix="1">
      <alignment horizontal="left"/>
    </xf>
    <xf numFmtId="165" fontId="1" fillId="0" borderId="0" xfId="15" applyNumberFormat="1" applyFont="1" applyFill="1" applyAlignment="1">
      <alignment horizontal="left"/>
    </xf>
    <xf numFmtId="165" fontId="1" fillId="0" borderId="7" xfId="15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/>
    </xf>
    <xf numFmtId="165" fontId="1" fillId="0" borderId="8" xfId="0" applyNumberFormat="1" applyFont="1" applyFill="1" applyBorder="1" applyAlignment="1">
      <alignment/>
    </xf>
    <xf numFmtId="165" fontId="1" fillId="0" borderId="1" xfId="15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>
      <alignment/>
    </xf>
    <xf numFmtId="165" fontId="1" fillId="0" borderId="2" xfId="15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0.7109375" style="0" customWidth="1"/>
    <col min="3" max="3" width="18.57421875" style="0" bestFit="1" customWidth="1"/>
    <col min="4" max="4" width="22.28125" style="0" bestFit="1" customWidth="1"/>
    <col min="5" max="5" width="16.8515625" style="0" bestFit="1" customWidth="1"/>
    <col min="6" max="6" width="11.421875" style="0" customWidth="1"/>
    <col min="7" max="7" width="16.8515625" style="0" bestFit="1" customWidth="1"/>
  </cols>
  <sheetData>
    <row r="1" spans="1:10" ht="15">
      <c r="A1" s="1"/>
      <c r="B1" s="54" t="s">
        <v>182</v>
      </c>
      <c r="C1" s="11"/>
      <c r="D1" s="35"/>
      <c r="E1" s="55"/>
      <c r="F1" s="1"/>
      <c r="G1" s="11"/>
      <c r="H1" s="11"/>
      <c r="I1" s="1"/>
      <c r="J1" s="1"/>
    </row>
    <row r="2" spans="1:10" ht="15">
      <c r="A2" s="1"/>
      <c r="B2" s="11" t="s">
        <v>183</v>
      </c>
      <c r="C2" s="11"/>
      <c r="D2" s="11"/>
      <c r="E2" s="11"/>
      <c r="F2" s="11"/>
      <c r="G2" s="11"/>
      <c r="H2" s="11"/>
      <c r="I2" s="1"/>
      <c r="J2" s="1"/>
    </row>
    <row r="3" spans="1:10" ht="15">
      <c r="A3" s="1"/>
      <c r="B3" s="54" t="s">
        <v>258</v>
      </c>
      <c r="C3" s="11"/>
      <c r="D3" s="55"/>
      <c r="E3" s="11"/>
      <c r="F3" s="11"/>
      <c r="G3" s="11"/>
      <c r="H3" s="11"/>
      <c r="I3" s="1"/>
      <c r="J3" s="1"/>
    </row>
    <row r="4" spans="1:10" ht="15">
      <c r="A4" s="1"/>
      <c r="B4" s="55"/>
      <c r="C4" s="57" t="s">
        <v>184</v>
      </c>
      <c r="D4" s="57" t="s">
        <v>185</v>
      </c>
      <c r="E4" s="57" t="s">
        <v>186</v>
      </c>
      <c r="F4" s="57" t="s">
        <v>187</v>
      </c>
      <c r="G4" s="57" t="s">
        <v>188</v>
      </c>
      <c r="H4" s="57"/>
      <c r="I4" s="57"/>
      <c r="J4" s="1"/>
    </row>
    <row r="5" spans="1:10" ht="16.5">
      <c r="A5" s="1"/>
      <c r="B5" s="154"/>
      <c r="C5" s="31" t="s">
        <v>189</v>
      </c>
      <c r="D5" s="31" t="s">
        <v>98</v>
      </c>
      <c r="E5" s="31" t="s">
        <v>190</v>
      </c>
      <c r="F5" s="31" t="s">
        <v>191</v>
      </c>
      <c r="G5" s="31" t="s">
        <v>192</v>
      </c>
      <c r="H5" s="31"/>
      <c r="I5" s="31"/>
      <c r="J5" s="1"/>
    </row>
    <row r="6" spans="1:10" ht="18">
      <c r="A6" s="1"/>
      <c r="B6" s="169"/>
      <c r="C6" s="31" t="s">
        <v>193</v>
      </c>
      <c r="D6" s="31" t="s">
        <v>64</v>
      </c>
      <c r="E6" s="31" t="s">
        <v>194</v>
      </c>
      <c r="F6" s="31" t="s">
        <v>0</v>
      </c>
      <c r="G6" s="31" t="s">
        <v>66</v>
      </c>
      <c r="H6" s="31"/>
      <c r="I6" s="31"/>
      <c r="J6" s="1"/>
    </row>
    <row r="7" spans="1:10" ht="15">
      <c r="A7" s="1"/>
      <c r="B7" s="35" t="s">
        <v>110</v>
      </c>
      <c r="C7" s="31" t="s">
        <v>253</v>
      </c>
      <c r="D7" s="31" t="s">
        <v>252</v>
      </c>
      <c r="E7" s="31"/>
      <c r="F7" s="84">
        <f>F8/E8</f>
        <v>0.07782603238358228</v>
      </c>
      <c r="G7" s="11"/>
      <c r="H7" s="31"/>
      <c r="I7" s="1"/>
      <c r="J7" s="1"/>
    </row>
    <row r="8" spans="1:10" ht="15">
      <c r="A8" s="1">
        <v>1</v>
      </c>
      <c r="B8" s="11" t="s">
        <v>112</v>
      </c>
      <c r="C8" s="59">
        <f>ROUND(183665820,-3)</f>
        <v>183666000</v>
      </c>
      <c r="D8" s="60">
        <f>+'Panel4 adjs'!C8</f>
        <v>15509000</v>
      </c>
      <c r="E8" s="60">
        <f>+C8+D8</f>
        <v>199175000</v>
      </c>
      <c r="F8" s="60">
        <f>Panel4RevReqCalc!D21</f>
        <v>15501000</v>
      </c>
      <c r="G8" s="60">
        <f>+F8+E8</f>
        <v>214676000</v>
      </c>
      <c r="H8" s="60"/>
      <c r="I8" s="14"/>
      <c r="J8" s="1"/>
    </row>
    <row r="9" spans="1:10" ht="15">
      <c r="A9" s="1">
        <v>2</v>
      </c>
      <c r="B9" s="11" t="s">
        <v>113</v>
      </c>
      <c r="C9" s="43">
        <v>0</v>
      </c>
      <c r="D9" s="60">
        <f>+'Panel4 adjs'!C9</f>
        <v>0</v>
      </c>
      <c r="E9" s="43">
        <f>+C9+D9</f>
        <v>0</v>
      </c>
      <c r="F9" s="43">
        <v>0</v>
      </c>
      <c r="G9" s="43">
        <f>+F9+E9</f>
        <v>0</v>
      </c>
      <c r="H9" s="43"/>
      <c r="I9" s="16"/>
      <c r="J9" s="1"/>
    </row>
    <row r="10" spans="1:10" ht="15">
      <c r="A10" s="1">
        <v>3</v>
      </c>
      <c r="B10" s="11" t="s">
        <v>114</v>
      </c>
      <c r="C10" s="43">
        <f>ROUND(91649561,-3)</f>
        <v>91650000</v>
      </c>
      <c r="D10" s="60">
        <f>+'Panel4 adjs'!C10</f>
        <v>5466000</v>
      </c>
      <c r="E10" s="43">
        <f>+C10+D10</f>
        <v>97116000</v>
      </c>
      <c r="F10" s="43">
        <v>0</v>
      </c>
      <c r="G10" s="43">
        <f>+F10+E10</f>
        <v>97116000</v>
      </c>
      <c r="H10" s="43"/>
      <c r="I10" s="16"/>
      <c r="J10" s="1"/>
    </row>
    <row r="11" spans="1:10" ht="15">
      <c r="A11" s="1">
        <v>4</v>
      </c>
      <c r="B11" s="11" t="s">
        <v>115</v>
      </c>
      <c r="C11" s="43">
        <f>ROUND(15886737,-3)</f>
        <v>15887000</v>
      </c>
      <c r="D11" s="60">
        <f>+'Panel4 adjs'!C11</f>
        <v>-7611000</v>
      </c>
      <c r="E11" s="43">
        <f>+C11+D11</f>
        <v>8276000</v>
      </c>
      <c r="F11" s="43">
        <v>0</v>
      </c>
      <c r="G11" s="43">
        <f>+F11+E11</f>
        <v>8276000</v>
      </c>
      <c r="H11" s="43"/>
      <c r="I11" s="16"/>
      <c r="J11" s="1"/>
    </row>
    <row r="12" spans="1:10" ht="15">
      <c r="A12" s="1">
        <v>5</v>
      </c>
      <c r="B12" s="61" t="s">
        <v>116</v>
      </c>
      <c r="C12" s="62">
        <f>SUM(C8:C11)</f>
        <v>291203000</v>
      </c>
      <c r="D12" s="62">
        <f>SUM(D8:D11)</f>
        <v>13364000</v>
      </c>
      <c r="E12" s="62">
        <f>SUM(E8:E11)</f>
        <v>304567000</v>
      </c>
      <c r="F12" s="62">
        <f>SUM(F8:F11)</f>
        <v>15501000</v>
      </c>
      <c r="G12" s="62">
        <f>SUM(G8:G11)</f>
        <v>320068000</v>
      </c>
      <c r="H12" s="63"/>
      <c r="I12" s="63"/>
      <c r="J12" s="1"/>
    </row>
    <row r="13" spans="1:10" ht="15">
      <c r="A13" s="1">
        <v>6</v>
      </c>
      <c r="B13" s="11"/>
      <c r="C13" s="43"/>
      <c r="D13" s="43"/>
      <c r="E13" s="43"/>
      <c r="F13" s="43"/>
      <c r="G13" s="43"/>
      <c r="H13" s="43"/>
      <c r="I13" s="1"/>
      <c r="J13" s="1"/>
    </row>
    <row r="14" spans="1:10" ht="15">
      <c r="A14" s="1">
        <v>7</v>
      </c>
      <c r="B14" s="35" t="s">
        <v>117</v>
      </c>
      <c r="C14" s="43"/>
      <c r="D14" s="43"/>
      <c r="E14" s="43"/>
      <c r="F14" s="43"/>
      <c r="G14" s="43"/>
      <c r="H14" s="43"/>
      <c r="I14" s="1"/>
      <c r="J14" s="1"/>
    </row>
    <row r="15" spans="1:10" ht="15">
      <c r="A15" s="1">
        <v>8</v>
      </c>
      <c r="B15" s="11" t="s">
        <v>118</v>
      </c>
      <c r="C15" s="43">
        <f>ROUND(52595514,-3)</f>
        <v>52596000</v>
      </c>
      <c r="D15" s="60">
        <f>+'Panel4 adjs'!C15</f>
        <v>-1680000</v>
      </c>
      <c r="E15" s="43">
        <f aca="true" t="shared" si="0" ref="E15:E24">+C15+D15</f>
        <v>50916000</v>
      </c>
      <c r="F15" s="43"/>
      <c r="G15" s="43">
        <f aca="true" t="shared" si="1" ref="G15:G24">+F15+E15</f>
        <v>50916000</v>
      </c>
      <c r="H15" s="43"/>
      <c r="I15" s="16"/>
      <c r="J15" s="1"/>
    </row>
    <row r="16" spans="1:10" ht="15">
      <c r="A16" s="1">
        <v>9</v>
      </c>
      <c r="B16" s="11" t="s">
        <v>119</v>
      </c>
      <c r="C16" s="43">
        <v>0</v>
      </c>
      <c r="D16" s="60">
        <f>+'Panel4 adjs'!C16</f>
        <v>0</v>
      </c>
      <c r="E16" s="43">
        <f t="shared" si="0"/>
        <v>0</v>
      </c>
      <c r="F16" s="43"/>
      <c r="G16" s="43">
        <f t="shared" si="1"/>
        <v>0</v>
      </c>
      <c r="H16" s="43"/>
      <c r="I16" s="16"/>
      <c r="J16" s="1"/>
    </row>
    <row r="17" spans="1:10" ht="15">
      <c r="A17" s="1">
        <v>10</v>
      </c>
      <c r="B17" s="11" t="s">
        <v>120</v>
      </c>
      <c r="C17" s="43">
        <f>ROUND(3665965,-3)</f>
        <v>3666000</v>
      </c>
      <c r="D17" s="60">
        <f>+'Panel4 adjs'!C17</f>
        <v>1750000</v>
      </c>
      <c r="E17" s="43">
        <f t="shared" si="0"/>
        <v>5416000</v>
      </c>
      <c r="F17" s="43"/>
      <c r="G17" s="43">
        <f t="shared" si="1"/>
        <v>5416000</v>
      </c>
      <c r="H17" s="43"/>
      <c r="I17" s="16"/>
      <c r="J17" s="1"/>
    </row>
    <row r="18" spans="1:10" ht="15">
      <c r="A18" s="1">
        <v>11</v>
      </c>
      <c r="B18" s="11" t="s">
        <v>121</v>
      </c>
      <c r="C18" s="43">
        <f>ROUND(90080690,-3)</f>
        <v>90081000</v>
      </c>
      <c r="D18" s="60">
        <f>+'Panel4 adjs'!C18</f>
        <v>13840000</v>
      </c>
      <c r="E18" s="43">
        <f t="shared" si="0"/>
        <v>103921000</v>
      </c>
      <c r="F18" s="43"/>
      <c r="G18" s="43">
        <f t="shared" si="1"/>
        <v>103921000</v>
      </c>
      <c r="H18" s="43"/>
      <c r="I18" s="16"/>
      <c r="J18" s="1"/>
    </row>
    <row r="19" spans="1:10" ht="15">
      <c r="A19" s="1">
        <v>12</v>
      </c>
      <c r="B19" s="11" t="s">
        <v>122</v>
      </c>
      <c r="C19" s="43">
        <f>ROUND(8650088,-3)</f>
        <v>8650000</v>
      </c>
      <c r="D19" s="60">
        <f>+'Panel4 adjs'!C19</f>
        <v>-931000</v>
      </c>
      <c r="E19" s="43">
        <f t="shared" si="0"/>
        <v>7719000</v>
      </c>
      <c r="F19" s="43"/>
      <c r="G19" s="43">
        <f t="shared" si="1"/>
        <v>7719000</v>
      </c>
      <c r="H19" s="43"/>
      <c r="I19" s="16"/>
      <c r="J19" s="1"/>
    </row>
    <row r="20" spans="1:10" ht="15">
      <c r="A20" s="1">
        <v>13</v>
      </c>
      <c r="B20" s="11" t="s">
        <v>123</v>
      </c>
      <c r="C20" s="43">
        <f>ROUND(6969552,-3)</f>
        <v>6970000</v>
      </c>
      <c r="D20" s="60">
        <f>+'Panel4 adjs'!C20</f>
        <v>-22000</v>
      </c>
      <c r="E20" s="43">
        <f t="shared" si="0"/>
        <v>6948000</v>
      </c>
      <c r="F20" s="43"/>
      <c r="G20" s="43">
        <f t="shared" si="1"/>
        <v>6948000</v>
      </c>
      <c r="H20" s="43"/>
      <c r="I20" s="16"/>
      <c r="J20" s="1"/>
    </row>
    <row r="21" spans="1:10" ht="15">
      <c r="A21" s="1">
        <v>14</v>
      </c>
      <c r="B21" s="11" t="s">
        <v>124</v>
      </c>
      <c r="C21" s="43">
        <f>ROUND(7948906,-3)</f>
        <v>7949000</v>
      </c>
      <c r="D21" s="60">
        <f>+'Panel4 adjs'!C21</f>
        <v>-1352000</v>
      </c>
      <c r="E21" s="43">
        <f t="shared" si="0"/>
        <v>6597000</v>
      </c>
      <c r="F21" s="43">
        <f>ROUND(F8*'Panel4Conversion factor'!C9,-3)</f>
        <v>97000</v>
      </c>
      <c r="G21" s="43">
        <f t="shared" si="1"/>
        <v>6694000</v>
      </c>
      <c r="H21" s="43"/>
      <c r="I21" s="16"/>
      <c r="J21" s="1"/>
    </row>
    <row r="22" spans="1:10" ht="15">
      <c r="A22" s="1">
        <v>15</v>
      </c>
      <c r="B22" s="11" t="s">
        <v>125</v>
      </c>
      <c r="C22" s="43">
        <f>ROUND(213426,-3)</f>
        <v>213000</v>
      </c>
      <c r="D22" s="60">
        <f>+'Panel4 adjs'!C22</f>
        <v>1000</v>
      </c>
      <c r="E22" s="43">
        <f t="shared" si="0"/>
        <v>214000</v>
      </c>
      <c r="F22" s="43"/>
      <c r="G22" s="43">
        <f t="shared" si="1"/>
        <v>214000</v>
      </c>
      <c r="H22" s="43"/>
      <c r="I22" s="16"/>
      <c r="J22" s="1"/>
    </row>
    <row r="23" spans="1:10" ht="15">
      <c r="A23" s="1">
        <v>16</v>
      </c>
      <c r="B23" s="11" t="s">
        <v>126</v>
      </c>
      <c r="C23" s="43">
        <f>ROUND(50208,-3)</f>
        <v>50000</v>
      </c>
      <c r="D23" s="60">
        <f>+'Panel4 adjs'!C23</f>
        <v>0</v>
      </c>
      <c r="E23" s="43">
        <f t="shared" si="0"/>
        <v>50000</v>
      </c>
      <c r="F23" s="43"/>
      <c r="G23" s="43">
        <f t="shared" si="1"/>
        <v>50000</v>
      </c>
      <c r="H23" s="43"/>
      <c r="I23" s="16"/>
      <c r="J23" s="1"/>
    </row>
    <row r="24" spans="1:10" ht="15">
      <c r="A24" s="1">
        <v>17</v>
      </c>
      <c r="B24" s="43" t="s">
        <v>127</v>
      </c>
      <c r="C24" s="43">
        <f>ROUND(24260614,-3)</f>
        <v>24261000</v>
      </c>
      <c r="D24" s="60">
        <f>+'Panel4 adjs'!C24</f>
        <v>-1514000</v>
      </c>
      <c r="E24" s="43">
        <f t="shared" si="0"/>
        <v>22747000</v>
      </c>
      <c r="F24" s="43"/>
      <c r="G24" s="43">
        <f t="shared" si="1"/>
        <v>22747000</v>
      </c>
      <c r="H24" s="64"/>
      <c r="I24" s="16"/>
      <c r="J24" s="1"/>
    </row>
    <row r="25" spans="1:10" ht="15">
      <c r="A25" s="1">
        <v>18</v>
      </c>
      <c r="B25" s="65" t="s">
        <v>128</v>
      </c>
      <c r="C25" s="66">
        <f>SUM(C15:C24)</f>
        <v>194436000</v>
      </c>
      <c r="D25" s="66">
        <f>SUM(D15:D24)</f>
        <v>10092000</v>
      </c>
      <c r="E25" s="66">
        <f>SUM(E15:E24)</f>
        <v>204528000</v>
      </c>
      <c r="F25" s="66">
        <f>SUM(F15:F24)</f>
        <v>97000</v>
      </c>
      <c r="G25" s="66">
        <f>SUM(G15:G24)</f>
        <v>204625000</v>
      </c>
      <c r="H25" s="67"/>
      <c r="I25" s="66"/>
      <c r="J25" s="1"/>
    </row>
    <row r="26" spans="1:10" ht="15">
      <c r="A26" s="1">
        <v>19</v>
      </c>
      <c r="B26" s="11" t="s">
        <v>129</v>
      </c>
      <c r="C26" s="43">
        <f>ROUND(31484127,-3)</f>
        <v>31484000</v>
      </c>
      <c r="D26" s="60">
        <f>+'Panel4 adjs'!C26</f>
        <v>-2263000</v>
      </c>
      <c r="E26" s="43">
        <f>+C26+D26</f>
        <v>29221000</v>
      </c>
      <c r="F26" s="43"/>
      <c r="G26" s="43">
        <f>+F26+E26</f>
        <v>29221000</v>
      </c>
      <c r="H26" s="43"/>
      <c r="I26" s="16"/>
      <c r="J26" s="1"/>
    </row>
    <row r="27" spans="1:10" ht="15">
      <c r="A27" s="1">
        <v>20</v>
      </c>
      <c r="B27" s="11" t="s">
        <v>103</v>
      </c>
      <c r="C27" s="43">
        <f>ROUND(4614592,-3)</f>
        <v>4615000</v>
      </c>
      <c r="D27" s="60">
        <f>+'Panel4 adjs'!C27</f>
        <v>-172000</v>
      </c>
      <c r="E27" s="43">
        <f>+C27+D27</f>
        <v>4443000</v>
      </c>
      <c r="F27" s="43"/>
      <c r="G27" s="43">
        <f>+F27+E27</f>
        <v>4443000</v>
      </c>
      <c r="H27" s="43"/>
      <c r="I27" s="16"/>
      <c r="J27" s="1"/>
    </row>
    <row r="28" spans="1:10" ht="15">
      <c r="A28" s="1">
        <v>21</v>
      </c>
      <c r="B28" s="11" t="s">
        <v>130</v>
      </c>
      <c r="C28" s="43">
        <f>ROUND(8663499,-3)</f>
        <v>8663000</v>
      </c>
      <c r="D28" s="60">
        <f>+'Panel4 adjs'!C28</f>
        <v>300000</v>
      </c>
      <c r="E28" s="43">
        <f>+C28+D28</f>
        <v>8963000</v>
      </c>
      <c r="F28" s="43">
        <f>ROUND(('Panel4Conversion factor'!C10+'Panel4Conversion factor'!C11+'Panel4Conversion factor'!C12)*F8,-3)</f>
        <v>647000</v>
      </c>
      <c r="G28" s="43">
        <f>+F28+E28</f>
        <v>9610000</v>
      </c>
      <c r="H28" s="43"/>
      <c r="I28" s="16"/>
      <c r="J28" s="1"/>
    </row>
    <row r="29" spans="1:10" ht="15">
      <c r="A29" s="1">
        <v>22</v>
      </c>
      <c r="B29" s="11" t="s">
        <v>131</v>
      </c>
      <c r="C29" s="43">
        <f>ROUND(16537295,-3)</f>
        <v>16537000</v>
      </c>
      <c r="D29" s="64">
        <f>D82</f>
        <v>-8061000</v>
      </c>
      <c r="E29" s="43">
        <f>E82</f>
        <v>8477000</v>
      </c>
      <c r="F29" s="43">
        <f>F82</f>
        <v>4930000</v>
      </c>
      <c r="G29" s="43">
        <f>G82</f>
        <v>13407000</v>
      </c>
      <c r="H29" s="64"/>
      <c r="I29" s="16"/>
      <c r="J29" s="1"/>
    </row>
    <row r="30" spans="1:10" ht="15">
      <c r="A30" s="1">
        <v>23</v>
      </c>
      <c r="B30" s="11" t="s">
        <v>132</v>
      </c>
      <c r="C30" s="43">
        <f>ROUND(2958545,-3)</f>
        <v>2959000</v>
      </c>
      <c r="D30" s="43">
        <f>D79</f>
        <v>-1149000</v>
      </c>
      <c r="E30" s="43">
        <f>E79</f>
        <v>1810000</v>
      </c>
      <c r="F30" s="43">
        <f>F79</f>
        <v>670000</v>
      </c>
      <c r="G30" s="43">
        <f>G79</f>
        <v>2480000</v>
      </c>
      <c r="H30" s="64"/>
      <c r="I30" s="16"/>
      <c r="J30" s="1"/>
    </row>
    <row r="31" spans="1:10" ht="15">
      <c r="A31" s="1">
        <v>24</v>
      </c>
      <c r="B31" s="11" t="s">
        <v>133</v>
      </c>
      <c r="C31" s="43">
        <f>ROUND(-4950948,-3)</f>
        <v>-4951000</v>
      </c>
      <c r="D31" s="60">
        <f>+'Panel4 adjs'!C31</f>
        <v>12924000</v>
      </c>
      <c r="E31" s="43">
        <f>+C31+D31</f>
        <v>7973000</v>
      </c>
      <c r="F31" s="43"/>
      <c r="G31" s="43">
        <f>+F31+E31</f>
        <v>7973000</v>
      </c>
      <c r="H31" s="43"/>
      <c r="I31" s="16"/>
      <c r="J31" s="1"/>
    </row>
    <row r="32" spans="1:10" ht="15">
      <c r="A32" s="1">
        <v>25</v>
      </c>
      <c r="B32" s="11" t="s">
        <v>134</v>
      </c>
      <c r="C32" s="43">
        <v>0</v>
      </c>
      <c r="D32" s="60">
        <f>+'Panel4 adjs'!C32</f>
        <v>0</v>
      </c>
      <c r="E32" s="43">
        <f>+C32+D32</f>
        <v>0</v>
      </c>
      <c r="F32" s="43"/>
      <c r="G32" s="43">
        <f>+F32+E32</f>
        <v>0</v>
      </c>
      <c r="H32" s="43"/>
      <c r="I32" s="16"/>
      <c r="J32" s="1"/>
    </row>
    <row r="33" spans="1:10" ht="15">
      <c r="A33" s="1">
        <v>26</v>
      </c>
      <c r="B33" s="11" t="s">
        <v>135</v>
      </c>
      <c r="C33" s="43">
        <f>ROUND(-271678,-3)</f>
        <v>-272000</v>
      </c>
      <c r="D33" s="60">
        <f>+'Panel4 adjs'!C33</f>
        <v>-328000</v>
      </c>
      <c r="E33" s="43">
        <f>+C33+D33</f>
        <v>-600000</v>
      </c>
      <c r="F33" s="43"/>
      <c r="G33" s="43">
        <f>+F33+E33</f>
        <v>-600000</v>
      </c>
      <c r="H33" s="43"/>
      <c r="I33" s="16"/>
      <c r="J33" s="1"/>
    </row>
    <row r="34" spans="1:10" ht="15">
      <c r="A34" s="1">
        <v>27</v>
      </c>
      <c r="B34" s="68" t="s">
        <v>136</v>
      </c>
      <c r="C34" s="48">
        <f>SUM(C25:C33)</f>
        <v>253471000</v>
      </c>
      <c r="D34" s="49">
        <f>SUM(D25:D33)</f>
        <v>11343000</v>
      </c>
      <c r="E34" s="48">
        <f>SUM(E25:E33)</f>
        <v>264815000</v>
      </c>
      <c r="F34" s="48">
        <f>SUM(F25:F33)</f>
        <v>6344000</v>
      </c>
      <c r="G34" s="48">
        <f>SUM(G25:G33)</f>
        <v>271159000</v>
      </c>
      <c r="H34" s="49"/>
      <c r="I34" s="48"/>
      <c r="J34" s="1"/>
    </row>
    <row r="35" spans="1:10" ht="15">
      <c r="A35" s="1">
        <v>28</v>
      </c>
      <c r="B35" s="11"/>
      <c r="C35" s="43"/>
      <c r="D35" s="43"/>
      <c r="E35" s="43"/>
      <c r="F35" s="43"/>
      <c r="G35" s="43"/>
      <c r="H35" s="43"/>
      <c r="I35" s="1"/>
      <c r="J35" s="1"/>
    </row>
    <row r="36" spans="1:10" ht="15.75" thickBot="1">
      <c r="A36" s="1">
        <v>29</v>
      </c>
      <c r="B36" s="40" t="s">
        <v>137</v>
      </c>
      <c r="C36" s="69">
        <f>C12-C34</f>
        <v>37732000</v>
      </c>
      <c r="D36" s="70">
        <f>D12-D34</f>
        <v>2021000</v>
      </c>
      <c r="E36" s="69">
        <f>E12-E34</f>
        <v>39752000</v>
      </c>
      <c r="F36" s="69">
        <f>F12-F34</f>
        <v>9157000</v>
      </c>
      <c r="G36" s="69">
        <f>G12-G34</f>
        <v>48909000</v>
      </c>
      <c r="H36" s="71"/>
      <c r="I36" s="72"/>
      <c r="J36" s="1"/>
    </row>
    <row r="37" spans="1:10" ht="15.75" thickTop="1">
      <c r="A37" s="1">
        <v>30</v>
      </c>
      <c r="B37" s="11"/>
      <c r="C37" s="43"/>
      <c r="D37" s="43"/>
      <c r="E37" s="43"/>
      <c r="F37" s="43"/>
      <c r="G37" s="43"/>
      <c r="H37" s="43"/>
      <c r="I37" s="1"/>
      <c r="J37" s="1"/>
    </row>
    <row r="38" spans="1:10" ht="15">
      <c r="A38" s="1">
        <v>31</v>
      </c>
      <c r="B38" s="35" t="s">
        <v>138</v>
      </c>
      <c r="C38" s="43"/>
      <c r="D38" s="43"/>
      <c r="E38" s="43"/>
      <c r="F38" s="43"/>
      <c r="G38" s="43"/>
      <c r="H38" s="43"/>
      <c r="I38" s="1"/>
      <c r="J38" s="1"/>
    </row>
    <row r="39" spans="1:10" ht="15">
      <c r="A39" s="1">
        <v>32</v>
      </c>
      <c r="B39" s="11" t="s">
        <v>139</v>
      </c>
      <c r="C39" s="43">
        <f>ROUND(1050634133,-3)</f>
        <v>1050634000</v>
      </c>
      <c r="D39" s="60">
        <f>+'Panel4 adjs'!C39</f>
        <v>-5683000</v>
      </c>
      <c r="E39" s="43">
        <f aca="true" t="shared" si="2" ref="E39:E49">+C39+D39</f>
        <v>1044951000</v>
      </c>
      <c r="F39" s="43"/>
      <c r="G39" s="43">
        <f aca="true" t="shared" si="3" ref="G39:G49">+F39+E39</f>
        <v>1044951000</v>
      </c>
      <c r="H39" s="43"/>
      <c r="I39" s="16"/>
      <c r="J39" s="1"/>
    </row>
    <row r="40" spans="1:10" ht="15">
      <c r="A40" s="1">
        <v>33</v>
      </c>
      <c r="B40" s="11" t="s">
        <v>140</v>
      </c>
      <c r="C40" s="43">
        <f>ROUND(186926,-3)</f>
        <v>187000</v>
      </c>
      <c r="D40" s="60">
        <f>+'Panel4 adjs'!C40</f>
        <v>-87000</v>
      </c>
      <c r="E40" s="43">
        <f t="shared" si="2"/>
        <v>100000</v>
      </c>
      <c r="F40" s="43"/>
      <c r="G40" s="43">
        <f t="shared" si="3"/>
        <v>100000</v>
      </c>
      <c r="H40" s="43"/>
      <c r="I40" s="16"/>
      <c r="J40" s="1"/>
    </row>
    <row r="41" spans="1:10" ht="15">
      <c r="A41" s="1">
        <v>34</v>
      </c>
      <c r="B41" s="11" t="s">
        <v>141</v>
      </c>
      <c r="C41" s="43">
        <f>ROUND(19798675,-3)</f>
        <v>19799000</v>
      </c>
      <c r="D41" s="60">
        <f>+'Panel4 adjs'!C41</f>
        <v>-4898000</v>
      </c>
      <c r="E41" s="43">
        <f t="shared" si="2"/>
        <v>14901000</v>
      </c>
      <c r="F41" s="43"/>
      <c r="G41" s="43">
        <f t="shared" si="3"/>
        <v>14901000</v>
      </c>
      <c r="H41" s="43"/>
      <c r="I41" s="16"/>
      <c r="J41" s="1"/>
    </row>
    <row r="42" spans="1:10" ht="15">
      <c r="A42" s="1">
        <v>35</v>
      </c>
      <c r="B42" s="11" t="s">
        <v>142</v>
      </c>
      <c r="C42" s="43">
        <f>ROUND(8826303,-3)</f>
        <v>8826000</v>
      </c>
      <c r="D42" s="60">
        <f>+'Panel4 adjs'!C42</f>
        <v>0</v>
      </c>
      <c r="E42" s="43">
        <f t="shared" si="2"/>
        <v>8826000</v>
      </c>
      <c r="F42" s="43"/>
      <c r="G42" s="43">
        <f t="shared" si="3"/>
        <v>8826000</v>
      </c>
      <c r="H42" s="43"/>
      <c r="I42" s="16"/>
      <c r="J42" s="1"/>
    </row>
    <row r="43" spans="1:10" ht="15">
      <c r="A43" s="1">
        <v>36</v>
      </c>
      <c r="B43" s="11" t="s">
        <v>143</v>
      </c>
      <c r="C43" s="43">
        <v>0</v>
      </c>
      <c r="D43" s="60">
        <f>+'Panel4 adjs'!C43</f>
        <v>0</v>
      </c>
      <c r="E43" s="43">
        <f t="shared" si="2"/>
        <v>0</v>
      </c>
      <c r="F43" s="43"/>
      <c r="G43" s="43">
        <f t="shared" si="3"/>
        <v>0</v>
      </c>
      <c r="H43" s="43"/>
      <c r="I43" s="16"/>
      <c r="J43" s="1"/>
    </row>
    <row r="44" spans="1:10" ht="15">
      <c r="A44" s="1">
        <v>37</v>
      </c>
      <c r="B44" s="11" t="s">
        <v>144</v>
      </c>
      <c r="C44" s="43">
        <f>ROUND(1334684,-3)</f>
        <v>1335000</v>
      </c>
      <c r="D44" s="60">
        <f>+'Panel4 adjs'!C44</f>
        <v>-1335000</v>
      </c>
      <c r="E44" s="43">
        <f t="shared" si="2"/>
        <v>0</v>
      </c>
      <c r="F44" s="43"/>
      <c r="G44" s="43">
        <f t="shared" si="3"/>
        <v>0</v>
      </c>
      <c r="H44" s="43"/>
      <c r="I44" s="16"/>
      <c r="J44" s="1"/>
    </row>
    <row r="45" spans="1:10" ht="15">
      <c r="A45" s="1">
        <v>38</v>
      </c>
      <c r="B45" s="11" t="s">
        <v>145</v>
      </c>
      <c r="C45" s="43">
        <f>ROUND(4068814,-3)</f>
        <v>4069000</v>
      </c>
      <c r="D45" s="60">
        <f>+'Panel4 adjs'!C45</f>
        <v>-4069000</v>
      </c>
      <c r="E45" s="43">
        <f t="shared" si="2"/>
        <v>0</v>
      </c>
      <c r="F45" s="43"/>
      <c r="G45" s="43">
        <f t="shared" si="3"/>
        <v>0</v>
      </c>
      <c r="H45" s="43"/>
      <c r="I45" s="16"/>
      <c r="J45" s="1"/>
    </row>
    <row r="46" spans="1:10" ht="15">
      <c r="A46" s="1">
        <v>39</v>
      </c>
      <c r="B46" s="11" t="s">
        <v>146</v>
      </c>
      <c r="C46" s="43">
        <f>ROUND(6613137,-3)</f>
        <v>6613000</v>
      </c>
      <c r="D46" s="60">
        <f>+'Panel4 adjs'!C46</f>
        <v>-6613000</v>
      </c>
      <c r="E46" s="43">
        <f t="shared" si="2"/>
        <v>0</v>
      </c>
      <c r="F46" s="43"/>
      <c r="G46" s="43">
        <f t="shared" si="3"/>
        <v>0</v>
      </c>
      <c r="H46" s="43"/>
      <c r="I46" s="16"/>
      <c r="J46" s="1"/>
    </row>
    <row r="47" spans="1:10" ht="15">
      <c r="A47" s="1">
        <v>40</v>
      </c>
      <c r="B47" s="11" t="s">
        <v>106</v>
      </c>
      <c r="C47" s="43">
        <f>ROUND(6657622,-3)</f>
        <v>6658000</v>
      </c>
      <c r="D47" s="60">
        <f>+'Panel4 adjs'!C47</f>
        <v>5359000</v>
      </c>
      <c r="E47" s="43">
        <f t="shared" si="2"/>
        <v>12017000</v>
      </c>
      <c r="F47" s="43"/>
      <c r="G47" s="43">
        <f t="shared" si="3"/>
        <v>12017000</v>
      </c>
      <c r="H47" s="43"/>
      <c r="I47" s="16"/>
      <c r="J47" s="1"/>
    </row>
    <row r="48" spans="1:10" ht="15">
      <c r="A48" s="1">
        <v>41</v>
      </c>
      <c r="B48" s="11" t="s">
        <v>147</v>
      </c>
      <c r="C48" s="43">
        <f>ROUND(2643691,-3)</f>
        <v>2644000</v>
      </c>
      <c r="D48" s="60">
        <f>+'Panel4 adjs'!C48</f>
        <v>0</v>
      </c>
      <c r="E48" s="43">
        <f t="shared" si="2"/>
        <v>2644000</v>
      </c>
      <c r="F48" s="43"/>
      <c r="G48" s="43">
        <f t="shared" si="3"/>
        <v>2644000</v>
      </c>
      <c r="H48" s="43"/>
      <c r="I48" s="16"/>
      <c r="J48" s="1"/>
    </row>
    <row r="49" spans="1:10" ht="15">
      <c r="A49" s="1">
        <v>42</v>
      </c>
      <c r="B49" s="11" t="s">
        <v>148</v>
      </c>
      <c r="C49" s="43">
        <f>ROUND(1499446,-3)</f>
        <v>1499000</v>
      </c>
      <c r="D49" s="60">
        <f>+'Panel4 adjs'!C49</f>
        <v>-1469000</v>
      </c>
      <c r="E49" s="43">
        <f t="shared" si="2"/>
        <v>30000</v>
      </c>
      <c r="F49" s="43"/>
      <c r="G49" s="43">
        <f t="shared" si="3"/>
        <v>30000</v>
      </c>
      <c r="H49" s="43"/>
      <c r="I49" s="16"/>
      <c r="J49" s="1"/>
    </row>
    <row r="50" spans="1:10" ht="15">
      <c r="A50" s="1">
        <v>43</v>
      </c>
      <c r="B50" s="73" t="s">
        <v>149</v>
      </c>
      <c r="C50" s="48">
        <f>SUM(C39:C49)</f>
        <v>1102264000</v>
      </c>
      <c r="D50" s="48">
        <f>SUM(D39:D49)</f>
        <v>-18795000</v>
      </c>
      <c r="E50" s="48">
        <f>SUM(E39:E49)</f>
        <v>1083469000</v>
      </c>
      <c r="F50" s="48">
        <f>SUM(F39:F49)</f>
        <v>0</v>
      </c>
      <c r="G50" s="48">
        <f>SUM(G39:G49)</f>
        <v>1083469000</v>
      </c>
      <c r="H50" s="48"/>
      <c r="I50" s="48"/>
      <c r="J50" s="1"/>
    </row>
    <row r="51" spans="1:10" ht="15">
      <c r="A51" s="1">
        <v>44</v>
      </c>
      <c r="B51" s="11"/>
      <c r="C51" s="43"/>
      <c r="D51" s="43"/>
      <c r="E51" s="43"/>
      <c r="F51" s="43"/>
      <c r="G51" s="43"/>
      <c r="H51" s="43"/>
      <c r="I51" s="1"/>
      <c r="J51" s="1"/>
    </row>
    <row r="52" spans="1:10" ht="15">
      <c r="A52" s="1">
        <v>45</v>
      </c>
      <c r="B52" s="35" t="s">
        <v>150</v>
      </c>
      <c r="C52" s="43"/>
      <c r="D52" s="43"/>
      <c r="E52" s="43"/>
      <c r="F52" s="43"/>
      <c r="G52" s="43"/>
      <c r="H52" s="43"/>
      <c r="I52" s="1"/>
      <c r="J52" s="1"/>
    </row>
    <row r="53" spans="1:10" ht="15">
      <c r="A53" s="1">
        <v>46</v>
      </c>
      <c r="B53" s="11" t="s">
        <v>151</v>
      </c>
      <c r="C53" s="43">
        <f>ROUND(-414916297,-3)</f>
        <v>-414916000</v>
      </c>
      <c r="D53" s="60">
        <f>+'Panel4 adjs'!C53</f>
        <v>11660000</v>
      </c>
      <c r="E53" s="43">
        <f aca="true" t="shared" si="4" ref="E53:E59">+C53+D53</f>
        <v>-403256000</v>
      </c>
      <c r="F53" s="43"/>
      <c r="G53" s="43">
        <f aca="true" t="shared" si="5" ref="G53:G59">+F53+E53</f>
        <v>-403256000</v>
      </c>
      <c r="H53" s="43"/>
      <c r="I53" s="16"/>
      <c r="J53" s="1"/>
    </row>
    <row r="54" spans="1:10" ht="15">
      <c r="A54" s="1">
        <v>47</v>
      </c>
      <c r="B54" s="11" t="s">
        <v>152</v>
      </c>
      <c r="C54" s="43">
        <f>ROUND(-20423834,-3)</f>
        <v>-20424000</v>
      </c>
      <c r="D54" s="60">
        <f>+'Panel4 adjs'!C54</f>
        <v>0</v>
      </c>
      <c r="E54" s="43">
        <f t="shared" si="4"/>
        <v>-20424000</v>
      </c>
      <c r="F54" s="43"/>
      <c r="G54" s="43">
        <f t="shared" si="5"/>
        <v>-20424000</v>
      </c>
      <c r="H54" s="43"/>
      <c r="I54" s="16"/>
      <c r="J54" s="1"/>
    </row>
    <row r="55" spans="1:10" ht="15">
      <c r="A55" s="1">
        <v>48</v>
      </c>
      <c r="B55" s="11" t="s">
        <v>153</v>
      </c>
      <c r="C55" s="43">
        <f>ROUND(-64317721,-3)</f>
        <v>-64318000</v>
      </c>
      <c r="D55" s="60">
        <f>+'Panel4 adjs'!C55</f>
        <v>4638000</v>
      </c>
      <c r="E55" s="43">
        <f t="shared" si="4"/>
        <v>-59680000</v>
      </c>
      <c r="F55" s="43"/>
      <c r="G55" s="43">
        <f t="shared" si="5"/>
        <v>-59680000</v>
      </c>
      <c r="H55" s="43"/>
      <c r="I55" s="16"/>
      <c r="J55" s="1"/>
    </row>
    <row r="56" spans="1:10" ht="15">
      <c r="A56" s="1">
        <v>49</v>
      </c>
      <c r="B56" s="11" t="s">
        <v>154</v>
      </c>
      <c r="C56" s="43">
        <f>ROUND(-2595292,-3)</f>
        <v>-2595000</v>
      </c>
      <c r="D56" s="60">
        <f>+'Panel4 adjs'!C56</f>
        <v>-39000</v>
      </c>
      <c r="E56" s="43">
        <f t="shared" si="4"/>
        <v>-2634000</v>
      </c>
      <c r="F56" s="43"/>
      <c r="G56" s="43">
        <f t="shared" si="5"/>
        <v>-2634000</v>
      </c>
      <c r="H56" s="43"/>
      <c r="I56" s="16"/>
      <c r="J56" s="1"/>
    </row>
    <row r="57" spans="1:10" ht="15">
      <c r="A57" s="1">
        <v>50</v>
      </c>
      <c r="B57" s="11" t="s">
        <v>155</v>
      </c>
      <c r="C57" s="43">
        <f>ROUND(-38641,-3)</f>
        <v>-39000</v>
      </c>
      <c r="D57" s="60">
        <f>+'Panel4 adjs'!C57</f>
        <v>0</v>
      </c>
      <c r="E57" s="43">
        <f t="shared" si="4"/>
        <v>-39000</v>
      </c>
      <c r="F57" s="43"/>
      <c r="G57" s="43">
        <f t="shared" si="5"/>
        <v>-39000</v>
      </c>
      <c r="H57" s="43"/>
      <c r="I57" s="16"/>
      <c r="J57" s="1"/>
    </row>
    <row r="58" spans="1:10" ht="15">
      <c r="A58" s="1">
        <v>51</v>
      </c>
      <c r="B58" s="11" t="s">
        <v>156</v>
      </c>
      <c r="C58" s="43">
        <v>0</v>
      </c>
      <c r="D58" s="60">
        <f>+'Panel4 adjs'!C58</f>
        <v>-1030000</v>
      </c>
      <c r="E58" s="43">
        <f t="shared" si="4"/>
        <v>-1030000</v>
      </c>
      <c r="F58" s="43"/>
      <c r="G58" s="43">
        <f t="shared" si="5"/>
        <v>-1030000</v>
      </c>
      <c r="H58" s="43"/>
      <c r="I58" s="16"/>
      <c r="J58" s="1"/>
    </row>
    <row r="59" spans="1:10" ht="15">
      <c r="A59" s="1">
        <v>52</v>
      </c>
      <c r="B59" s="11" t="s">
        <v>157</v>
      </c>
      <c r="C59" s="43">
        <f>ROUND(-10784008,-3)</f>
        <v>-10784000</v>
      </c>
      <c r="D59" s="60">
        <f>+'Panel4 adjs'!C59</f>
        <v>-2681000</v>
      </c>
      <c r="E59" s="43">
        <f t="shared" si="4"/>
        <v>-13465000</v>
      </c>
      <c r="F59" s="43"/>
      <c r="G59" s="43">
        <f t="shared" si="5"/>
        <v>-13465000</v>
      </c>
      <c r="H59" s="43"/>
      <c r="I59" s="16"/>
      <c r="J59" s="1"/>
    </row>
    <row r="60" spans="1:10" ht="15">
      <c r="A60" s="1">
        <v>53</v>
      </c>
      <c r="B60" s="11"/>
      <c r="C60" s="43"/>
      <c r="D60" s="43"/>
      <c r="E60" s="43"/>
      <c r="F60" s="43"/>
      <c r="G60" s="43"/>
      <c r="H60" s="43"/>
      <c r="I60" s="1"/>
      <c r="J60" s="1"/>
    </row>
    <row r="61" spans="1:10" ht="15">
      <c r="A61" s="1">
        <v>54</v>
      </c>
      <c r="B61" s="73" t="s">
        <v>195</v>
      </c>
      <c r="C61" s="48">
        <f>SUM(C53:C60)</f>
        <v>-513076000</v>
      </c>
      <c r="D61" s="48">
        <f>SUM(D53:D60)</f>
        <v>12548000</v>
      </c>
      <c r="E61" s="48">
        <f>SUM(E53:E60)</f>
        <v>-500528000</v>
      </c>
      <c r="F61" s="48">
        <f>SUM(F53:F60)</f>
        <v>0</v>
      </c>
      <c r="G61" s="48">
        <f>SUM(G53:G60)</f>
        <v>-500528000</v>
      </c>
      <c r="H61" s="48"/>
      <c r="I61" s="48"/>
      <c r="J61" s="1"/>
    </row>
    <row r="62" spans="1:10" ht="15">
      <c r="A62" s="1">
        <v>55</v>
      </c>
      <c r="B62" s="11"/>
      <c r="C62" s="43"/>
      <c r="D62" s="43"/>
      <c r="E62" s="43"/>
      <c r="F62" s="43"/>
      <c r="G62" s="43"/>
      <c r="H62" s="43"/>
      <c r="I62" s="1"/>
      <c r="J62" s="1"/>
    </row>
    <row r="63" spans="1:10" ht="15.75" thickBot="1">
      <c r="A63" s="1">
        <v>56</v>
      </c>
      <c r="B63" s="40" t="s">
        <v>159</v>
      </c>
      <c r="C63" s="74">
        <f>C50+C61</f>
        <v>589188000</v>
      </c>
      <c r="D63" s="74">
        <f>D50+D61</f>
        <v>-6247000</v>
      </c>
      <c r="E63" s="74">
        <f>E50+E61</f>
        <v>582941000</v>
      </c>
      <c r="F63" s="74">
        <f>F50+F61</f>
        <v>0</v>
      </c>
      <c r="G63" s="74">
        <f>G50+G61</f>
        <v>582941000</v>
      </c>
      <c r="H63" s="75"/>
      <c r="I63" s="75"/>
      <c r="J63" s="1"/>
    </row>
    <row r="64" spans="1:10" ht="15.75" thickTop="1">
      <c r="A64" s="1">
        <v>57</v>
      </c>
      <c r="B64" s="11"/>
      <c r="C64" s="43"/>
      <c r="D64" s="43"/>
      <c r="E64" s="43"/>
      <c r="F64" s="43"/>
      <c r="G64" s="43"/>
      <c r="H64" s="43"/>
      <c r="I64" s="1"/>
      <c r="J64" s="1"/>
    </row>
    <row r="65" spans="1:10" ht="15.75" thickBot="1">
      <c r="A65" s="1">
        <v>58</v>
      </c>
      <c r="B65" s="192" t="s">
        <v>1</v>
      </c>
      <c r="C65" s="76">
        <f>C36/C63</f>
        <v>0.06404067971513337</v>
      </c>
      <c r="D65" s="46"/>
      <c r="E65" s="76">
        <f>E36/E63</f>
        <v>0.06819214980589802</v>
      </c>
      <c r="F65" s="46"/>
      <c r="G65" s="76">
        <f>G36/G63</f>
        <v>0.08390042903141141</v>
      </c>
      <c r="H65" s="46"/>
      <c r="I65" s="76"/>
      <c r="J65" s="1"/>
    </row>
    <row r="66" spans="1:10" ht="15.75" thickBot="1">
      <c r="A66" s="1">
        <v>59</v>
      </c>
      <c r="B66" s="44"/>
      <c r="C66" s="76"/>
      <c r="D66" s="46"/>
      <c r="E66" s="76"/>
      <c r="F66" s="46"/>
      <c r="G66" s="76"/>
      <c r="H66" s="46"/>
      <c r="I66" s="76"/>
      <c r="J66" s="1"/>
    </row>
    <row r="67" spans="1:10" ht="15">
      <c r="A67" s="1">
        <v>60</v>
      </c>
      <c r="B67" s="11"/>
      <c r="C67" s="11"/>
      <c r="D67" s="11"/>
      <c r="E67" s="11"/>
      <c r="F67" s="11"/>
      <c r="G67" s="11"/>
      <c r="H67" s="11"/>
      <c r="I67" s="1"/>
      <c r="J67" s="1"/>
    </row>
    <row r="68" spans="1:10" ht="15">
      <c r="A68" s="1">
        <v>61</v>
      </c>
      <c r="B68" s="11" t="s">
        <v>160</v>
      </c>
      <c r="C68" s="11"/>
      <c r="D68" s="11" t="s">
        <v>161</v>
      </c>
      <c r="E68" s="11"/>
      <c r="F68" s="47">
        <f>4.54%</f>
        <v>0.0454</v>
      </c>
      <c r="G68" s="11"/>
      <c r="H68" s="11"/>
      <c r="I68" s="1"/>
      <c r="J68" s="1"/>
    </row>
    <row r="69" spans="1:10" ht="15">
      <c r="A69" s="1">
        <v>62</v>
      </c>
      <c r="B69" s="11" t="s">
        <v>196</v>
      </c>
      <c r="C69" s="11"/>
      <c r="D69" s="11" t="s">
        <v>162</v>
      </c>
      <c r="E69" s="11"/>
      <c r="F69" s="47">
        <v>0.35</v>
      </c>
      <c r="G69" s="11"/>
      <c r="H69" s="11"/>
      <c r="I69" s="1"/>
      <c r="J69" s="1"/>
    </row>
    <row r="70" spans="1:10" ht="15">
      <c r="A70" s="1">
        <v>63</v>
      </c>
      <c r="B70" s="11"/>
      <c r="C70" s="11"/>
      <c r="D70" s="11"/>
      <c r="E70" s="11"/>
      <c r="F70" s="47"/>
      <c r="G70" s="11"/>
      <c r="H70" s="11"/>
      <c r="I70" s="1"/>
      <c r="J70" s="1"/>
    </row>
    <row r="71" spans="1:10" ht="15">
      <c r="A71" s="1">
        <v>64</v>
      </c>
      <c r="B71" s="11" t="s">
        <v>163</v>
      </c>
      <c r="C71" s="43">
        <f>ROUND(C12-C34+C29+C30+C31,-3)</f>
        <v>52277000</v>
      </c>
      <c r="D71" s="43">
        <f>ROUND(D12-D25-D26-D27-D28-D33,-3)</f>
        <v>5735000</v>
      </c>
      <c r="E71" s="43">
        <f>ROUND(E12-E25-E26-E27-E28-E33,-3)</f>
        <v>58012000</v>
      </c>
      <c r="F71" s="43">
        <f>ROUND(F12-F25-F26-F27-F28-F33,-3)</f>
        <v>14757000</v>
      </c>
      <c r="G71" s="43">
        <f>ROUND(G12-G25-G26-G27-G28-G33,-3)</f>
        <v>72769000</v>
      </c>
      <c r="H71" s="43"/>
      <c r="I71" s="43"/>
      <c r="J71" s="1"/>
    </row>
    <row r="72" spans="1:10" ht="15">
      <c r="A72" s="1">
        <v>65</v>
      </c>
      <c r="B72" s="11" t="s">
        <v>164</v>
      </c>
      <c r="C72" s="43"/>
      <c r="D72" s="43"/>
      <c r="E72" s="43"/>
      <c r="F72" s="43"/>
      <c r="G72" s="43"/>
      <c r="H72" s="43"/>
      <c r="I72" s="16"/>
      <c r="J72" s="1"/>
    </row>
    <row r="73" spans="1:10" ht="15">
      <c r="A73" s="1">
        <v>66</v>
      </c>
      <c r="B73" s="11" t="s">
        <v>165</v>
      </c>
      <c r="C73" s="43">
        <v>0</v>
      </c>
      <c r="D73" s="60">
        <f>+'Panel4 adjs'!C72</f>
        <v>0</v>
      </c>
      <c r="E73" s="43">
        <f>+C73+D73</f>
        <v>0</v>
      </c>
      <c r="F73" s="43">
        <v>0</v>
      </c>
      <c r="G73" s="43">
        <f>+F73+E73</f>
        <v>0</v>
      </c>
      <c r="H73" s="43"/>
      <c r="I73" s="16"/>
      <c r="J73" s="1"/>
    </row>
    <row r="74" spans="1:10" ht="15">
      <c r="A74" s="1">
        <v>67</v>
      </c>
      <c r="B74" s="11" t="s">
        <v>45</v>
      </c>
      <c r="C74" s="43">
        <f>ROUND(20868239,-3)</f>
        <v>20868000</v>
      </c>
      <c r="D74" s="60">
        <f>+'Panel4 adjs'!C73</f>
        <v>-1328000</v>
      </c>
      <c r="E74" s="43">
        <f>+C74+D74</f>
        <v>19540000</v>
      </c>
      <c r="F74" s="43">
        <v>0</v>
      </c>
      <c r="G74" s="43">
        <f>+F74+E74</f>
        <v>19540000</v>
      </c>
      <c r="H74" s="43"/>
      <c r="I74" s="16"/>
      <c r="J74" s="1"/>
    </row>
    <row r="75" spans="1:10" ht="15">
      <c r="A75" s="1">
        <v>68</v>
      </c>
      <c r="B75" s="11" t="s">
        <v>166</v>
      </c>
      <c r="C75" s="43">
        <f>ROUND(18799586,-3)</f>
        <v>18800000</v>
      </c>
      <c r="D75" s="60">
        <f>+'Panel4 adjs'!C74</f>
        <v>-31994000</v>
      </c>
      <c r="E75" s="43">
        <f>+C75+D75</f>
        <v>-13194000</v>
      </c>
      <c r="F75" s="43">
        <v>0</v>
      </c>
      <c r="G75" s="43">
        <f>+F75+E75</f>
        <v>-13194000</v>
      </c>
      <c r="H75" s="43"/>
      <c r="I75" s="16"/>
      <c r="J75" s="1"/>
    </row>
    <row r="76" spans="1:10" ht="15">
      <c r="A76" s="1">
        <v>69</v>
      </c>
      <c r="B76" s="11" t="s">
        <v>167</v>
      </c>
      <c r="C76" s="77"/>
      <c r="D76" s="78">
        <f>+'Panel4 adjs'!C75</f>
        <v>372000</v>
      </c>
      <c r="E76" s="77">
        <f>+C76+D76</f>
        <v>372000</v>
      </c>
      <c r="F76" s="77">
        <v>0</v>
      </c>
      <c r="G76" s="77">
        <f>+F76+E76</f>
        <v>372000</v>
      </c>
      <c r="H76" s="77"/>
      <c r="I76" s="17"/>
      <c r="J76" s="1"/>
    </row>
    <row r="77" spans="1:10" ht="15">
      <c r="A77" s="1">
        <v>70</v>
      </c>
      <c r="B77" s="11"/>
      <c r="C77" s="43"/>
      <c r="D77" s="43"/>
      <c r="E77" s="43"/>
      <c r="F77" s="43"/>
      <c r="G77" s="43"/>
      <c r="H77" s="43"/>
      <c r="I77" s="43"/>
      <c r="J77" s="1"/>
    </row>
    <row r="78" spans="1:10" ht="15">
      <c r="A78" s="1">
        <v>71</v>
      </c>
      <c r="B78" s="11" t="s">
        <v>168</v>
      </c>
      <c r="C78" s="43">
        <f>C71-C72-C73-C74+C75-C76</f>
        <v>50209000</v>
      </c>
      <c r="D78" s="43">
        <f>D71-D72-D73-D74+D75-D76</f>
        <v>-25303000</v>
      </c>
      <c r="E78" s="43">
        <f>E71-E72-E73-E74+E75-E76</f>
        <v>24906000</v>
      </c>
      <c r="F78" s="43">
        <f>F71-SUM(F72:F76)</f>
        <v>14757000</v>
      </c>
      <c r="G78" s="43">
        <f>G71-SUM(G72:G76)</f>
        <v>66051000</v>
      </c>
      <c r="H78" s="43"/>
      <c r="I78" s="43"/>
      <c r="J78" s="1"/>
    </row>
    <row r="79" spans="1:10" ht="15">
      <c r="A79" s="1">
        <v>72</v>
      </c>
      <c r="B79" s="11" t="s">
        <v>169</v>
      </c>
      <c r="C79" s="43">
        <f>ROUND(2958545,-3)</f>
        <v>2959000</v>
      </c>
      <c r="D79" s="60">
        <f>+'Panel4 adjs'!C78</f>
        <v>-1149000</v>
      </c>
      <c r="E79" s="43">
        <f>+C79+D79</f>
        <v>1810000</v>
      </c>
      <c r="F79" s="43">
        <f>ROUND(F78*$F$68,-3)</f>
        <v>670000</v>
      </c>
      <c r="G79" s="43">
        <f>+F79+E79</f>
        <v>2480000</v>
      </c>
      <c r="H79" s="43"/>
      <c r="I79" s="43"/>
      <c r="J79" s="1"/>
    </row>
    <row r="80" spans="1:10" ht="15">
      <c r="A80" s="1">
        <v>73</v>
      </c>
      <c r="B80" s="48" t="s">
        <v>170</v>
      </c>
      <c r="C80" s="48">
        <f>C78-C79</f>
        <v>47250000</v>
      </c>
      <c r="D80" s="48">
        <f>D78-D79</f>
        <v>-24154000</v>
      </c>
      <c r="E80" s="48">
        <f>E78-E79</f>
        <v>23096000</v>
      </c>
      <c r="F80" s="48">
        <f>F78-F79</f>
        <v>14087000</v>
      </c>
      <c r="G80" s="48">
        <f>G78-G79</f>
        <v>63571000</v>
      </c>
      <c r="H80" s="48"/>
      <c r="I80" s="48"/>
      <c r="J80" s="1"/>
    </row>
    <row r="81" spans="1:10" ht="15">
      <c r="A81" s="1">
        <v>74</v>
      </c>
      <c r="B81" s="11" t="s">
        <v>171</v>
      </c>
      <c r="C81" s="43">
        <v>0</v>
      </c>
      <c r="D81" s="60">
        <f>+'Panel4 adjs'!C80</f>
        <v>393000</v>
      </c>
      <c r="E81" s="43">
        <f>+C81+D81</f>
        <v>393000</v>
      </c>
      <c r="F81" s="43">
        <v>0</v>
      </c>
      <c r="G81" s="43">
        <f>+E81+F81</f>
        <v>393000</v>
      </c>
      <c r="H81" s="43"/>
      <c r="I81" s="43"/>
      <c r="J81" s="1"/>
    </row>
    <row r="82" spans="1:10" ht="15.75" thickBot="1">
      <c r="A82" s="1">
        <v>75</v>
      </c>
      <c r="B82" s="75" t="s">
        <v>197</v>
      </c>
      <c r="C82" s="75">
        <f>ROUND(C80*$F$69,-3)</f>
        <v>16538000</v>
      </c>
      <c r="D82" s="75">
        <f>ROUND(D80*$F$69+D81,-3)</f>
        <v>-8061000</v>
      </c>
      <c r="E82" s="75">
        <f>+C82+D82</f>
        <v>8477000</v>
      </c>
      <c r="F82" s="75">
        <f>ROUND(F80*$F$69+F81,-3)</f>
        <v>4930000</v>
      </c>
      <c r="G82" s="75">
        <f>+E82+F82</f>
        <v>13407000</v>
      </c>
      <c r="H82" s="75"/>
      <c r="I82" s="18"/>
      <c r="J82" s="1"/>
    </row>
    <row r="83" spans="1:10" ht="15.75" thickTop="1">
      <c r="A83" s="1">
        <v>76</v>
      </c>
      <c r="B83" s="79"/>
      <c r="C83" s="80"/>
      <c r="D83" s="80"/>
      <c r="E83" s="80"/>
      <c r="F83" s="80"/>
      <c r="G83" s="80"/>
      <c r="H83" s="80"/>
      <c r="I83" s="9"/>
      <c r="J83" s="1"/>
    </row>
    <row r="84" spans="1:10" ht="15">
      <c r="A84" s="55"/>
      <c r="B84" s="55"/>
      <c r="C84" s="55"/>
      <c r="D84" s="55"/>
      <c r="E84" s="55"/>
      <c r="F84" s="55"/>
      <c r="G84" s="1"/>
      <c r="H84" s="2"/>
      <c r="I84" s="2"/>
      <c r="J84" s="2"/>
    </row>
    <row r="85" spans="1:10" ht="15">
      <c r="A85" s="55"/>
      <c r="B85" s="55"/>
      <c r="C85" s="55"/>
      <c r="D85" s="55"/>
      <c r="E85" s="55"/>
      <c r="F85" s="55"/>
      <c r="G85" s="81"/>
      <c r="H85" s="82"/>
      <c r="I85" s="82"/>
      <c r="J85" s="83"/>
    </row>
    <row r="86" spans="1:10" ht="15">
      <c r="A86" s="55"/>
      <c r="B86" s="55"/>
      <c r="C86" s="55"/>
      <c r="D86" s="55"/>
      <c r="E86" s="55"/>
      <c r="F86" s="55"/>
      <c r="G86" s="1"/>
      <c r="H86" s="82"/>
      <c r="I86" s="82"/>
      <c r="J86" s="83"/>
    </row>
    <row r="87" spans="1:10" ht="15">
      <c r="A87" s="55"/>
      <c r="B87" s="55"/>
      <c r="C87" s="55"/>
      <c r="D87" s="55"/>
      <c r="E87" s="55"/>
      <c r="F87" s="55"/>
      <c r="G87" s="81"/>
      <c r="H87" s="82"/>
      <c r="I87" s="82"/>
      <c r="J87" s="83"/>
    </row>
    <row r="88" spans="1:10" ht="15">
      <c r="A88" s="55"/>
      <c r="B88" s="55"/>
      <c r="C88" s="55"/>
      <c r="D88" s="55"/>
      <c r="E88" s="55"/>
      <c r="F88" s="55"/>
      <c r="G88" s="54"/>
      <c r="H88" s="58"/>
      <c r="I88" s="58"/>
      <c r="J88" s="83"/>
    </row>
    <row r="89" spans="1:10" ht="15.75" thickBot="1">
      <c r="A89" s="55"/>
      <c r="B89" s="55"/>
      <c r="C89" s="55"/>
      <c r="D89" s="55"/>
      <c r="E89" s="55"/>
      <c r="F89" s="55"/>
      <c r="G89" s="35"/>
      <c r="H89" s="84"/>
      <c r="I89" s="85"/>
      <c r="J89" s="86"/>
    </row>
    <row r="90" spans="1:10" ht="15.75" thickTop="1">
      <c r="A90" s="1">
        <v>83</v>
      </c>
      <c r="B90" s="87"/>
      <c r="C90" s="87"/>
      <c r="D90" s="20"/>
      <c r="E90" s="20"/>
      <c r="F90" s="87"/>
      <c r="G90" s="87"/>
      <c r="H90" s="87"/>
      <c r="I90" s="20"/>
      <c r="J90" s="1"/>
    </row>
    <row r="91" spans="1:10" ht="15">
      <c r="A91" s="1">
        <v>84</v>
      </c>
      <c r="B91" s="35"/>
      <c r="C91" s="11"/>
      <c r="D91" s="11"/>
      <c r="E91" s="11"/>
      <c r="F91" s="11"/>
      <c r="G91" s="11"/>
      <c r="H91" s="11"/>
      <c r="I91" s="1"/>
      <c r="J91" s="1"/>
    </row>
    <row r="92" spans="1:10" ht="15">
      <c r="A92" s="55"/>
      <c r="B92" s="55"/>
      <c r="C92" s="55"/>
      <c r="D92" s="55"/>
      <c r="E92" s="55"/>
      <c r="F92" s="55"/>
      <c r="G92" s="55"/>
      <c r="H92" s="55"/>
      <c r="I92" s="55"/>
      <c r="J92" s="1"/>
    </row>
    <row r="93" spans="1:10" ht="15">
      <c r="A93" s="55"/>
      <c r="B93" s="55"/>
      <c r="C93" s="55"/>
      <c r="D93" s="55"/>
      <c r="E93" s="55"/>
      <c r="F93" s="55"/>
      <c r="G93" s="55"/>
      <c r="H93" s="55"/>
      <c r="I93" s="55"/>
      <c r="J93" s="1"/>
    </row>
    <row r="94" spans="1:10" ht="15">
      <c r="A94" s="55"/>
      <c r="B94" s="55"/>
      <c r="C94" s="55"/>
      <c r="D94" s="55"/>
      <c r="E94" s="55"/>
      <c r="F94" s="55"/>
      <c r="G94" s="55"/>
      <c r="H94" s="55"/>
      <c r="I94" s="55"/>
      <c r="J94" s="1"/>
    </row>
    <row r="95" spans="1:10" ht="15">
      <c r="A95" s="55"/>
      <c r="B95" s="55"/>
      <c r="C95" s="55"/>
      <c r="D95" s="55"/>
      <c r="E95" s="55"/>
      <c r="F95" s="55"/>
      <c r="G95" s="55"/>
      <c r="H95" s="55"/>
      <c r="I95" s="55"/>
      <c r="J95" s="1"/>
    </row>
    <row r="96" spans="1:10" ht="15">
      <c r="A96" s="55"/>
      <c r="B96" s="55"/>
      <c r="C96" s="55"/>
      <c r="D96" s="55"/>
      <c r="E96" s="55"/>
      <c r="F96" s="55"/>
      <c r="G96" s="55"/>
      <c r="H96" s="55"/>
      <c r="I96" s="55"/>
      <c r="J96" s="1"/>
    </row>
    <row r="97" spans="1:10" ht="15">
      <c r="A97" s="55"/>
      <c r="B97" s="55"/>
      <c r="C97" s="55"/>
      <c r="D97" s="55"/>
      <c r="E97" s="55"/>
      <c r="F97" s="55"/>
      <c r="G97" s="55"/>
      <c r="H97" s="55"/>
      <c r="I97" s="55"/>
      <c r="J97" s="1"/>
    </row>
    <row r="98" spans="1:10" ht="15">
      <c r="A98" s="55"/>
      <c r="B98" s="55"/>
      <c r="C98" s="55"/>
      <c r="D98" s="55"/>
      <c r="E98" s="55"/>
      <c r="F98" s="55"/>
      <c r="G98" s="55"/>
      <c r="H98" s="55"/>
      <c r="I98" s="55"/>
      <c r="J98" s="1"/>
    </row>
    <row r="99" spans="1:10" ht="15">
      <c r="A99" s="55"/>
      <c r="B99" s="55"/>
      <c r="C99" s="55"/>
      <c r="D99" s="55"/>
      <c r="E99" s="55"/>
      <c r="F99" s="55"/>
      <c r="G99" s="55"/>
      <c r="H99" s="55"/>
      <c r="I99" s="55"/>
      <c r="J99" s="1"/>
    </row>
    <row r="100" spans="1:10" ht="15">
      <c r="A100" s="55"/>
      <c r="B100" s="55"/>
      <c r="C100" s="55"/>
      <c r="D100" s="55"/>
      <c r="E100" s="55"/>
      <c r="F100" s="55"/>
      <c r="G100" s="55"/>
      <c r="H100" s="55"/>
      <c r="I100" s="55"/>
      <c r="J100" s="1"/>
    </row>
    <row r="101" spans="1:10" ht="15">
      <c r="A101" s="55"/>
      <c r="B101" s="55"/>
      <c r="C101" s="55"/>
      <c r="D101" s="55"/>
      <c r="E101" s="55"/>
      <c r="F101" s="55"/>
      <c r="G101" s="55"/>
      <c r="H101" s="55"/>
      <c r="I101" s="55"/>
      <c r="J101" s="4"/>
    </row>
    <row r="102" spans="1:10" ht="15">
      <c r="A102" s="55"/>
      <c r="B102" s="55"/>
      <c r="C102" s="55"/>
      <c r="D102" s="55"/>
      <c r="E102" s="55"/>
      <c r="F102" s="55"/>
      <c r="G102" s="55"/>
      <c r="H102" s="55"/>
      <c r="I102" s="55"/>
      <c r="J102" s="4"/>
    </row>
    <row r="103" spans="1:10" ht="15">
      <c r="A103" s="55"/>
      <c r="B103" s="55"/>
      <c r="C103" s="55"/>
      <c r="D103" s="55"/>
      <c r="E103" s="55"/>
      <c r="F103" s="55"/>
      <c r="G103" s="55"/>
      <c r="H103" s="55"/>
      <c r="I103" s="55"/>
      <c r="J103" s="1"/>
    </row>
    <row r="104" spans="1:10" ht="15">
      <c r="A104" s="1">
        <v>97</v>
      </c>
      <c r="B104" s="35"/>
      <c r="C104" s="43"/>
      <c r="D104" s="43"/>
      <c r="E104" s="43"/>
      <c r="F104" s="43"/>
      <c r="G104" s="43"/>
      <c r="H104" s="43"/>
      <c r="I104" s="1"/>
      <c r="J104" s="1"/>
    </row>
    <row r="105" spans="1:10" ht="15">
      <c r="A105" s="55"/>
      <c r="B105" s="55"/>
      <c r="C105" s="55"/>
      <c r="D105" s="55"/>
      <c r="E105" s="43"/>
      <c r="F105" s="43"/>
      <c r="G105" s="43"/>
      <c r="H105" s="43"/>
      <c r="I105" s="16"/>
      <c r="J105" s="1"/>
    </row>
    <row r="106" spans="1:10" ht="15">
      <c r="A106" s="55"/>
      <c r="B106" s="55"/>
      <c r="C106" s="55"/>
      <c r="D106" s="55"/>
      <c r="E106" s="43"/>
      <c r="F106" s="43"/>
      <c r="G106" s="43"/>
      <c r="H106" s="43"/>
      <c r="I106" s="16"/>
      <c r="J106" s="1"/>
    </row>
    <row r="107" spans="1:10" ht="15">
      <c r="A107" s="55"/>
      <c r="B107" s="55"/>
      <c r="C107" s="55"/>
      <c r="D107" s="55"/>
      <c r="E107" s="43"/>
      <c r="F107" s="88"/>
      <c r="G107" s="43"/>
      <c r="H107" s="43"/>
      <c r="I107" s="16"/>
      <c r="J107" s="1"/>
    </row>
    <row r="108" spans="1:10" ht="15">
      <c r="A108" s="55"/>
      <c r="B108" s="55"/>
      <c r="C108" s="55"/>
      <c r="D108" s="55"/>
      <c r="E108" s="43"/>
      <c r="F108" s="43"/>
      <c r="G108" s="43"/>
      <c r="H108" s="43"/>
      <c r="I108" s="16"/>
      <c r="J108" s="1"/>
    </row>
    <row r="109" spans="1:10" ht="15">
      <c r="A109" s="55"/>
      <c r="B109" s="55"/>
      <c r="C109" s="55"/>
      <c r="D109" s="55"/>
      <c r="E109" s="43"/>
      <c r="F109" s="43"/>
      <c r="G109" s="43"/>
      <c r="H109" s="43"/>
      <c r="I109" s="16"/>
      <c r="J109" s="1"/>
    </row>
    <row r="110" spans="1:10" ht="15">
      <c r="A110" s="55"/>
      <c r="B110" s="55"/>
      <c r="C110" s="55"/>
      <c r="D110" s="55"/>
      <c r="E110" s="43"/>
      <c r="F110" s="43"/>
      <c r="G110" s="43"/>
      <c r="H110" s="43"/>
      <c r="I110" s="16"/>
      <c r="J110" s="1"/>
    </row>
    <row r="111" spans="1:10" ht="15">
      <c r="A111" s="55"/>
      <c r="B111" s="55"/>
      <c r="C111" s="55"/>
      <c r="D111" s="55"/>
      <c r="E111" s="43"/>
      <c r="F111" s="43"/>
      <c r="G111" s="43"/>
      <c r="H111" s="43"/>
      <c r="I111" s="16"/>
      <c r="J111" s="1"/>
    </row>
    <row r="112" spans="1:10" ht="15">
      <c r="A112" s="55"/>
      <c r="B112" s="55"/>
      <c r="C112" s="55"/>
      <c r="D112" s="55"/>
      <c r="E112" s="43"/>
      <c r="F112" s="43"/>
      <c r="G112" s="43"/>
      <c r="H112" s="43"/>
      <c r="I112" s="16"/>
      <c r="J112" s="1"/>
    </row>
    <row r="113" spans="1:10" ht="15">
      <c r="A113" s="1"/>
      <c r="B113" s="11"/>
      <c r="C113" s="43"/>
      <c r="D113" s="43"/>
      <c r="E113" s="43"/>
      <c r="F113" s="43"/>
      <c r="G113" s="43"/>
      <c r="H113" s="43"/>
      <c r="I113" s="16"/>
      <c r="J113" s="1"/>
    </row>
  </sheetData>
  <printOptions horizontalCentered="1" verticalCentered="1"/>
  <pageMargins left="1.25" right="0.5" top="0.75" bottom="0.75" header="0.5" footer="0.5"/>
  <pageSetup fitToWidth="11" fitToHeight="1" horizontalDpi="600" verticalDpi="600" orientation="portrait" scale="71" r:id="rId1"/>
  <headerFooter alignWithMargins="0">
    <oddHeader>&amp;C&amp;"Palatino Linotype,Regular"PacifiCorp General Rate Case Settlement&amp;R&amp;"Palatino Linotype,Regular"Exhibit __ (Panel-4)
Docket No. UE-032065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1"/>
  <sheetViews>
    <sheetView workbookViewId="0" topLeftCell="A5">
      <selection activeCell="A1" sqref="A1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4" max="4" width="12.28125" style="0" bestFit="1" customWidth="1"/>
  </cols>
  <sheetData>
    <row r="6" ht="18">
      <c r="B6" s="168"/>
    </row>
    <row r="7" spans="1:4" ht="15">
      <c r="A7" s="1"/>
      <c r="B7" s="24" t="s">
        <v>209</v>
      </c>
      <c r="C7" s="15"/>
      <c r="D7" s="15"/>
    </row>
    <row r="8" spans="1:4" ht="15">
      <c r="A8" s="1"/>
      <c r="B8" s="24"/>
      <c r="C8" s="15"/>
      <c r="D8" s="15"/>
    </row>
    <row r="9" spans="1:4" ht="15">
      <c r="A9" s="1"/>
      <c r="B9" s="10" t="s">
        <v>210</v>
      </c>
      <c r="C9" s="15"/>
      <c r="D9" s="15">
        <f>Panel4RevReqSummary!E63</f>
        <v>582941000</v>
      </c>
    </row>
    <row r="10" spans="1:4" ht="15">
      <c r="A10" s="1"/>
      <c r="B10" s="10"/>
      <c r="C10" s="15"/>
      <c r="D10" s="15"/>
    </row>
    <row r="11" spans="1:4" ht="15">
      <c r="A11" s="1"/>
      <c r="B11" s="10" t="s">
        <v>211</v>
      </c>
      <c r="C11" s="15"/>
      <c r="D11" s="19">
        <f>'Panel4cost of capital'!E11</f>
        <v>0.0839</v>
      </c>
    </row>
    <row r="12" spans="1:4" ht="15">
      <c r="A12" s="1"/>
      <c r="B12" s="10"/>
      <c r="C12" s="15"/>
      <c r="D12" s="19"/>
    </row>
    <row r="13" spans="1:4" ht="15">
      <c r="A13" s="1"/>
      <c r="B13" s="10" t="s">
        <v>212</v>
      </c>
      <c r="C13" s="15"/>
      <c r="D13" s="15">
        <f>D11*D9</f>
        <v>48908749.9</v>
      </c>
    </row>
    <row r="14" spans="1:4" ht="15">
      <c r="A14" s="1"/>
      <c r="B14" s="10"/>
      <c r="C14" s="15"/>
      <c r="D14" s="15"/>
    </row>
    <row r="15" spans="1:4" ht="15">
      <c r="A15" s="1"/>
      <c r="B15" s="10" t="s">
        <v>213</v>
      </c>
      <c r="C15" s="15"/>
      <c r="D15" s="15">
        <f>Panel4RevReqSummary!E36</f>
        <v>39752000</v>
      </c>
    </row>
    <row r="16" spans="1:4" ht="15">
      <c r="A16" s="1"/>
      <c r="B16" s="10"/>
      <c r="C16" s="15"/>
      <c r="D16" s="15"/>
    </row>
    <row r="17" spans="1:4" ht="15">
      <c r="A17" s="1"/>
      <c r="B17" s="10" t="s">
        <v>214</v>
      </c>
      <c r="C17" s="15"/>
      <c r="D17" s="25">
        <f>D13-D15</f>
        <v>9156749.899999999</v>
      </c>
    </row>
    <row r="18" spans="1:4" ht="15">
      <c r="A18" s="1"/>
      <c r="B18" s="10"/>
      <c r="C18" s="15"/>
      <c r="D18" s="25"/>
    </row>
    <row r="19" spans="1:4" ht="15">
      <c r="A19" s="1"/>
      <c r="B19" s="10" t="s">
        <v>221</v>
      </c>
      <c r="C19" s="15"/>
      <c r="D19" s="19">
        <f>'Panel4Conversion factor'!C17</f>
        <v>0.59071</v>
      </c>
    </row>
    <row r="20" spans="1:4" ht="15">
      <c r="A20" s="1"/>
      <c r="B20" s="10"/>
      <c r="C20" s="15"/>
      <c r="D20" s="21"/>
    </row>
    <row r="21" spans="1:4" ht="15.75" thickBot="1">
      <c r="A21" s="1"/>
      <c r="B21" s="10" t="s">
        <v>215</v>
      </c>
      <c r="C21" s="15"/>
      <c r="D21" s="26">
        <f>ROUND(D17/D19,-3)</f>
        <v>15501000</v>
      </c>
    </row>
    <row r="22" ht="13.5" thickTop="1"/>
  </sheetData>
  <printOptions horizontalCentered="1" verticalCentered="1"/>
  <pageMargins left="1.25" right="0.5" top="0.75" bottom="0.75" header="0.5" footer="0.5"/>
  <pageSetup fitToWidth="11" fitToHeight="1" horizontalDpi="600" verticalDpi="600" orientation="portrait" r:id="rId1"/>
  <headerFooter alignWithMargins="0">
    <oddHeader>&amp;C&amp;"Palatino Linotype,Regular"PacifiCorp General Rate Case Settlement&amp;R&amp;"Palatino Linotype,Regular"Exhibit __ (Panel-4)
Docket No. UE-032065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8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58.421875" style="0" bestFit="1" customWidth="1"/>
    <col min="3" max="3" width="14.421875" style="0" bestFit="1" customWidth="1"/>
    <col min="4" max="4" width="3.00390625" style="0" bestFit="1" customWidth="1"/>
    <col min="5" max="5" width="19.57421875" style="0" bestFit="1" customWidth="1"/>
    <col min="6" max="6" width="12.7109375" style="0" bestFit="1" customWidth="1"/>
    <col min="7" max="7" width="10.00390625" style="0" bestFit="1" customWidth="1"/>
  </cols>
  <sheetData>
    <row r="6" spans="1:8" ht="18">
      <c r="A6" s="99"/>
      <c r="B6" s="110" t="s">
        <v>256</v>
      </c>
      <c r="C6" s="111"/>
      <c r="D6" s="112"/>
      <c r="E6" s="10"/>
      <c r="F6" s="10"/>
      <c r="G6" s="10"/>
      <c r="H6" s="1"/>
    </row>
    <row r="7" spans="1:8" ht="18">
      <c r="A7" s="99">
        <v>1</v>
      </c>
      <c r="B7" s="109" t="s">
        <v>163</v>
      </c>
      <c r="C7" s="113">
        <v>1</v>
      </c>
      <c r="D7" s="112"/>
      <c r="H7" s="1"/>
    </row>
    <row r="8" spans="1:8" ht="18">
      <c r="A8" s="99">
        <v>2</v>
      </c>
      <c r="B8" s="114" t="s">
        <v>202</v>
      </c>
      <c r="C8" s="113"/>
      <c r="D8" s="115"/>
      <c r="H8" s="12"/>
    </row>
    <row r="9" spans="1:8" ht="18">
      <c r="A9" s="99">
        <v>3</v>
      </c>
      <c r="B9" s="106" t="s">
        <v>203</v>
      </c>
      <c r="C9" s="113">
        <f>+C26</f>
        <v>0.00628</v>
      </c>
      <c r="D9" s="116"/>
      <c r="H9" s="13"/>
    </row>
    <row r="10" spans="1:8" ht="18">
      <c r="A10" s="99">
        <v>4</v>
      </c>
      <c r="B10" s="106" t="s">
        <v>204</v>
      </c>
      <c r="C10" s="113">
        <v>0.00113</v>
      </c>
      <c r="D10" s="116"/>
      <c r="H10" s="13"/>
    </row>
    <row r="11" spans="1:8" ht="18">
      <c r="A11" s="99">
        <v>5</v>
      </c>
      <c r="B11" s="106" t="s">
        <v>205</v>
      </c>
      <c r="C11" s="113">
        <f>C30</f>
        <v>0.03873</v>
      </c>
      <c r="D11" s="116"/>
      <c r="H11" s="1"/>
    </row>
    <row r="12" spans="1:8" ht="18">
      <c r="A12" s="99">
        <v>6</v>
      </c>
      <c r="B12" s="106" t="s">
        <v>206</v>
      </c>
      <c r="C12" s="95">
        <v>0.00185</v>
      </c>
      <c r="D12" s="96"/>
      <c r="H12" s="16"/>
    </row>
    <row r="13" spans="1:8" ht="18">
      <c r="A13" s="99">
        <v>7</v>
      </c>
      <c r="B13" s="114" t="s">
        <v>207</v>
      </c>
      <c r="C13" s="113">
        <f>C7-SUM(C9:C12)</f>
        <v>0.95201</v>
      </c>
      <c r="D13" s="97"/>
      <c r="H13" s="16"/>
    </row>
    <row r="14" spans="1:8" ht="18">
      <c r="A14" s="99">
        <v>8</v>
      </c>
      <c r="B14" s="98" t="s">
        <v>227</v>
      </c>
      <c r="C14" s="113">
        <f>Panel4RevReqSummary!$F$68</f>
        <v>0.0454</v>
      </c>
      <c r="D14" s="117"/>
      <c r="H14" s="16"/>
    </row>
    <row r="15" spans="1:8" ht="18">
      <c r="A15" s="99">
        <v>9</v>
      </c>
      <c r="B15" s="114" t="s">
        <v>207</v>
      </c>
      <c r="C15" s="118">
        <f>C13-C14</f>
        <v>0.90661</v>
      </c>
      <c r="D15" s="119"/>
      <c r="H15" s="23"/>
    </row>
    <row r="16" spans="1:8" ht="18">
      <c r="A16" s="99">
        <v>10</v>
      </c>
      <c r="B16" s="106" t="s">
        <v>208</v>
      </c>
      <c r="C16" s="120">
        <f>C15*0.35</f>
        <v>0.31731349999999997</v>
      </c>
      <c r="D16" s="119"/>
      <c r="H16" s="22"/>
    </row>
    <row r="17" spans="1:8" ht="18.75" thickBot="1">
      <c r="A17" s="99">
        <v>11</v>
      </c>
      <c r="B17" s="114" t="s">
        <v>229</v>
      </c>
      <c r="C17" s="121">
        <v>0.59071</v>
      </c>
      <c r="D17" s="117"/>
      <c r="H17" s="1"/>
    </row>
    <row r="18" spans="1:4" ht="18.75" thickTop="1">
      <c r="A18" s="99">
        <v>12</v>
      </c>
      <c r="B18" s="99"/>
      <c r="C18" s="150">
        <f>1/C17</f>
        <v>1.6928780619931947</v>
      </c>
      <c r="D18" s="99"/>
    </row>
    <row r="19" spans="1:4" ht="18">
      <c r="A19" s="99">
        <v>13</v>
      </c>
      <c r="B19" s="99" t="s">
        <v>219</v>
      </c>
      <c r="C19" s="99"/>
      <c r="D19" s="99"/>
    </row>
    <row r="20" spans="1:4" ht="18">
      <c r="A20" s="99">
        <v>14</v>
      </c>
      <c r="B20" s="106" t="s">
        <v>217</v>
      </c>
      <c r="C20" s="122">
        <f>+C9</f>
        <v>0.00628</v>
      </c>
      <c r="D20" s="99"/>
    </row>
    <row r="21" spans="1:5" ht="18">
      <c r="A21" s="99">
        <v>15</v>
      </c>
      <c r="B21" s="123" t="s">
        <v>218</v>
      </c>
      <c r="C21" s="123">
        <f>SUM(C10:C12)</f>
        <v>0.04171</v>
      </c>
      <c r="D21" s="99"/>
      <c r="E21" s="152">
        <f>+C21+C20</f>
        <v>0.04799</v>
      </c>
    </row>
    <row r="22" spans="1:5" ht="18">
      <c r="A22" s="99">
        <v>16</v>
      </c>
      <c r="B22" s="116"/>
      <c r="C22" s="116"/>
      <c r="D22" s="99"/>
      <c r="E22" s="152">
        <f>1-E21</f>
        <v>0.95201</v>
      </c>
    </row>
    <row r="23" spans="1:4" ht="18">
      <c r="A23" s="99">
        <v>17</v>
      </c>
      <c r="B23" s="109" t="s">
        <v>230</v>
      </c>
      <c r="C23" s="116"/>
      <c r="D23" s="99"/>
    </row>
    <row r="24" spans="1:4" ht="18">
      <c r="A24" s="99">
        <v>18</v>
      </c>
      <c r="B24" s="99" t="s">
        <v>225</v>
      </c>
      <c r="C24" s="124"/>
      <c r="D24" s="99"/>
    </row>
    <row r="25" spans="1:4" ht="18">
      <c r="A25" s="99">
        <v>19</v>
      </c>
      <c r="B25" s="99" t="s">
        <v>226</v>
      </c>
      <c r="C25" s="125"/>
      <c r="D25" s="99"/>
    </row>
    <row r="26" spans="1:4" ht="18.75" thickBot="1">
      <c r="A26" s="99">
        <v>20</v>
      </c>
      <c r="B26" s="126" t="s">
        <v>233</v>
      </c>
      <c r="C26" s="151">
        <v>0.00628</v>
      </c>
      <c r="D26" s="99"/>
    </row>
    <row r="27" spans="1:4" ht="18.75" thickTop="1">
      <c r="A27" s="99">
        <v>21</v>
      </c>
      <c r="B27" s="116"/>
      <c r="C27" s="116"/>
      <c r="D27" s="99"/>
    </row>
    <row r="28" spans="1:4" ht="18">
      <c r="A28" s="99">
        <v>22</v>
      </c>
      <c r="B28" s="109" t="s">
        <v>231</v>
      </c>
      <c r="C28" s="116"/>
      <c r="D28" s="99"/>
    </row>
    <row r="29" spans="1:4" ht="18">
      <c r="A29" s="99">
        <v>23</v>
      </c>
      <c r="B29" s="127" t="s">
        <v>220</v>
      </c>
      <c r="C29" s="97">
        <v>0.03873</v>
      </c>
      <c r="D29" s="99"/>
    </row>
    <row r="30" spans="1:4" ht="18.75" thickBot="1">
      <c r="A30" s="99">
        <v>24</v>
      </c>
      <c r="B30" s="119" t="s">
        <v>232</v>
      </c>
      <c r="C30" s="128">
        <v>0.03873</v>
      </c>
      <c r="D30" s="99"/>
    </row>
    <row r="31" spans="1:4" ht="18.75" thickTop="1">
      <c r="A31" s="99"/>
      <c r="B31" s="127"/>
      <c r="C31" s="97"/>
      <c r="D31" s="99"/>
    </row>
    <row r="32" ht="18">
      <c r="D32" s="99"/>
    </row>
    <row r="33" ht="18">
      <c r="D33" s="99"/>
    </row>
    <row r="34" spans="1:4" ht="18">
      <c r="A34" s="99"/>
      <c r="B34" s="119"/>
      <c r="C34" s="119"/>
      <c r="D34" s="99"/>
    </row>
    <row r="35" spans="1:4" ht="18">
      <c r="A35" s="99"/>
      <c r="B35" s="117"/>
      <c r="C35" s="117"/>
      <c r="D35" s="99"/>
    </row>
    <row r="36" spans="1:4" ht="18">
      <c r="A36" s="99"/>
      <c r="B36" s="117"/>
      <c r="C36" s="99"/>
      <c r="D36" s="99"/>
    </row>
    <row r="37" spans="1:4" ht="18">
      <c r="A37" s="99"/>
      <c r="B37" s="117"/>
      <c r="C37" s="99"/>
      <c r="D37" s="99"/>
    </row>
    <row r="38" spans="1:4" ht="18">
      <c r="A38" s="99"/>
      <c r="B38" s="99"/>
      <c r="C38" s="99"/>
      <c r="D38" s="99"/>
    </row>
  </sheetData>
  <printOptions horizontalCentered="1" verticalCentered="1"/>
  <pageMargins left="1.25" right="0.5" top="0.75" bottom="0.75" header="0.5" footer="0.5"/>
  <pageSetup fitToWidth="11" fitToHeight="1" horizontalDpi="600" verticalDpi="600" orientation="portrait" r:id="rId1"/>
  <headerFooter alignWithMargins="0">
    <oddHeader>&amp;C&amp;"Palatino Linotype,Regular"PacifiCorp General Rate Case Settlement&amp;R&amp;"Palatino Linotype,Regular"Exhibit __ (Panel-4)
Docket No. UE-032065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6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2.140625" style="0" customWidth="1"/>
    <col min="4" max="4" width="13.8515625" style="0" customWidth="1"/>
    <col min="5" max="5" width="14.8515625" style="0" bestFit="1" customWidth="1"/>
    <col min="6" max="6" width="12.00390625" style="0" customWidth="1"/>
    <col min="7" max="7" width="11.57421875" style="0" customWidth="1"/>
    <col min="8" max="8" width="12.57421875" style="0" customWidth="1"/>
    <col min="9" max="9" width="15.8515625" style="0" bestFit="1" customWidth="1"/>
    <col min="10" max="10" width="15.57421875" style="0" bestFit="1" customWidth="1"/>
    <col min="11" max="11" width="15.8515625" style="0" bestFit="1" customWidth="1"/>
    <col min="12" max="12" width="15.7109375" style="0" customWidth="1"/>
    <col min="13" max="13" width="10.8515625" style="0" customWidth="1"/>
    <col min="14" max="15" width="14.00390625" style="0" bestFit="1" customWidth="1"/>
    <col min="16" max="16" width="13.7109375" style="0" bestFit="1" customWidth="1"/>
    <col min="17" max="17" width="5.8515625" style="0" hidden="1" customWidth="1"/>
    <col min="18" max="18" width="17.57421875" style="0" bestFit="1" customWidth="1"/>
    <col min="19" max="19" width="5.8515625" style="0" hidden="1" customWidth="1"/>
    <col min="20" max="20" width="16.140625" style="0" bestFit="1" customWidth="1"/>
    <col min="21" max="21" width="14.28125" style="0" customWidth="1"/>
    <col min="22" max="22" width="10.57421875" style="0" customWidth="1"/>
    <col min="23" max="23" width="13.28125" style="0" customWidth="1"/>
    <col min="24" max="24" width="16.8515625" style="0" bestFit="1" customWidth="1"/>
    <col min="25" max="25" width="12.57421875" style="0" bestFit="1" customWidth="1"/>
    <col min="26" max="26" width="11.28125" style="0" customWidth="1"/>
    <col min="27" max="28" width="13.421875" style="0" customWidth="1"/>
    <col min="29" max="29" width="20.140625" style="0" bestFit="1" customWidth="1"/>
    <col min="30" max="30" width="11.8515625" style="0" customWidth="1"/>
    <col min="31" max="31" width="14.28125" style="0" bestFit="1" customWidth="1"/>
    <col min="32" max="32" width="11.28125" style="0" customWidth="1"/>
    <col min="33" max="33" width="14.28125" style="0" bestFit="1" customWidth="1"/>
    <col min="34" max="34" width="16.421875" style="0" bestFit="1" customWidth="1"/>
    <col min="35" max="35" width="12.57421875" style="0" bestFit="1" customWidth="1"/>
    <col min="36" max="36" width="11.28125" style="0" customWidth="1"/>
    <col min="37" max="37" width="13.7109375" style="0" customWidth="1"/>
    <col min="38" max="38" width="16.00390625" style="0" bestFit="1" customWidth="1"/>
    <col min="39" max="39" width="9.8515625" style="0" customWidth="1"/>
    <col min="40" max="40" width="10.57421875" style="0" customWidth="1"/>
    <col min="41" max="41" width="10.00390625" style="0" customWidth="1"/>
    <col min="42" max="42" width="9.57421875" style="0" bestFit="1" customWidth="1"/>
    <col min="43" max="43" width="13.140625" style="0" bestFit="1" customWidth="1"/>
    <col min="44" max="44" width="11.8515625" style="0" bestFit="1" customWidth="1"/>
    <col min="45" max="45" width="14.57421875" style="0" bestFit="1" customWidth="1"/>
    <col min="46" max="46" width="15.00390625" style="0" bestFit="1" customWidth="1"/>
    <col min="47" max="47" width="15.57421875" style="0" bestFit="1" customWidth="1"/>
    <col min="48" max="48" width="10.8515625" style="0" customWidth="1"/>
    <col min="49" max="49" width="14.00390625" style="0" bestFit="1" customWidth="1"/>
    <col min="50" max="50" width="12.7109375" style="0" bestFit="1" customWidth="1"/>
    <col min="51" max="51" width="15.140625" style="0" bestFit="1" customWidth="1"/>
    <col min="52" max="52" width="10.421875" style="0" customWidth="1"/>
    <col min="53" max="53" width="13.421875" style="0" bestFit="1" customWidth="1"/>
    <col min="54" max="54" width="13.28125" style="0" customWidth="1"/>
    <col min="55" max="55" width="17.8515625" style="0" bestFit="1" customWidth="1"/>
    <col min="56" max="56" width="17.00390625" style="0" bestFit="1" customWidth="1"/>
    <col min="57" max="57" width="11.28125" style="0" customWidth="1"/>
    <col min="58" max="58" width="16.140625" style="0" customWidth="1"/>
    <col min="59" max="59" width="15.421875" style="0" bestFit="1" customWidth="1"/>
    <col min="60" max="60" width="18.28125" style="0" bestFit="1" customWidth="1"/>
    <col min="61" max="61" width="11.421875" style="0" customWidth="1"/>
    <col min="62" max="62" width="14.28125" style="0" customWidth="1"/>
    <col min="63" max="63" width="3.00390625" style="0" customWidth="1"/>
    <col min="64" max="64" width="28.28125" style="0" customWidth="1"/>
    <col min="65" max="65" width="16.421875" style="0" bestFit="1" customWidth="1"/>
    <col min="66" max="66" width="10.28125" style="0" bestFit="1" customWidth="1"/>
    <col min="69" max="69" width="11.57421875" style="0" bestFit="1" customWidth="1"/>
    <col min="72" max="72" width="18.57421875" style="0" bestFit="1" customWidth="1"/>
    <col min="79" max="79" width="11.8515625" style="0" bestFit="1" customWidth="1"/>
    <col min="81" max="81" width="11.8515625" style="0" bestFit="1" customWidth="1"/>
  </cols>
  <sheetData>
    <row r="1" spans="2:62" ht="15">
      <c r="B1" s="35"/>
      <c r="C1" s="11"/>
      <c r="D1" s="11" t="s">
        <v>2</v>
      </c>
      <c r="E1" s="11"/>
      <c r="F1" s="207" t="s">
        <v>3</v>
      </c>
      <c r="G1" s="207"/>
      <c r="H1" s="207"/>
      <c r="I1" s="20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15">
      <c r="B2" s="56" t="s">
        <v>238</v>
      </c>
      <c r="C2" s="11"/>
      <c r="D2" s="36"/>
      <c r="E2" s="11"/>
      <c r="F2" s="207" t="s">
        <v>4</v>
      </c>
      <c r="G2" s="207"/>
      <c r="H2" s="207"/>
      <c r="I2" s="20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15">
      <c r="B3" s="54" t="s">
        <v>254</v>
      </c>
      <c r="C3" s="11"/>
      <c r="D3" s="11"/>
      <c r="E3" s="11"/>
      <c r="F3" s="11"/>
      <c r="G3" s="11"/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94"/>
      <c r="AQ3" s="1"/>
      <c r="AR3" s="1"/>
      <c r="AS3" s="1"/>
      <c r="AT3" s="2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5">
      <c r="B4" s="11" t="s">
        <v>255</v>
      </c>
      <c r="C4" s="2" t="s">
        <v>6</v>
      </c>
      <c r="D4" s="130">
        <v>3.1</v>
      </c>
      <c r="E4" s="130">
        <v>3.2</v>
      </c>
      <c r="F4" s="130">
        <v>3.3</v>
      </c>
      <c r="G4" s="130">
        <v>3.4</v>
      </c>
      <c r="H4" s="130">
        <v>3.5</v>
      </c>
      <c r="I4" s="131">
        <v>3.6</v>
      </c>
      <c r="J4" s="131">
        <v>3.7</v>
      </c>
      <c r="K4" s="130">
        <v>3.8</v>
      </c>
      <c r="L4" s="131">
        <v>4.1</v>
      </c>
      <c r="M4" s="131">
        <v>4.2</v>
      </c>
      <c r="N4" s="131">
        <v>4.3</v>
      </c>
      <c r="O4" s="131">
        <v>4.4</v>
      </c>
      <c r="P4" s="131" t="s">
        <v>7</v>
      </c>
      <c r="Q4" s="131" t="s">
        <v>8</v>
      </c>
      <c r="R4" s="131" t="s">
        <v>9</v>
      </c>
      <c r="S4" s="131" t="s">
        <v>8</v>
      </c>
      <c r="T4" s="131">
        <v>4.9</v>
      </c>
      <c r="U4" s="132">
        <v>4.1</v>
      </c>
      <c r="V4" s="132">
        <v>4.11</v>
      </c>
      <c r="W4" s="132">
        <v>4.12</v>
      </c>
      <c r="X4" s="132">
        <v>4.13</v>
      </c>
      <c r="Y4" s="132">
        <v>4.14</v>
      </c>
      <c r="Z4" s="132">
        <v>4.15</v>
      </c>
      <c r="AA4" s="132">
        <v>4.16</v>
      </c>
      <c r="AB4" s="132">
        <v>4.17</v>
      </c>
      <c r="AC4" s="131">
        <v>5.1</v>
      </c>
      <c r="AD4" s="131">
        <v>5.2</v>
      </c>
      <c r="AE4" s="131">
        <v>5.3</v>
      </c>
      <c r="AF4" s="131">
        <v>5.4</v>
      </c>
      <c r="AG4" s="131">
        <v>5.5</v>
      </c>
      <c r="AH4" s="131">
        <v>5.6</v>
      </c>
      <c r="AI4" s="131">
        <v>5.7</v>
      </c>
      <c r="AJ4" s="131">
        <v>5.8</v>
      </c>
      <c r="AK4" s="131">
        <v>5.9</v>
      </c>
      <c r="AL4" s="131">
        <v>6.1</v>
      </c>
      <c r="AM4" s="131">
        <v>6.2</v>
      </c>
      <c r="AN4" s="131">
        <v>6.3</v>
      </c>
      <c r="AO4" s="131">
        <v>6.4</v>
      </c>
      <c r="AP4" s="131">
        <v>7.1</v>
      </c>
      <c r="AQ4" s="131">
        <v>7.2</v>
      </c>
      <c r="AR4" s="131">
        <v>7.3</v>
      </c>
      <c r="AS4" s="131">
        <v>7.4</v>
      </c>
      <c r="AT4" s="131">
        <v>7.5</v>
      </c>
      <c r="AU4" s="131">
        <v>7.6</v>
      </c>
      <c r="AV4" s="131">
        <v>7.7</v>
      </c>
      <c r="AW4" s="131">
        <v>8.1</v>
      </c>
      <c r="AX4" s="131">
        <v>8.2</v>
      </c>
      <c r="AY4" s="131">
        <v>8.3</v>
      </c>
      <c r="AZ4" s="131">
        <v>8.4</v>
      </c>
      <c r="BA4" s="131">
        <v>8.5</v>
      </c>
      <c r="BB4" s="131">
        <v>8.6</v>
      </c>
      <c r="BC4" s="131">
        <v>8.7</v>
      </c>
      <c r="BD4" s="131">
        <v>8.8</v>
      </c>
      <c r="BE4" s="131">
        <v>8.9</v>
      </c>
      <c r="BF4" s="132">
        <v>8.1</v>
      </c>
      <c r="BG4" s="132">
        <v>8.11</v>
      </c>
      <c r="BH4" s="132">
        <v>8.12</v>
      </c>
      <c r="BI4" s="132">
        <v>8.13</v>
      </c>
      <c r="BJ4" s="132">
        <v>8.14</v>
      </c>
    </row>
    <row r="5" spans="3:62" ht="15">
      <c r="C5" s="2" t="s">
        <v>10</v>
      </c>
      <c r="D5" s="31" t="s">
        <v>11</v>
      </c>
      <c r="E5" s="31" t="s">
        <v>12</v>
      </c>
      <c r="F5" s="31" t="s">
        <v>13</v>
      </c>
      <c r="G5" s="31" t="s">
        <v>14</v>
      </c>
      <c r="H5" s="31" t="s">
        <v>15</v>
      </c>
      <c r="I5" s="31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/>
      <c r="R5" s="2" t="s">
        <v>24</v>
      </c>
      <c r="S5" s="2"/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235</v>
      </c>
      <c r="AC5" s="2" t="s">
        <v>33</v>
      </c>
      <c r="AD5" s="2" t="s">
        <v>34</v>
      </c>
      <c r="AE5" s="2" t="s">
        <v>35</v>
      </c>
      <c r="AF5" s="2" t="s">
        <v>36</v>
      </c>
      <c r="AG5" s="2" t="s">
        <v>37</v>
      </c>
      <c r="AH5" s="2" t="s">
        <v>38</v>
      </c>
      <c r="AI5" s="2" t="s">
        <v>39</v>
      </c>
      <c r="AJ5" s="2" t="s">
        <v>40</v>
      </c>
      <c r="AK5" s="2" t="s">
        <v>41</v>
      </c>
      <c r="AL5" s="2" t="s">
        <v>42</v>
      </c>
      <c r="AM5" s="2" t="s">
        <v>43</v>
      </c>
      <c r="AN5" s="2" t="s">
        <v>44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2" t="s">
        <v>53</v>
      </c>
      <c r="AY5" s="2" t="s">
        <v>54</v>
      </c>
      <c r="AZ5" s="2" t="s">
        <v>55</v>
      </c>
      <c r="BA5" s="2" t="s">
        <v>56</v>
      </c>
      <c r="BB5" s="2" t="s">
        <v>28</v>
      </c>
      <c r="BC5" s="2" t="s">
        <v>57</v>
      </c>
      <c r="BD5" s="2" t="s">
        <v>58</v>
      </c>
      <c r="BE5" s="2" t="s">
        <v>59</v>
      </c>
      <c r="BF5" s="2" t="s">
        <v>60</v>
      </c>
      <c r="BG5" s="2"/>
      <c r="BH5" s="2" t="s">
        <v>61</v>
      </c>
      <c r="BI5" s="2" t="s">
        <v>62</v>
      </c>
      <c r="BJ5" s="2" t="s">
        <v>63</v>
      </c>
    </row>
    <row r="6" spans="2:62" ht="18">
      <c r="B6" s="168"/>
      <c r="C6" s="31" t="s">
        <v>64</v>
      </c>
      <c r="D6" s="31" t="s">
        <v>65</v>
      </c>
      <c r="E6" s="31" t="s">
        <v>66</v>
      </c>
      <c r="F6" s="31" t="s">
        <v>67</v>
      </c>
      <c r="G6" s="31"/>
      <c r="H6" s="31" t="s">
        <v>68</v>
      </c>
      <c r="I6" s="31" t="s">
        <v>69</v>
      </c>
      <c r="J6" s="2" t="s">
        <v>70</v>
      </c>
      <c r="K6" s="2"/>
      <c r="L6" s="2" t="s">
        <v>71</v>
      </c>
      <c r="M6" s="2" t="s">
        <v>72</v>
      </c>
      <c r="N6" s="2" t="s">
        <v>73</v>
      </c>
      <c r="O6" s="2" t="s">
        <v>74</v>
      </c>
      <c r="P6" s="2" t="s">
        <v>75</v>
      </c>
      <c r="Q6" s="2"/>
      <c r="R6" s="2" t="s">
        <v>76</v>
      </c>
      <c r="S6" s="2"/>
      <c r="T6" s="2"/>
      <c r="U6" s="2" t="s">
        <v>77</v>
      </c>
      <c r="V6" s="2" t="s">
        <v>78</v>
      </c>
      <c r="W6" s="2" t="s">
        <v>79</v>
      </c>
      <c r="X6" s="2" t="s">
        <v>80</v>
      </c>
      <c r="Y6" s="2" t="s">
        <v>81</v>
      </c>
      <c r="Z6" s="2" t="s">
        <v>82</v>
      </c>
      <c r="AA6" s="2" t="s">
        <v>83</v>
      </c>
      <c r="AB6" s="2" t="s">
        <v>236</v>
      </c>
      <c r="AC6" s="2" t="s">
        <v>84</v>
      </c>
      <c r="AD6" s="2" t="s">
        <v>85</v>
      </c>
      <c r="AE6" s="2" t="s">
        <v>86</v>
      </c>
      <c r="AF6" s="2" t="s">
        <v>82</v>
      </c>
      <c r="AG6" s="2" t="s">
        <v>87</v>
      </c>
      <c r="AH6" s="2" t="s">
        <v>88</v>
      </c>
      <c r="AI6" s="2" t="s">
        <v>89</v>
      </c>
      <c r="AJ6" s="2" t="s">
        <v>82</v>
      </c>
      <c r="AK6" s="2" t="s">
        <v>90</v>
      </c>
      <c r="AL6" s="2" t="s">
        <v>91</v>
      </c>
      <c r="AM6" s="2" t="s">
        <v>92</v>
      </c>
      <c r="AN6" s="2" t="s">
        <v>93</v>
      </c>
      <c r="AO6" s="2" t="s">
        <v>92</v>
      </c>
      <c r="AP6" s="2" t="s">
        <v>94</v>
      </c>
      <c r="AQ6" s="2" t="s">
        <v>95</v>
      </c>
      <c r="AR6" s="2" t="s">
        <v>95</v>
      </c>
      <c r="AS6" s="2" t="s">
        <v>96</v>
      </c>
      <c r="AT6" s="2" t="s">
        <v>97</v>
      </c>
      <c r="AU6" s="2" t="s">
        <v>82</v>
      </c>
      <c r="AV6" s="2" t="s">
        <v>98</v>
      </c>
      <c r="AW6" s="2" t="s">
        <v>98</v>
      </c>
      <c r="AX6" s="2" t="s">
        <v>99</v>
      </c>
      <c r="AY6" s="2" t="s">
        <v>99</v>
      </c>
      <c r="AZ6" s="2" t="s">
        <v>100</v>
      </c>
      <c r="BA6" s="2" t="s">
        <v>101</v>
      </c>
      <c r="BB6" s="2" t="s">
        <v>79</v>
      </c>
      <c r="BC6" s="2" t="s">
        <v>102</v>
      </c>
      <c r="BD6" s="2" t="s">
        <v>103</v>
      </c>
      <c r="BE6" s="2" t="s">
        <v>104</v>
      </c>
      <c r="BF6" s="2" t="s">
        <v>105</v>
      </c>
      <c r="BG6" s="2" t="s">
        <v>106</v>
      </c>
      <c r="BH6" s="2" t="s">
        <v>107</v>
      </c>
      <c r="BI6" s="2" t="s">
        <v>108</v>
      </c>
      <c r="BJ6" s="2" t="s">
        <v>109</v>
      </c>
    </row>
    <row r="7" spans="2:87" ht="15">
      <c r="B7" s="35" t="s">
        <v>110</v>
      </c>
      <c r="C7" s="38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 t="s">
        <v>111</v>
      </c>
      <c r="AA7" s="157" t="s">
        <v>111</v>
      </c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33"/>
      <c r="CE7" s="133"/>
      <c r="CF7" s="133"/>
      <c r="CG7" s="133"/>
      <c r="CH7" s="133"/>
      <c r="CI7" s="133"/>
    </row>
    <row r="8" spans="1:87" ht="15">
      <c r="A8">
        <v>1</v>
      </c>
      <c r="B8" s="11" t="s">
        <v>112</v>
      </c>
      <c r="C8" s="7">
        <f>ROUND(SUM(D8:BJ8),-3)</f>
        <v>15509000</v>
      </c>
      <c r="D8" s="181">
        <f>427926+585279</f>
        <v>1013205</v>
      </c>
      <c r="E8" s="129">
        <v>1364320</v>
      </c>
      <c r="F8" s="129">
        <v>20743729</v>
      </c>
      <c r="G8" s="129"/>
      <c r="H8" s="129">
        <v>0</v>
      </c>
      <c r="I8" s="129">
        <v>0</v>
      </c>
      <c r="J8" s="129">
        <v>-7612696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  <c r="Z8" s="129">
        <v>0</v>
      </c>
      <c r="AA8" s="129">
        <v>0</v>
      </c>
      <c r="AB8" s="129"/>
      <c r="AC8" s="129">
        <v>0</v>
      </c>
      <c r="AD8" s="129">
        <v>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  <c r="AL8" s="129"/>
      <c r="AM8" s="129"/>
      <c r="AN8" s="129"/>
      <c r="AO8" s="129"/>
      <c r="AP8" s="129">
        <v>0</v>
      </c>
      <c r="AQ8" s="129">
        <v>0</v>
      </c>
      <c r="AR8" s="129">
        <v>0</v>
      </c>
      <c r="AS8" s="129">
        <v>0</v>
      </c>
      <c r="AT8" s="129">
        <v>0</v>
      </c>
      <c r="AU8" s="129">
        <v>0</v>
      </c>
      <c r="AV8" s="129">
        <v>0</v>
      </c>
      <c r="AW8" s="129">
        <v>0</v>
      </c>
      <c r="AX8" s="129">
        <v>0</v>
      </c>
      <c r="AY8" s="129">
        <v>0</v>
      </c>
      <c r="AZ8" s="129">
        <v>0</v>
      </c>
      <c r="BA8" s="129">
        <v>0</v>
      </c>
      <c r="BB8" s="129">
        <v>0</v>
      </c>
      <c r="BC8" s="129">
        <v>0</v>
      </c>
      <c r="BD8" s="129">
        <v>0</v>
      </c>
      <c r="BE8" s="129">
        <v>0</v>
      </c>
      <c r="BF8" s="129">
        <v>0</v>
      </c>
      <c r="BG8" s="129">
        <v>0</v>
      </c>
      <c r="BH8" s="129">
        <v>0</v>
      </c>
      <c r="BI8" s="129">
        <v>0</v>
      </c>
      <c r="BJ8" s="129">
        <v>0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33"/>
      <c r="CE8" s="133"/>
      <c r="CF8" s="133"/>
      <c r="CG8" s="133"/>
      <c r="CH8" s="133"/>
      <c r="CI8" s="133"/>
    </row>
    <row r="9" spans="1:87" ht="15">
      <c r="A9">
        <v>2</v>
      </c>
      <c r="B9" s="11" t="s">
        <v>113</v>
      </c>
      <c r="C9" s="7">
        <f>ROUND(SUM(D9:BJ9),-3)</f>
        <v>0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33"/>
      <c r="CE9" s="133"/>
      <c r="CF9" s="133"/>
      <c r="CG9" s="133"/>
      <c r="CH9" s="133"/>
      <c r="CI9" s="133"/>
    </row>
    <row r="10" spans="1:87" ht="15">
      <c r="A10">
        <v>3</v>
      </c>
      <c r="B10" s="11" t="s">
        <v>114</v>
      </c>
      <c r="C10" s="7">
        <f>ROUND(SUM(D10:BJ10),-3)</f>
        <v>5466000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>
        <v>-58475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81">
        <f>4441301+1082755</f>
        <v>5524056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33"/>
      <c r="CE10" s="133"/>
      <c r="CF10" s="133"/>
      <c r="CG10" s="133"/>
      <c r="CH10" s="133"/>
      <c r="CI10" s="133"/>
    </row>
    <row r="11" spans="1:87" ht="15">
      <c r="A11">
        <v>4</v>
      </c>
      <c r="B11" s="11" t="s">
        <v>115</v>
      </c>
      <c r="C11" s="7">
        <f>ROUND(SUM(D11:BJ11),-3)</f>
        <v>-7611000</v>
      </c>
      <c r="D11" s="129"/>
      <c r="E11" s="129"/>
      <c r="F11" s="129"/>
      <c r="G11" s="129"/>
      <c r="H11" s="129"/>
      <c r="I11" s="129">
        <v>-2078072</v>
      </c>
      <c r="J11" s="129"/>
      <c r="K11" s="129">
        <v>-5499045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>
        <v>-33798.55</v>
      </c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33"/>
      <c r="CE11" s="133"/>
      <c r="CF11" s="133"/>
      <c r="CG11" s="133"/>
      <c r="CH11" s="133"/>
      <c r="CI11" s="133"/>
    </row>
    <row r="12" spans="1:87" ht="15">
      <c r="A12">
        <v>5</v>
      </c>
      <c r="B12" s="187" t="s">
        <v>116</v>
      </c>
      <c r="C12" s="39">
        <f aca="true" t="shared" si="0" ref="C12:BJ12">SUM(C8:C11)</f>
        <v>13364000</v>
      </c>
      <c r="D12" s="136">
        <f t="shared" si="0"/>
        <v>1013205</v>
      </c>
      <c r="E12" s="136">
        <f t="shared" si="0"/>
        <v>1364320</v>
      </c>
      <c r="F12" s="136">
        <f t="shared" si="0"/>
        <v>20743729</v>
      </c>
      <c r="G12" s="136">
        <f t="shared" si="0"/>
        <v>0</v>
      </c>
      <c r="H12" s="136">
        <f t="shared" si="0"/>
        <v>0</v>
      </c>
      <c r="I12" s="136">
        <f t="shared" si="0"/>
        <v>-2078072</v>
      </c>
      <c r="J12" s="136">
        <f t="shared" si="0"/>
        <v>-7612696</v>
      </c>
      <c r="K12" s="136">
        <f t="shared" si="0"/>
        <v>-5499045</v>
      </c>
      <c r="L12" s="136">
        <f t="shared" si="0"/>
        <v>0</v>
      </c>
      <c r="M12" s="136">
        <f t="shared" si="0"/>
        <v>0</v>
      </c>
      <c r="N12" s="136">
        <f t="shared" si="0"/>
        <v>-58475</v>
      </c>
      <c r="O12" s="136">
        <f t="shared" si="0"/>
        <v>0</v>
      </c>
      <c r="P12" s="136">
        <f t="shared" si="0"/>
        <v>0</v>
      </c>
      <c r="Q12" s="136">
        <f t="shared" si="0"/>
        <v>0</v>
      </c>
      <c r="R12" s="136">
        <f t="shared" si="0"/>
        <v>0</v>
      </c>
      <c r="S12" s="136">
        <f t="shared" si="0"/>
        <v>0</v>
      </c>
      <c r="T12" s="136">
        <f t="shared" si="0"/>
        <v>0</v>
      </c>
      <c r="U12" s="136">
        <f t="shared" si="0"/>
        <v>0</v>
      </c>
      <c r="V12" s="136">
        <f t="shared" si="0"/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36"/>
      <c r="AC12" s="136">
        <f t="shared" si="0"/>
        <v>5524056</v>
      </c>
      <c r="AD12" s="136">
        <f t="shared" si="0"/>
        <v>0</v>
      </c>
      <c r="AE12" s="136">
        <f t="shared" si="0"/>
        <v>-33798.55</v>
      </c>
      <c r="AF12" s="136">
        <f t="shared" si="0"/>
        <v>0</v>
      </c>
      <c r="AG12" s="136">
        <f t="shared" si="0"/>
        <v>0</v>
      </c>
      <c r="AH12" s="136">
        <f t="shared" si="0"/>
        <v>0</v>
      </c>
      <c r="AI12" s="136">
        <f t="shared" si="0"/>
        <v>0</v>
      </c>
      <c r="AJ12" s="136">
        <f t="shared" si="0"/>
        <v>0</v>
      </c>
      <c r="AK12" s="136">
        <f t="shared" si="0"/>
        <v>0</v>
      </c>
      <c r="AL12" s="136">
        <f>SUM(AL8:AL11)</f>
        <v>0</v>
      </c>
      <c r="AM12" s="136">
        <f>SUM(AM8:AM11)</f>
        <v>0</v>
      </c>
      <c r="AN12" s="136">
        <f>SUM(AN8:AN11)</f>
        <v>0</v>
      </c>
      <c r="AO12" s="136">
        <f>SUM(AO8:AO11)</f>
        <v>0</v>
      </c>
      <c r="AP12" s="136">
        <f t="shared" si="0"/>
        <v>0</v>
      </c>
      <c r="AQ12" s="136">
        <f t="shared" si="0"/>
        <v>0</v>
      </c>
      <c r="AR12" s="136">
        <f t="shared" si="0"/>
        <v>0</v>
      </c>
      <c r="AS12" s="136">
        <f t="shared" si="0"/>
        <v>0</v>
      </c>
      <c r="AT12" s="136">
        <f t="shared" si="0"/>
        <v>0</v>
      </c>
      <c r="AU12" s="136">
        <f t="shared" si="0"/>
        <v>0</v>
      </c>
      <c r="AV12" s="136">
        <f t="shared" si="0"/>
        <v>0</v>
      </c>
      <c r="AW12" s="136">
        <f t="shared" si="0"/>
        <v>0</v>
      </c>
      <c r="AX12" s="136">
        <f t="shared" si="0"/>
        <v>0</v>
      </c>
      <c r="AY12" s="136">
        <f t="shared" si="0"/>
        <v>0</v>
      </c>
      <c r="AZ12" s="136">
        <f t="shared" si="0"/>
        <v>0</v>
      </c>
      <c r="BA12" s="136">
        <f t="shared" si="0"/>
        <v>0</v>
      </c>
      <c r="BB12" s="136">
        <f t="shared" si="0"/>
        <v>0</v>
      </c>
      <c r="BC12" s="136">
        <f t="shared" si="0"/>
        <v>0</v>
      </c>
      <c r="BD12" s="136">
        <f t="shared" si="0"/>
        <v>0</v>
      </c>
      <c r="BE12" s="136">
        <f t="shared" si="0"/>
        <v>0</v>
      </c>
      <c r="BF12" s="136">
        <f t="shared" si="0"/>
        <v>0</v>
      </c>
      <c r="BG12" s="136">
        <f t="shared" si="0"/>
        <v>0</v>
      </c>
      <c r="BH12" s="136">
        <f t="shared" si="0"/>
        <v>0</v>
      </c>
      <c r="BI12" s="136">
        <f t="shared" si="0"/>
        <v>0</v>
      </c>
      <c r="BJ12" s="136">
        <f t="shared" si="0"/>
        <v>0</v>
      </c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33"/>
      <c r="CE12" s="133"/>
      <c r="CF12" s="133"/>
      <c r="CG12" s="133"/>
      <c r="CH12" s="133"/>
      <c r="CI12" s="133"/>
    </row>
    <row r="13" spans="1:87" ht="15">
      <c r="A13">
        <v>6</v>
      </c>
      <c r="B13" s="11"/>
      <c r="C13" s="3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33"/>
      <c r="CE13" s="133"/>
      <c r="CF13" s="133"/>
      <c r="CG13" s="133"/>
      <c r="CH13" s="133"/>
      <c r="CI13" s="133"/>
    </row>
    <row r="14" spans="1:87" ht="15">
      <c r="A14">
        <v>7</v>
      </c>
      <c r="B14" s="35" t="s">
        <v>117</v>
      </c>
      <c r="C14" s="38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33"/>
      <c r="CE14" s="133"/>
      <c r="CF14" s="133"/>
      <c r="CG14" s="133"/>
      <c r="CH14" s="133"/>
      <c r="CI14" s="133"/>
    </row>
    <row r="15" spans="1:87" ht="15">
      <c r="A15">
        <v>8</v>
      </c>
      <c r="B15" s="11" t="s">
        <v>118</v>
      </c>
      <c r="C15" s="7">
        <f aca="true" t="shared" si="1" ref="C15:C24">ROUND(SUM(D15:BJ15),-3)</f>
        <v>-1680000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>
        <v>-165503</v>
      </c>
      <c r="Q15" s="129"/>
      <c r="R15" s="129">
        <f>310754-145724</f>
        <v>165030</v>
      </c>
      <c r="S15" s="129"/>
      <c r="T15" s="129"/>
      <c r="U15" s="129"/>
      <c r="V15" s="129"/>
      <c r="W15" s="129"/>
      <c r="X15" s="129"/>
      <c r="Y15" s="129"/>
      <c r="Z15" s="129">
        <v>0</v>
      </c>
      <c r="AA15" s="129">
        <v>0</v>
      </c>
      <c r="AB15" s="129"/>
      <c r="AC15" s="181">
        <f>2223555+4975</f>
        <v>2228530</v>
      </c>
      <c r="AD15" s="129"/>
      <c r="AE15" s="129">
        <v>675503</v>
      </c>
      <c r="AF15" s="129"/>
      <c r="AG15" s="129"/>
      <c r="AH15" s="129"/>
      <c r="AI15" s="129"/>
      <c r="AJ15" s="129">
        <v>-4583171</v>
      </c>
      <c r="AK15" s="129">
        <v>0</v>
      </c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33"/>
      <c r="CE15" s="133"/>
      <c r="CF15" s="133"/>
      <c r="CG15" s="133"/>
      <c r="CH15" s="133"/>
      <c r="CI15" s="133"/>
    </row>
    <row r="16" spans="1:87" ht="15">
      <c r="A16">
        <v>9</v>
      </c>
      <c r="B16" s="11" t="s">
        <v>119</v>
      </c>
      <c r="C16" s="7">
        <f t="shared" si="1"/>
        <v>0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33"/>
      <c r="CE16" s="133"/>
      <c r="CF16" s="133"/>
      <c r="CG16" s="133"/>
      <c r="CH16" s="133"/>
      <c r="CI16" s="133"/>
    </row>
    <row r="17" spans="1:87" ht="15">
      <c r="A17">
        <v>10</v>
      </c>
      <c r="B17" s="11" t="s">
        <v>120</v>
      </c>
      <c r="C17" s="7">
        <f t="shared" si="1"/>
        <v>1750000</v>
      </c>
      <c r="D17" s="129"/>
      <c r="E17" s="129"/>
      <c r="F17" s="129"/>
      <c r="G17" s="129">
        <v>1755178</v>
      </c>
      <c r="H17" s="129"/>
      <c r="I17" s="129"/>
      <c r="J17" s="129"/>
      <c r="K17" s="129"/>
      <c r="L17" s="129"/>
      <c r="M17" s="129"/>
      <c r="N17" s="129"/>
      <c r="O17" s="129"/>
      <c r="P17" s="129">
        <v>-38224</v>
      </c>
      <c r="Q17" s="129"/>
      <c r="R17" s="129">
        <f>71770-13149</f>
        <v>58621</v>
      </c>
      <c r="S17" s="129"/>
      <c r="T17" s="129"/>
      <c r="U17" s="129"/>
      <c r="V17" s="129"/>
      <c r="W17" s="129">
        <v>-25354</v>
      </c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>
        <v>0</v>
      </c>
      <c r="BI17" s="129"/>
      <c r="BJ17" s="129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33"/>
      <c r="CE17" s="133"/>
      <c r="CF17" s="133"/>
      <c r="CG17" s="133"/>
      <c r="CH17" s="133"/>
      <c r="CI17" s="133"/>
    </row>
    <row r="18" spans="1:87" ht="15">
      <c r="A18">
        <v>11</v>
      </c>
      <c r="B18" s="11" t="s">
        <v>121</v>
      </c>
      <c r="C18" s="7">
        <f t="shared" si="1"/>
        <v>13840000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>
        <v>-55382</v>
      </c>
      <c r="O18" s="129"/>
      <c r="P18" s="129">
        <v>-42757</v>
      </c>
      <c r="Q18" s="129"/>
      <c r="R18" s="129">
        <f>80282-881</f>
        <v>79401</v>
      </c>
      <c r="S18" s="129"/>
      <c r="T18" s="129"/>
      <c r="U18" s="129"/>
      <c r="V18" s="129"/>
      <c r="W18" s="129"/>
      <c r="X18" s="129"/>
      <c r="Y18" s="129"/>
      <c r="Z18" s="129">
        <v>0</v>
      </c>
      <c r="AA18" s="129">
        <v>0</v>
      </c>
      <c r="AB18" s="129"/>
      <c r="AC18" s="181">
        <f>-6535464-779646</f>
        <v>-7315110</v>
      </c>
      <c r="AD18" s="129"/>
      <c r="AE18" s="129"/>
      <c r="AF18" s="129">
        <v>-1352718</v>
      </c>
      <c r="AG18" s="129">
        <v>355551</v>
      </c>
      <c r="AH18" s="129">
        <v>151209</v>
      </c>
      <c r="AI18" s="129">
        <v>20850595</v>
      </c>
      <c r="AJ18" s="129">
        <v>1270646</v>
      </c>
      <c r="AK18" s="129">
        <v>0</v>
      </c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>
        <v>-101894</v>
      </c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33"/>
      <c r="CE18" s="133"/>
      <c r="CF18" s="133"/>
      <c r="CG18" s="133"/>
      <c r="CH18" s="133"/>
      <c r="CI18" s="133"/>
    </row>
    <row r="19" spans="1:87" ht="15">
      <c r="A19">
        <v>12</v>
      </c>
      <c r="B19" s="11" t="s">
        <v>122</v>
      </c>
      <c r="C19" s="7">
        <f t="shared" si="1"/>
        <v>-931000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>
        <v>-22697</v>
      </c>
      <c r="Q19" s="129"/>
      <c r="R19" s="129">
        <f>42616-83616</f>
        <v>-41000</v>
      </c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81">
        <f>-561763+18591</f>
        <v>-543172</v>
      </c>
      <c r="AD19" s="129"/>
      <c r="AE19" s="129"/>
      <c r="AF19" s="129"/>
      <c r="AG19" s="129"/>
      <c r="AH19" s="129"/>
      <c r="AI19" s="129"/>
      <c r="AJ19" s="129"/>
      <c r="AK19" s="181">
        <v>-323713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33"/>
      <c r="CE19" s="133"/>
      <c r="CF19" s="133"/>
      <c r="CG19" s="133"/>
      <c r="CH19" s="133"/>
      <c r="CI19" s="133"/>
    </row>
    <row r="20" spans="1:87" ht="15">
      <c r="A20">
        <v>13</v>
      </c>
      <c r="B20" s="11" t="s">
        <v>123</v>
      </c>
      <c r="C20" s="7">
        <f t="shared" si="1"/>
        <v>-22000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>
        <f>-106831-12005</f>
        <v>-118836</v>
      </c>
      <c r="Q20" s="129"/>
      <c r="R20" s="129">
        <f>200588-104011</f>
        <v>96577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33"/>
      <c r="CE20" s="133"/>
      <c r="CF20" s="133"/>
      <c r="CG20" s="133"/>
      <c r="CH20" s="133"/>
      <c r="CI20" s="133"/>
    </row>
    <row r="21" spans="1:87" ht="15">
      <c r="A21">
        <v>14</v>
      </c>
      <c r="B21" s="11" t="s">
        <v>124</v>
      </c>
      <c r="C21" s="7">
        <f t="shared" si="1"/>
        <v>-1352000</v>
      </c>
      <c r="D21" s="129">
        <v>0</v>
      </c>
      <c r="E21" s="129">
        <v>0</v>
      </c>
      <c r="F21" s="129">
        <v>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>
        <v>-41889</v>
      </c>
      <c r="Q21" s="129"/>
      <c r="R21" s="129">
        <v>63184</v>
      </c>
      <c r="S21" s="129"/>
      <c r="T21" s="129"/>
      <c r="U21" s="129">
        <v>-1373123</v>
      </c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33"/>
      <c r="CE21" s="133"/>
      <c r="CF21" s="133"/>
      <c r="CG21" s="133"/>
      <c r="CH21" s="133"/>
      <c r="CI21" s="133"/>
    </row>
    <row r="22" spans="1:87" ht="15">
      <c r="A22">
        <v>15</v>
      </c>
      <c r="B22" s="11" t="s">
        <v>125</v>
      </c>
      <c r="C22" s="7">
        <f t="shared" si="1"/>
        <v>1000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>
        <v>-882</v>
      </c>
      <c r="Q22" s="129"/>
      <c r="R22" s="129">
        <v>1655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33"/>
      <c r="CE22" s="133"/>
      <c r="CF22" s="133"/>
      <c r="CG22" s="133"/>
      <c r="CH22" s="133"/>
      <c r="CI22" s="133"/>
    </row>
    <row r="23" spans="1:87" ht="15">
      <c r="A23">
        <v>16</v>
      </c>
      <c r="B23" s="11" t="s">
        <v>126</v>
      </c>
      <c r="C23" s="7">
        <f t="shared" si="1"/>
        <v>0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33"/>
      <c r="CE23" s="133"/>
      <c r="CF23" s="133"/>
      <c r="CG23" s="133"/>
      <c r="CH23" s="133"/>
      <c r="CI23" s="133"/>
    </row>
    <row r="24" spans="1:87" ht="15">
      <c r="A24">
        <v>17</v>
      </c>
      <c r="B24" s="184" t="s">
        <v>127</v>
      </c>
      <c r="C24" s="7">
        <f t="shared" si="1"/>
        <v>-1514000</v>
      </c>
      <c r="D24" s="129"/>
      <c r="E24" s="129"/>
      <c r="F24" s="129"/>
      <c r="G24" s="129"/>
      <c r="H24" s="129"/>
      <c r="I24" s="129"/>
      <c r="J24" s="129"/>
      <c r="K24" s="129"/>
      <c r="L24" s="129">
        <v>-66448</v>
      </c>
      <c r="M24" s="129">
        <v>1679415</v>
      </c>
      <c r="N24" s="129">
        <v>-24545</v>
      </c>
      <c r="O24" s="129">
        <v>-227899</v>
      </c>
      <c r="P24" s="129">
        <v>-128542</v>
      </c>
      <c r="Q24" s="129"/>
      <c r="R24" s="129">
        <v>239856</v>
      </c>
      <c r="S24" s="129"/>
      <c r="T24" s="129"/>
      <c r="U24" s="129"/>
      <c r="V24" s="181">
        <f>-257274-600000</f>
        <v>-857274</v>
      </c>
      <c r="W24" s="129"/>
      <c r="X24" s="129">
        <v>-443434</v>
      </c>
      <c r="Y24" s="181">
        <f>-260270-1480</f>
        <v>-261750</v>
      </c>
      <c r="Z24" s="181">
        <v>-663200</v>
      </c>
      <c r="AA24" s="181">
        <v>-168096</v>
      </c>
      <c r="AB24" s="181">
        <v>-550000</v>
      </c>
      <c r="AC24" s="129"/>
      <c r="AD24" s="129"/>
      <c r="AE24" s="129"/>
      <c r="AF24" s="129"/>
      <c r="AG24" s="129"/>
      <c r="AH24" s="129"/>
      <c r="AI24" s="129"/>
      <c r="AJ24" s="129"/>
      <c r="AK24" s="129">
        <v>0</v>
      </c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81">
        <v>-30000</v>
      </c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>
        <v>-12429</v>
      </c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33"/>
      <c r="CE24" s="133"/>
      <c r="CF24" s="133"/>
      <c r="CG24" s="133"/>
      <c r="CH24" s="133"/>
      <c r="CI24" s="133"/>
    </row>
    <row r="25" spans="1:87" ht="15">
      <c r="A25">
        <v>18</v>
      </c>
      <c r="B25" s="35" t="s">
        <v>128</v>
      </c>
      <c r="C25" s="185">
        <f aca="true" t="shared" si="2" ref="C25:BJ25">SUM(C15:C24)</f>
        <v>10092000</v>
      </c>
      <c r="D25" s="186">
        <f t="shared" si="2"/>
        <v>0</v>
      </c>
      <c r="E25" s="186">
        <f t="shared" si="2"/>
        <v>0</v>
      </c>
      <c r="F25" s="186">
        <f t="shared" si="2"/>
        <v>0</v>
      </c>
      <c r="G25" s="186">
        <f t="shared" si="2"/>
        <v>1755178</v>
      </c>
      <c r="H25" s="186">
        <f t="shared" si="2"/>
        <v>0</v>
      </c>
      <c r="I25" s="186">
        <f t="shared" si="2"/>
        <v>0</v>
      </c>
      <c r="J25" s="186">
        <f t="shared" si="2"/>
        <v>0</v>
      </c>
      <c r="K25" s="186">
        <f t="shared" si="2"/>
        <v>0</v>
      </c>
      <c r="L25" s="186">
        <f t="shared" si="2"/>
        <v>-66448</v>
      </c>
      <c r="M25" s="186">
        <f t="shared" si="2"/>
        <v>1679415</v>
      </c>
      <c r="N25" s="186">
        <f t="shared" si="2"/>
        <v>-79927</v>
      </c>
      <c r="O25" s="186">
        <f t="shared" si="2"/>
        <v>-227899</v>
      </c>
      <c r="P25" s="186">
        <f t="shared" si="2"/>
        <v>-559330</v>
      </c>
      <c r="Q25" s="186">
        <f t="shared" si="2"/>
        <v>0</v>
      </c>
      <c r="R25" s="186">
        <f t="shared" si="2"/>
        <v>663324</v>
      </c>
      <c r="S25" s="186">
        <f t="shared" si="2"/>
        <v>0</v>
      </c>
      <c r="T25" s="186">
        <f t="shared" si="2"/>
        <v>0</v>
      </c>
      <c r="U25" s="186">
        <f t="shared" si="2"/>
        <v>-1373123</v>
      </c>
      <c r="V25" s="186">
        <f t="shared" si="2"/>
        <v>-857274</v>
      </c>
      <c r="W25" s="186">
        <f t="shared" si="2"/>
        <v>-25354</v>
      </c>
      <c r="X25" s="186">
        <f t="shared" si="2"/>
        <v>-443434</v>
      </c>
      <c r="Y25" s="186">
        <f t="shared" si="2"/>
        <v>-261750</v>
      </c>
      <c r="Z25" s="186">
        <f t="shared" si="2"/>
        <v>-663200</v>
      </c>
      <c r="AA25" s="186">
        <f t="shared" si="2"/>
        <v>-168096</v>
      </c>
      <c r="AB25" s="186">
        <f t="shared" si="2"/>
        <v>-550000</v>
      </c>
      <c r="AC25" s="186">
        <f t="shared" si="2"/>
        <v>-5629752</v>
      </c>
      <c r="AD25" s="186">
        <f t="shared" si="2"/>
        <v>0</v>
      </c>
      <c r="AE25" s="186">
        <f t="shared" si="2"/>
        <v>675503</v>
      </c>
      <c r="AF25" s="186">
        <f t="shared" si="2"/>
        <v>-1352718</v>
      </c>
      <c r="AG25" s="186">
        <f t="shared" si="2"/>
        <v>355551</v>
      </c>
      <c r="AH25" s="186">
        <f t="shared" si="2"/>
        <v>151209</v>
      </c>
      <c r="AI25" s="186">
        <f t="shared" si="2"/>
        <v>20850595</v>
      </c>
      <c r="AJ25" s="186">
        <f t="shared" si="2"/>
        <v>-3312525</v>
      </c>
      <c r="AK25" s="186">
        <f t="shared" si="2"/>
        <v>-323713</v>
      </c>
      <c r="AL25" s="186">
        <f>SUM(AL15:AL24)</f>
        <v>0</v>
      </c>
      <c r="AM25" s="186">
        <f>SUM(AM15:AM24)</f>
        <v>0</v>
      </c>
      <c r="AN25" s="186">
        <f>SUM(AN15:AN24)</f>
        <v>0</v>
      </c>
      <c r="AO25" s="186">
        <f>SUM(AO15:AO24)</f>
        <v>0</v>
      </c>
      <c r="AP25" s="186">
        <f t="shared" si="2"/>
        <v>0</v>
      </c>
      <c r="AQ25" s="186">
        <f t="shared" si="2"/>
        <v>0</v>
      </c>
      <c r="AR25" s="186">
        <f t="shared" si="2"/>
        <v>0</v>
      </c>
      <c r="AS25" s="186">
        <f t="shared" si="2"/>
        <v>0</v>
      </c>
      <c r="AT25" s="186">
        <f t="shared" si="2"/>
        <v>0</v>
      </c>
      <c r="AU25" s="186">
        <f t="shared" si="2"/>
        <v>0</v>
      </c>
      <c r="AV25" s="186">
        <f t="shared" si="2"/>
        <v>0</v>
      </c>
      <c r="AW25" s="186">
        <f t="shared" si="2"/>
        <v>-30000</v>
      </c>
      <c r="AX25" s="186">
        <f t="shared" si="2"/>
        <v>0</v>
      </c>
      <c r="AY25" s="186">
        <f t="shared" si="2"/>
        <v>0</v>
      </c>
      <c r="AZ25" s="186">
        <f t="shared" si="2"/>
        <v>0</v>
      </c>
      <c r="BA25" s="186">
        <f t="shared" si="2"/>
        <v>0</v>
      </c>
      <c r="BB25" s="186">
        <f t="shared" si="2"/>
        <v>0</v>
      </c>
      <c r="BC25" s="186">
        <f t="shared" si="2"/>
        <v>0</v>
      </c>
      <c r="BD25" s="186">
        <f t="shared" si="2"/>
        <v>0</v>
      </c>
      <c r="BE25" s="186">
        <f t="shared" si="2"/>
        <v>0</v>
      </c>
      <c r="BF25" s="186">
        <f t="shared" si="2"/>
        <v>0</v>
      </c>
      <c r="BG25" s="186">
        <f t="shared" si="2"/>
        <v>0</v>
      </c>
      <c r="BH25" s="186">
        <f t="shared" si="2"/>
        <v>0</v>
      </c>
      <c r="BI25" s="186">
        <f t="shared" si="2"/>
        <v>0</v>
      </c>
      <c r="BJ25" s="186">
        <f t="shared" si="2"/>
        <v>-114323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33"/>
      <c r="CE25" s="133"/>
      <c r="CF25" s="133"/>
      <c r="CG25" s="133"/>
      <c r="CH25" s="133"/>
      <c r="CI25" s="133"/>
    </row>
    <row r="26" spans="1:87" ht="15">
      <c r="A26">
        <v>19</v>
      </c>
      <c r="B26" s="11" t="s">
        <v>129</v>
      </c>
      <c r="C26" s="7">
        <f>ROUND(SUM(D26:BJ26),-3)</f>
        <v>-2263000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>
        <v>-147443</v>
      </c>
      <c r="X26" s="129"/>
      <c r="Y26" s="129"/>
      <c r="Z26" s="129"/>
      <c r="AA26" s="129"/>
      <c r="AB26" s="129"/>
      <c r="AC26" s="129"/>
      <c r="AD26" s="129">
        <v>-568199</v>
      </c>
      <c r="AE26" s="129"/>
      <c r="AF26" s="129"/>
      <c r="AG26" s="129"/>
      <c r="AH26" s="129"/>
      <c r="AI26" s="129"/>
      <c r="AJ26" s="129"/>
      <c r="AK26" s="129"/>
      <c r="AL26" s="129">
        <v>90222</v>
      </c>
      <c r="AM26" s="129"/>
      <c r="AN26" s="129">
        <v>-1867753</v>
      </c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>
        <v>-33000</v>
      </c>
      <c r="BA26" s="129"/>
      <c r="BB26" s="129"/>
      <c r="BC26" s="129"/>
      <c r="BD26" s="129"/>
      <c r="BE26" s="129">
        <v>263005</v>
      </c>
      <c r="BF26" s="129"/>
      <c r="BG26" s="129"/>
      <c r="BH26" s="129">
        <v>0</v>
      </c>
      <c r="BI26" s="129"/>
      <c r="BJ26" s="129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33"/>
      <c r="CE26" s="133"/>
      <c r="CF26" s="133"/>
      <c r="CG26" s="133"/>
      <c r="CH26" s="133"/>
      <c r="CI26" s="133"/>
    </row>
    <row r="27" spans="1:87" ht="15">
      <c r="A27">
        <v>20</v>
      </c>
      <c r="B27" s="11" t="s">
        <v>103</v>
      </c>
      <c r="C27" s="7">
        <f>ROUND(SUM(D27:BJ27),-3)</f>
        <v>-172000</v>
      </c>
      <c r="D27" s="129"/>
      <c r="E27" s="129"/>
      <c r="F27" s="129"/>
      <c r="G27" s="129"/>
      <c r="H27" s="129"/>
      <c r="I27" s="129"/>
      <c r="J27" s="129"/>
      <c r="K27" s="129"/>
      <c r="L27" s="129">
        <v>-6308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>
        <v>-166104</v>
      </c>
      <c r="BE27" s="129"/>
      <c r="BF27" s="129"/>
      <c r="BG27" s="129"/>
      <c r="BH27" s="129"/>
      <c r="BI27" s="129"/>
      <c r="BJ27" s="129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33"/>
      <c r="CE27" s="133"/>
      <c r="CF27" s="133"/>
      <c r="CG27" s="133"/>
      <c r="CH27" s="133"/>
      <c r="CI27" s="133"/>
    </row>
    <row r="28" spans="1:87" ht="15">
      <c r="A28">
        <v>21</v>
      </c>
      <c r="B28" s="11" t="s">
        <v>130</v>
      </c>
      <c r="C28" s="7">
        <f>ROUND(SUM(D28:BJ28),-3)</f>
        <v>300000</v>
      </c>
      <c r="D28" s="129">
        <v>0</v>
      </c>
      <c r="E28" s="129">
        <v>0</v>
      </c>
      <c r="F28" s="129">
        <v>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>
        <v>53882</v>
      </c>
      <c r="U28" s="129"/>
      <c r="V28" s="129"/>
      <c r="W28" s="129">
        <v>-5379</v>
      </c>
      <c r="X28" s="129"/>
      <c r="Y28" s="129"/>
      <c r="Z28" s="129"/>
      <c r="AA28" s="129"/>
      <c r="AB28" s="129"/>
      <c r="AC28" s="129"/>
      <c r="AD28" s="129">
        <v>-32674</v>
      </c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81">
        <f>136235+148397</f>
        <v>284632</v>
      </c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>
        <v>0</v>
      </c>
      <c r="BI28" s="129"/>
      <c r="BJ28" s="129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33"/>
      <c r="CE28" s="133"/>
      <c r="CF28" s="133"/>
      <c r="CG28" s="133"/>
      <c r="CH28" s="133"/>
      <c r="CI28" s="133"/>
    </row>
    <row r="29" spans="1:87" ht="15">
      <c r="A29">
        <v>22</v>
      </c>
      <c r="B29" s="11" t="s">
        <v>131</v>
      </c>
      <c r="C29" s="129">
        <f>C81</f>
        <v>-8061000</v>
      </c>
      <c r="D29" s="129">
        <f>D81</f>
        <v>338521.92254999996</v>
      </c>
      <c r="E29" s="129">
        <f aca="true" t="shared" si="3" ref="E29:BH29">E81</f>
        <v>455832.95519999997</v>
      </c>
      <c r="F29" s="129">
        <f t="shared" si="3"/>
        <v>6930687.29619</v>
      </c>
      <c r="G29" s="129">
        <f>G81</f>
        <v>-586422.52158</v>
      </c>
      <c r="H29" s="129">
        <f t="shared" si="3"/>
        <v>0</v>
      </c>
      <c r="I29" s="129">
        <f t="shared" si="3"/>
        <v>-697307.95071</v>
      </c>
      <c r="J29" s="129">
        <f t="shared" si="3"/>
        <v>-2543477.86056</v>
      </c>
      <c r="K29" s="129">
        <f t="shared" si="3"/>
        <v>-11965496.464949999</v>
      </c>
      <c r="L29" s="129">
        <f t="shared" si="3"/>
        <v>24308.50716</v>
      </c>
      <c r="M29" s="129">
        <f t="shared" si="3"/>
        <v>-561109.3456499999</v>
      </c>
      <c r="N29" s="129">
        <f t="shared" si="3"/>
        <v>7167.327719999999</v>
      </c>
      <c r="O29" s="129">
        <f t="shared" si="3"/>
        <v>76143.33489</v>
      </c>
      <c r="P29" s="129">
        <f t="shared" si="3"/>
        <v>186877.74629999997</v>
      </c>
      <c r="Q29" s="129">
        <f t="shared" si="3"/>
        <v>0</v>
      </c>
      <c r="R29" s="129">
        <f t="shared" si="3"/>
        <v>-221623.18164</v>
      </c>
      <c r="S29" s="129">
        <f t="shared" si="3"/>
        <v>0</v>
      </c>
      <c r="T29" s="129">
        <f t="shared" si="3"/>
        <v>-18002.51502</v>
      </c>
      <c r="U29" s="129">
        <f t="shared" si="3"/>
        <v>458774.12552999996</v>
      </c>
      <c r="V29" s="129">
        <f t="shared" si="3"/>
        <v>286423.81614</v>
      </c>
      <c r="W29" s="129">
        <f t="shared" si="3"/>
        <v>59530.38336</v>
      </c>
      <c r="X29" s="129">
        <f t="shared" si="3"/>
        <v>148155.73374</v>
      </c>
      <c r="Y29" s="129">
        <f t="shared" si="3"/>
        <v>87453.2925</v>
      </c>
      <c r="Z29" s="129">
        <f>Z81</f>
        <v>221581.75199999998</v>
      </c>
      <c r="AA29" s="129">
        <f>AA81</f>
        <v>56162.55456</v>
      </c>
      <c r="AB29" s="129">
        <f>AB81</f>
        <v>183760.5</v>
      </c>
      <c r="AC29" s="129">
        <f t="shared" si="3"/>
        <v>3726598.7908799993</v>
      </c>
      <c r="AD29" s="129">
        <f t="shared" si="3"/>
        <v>16384.42029</v>
      </c>
      <c r="AE29" s="129">
        <f t="shared" si="3"/>
        <v>-236984.74087049998</v>
      </c>
      <c r="AF29" s="129">
        <f t="shared" si="3"/>
        <v>451956.61098</v>
      </c>
      <c r="AG29" s="129">
        <f t="shared" si="3"/>
        <v>-118793.14461</v>
      </c>
      <c r="AH29" s="129">
        <f t="shared" si="3"/>
        <v>-50520.438989999995</v>
      </c>
      <c r="AI29" s="129">
        <f t="shared" si="3"/>
        <v>-6966392.295449999</v>
      </c>
      <c r="AJ29" s="129">
        <f t="shared" si="3"/>
        <v>1106747.72775</v>
      </c>
      <c r="AK29" s="129">
        <f>AK81</f>
        <v>108155.75042999999</v>
      </c>
      <c r="AL29" s="129">
        <v>0</v>
      </c>
      <c r="AM29" s="129">
        <f>AM81</f>
        <v>0</v>
      </c>
      <c r="AN29" s="129">
        <v>0</v>
      </c>
      <c r="AO29" s="129">
        <f>AO81</f>
        <v>0</v>
      </c>
      <c r="AP29" s="129">
        <f t="shared" si="3"/>
        <v>443698.08</v>
      </c>
      <c r="AQ29" s="129">
        <f t="shared" si="3"/>
        <v>0</v>
      </c>
      <c r="AR29" s="129">
        <f t="shared" si="3"/>
        <v>0</v>
      </c>
      <c r="AS29" s="129">
        <f t="shared" si="3"/>
        <v>209285.16755999997</v>
      </c>
      <c r="AT29" s="129">
        <f t="shared" si="3"/>
        <v>-186337</v>
      </c>
      <c r="AU29" s="129">
        <f t="shared" si="3"/>
        <v>-95098.39752</v>
      </c>
      <c r="AV29" s="129">
        <f t="shared" si="3"/>
        <v>579727</v>
      </c>
      <c r="AW29" s="129">
        <f t="shared" si="3"/>
        <v>10023.3</v>
      </c>
      <c r="AX29" s="129">
        <f t="shared" si="3"/>
        <v>0</v>
      </c>
      <c r="AY29" s="129">
        <f t="shared" si="3"/>
        <v>0</v>
      </c>
      <c r="AZ29" s="129">
        <f t="shared" si="3"/>
        <v>11025.63</v>
      </c>
      <c r="BA29" s="129">
        <f t="shared" si="3"/>
        <v>0</v>
      </c>
      <c r="BB29" s="129">
        <f t="shared" si="3"/>
        <v>0</v>
      </c>
      <c r="BC29" s="129">
        <f t="shared" si="3"/>
        <v>0</v>
      </c>
      <c r="BD29" s="129">
        <f t="shared" si="3"/>
        <v>55497.007439999994</v>
      </c>
      <c r="BE29" s="129">
        <f t="shared" si="3"/>
        <v>-87872.60055</v>
      </c>
      <c r="BF29" s="129">
        <f t="shared" si="3"/>
        <v>0</v>
      </c>
      <c r="BG29" s="129">
        <f t="shared" si="3"/>
        <v>0</v>
      </c>
      <c r="BH29" s="129">
        <f t="shared" si="3"/>
        <v>0</v>
      </c>
      <c r="BI29" s="129">
        <f>BI81</f>
        <v>-4059.21632351466</v>
      </c>
      <c r="BJ29" s="129">
        <f>BJ81</f>
        <v>38196.45752999999</v>
      </c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33"/>
      <c r="CE29" s="133"/>
      <c r="CF29" s="133"/>
      <c r="CG29" s="133"/>
      <c r="CH29" s="133"/>
      <c r="CI29" s="133"/>
    </row>
    <row r="30" spans="1:87" ht="15">
      <c r="A30">
        <v>23</v>
      </c>
      <c r="B30" s="11" t="s">
        <v>132</v>
      </c>
      <c r="C30" s="129">
        <f>C78</f>
        <v>-1149000</v>
      </c>
      <c r="D30" s="129">
        <f>D78</f>
        <v>45999.507000000005</v>
      </c>
      <c r="E30" s="129">
        <f aca="true" t="shared" si="4" ref="E30:BH30">E78</f>
        <v>61940.128000000004</v>
      </c>
      <c r="F30" s="129">
        <f t="shared" si="4"/>
        <v>941765.2966</v>
      </c>
      <c r="G30" s="129">
        <f>G78</f>
        <v>-79685.0812</v>
      </c>
      <c r="H30" s="129">
        <f t="shared" si="4"/>
        <v>0</v>
      </c>
      <c r="I30" s="129">
        <f t="shared" si="4"/>
        <v>-94752.56940000001</v>
      </c>
      <c r="J30" s="129">
        <f t="shared" si="4"/>
        <v>-345616.3984</v>
      </c>
      <c r="K30" s="129">
        <f t="shared" si="4"/>
        <v>-1625912.243</v>
      </c>
      <c r="L30" s="129">
        <f t="shared" si="4"/>
        <v>3303.1224</v>
      </c>
      <c r="M30" s="129">
        <f t="shared" si="4"/>
        <v>-76245.441</v>
      </c>
      <c r="N30" s="129">
        <f t="shared" si="4"/>
        <v>973.9208000000001</v>
      </c>
      <c r="O30" s="129">
        <f t="shared" si="4"/>
        <v>10346.6146</v>
      </c>
      <c r="P30" s="129">
        <f t="shared" si="4"/>
        <v>25393.582000000002</v>
      </c>
      <c r="Q30" s="129">
        <f t="shared" si="4"/>
        <v>0</v>
      </c>
      <c r="R30" s="129">
        <f t="shared" si="4"/>
        <v>-30114.909600000003</v>
      </c>
      <c r="S30" s="129">
        <f t="shared" si="4"/>
        <v>0</v>
      </c>
      <c r="T30" s="129">
        <f t="shared" si="4"/>
        <v>-2446.2428</v>
      </c>
      <c r="U30" s="129">
        <f t="shared" si="4"/>
        <v>62339.7842</v>
      </c>
      <c r="V30" s="129">
        <f t="shared" si="4"/>
        <v>38920.2396</v>
      </c>
      <c r="W30" s="129">
        <f t="shared" si="4"/>
        <v>8089.1904</v>
      </c>
      <c r="X30" s="129">
        <f t="shared" si="4"/>
        <v>20131.9036</v>
      </c>
      <c r="Y30" s="129">
        <f t="shared" si="4"/>
        <v>11883.45</v>
      </c>
      <c r="Z30" s="129">
        <f>Z78</f>
        <v>30109.280000000002</v>
      </c>
      <c r="AA30" s="129">
        <f>AA78</f>
        <v>7631.558400000001</v>
      </c>
      <c r="AB30" s="129">
        <f>AB78</f>
        <v>24970</v>
      </c>
      <c r="AC30" s="129">
        <f t="shared" si="4"/>
        <v>506382.88320000004</v>
      </c>
      <c r="AD30" s="129">
        <f t="shared" si="4"/>
        <v>2226.3706</v>
      </c>
      <c r="AE30" s="129">
        <f t="shared" si="4"/>
        <v>-32202.290370000002</v>
      </c>
      <c r="AF30" s="129">
        <f t="shared" si="4"/>
        <v>61413.39720000001</v>
      </c>
      <c r="AG30" s="129">
        <f t="shared" si="4"/>
        <v>-16142.0154</v>
      </c>
      <c r="AH30" s="129">
        <f t="shared" si="4"/>
        <v>-6864.8886</v>
      </c>
      <c r="AI30" s="129">
        <f t="shared" si="4"/>
        <v>-946617.013</v>
      </c>
      <c r="AJ30" s="129">
        <f t="shared" si="4"/>
        <v>150388.635</v>
      </c>
      <c r="AK30" s="129">
        <f>AK78</f>
        <v>14696.5702</v>
      </c>
      <c r="AL30" s="129">
        <v>0</v>
      </c>
      <c r="AM30" s="129">
        <f>AM78</f>
        <v>0</v>
      </c>
      <c r="AN30" s="129">
        <v>0</v>
      </c>
      <c r="AO30" s="129">
        <f>AO78</f>
        <v>0</v>
      </c>
      <c r="AP30" s="129">
        <f t="shared" si="4"/>
        <v>60291.200000000004</v>
      </c>
      <c r="AQ30" s="129">
        <f t="shared" si="4"/>
        <v>0</v>
      </c>
      <c r="AR30" s="129">
        <f t="shared" si="4"/>
        <v>0</v>
      </c>
      <c r="AS30" s="129">
        <f t="shared" si="4"/>
        <v>28438.3784</v>
      </c>
      <c r="AT30" s="129">
        <f t="shared" si="4"/>
        <v>0</v>
      </c>
      <c r="AU30" s="129">
        <f t="shared" si="4"/>
        <v>-12922.292800000001</v>
      </c>
      <c r="AV30" s="129">
        <f t="shared" si="4"/>
        <v>0</v>
      </c>
      <c r="AW30" s="129">
        <f t="shared" si="4"/>
        <v>1362</v>
      </c>
      <c r="AX30" s="129">
        <f t="shared" si="4"/>
        <v>0</v>
      </c>
      <c r="AY30" s="129">
        <f t="shared" si="4"/>
        <v>0</v>
      </c>
      <c r="AZ30" s="129">
        <f t="shared" si="4"/>
        <v>1498.2</v>
      </c>
      <c r="BA30" s="129">
        <f t="shared" si="4"/>
        <v>0</v>
      </c>
      <c r="BB30" s="129">
        <f t="shared" si="4"/>
        <v>0</v>
      </c>
      <c r="BC30" s="129">
        <f t="shared" si="4"/>
        <v>0</v>
      </c>
      <c r="BD30" s="129">
        <f t="shared" si="4"/>
        <v>7541.1216</v>
      </c>
      <c r="BE30" s="129">
        <f t="shared" si="4"/>
        <v>-11940.427000000001</v>
      </c>
      <c r="BF30" s="129">
        <f t="shared" si="4"/>
        <v>0</v>
      </c>
      <c r="BG30" s="129">
        <f t="shared" si="4"/>
        <v>0</v>
      </c>
      <c r="BH30" s="129">
        <f t="shared" si="4"/>
        <v>0</v>
      </c>
      <c r="BI30" s="129">
        <f>BI78</f>
        <v>-551.5800816724001</v>
      </c>
      <c r="BJ30" s="129">
        <f>BJ78</f>
        <v>5190.2642000000005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33"/>
      <c r="CE30" s="133"/>
      <c r="CF30" s="133"/>
      <c r="CG30" s="133"/>
      <c r="CH30" s="133"/>
      <c r="CI30" s="133"/>
    </row>
    <row r="31" spans="1:87" ht="15">
      <c r="A31">
        <v>24</v>
      </c>
      <c r="B31" s="11" t="s">
        <v>133</v>
      </c>
      <c r="C31" s="7">
        <f>ROUND(SUM(D31:BJ31),-3)</f>
        <v>12924000</v>
      </c>
      <c r="D31" s="129"/>
      <c r="E31" s="129"/>
      <c r="F31" s="129"/>
      <c r="G31" s="129"/>
      <c r="H31" s="129">
        <v>129259</v>
      </c>
      <c r="I31" s="129"/>
      <c r="J31" s="129"/>
      <c r="K31" s="129">
        <v>11505000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>
        <v>120349.45</v>
      </c>
      <c r="AE31" s="129"/>
      <c r="AF31" s="129"/>
      <c r="AG31" s="129"/>
      <c r="AH31" s="129"/>
      <c r="AI31" s="129"/>
      <c r="AJ31" s="129"/>
      <c r="AK31" s="129"/>
      <c r="AL31" s="129">
        <v>-34240</v>
      </c>
      <c r="AM31" s="129"/>
      <c r="AN31" s="129">
        <v>708831</v>
      </c>
      <c r="AO31" s="129"/>
      <c r="AP31" s="129"/>
      <c r="AQ31" s="129">
        <v>312349</v>
      </c>
      <c r="AR31" s="129"/>
      <c r="AS31" s="129">
        <v>182665</v>
      </c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33"/>
      <c r="CE31" s="133"/>
      <c r="CF31" s="133"/>
      <c r="CG31" s="133"/>
      <c r="CH31" s="133"/>
      <c r="CI31" s="133"/>
    </row>
    <row r="32" spans="1:87" ht="15">
      <c r="A32">
        <v>25</v>
      </c>
      <c r="B32" s="11" t="s">
        <v>134</v>
      </c>
      <c r="C32" s="7">
        <f>ROUND(SUM(D32:BJ32),-3)</f>
        <v>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33"/>
      <c r="CE32" s="133"/>
      <c r="CF32" s="133"/>
      <c r="CG32" s="133"/>
      <c r="CH32" s="133"/>
      <c r="CI32" s="133"/>
    </row>
    <row r="33" spans="1:87" ht="15">
      <c r="A33">
        <v>26</v>
      </c>
      <c r="B33" s="11" t="s">
        <v>135</v>
      </c>
      <c r="C33" s="7">
        <f>ROUND(SUM(D33:BJ33),-3)</f>
        <v>-328000</v>
      </c>
      <c r="D33" s="129"/>
      <c r="E33" s="129"/>
      <c r="F33" s="129"/>
      <c r="G33" s="129"/>
      <c r="H33" s="129">
        <v>-340594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>
        <v>0</v>
      </c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>
        <f>-BI58*0.0118</f>
        <v>12149.341006</v>
      </c>
      <c r="BJ33" s="129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33"/>
      <c r="CE33" s="133"/>
      <c r="CF33" s="133"/>
      <c r="CG33" s="133"/>
      <c r="CH33" s="133"/>
      <c r="CI33" s="133"/>
    </row>
    <row r="34" spans="1:87" ht="15">
      <c r="A34">
        <v>27</v>
      </c>
      <c r="B34" s="187" t="s">
        <v>136</v>
      </c>
      <c r="C34" s="136">
        <f>SUM(C25:C33)</f>
        <v>11343000</v>
      </c>
      <c r="D34" s="136">
        <f>SUM(D25:D33)</f>
        <v>384521.42954999994</v>
      </c>
      <c r="E34" s="136">
        <f aca="true" t="shared" si="5" ref="E34:BJ34">SUM(E25:E33)</f>
        <v>517773.0832</v>
      </c>
      <c r="F34" s="136">
        <f t="shared" si="5"/>
        <v>7872452.59279</v>
      </c>
      <c r="G34" s="136">
        <f t="shared" si="5"/>
        <v>1089070.3972200002</v>
      </c>
      <c r="H34" s="136">
        <f t="shared" si="5"/>
        <v>-211335</v>
      </c>
      <c r="I34" s="136">
        <f t="shared" si="5"/>
        <v>-792060.52011</v>
      </c>
      <c r="J34" s="136">
        <f t="shared" si="5"/>
        <v>-2889094.25896</v>
      </c>
      <c r="K34" s="136">
        <f t="shared" si="5"/>
        <v>-2086408.7079499997</v>
      </c>
      <c r="L34" s="136">
        <f t="shared" si="5"/>
        <v>-45144.37044</v>
      </c>
      <c r="M34" s="136">
        <f t="shared" si="5"/>
        <v>1042060.21335</v>
      </c>
      <c r="N34" s="136">
        <f t="shared" si="5"/>
        <v>-71785.75147999999</v>
      </c>
      <c r="O34" s="136">
        <f t="shared" si="5"/>
        <v>-141409.05051</v>
      </c>
      <c r="P34" s="136">
        <f t="shared" si="5"/>
        <v>-347058.6717</v>
      </c>
      <c r="Q34" s="136">
        <f t="shared" si="5"/>
        <v>0</v>
      </c>
      <c r="R34" s="136">
        <f t="shared" si="5"/>
        <v>411585.90876</v>
      </c>
      <c r="S34" s="136">
        <f t="shared" si="5"/>
        <v>0</v>
      </c>
      <c r="T34" s="136">
        <f t="shared" si="5"/>
        <v>33433.24218</v>
      </c>
      <c r="U34" s="136">
        <f t="shared" si="5"/>
        <v>-852009.09027</v>
      </c>
      <c r="V34" s="136">
        <f t="shared" si="5"/>
        <v>-531929.94426</v>
      </c>
      <c r="W34" s="136">
        <f t="shared" si="5"/>
        <v>-110556.42623999999</v>
      </c>
      <c r="X34" s="136">
        <f t="shared" si="5"/>
        <v>-275146.36266</v>
      </c>
      <c r="Y34" s="136">
        <f t="shared" si="5"/>
        <v>-162413.2575</v>
      </c>
      <c r="Z34" s="136">
        <f t="shared" si="5"/>
        <v>-411508.968</v>
      </c>
      <c r="AA34" s="136">
        <f t="shared" si="5"/>
        <v>-104301.88704000002</v>
      </c>
      <c r="AB34" s="136">
        <f t="shared" si="5"/>
        <v>-341269.5</v>
      </c>
      <c r="AC34" s="136">
        <f t="shared" si="5"/>
        <v>-1396770.3259200007</v>
      </c>
      <c r="AD34" s="136">
        <f t="shared" si="5"/>
        <v>-461912.7591099999</v>
      </c>
      <c r="AE34" s="136">
        <f t="shared" si="5"/>
        <v>406315.9687595</v>
      </c>
      <c r="AF34" s="136">
        <f t="shared" si="5"/>
        <v>-839347.99182</v>
      </c>
      <c r="AG34" s="136">
        <f t="shared" si="5"/>
        <v>220615.83998999998</v>
      </c>
      <c r="AH34" s="136">
        <f t="shared" si="5"/>
        <v>93823.67241</v>
      </c>
      <c r="AI34" s="136">
        <f t="shared" si="5"/>
        <v>12937585.691550002</v>
      </c>
      <c r="AJ34" s="136">
        <f t="shared" si="5"/>
        <v>-2055388.63725</v>
      </c>
      <c r="AK34" s="136">
        <f t="shared" si="5"/>
        <v>-200860.67937000003</v>
      </c>
      <c r="AL34" s="136">
        <f>SUM(AL25:AL33)</f>
        <v>55982</v>
      </c>
      <c r="AM34" s="136">
        <f>SUM(AM25:AM33)</f>
        <v>0</v>
      </c>
      <c r="AN34" s="136">
        <f>SUM(AN25:AN33)</f>
        <v>-1158922</v>
      </c>
      <c r="AO34" s="136">
        <f t="shared" si="5"/>
        <v>0</v>
      </c>
      <c r="AP34" s="136">
        <f t="shared" si="5"/>
        <v>503989.28</v>
      </c>
      <c r="AQ34" s="136">
        <f t="shared" si="5"/>
        <v>312349</v>
      </c>
      <c r="AR34" s="136">
        <f t="shared" si="5"/>
        <v>0</v>
      </c>
      <c r="AS34" s="136">
        <f t="shared" si="5"/>
        <v>420388.54595999996</v>
      </c>
      <c r="AT34" s="136">
        <f t="shared" si="5"/>
        <v>-186337</v>
      </c>
      <c r="AU34" s="136">
        <f t="shared" si="5"/>
        <v>176611.30968</v>
      </c>
      <c r="AV34" s="136">
        <f t="shared" si="5"/>
        <v>579727</v>
      </c>
      <c r="AW34" s="136">
        <f t="shared" si="5"/>
        <v>-18614.7</v>
      </c>
      <c r="AX34" s="136">
        <f t="shared" si="5"/>
        <v>0</v>
      </c>
      <c r="AY34" s="136">
        <f t="shared" si="5"/>
        <v>0</v>
      </c>
      <c r="AZ34" s="136">
        <f t="shared" si="5"/>
        <v>-20476.170000000002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-103065.87096000001</v>
      </c>
      <c r="BE34" s="136">
        <f t="shared" si="5"/>
        <v>163191.97245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7538.54460081294</v>
      </c>
      <c r="BJ34" s="136">
        <f t="shared" si="5"/>
        <v>-70936.27827000001</v>
      </c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33"/>
      <c r="CE34" s="133"/>
      <c r="CF34" s="133"/>
      <c r="CG34" s="133"/>
      <c r="CH34" s="133"/>
      <c r="CI34" s="133"/>
    </row>
    <row r="35" spans="1:87" ht="15">
      <c r="A35">
        <v>28</v>
      </c>
      <c r="B35" s="11"/>
      <c r="C35" s="7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33"/>
      <c r="CE35" s="133"/>
      <c r="CF35" s="133"/>
      <c r="CG35" s="133"/>
      <c r="CH35" s="133"/>
      <c r="CI35" s="133"/>
    </row>
    <row r="36" spans="1:87" ht="15.75" thickBot="1">
      <c r="A36">
        <v>29</v>
      </c>
      <c r="B36" s="40" t="s">
        <v>137</v>
      </c>
      <c r="C36" s="41">
        <f>C12-C34</f>
        <v>2021000</v>
      </c>
      <c r="D36" s="137">
        <f>D12-D34</f>
        <v>628683.57045</v>
      </c>
      <c r="E36" s="137">
        <f aca="true" t="shared" si="6" ref="E36:BH36">E12-E34</f>
        <v>846546.9168</v>
      </c>
      <c r="F36" s="137">
        <f t="shared" si="6"/>
        <v>12871276.40721</v>
      </c>
      <c r="G36" s="137">
        <f t="shared" si="6"/>
        <v>-1089070.3972200002</v>
      </c>
      <c r="H36" s="137">
        <f t="shared" si="6"/>
        <v>211335</v>
      </c>
      <c r="I36" s="137">
        <f t="shared" si="6"/>
        <v>-1286011.47989</v>
      </c>
      <c r="J36" s="137">
        <f t="shared" si="6"/>
        <v>-4723601.741040001</v>
      </c>
      <c r="K36" s="137">
        <f t="shared" si="6"/>
        <v>-3412636.2920500003</v>
      </c>
      <c r="L36" s="137">
        <f t="shared" si="6"/>
        <v>45144.37044</v>
      </c>
      <c r="M36" s="137">
        <f t="shared" si="6"/>
        <v>-1042060.21335</v>
      </c>
      <c r="N36" s="137">
        <f t="shared" si="6"/>
        <v>13310.751479999992</v>
      </c>
      <c r="O36" s="137">
        <f t="shared" si="6"/>
        <v>141409.05051</v>
      </c>
      <c r="P36" s="137">
        <f t="shared" si="6"/>
        <v>347058.6717</v>
      </c>
      <c r="Q36" s="137">
        <f t="shared" si="6"/>
        <v>0</v>
      </c>
      <c r="R36" s="137">
        <f t="shared" si="6"/>
        <v>-411585.90876</v>
      </c>
      <c r="S36" s="137">
        <f t="shared" si="6"/>
        <v>0</v>
      </c>
      <c r="T36" s="137">
        <f t="shared" si="6"/>
        <v>-33433.24218</v>
      </c>
      <c r="U36" s="137">
        <f t="shared" si="6"/>
        <v>852009.09027</v>
      </c>
      <c r="V36" s="137">
        <f t="shared" si="6"/>
        <v>531929.94426</v>
      </c>
      <c r="W36" s="137">
        <f t="shared" si="6"/>
        <v>110556.42623999999</v>
      </c>
      <c r="X36" s="137">
        <f t="shared" si="6"/>
        <v>275146.36266</v>
      </c>
      <c r="Y36" s="137">
        <f t="shared" si="6"/>
        <v>162413.2575</v>
      </c>
      <c r="Z36" s="137">
        <f>Z12-Z34</f>
        <v>411508.968</v>
      </c>
      <c r="AA36" s="137">
        <f>AA12-AA34</f>
        <v>104301.88704000002</v>
      </c>
      <c r="AB36" s="137">
        <f>AB12-AB34</f>
        <v>341269.5</v>
      </c>
      <c r="AC36" s="137">
        <f t="shared" si="6"/>
        <v>6920826.325920001</v>
      </c>
      <c r="AD36" s="137">
        <f t="shared" si="6"/>
        <v>461912.7591099999</v>
      </c>
      <c r="AE36" s="137">
        <f t="shared" si="6"/>
        <v>-440114.5187595</v>
      </c>
      <c r="AF36" s="137">
        <f t="shared" si="6"/>
        <v>839347.99182</v>
      </c>
      <c r="AG36" s="137">
        <f t="shared" si="6"/>
        <v>-220615.83998999998</v>
      </c>
      <c r="AH36" s="137">
        <f t="shared" si="6"/>
        <v>-93823.67241</v>
      </c>
      <c r="AI36" s="137">
        <f t="shared" si="6"/>
        <v>-12937585.691550002</v>
      </c>
      <c r="AJ36" s="137">
        <f t="shared" si="6"/>
        <v>2055388.63725</v>
      </c>
      <c r="AK36" s="137">
        <f>AK12-AK34</f>
        <v>200860.67937000003</v>
      </c>
      <c r="AL36" s="137">
        <f t="shared" si="6"/>
        <v>-55982</v>
      </c>
      <c r="AM36" s="137">
        <f t="shared" si="6"/>
        <v>0</v>
      </c>
      <c r="AN36" s="137">
        <f t="shared" si="6"/>
        <v>1158922</v>
      </c>
      <c r="AO36" s="137">
        <f t="shared" si="6"/>
        <v>0</v>
      </c>
      <c r="AP36" s="137">
        <f t="shared" si="6"/>
        <v>-503989.28</v>
      </c>
      <c r="AQ36" s="137">
        <f t="shared" si="6"/>
        <v>-312349</v>
      </c>
      <c r="AR36" s="137">
        <f t="shared" si="6"/>
        <v>0</v>
      </c>
      <c r="AS36" s="137">
        <f t="shared" si="6"/>
        <v>-420388.54595999996</v>
      </c>
      <c r="AT36" s="137">
        <f t="shared" si="6"/>
        <v>186337</v>
      </c>
      <c r="AU36" s="137">
        <f t="shared" si="6"/>
        <v>-176611.30968</v>
      </c>
      <c r="AV36" s="137">
        <f t="shared" si="6"/>
        <v>-579727</v>
      </c>
      <c r="AW36" s="137">
        <f t="shared" si="6"/>
        <v>18614.7</v>
      </c>
      <c r="AX36" s="137">
        <f t="shared" si="6"/>
        <v>0</v>
      </c>
      <c r="AY36" s="137">
        <f t="shared" si="6"/>
        <v>0</v>
      </c>
      <c r="AZ36" s="137">
        <f t="shared" si="6"/>
        <v>20476.170000000002</v>
      </c>
      <c r="BA36" s="137">
        <f t="shared" si="6"/>
        <v>0</v>
      </c>
      <c r="BB36" s="137">
        <f t="shared" si="6"/>
        <v>0</v>
      </c>
      <c r="BC36" s="137">
        <f t="shared" si="6"/>
        <v>0</v>
      </c>
      <c r="BD36" s="137">
        <f t="shared" si="6"/>
        <v>103065.87096000001</v>
      </c>
      <c r="BE36" s="137">
        <f t="shared" si="6"/>
        <v>-163191.97245</v>
      </c>
      <c r="BF36" s="137">
        <f t="shared" si="6"/>
        <v>0</v>
      </c>
      <c r="BG36" s="137">
        <f t="shared" si="6"/>
        <v>0</v>
      </c>
      <c r="BH36" s="137">
        <f t="shared" si="6"/>
        <v>0</v>
      </c>
      <c r="BI36" s="137">
        <f>BI12-BI34</f>
        <v>-7538.54460081294</v>
      </c>
      <c r="BJ36" s="137">
        <f>BJ12-BJ34</f>
        <v>70936.27827000001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33"/>
      <c r="CE36" s="133"/>
      <c r="CF36" s="133"/>
      <c r="CG36" s="133"/>
      <c r="CH36" s="133"/>
      <c r="CI36" s="133"/>
    </row>
    <row r="37" spans="1:87" ht="15.75" thickTop="1">
      <c r="A37">
        <v>30</v>
      </c>
      <c r="B37" s="11"/>
      <c r="C37" s="7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33"/>
      <c r="CE37" s="133"/>
      <c r="CF37" s="133"/>
      <c r="CG37" s="133"/>
      <c r="CH37" s="133"/>
      <c r="CI37" s="133"/>
    </row>
    <row r="38" spans="1:87" ht="15">
      <c r="A38">
        <v>31</v>
      </c>
      <c r="B38" s="35" t="s">
        <v>138</v>
      </c>
      <c r="C38" s="7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33"/>
      <c r="CE38" s="133"/>
      <c r="CF38" s="133"/>
      <c r="CG38" s="133"/>
      <c r="CH38" s="133"/>
      <c r="CI38" s="133"/>
    </row>
    <row r="39" spans="1:87" ht="15">
      <c r="A39">
        <v>32</v>
      </c>
      <c r="B39" s="11" t="s">
        <v>139</v>
      </c>
      <c r="C39" s="7">
        <f aca="true" t="shared" si="7" ref="C39:C49">ROUND(SUM(D39:BJ39),-3)</f>
        <v>-5683000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>
        <v>0</v>
      </c>
      <c r="AA39" s="129"/>
      <c r="AB39" s="129"/>
      <c r="AC39" s="129"/>
      <c r="AD39" s="129">
        <v>-18877037</v>
      </c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>
        <v>364883</v>
      </c>
      <c r="AY39" s="129">
        <v>4527049</v>
      </c>
      <c r="AZ39" s="129">
        <v>-580839</v>
      </c>
      <c r="BA39" s="129"/>
      <c r="BB39" s="129">
        <v>-1740472</v>
      </c>
      <c r="BC39" s="129"/>
      <c r="BD39" s="129"/>
      <c r="BE39" s="129">
        <v>10623892</v>
      </c>
      <c r="BF39" s="129"/>
      <c r="BG39" s="129"/>
      <c r="BH39" s="129">
        <v>0</v>
      </c>
      <c r="BI39" s="129"/>
      <c r="BJ39" s="129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33"/>
      <c r="CE39" s="133"/>
      <c r="CF39" s="133"/>
      <c r="CG39" s="133"/>
      <c r="CH39" s="133"/>
      <c r="CI39" s="133"/>
    </row>
    <row r="40" spans="1:87" ht="15">
      <c r="A40">
        <v>33</v>
      </c>
      <c r="B40" s="11" t="s">
        <v>140</v>
      </c>
      <c r="C40" s="7">
        <f t="shared" si="7"/>
        <v>-87000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>
        <v>-87309</v>
      </c>
      <c r="BD40" s="129"/>
      <c r="BE40" s="129"/>
      <c r="BF40" s="129"/>
      <c r="BG40" s="129"/>
      <c r="BH40" s="129"/>
      <c r="BI40" s="129"/>
      <c r="BJ40" s="129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33"/>
      <c r="CE40" s="133"/>
      <c r="CF40" s="133"/>
      <c r="CG40" s="133"/>
      <c r="CH40" s="133"/>
      <c r="CI40" s="133"/>
    </row>
    <row r="41" spans="1:87" ht="15">
      <c r="A41">
        <v>34</v>
      </c>
      <c r="B41" s="11" t="s">
        <v>141</v>
      </c>
      <c r="C41" s="7">
        <f t="shared" si="7"/>
        <v>-4898000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>
        <v>-366503</v>
      </c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>
        <v>-1854468</v>
      </c>
      <c r="AX41" s="129"/>
      <c r="AY41" s="129"/>
      <c r="AZ41" s="129"/>
      <c r="BA41" s="129"/>
      <c r="BB41" s="129"/>
      <c r="BC41" s="129"/>
      <c r="BD41" s="129"/>
      <c r="BE41" s="129"/>
      <c r="BF41" s="129">
        <v>-1160769</v>
      </c>
      <c r="BG41" s="129"/>
      <c r="BH41" s="129"/>
      <c r="BI41" s="129"/>
      <c r="BJ41" s="129">
        <v>-1516298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33"/>
      <c r="CE41" s="133"/>
      <c r="CF41" s="133"/>
      <c r="CG41" s="133"/>
      <c r="CH41" s="133"/>
      <c r="CI41" s="133"/>
    </row>
    <row r="42" spans="1:87" ht="15">
      <c r="A42">
        <v>35</v>
      </c>
      <c r="B42" s="11" t="s">
        <v>142</v>
      </c>
      <c r="C42" s="7">
        <f t="shared" si="7"/>
        <v>0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33"/>
      <c r="CE42" s="133"/>
      <c r="CF42" s="133"/>
      <c r="CG42" s="133"/>
      <c r="CH42" s="133"/>
      <c r="CI42" s="133"/>
    </row>
    <row r="43" spans="1:87" ht="15">
      <c r="A43">
        <v>36</v>
      </c>
      <c r="B43" s="11" t="s">
        <v>143</v>
      </c>
      <c r="C43" s="7">
        <f t="shared" si="7"/>
        <v>0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33"/>
      <c r="CE43" s="133"/>
      <c r="CF43" s="133"/>
      <c r="CG43" s="133"/>
      <c r="CH43" s="133"/>
      <c r="CI43" s="133"/>
    </row>
    <row r="44" spans="1:87" ht="15">
      <c r="A44">
        <v>37</v>
      </c>
      <c r="B44" s="11" t="s">
        <v>144</v>
      </c>
      <c r="C44" s="7">
        <f t="shared" si="7"/>
        <v>-1335000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91">
        <v>-1334684</v>
      </c>
      <c r="BH44" s="129"/>
      <c r="BI44" s="129"/>
      <c r="BJ44" s="129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33"/>
      <c r="CE44" s="133"/>
      <c r="CF44" s="133"/>
      <c r="CG44" s="133"/>
      <c r="CH44" s="133"/>
      <c r="CI44" s="133"/>
    </row>
    <row r="45" spans="1:87" ht="15">
      <c r="A45">
        <v>38</v>
      </c>
      <c r="B45" s="11" t="s">
        <v>145</v>
      </c>
      <c r="C45" s="7">
        <f t="shared" si="7"/>
        <v>-4069000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91">
        <v>-4068814</v>
      </c>
      <c r="BH45" s="129"/>
      <c r="BI45" s="129"/>
      <c r="BJ45" s="129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33"/>
      <c r="CE45" s="133"/>
      <c r="CF45" s="133"/>
      <c r="CG45" s="133"/>
      <c r="CH45" s="133"/>
      <c r="CI45" s="133"/>
    </row>
    <row r="46" spans="1:87" ht="15">
      <c r="A46">
        <v>39</v>
      </c>
      <c r="B46" s="11" t="s">
        <v>146</v>
      </c>
      <c r="C46" s="7">
        <f t="shared" si="7"/>
        <v>-6613000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91">
        <v>-6613137</v>
      </c>
      <c r="BH46" s="129"/>
      <c r="BI46" s="129"/>
      <c r="BJ46" s="129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33"/>
      <c r="CE46" s="133"/>
      <c r="CF46" s="133"/>
      <c r="CG46" s="133"/>
      <c r="CH46" s="133"/>
      <c r="CI46" s="133"/>
    </row>
    <row r="47" spans="1:87" ht="15">
      <c r="A47">
        <v>40</v>
      </c>
      <c r="B47" s="11" t="s">
        <v>106</v>
      </c>
      <c r="C47" s="7">
        <f t="shared" si="7"/>
        <v>5359000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>
        <v>1710148</v>
      </c>
      <c r="BB47" s="129"/>
      <c r="BC47" s="129"/>
      <c r="BD47" s="129"/>
      <c r="BE47" s="129"/>
      <c r="BF47" s="129"/>
      <c r="BG47" s="181">
        <v>3648865</v>
      </c>
      <c r="BH47" s="129"/>
      <c r="BI47" s="129"/>
      <c r="BJ47" s="129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33"/>
      <c r="CE47" s="133"/>
      <c r="CF47" s="133"/>
      <c r="CG47" s="133"/>
      <c r="CH47" s="133"/>
      <c r="CI47" s="133"/>
    </row>
    <row r="48" spans="1:87" ht="15">
      <c r="A48">
        <v>41</v>
      </c>
      <c r="B48" s="11" t="s">
        <v>147</v>
      </c>
      <c r="C48" s="7">
        <f t="shared" si="7"/>
        <v>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33"/>
      <c r="CE48" s="133"/>
      <c r="CF48" s="133"/>
      <c r="CG48" s="133"/>
      <c r="CH48" s="133"/>
      <c r="CI48" s="133"/>
    </row>
    <row r="49" spans="1:87" ht="15">
      <c r="A49">
        <v>42</v>
      </c>
      <c r="B49" s="11" t="s">
        <v>148</v>
      </c>
      <c r="C49" s="7">
        <f t="shared" si="7"/>
        <v>-1469000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>
        <v>-1469297</v>
      </c>
      <c r="BE49" s="129"/>
      <c r="BF49" s="129"/>
      <c r="BG49" s="129"/>
      <c r="BH49" s="129"/>
      <c r="BI49" s="129"/>
      <c r="BJ49" s="129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33"/>
      <c r="CE49" s="133"/>
      <c r="CF49" s="133"/>
      <c r="CG49" s="133"/>
      <c r="CH49" s="133"/>
      <c r="CI49" s="133"/>
    </row>
    <row r="50" spans="1:87" ht="15">
      <c r="A50">
        <v>43</v>
      </c>
      <c r="B50" s="187" t="s">
        <v>149</v>
      </c>
      <c r="C50" s="39">
        <f aca="true" t="shared" si="8" ref="C50:BJ50">SUM(C39:C49)</f>
        <v>-18795000</v>
      </c>
      <c r="D50" s="136">
        <f t="shared" si="8"/>
        <v>0</v>
      </c>
      <c r="E50" s="136">
        <f t="shared" si="8"/>
        <v>0</v>
      </c>
      <c r="F50" s="136">
        <f t="shared" si="8"/>
        <v>0</v>
      </c>
      <c r="G50" s="136"/>
      <c r="H50" s="136">
        <f t="shared" si="8"/>
        <v>0</v>
      </c>
      <c r="I50" s="136">
        <f t="shared" si="8"/>
        <v>0</v>
      </c>
      <c r="J50" s="136">
        <f t="shared" si="8"/>
        <v>0</v>
      </c>
      <c r="K50" s="136">
        <f t="shared" si="8"/>
        <v>0</v>
      </c>
      <c r="L50" s="136">
        <f t="shared" si="8"/>
        <v>0</v>
      </c>
      <c r="M50" s="136">
        <f t="shared" si="8"/>
        <v>0</v>
      </c>
      <c r="N50" s="136">
        <f t="shared" si="8"/>
        <v>0</v>
      </c>
      <c r="O50" s="136">
        <f t="shared" si="8"/>
        <v>0</v>
      </c>
      <c r="P50" s="136">
        <f t="shared" si="8"/>
        <v>0</v>
      </c>
      <c r="Q50" s="136">
        <f t="shared" si="8"/>
        <v>0</v>
      </c>
      <c r="R50" s="136">
        <f t="shared" si="8"/>
        <v>0</v>
      </c>
      <c r="S50" s="136">
        <f t="shared" si="8"/>
        <v>0</v>
      </c>
      <c r="T50" s="136">
        <f t="shared" si="8"/>
        <v>0</v>
      </c>
      <c r="U50" s="136">
        <f t="shared" si="8"/>
        <v>0</v>
      </c>
      <c r="V50" s="136">
        <f t="shared" si="8"/>
        <v>0</v>
      </c>
      <c r="W50" s="136">
        <f t="shared" si="8"/>
        <v>0</v>
      </c>
      <c r="X50" s="136">
        <f t="shared" si="8"/>
        <v>0</v>
      </c>
      <c r="Y50" s="136">
        <f t="shared" si="8"/>
        <v>0</v>
      </c>
      <c r="Z50" s="136">
        <f t="shared" si="8"/>
        <v>0</v>
      </c>
      <c r="AA50" s="136">
        <f t="shared" si="8"/>
        <v>0</v>
      </c>
      <c r="AB50" s="136">
        <f t="shared" si="8"/>
        <v>0</v>
      </c>
      <c r="AC50" s="136">
        <f t="shared" si="8"/>
        <v>0</v>
      </c>
      <c r="AD50" s="136">
        <f t="shared" si="8"/>
        <v>-18877037</v>
      </c>
      <c r="AE50" s="136">
        <f t="shared" si="8"/>
        <v>-366503</v>
      </c>
      <c r="AF50" s="136">
        <f t="shared" si="8"/>
        <v>0</v>
      </c>
      <c r="AG50" s="136">
        <f t="shared" si="8"/>
        <v>0</v>
      </c>
      <c r="AH50" s="136">
        <f t="shared" si="8"/>
        <v>0</v>
      </c>
      <c r="AI50" s="136">
        <f t="shared" si="8"/>
        <v>0</v>
      </c>
      <c r="AJ50" s="136">
        <f t="shared" si="8"/>
        <v>0</v>
      </c>
      <c r="AK50" s="136">
        <f t="shared" si="8"/>
        <v>0</v>
      </c>
      <c r="AL50" s="136">
        <f>SUM(AL39:AL49)</f>
        <v>0</v>
      </c>
      <c r="AM50" s="136">
        <f>SUM(AM39:AM49)</f>
        <v>0</v>
      </c>
      <c r="AN50" s="136">
        <f>SUM(AN39:AN49)</f>
        <v>0</v>
      </c>
      <c r="AO50" s="136">
        <f>SUM(AO39:AO49)</f>
        <v>0</v>
      </c>
      <c r="AP50" s="136">
        <f t="shared" si="8"/>
        <v>0</v>
      </c>
      <c r="AQ50" s="136">
        <f t="shared" si="8"/>
        <v>0</v>
      </c>
      <c r="AR50" s="136">
        <f t="shared" si="8"/>
        <v>0</v>
      </c>
      <c r="AS50" s="136">
        <f t="shared" si="8"/>
        <v>0</v>
      </c>
      <c r="AT50" s="136">
        <f t="shared" si="8"/>
        <v>0</v>
      </c>
      <c r="AU50" s="136">
        <f t="shared" si="8"/>
        <v>0</v>
      </c>
      <c r="AV50" s="136">
        <f t="shared" si="8"/>
        <v>0</v>
      </c>
      <c r="AW50" s="136">
        <f t="shared" si="8"/>
        <v>-1854468</v>
      </c>
      <c r="AX50" s="136">
        <f t="shared" si="8"/>
        <v>364883</v>
      </c>
      <c r="AY50" s="136">
        <f t="shared" si="8"/>
        <v>4527049</v>
      </c>
      <c r="AZ50" s="136">
        <f t="shared" si="8"/>
        <v>-580839</v>
      </c>
      <c r="BA50" s="136">
        <f t="shared" si="8"/>
        <v>1710148</v>
      </c>
      <c r="BB50" s="136">
        <f t="shared" si="8"/>
        <v>-1740472</v>
      </c>
      <c r="BC50" s="136">
        <f t="shared" si="8"/>
        <v>-87309</v>
      </c>
      <c r="BD50" s="136">
        <f t="shared" si="8"/>
        <v>-1469297</v>
      </c>
      <c r="BE50" s="136">
        <f t="shared" si="8"/>
        <v>10623892</v>
      </c>
      <c r="BF50" s="136">
        <f t="shared" si="8"/>
        <v>-1160769</v>
      </c>
      <c r="BG50" s="136">
        <f t="shared" si="8"/>
        <v>-8367770</v>
      </c>
      <c r="BH50" s="136">
        <f t="shared" si="8"/>
        <v>0</v>
      </c>
      <c r="BI50" s="136">
        <f t="shared" si="8"/>
        <v>0</v>
      </c>
      <c r="BJ50" s="136">
        <f t="shared" si="8"/>
        <v>-1516298</v>
      </c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33"/>
      <c r="CE50" s="133"/>
      <c r="CF50" s="133"/>
      <c r="CG50" s="133"/>
      <c r="CH50" s="133"/>
      <c r="CI50" s="133"/>
    </row>
    <row r="51" spans="1:87" ht="15">
      <c r="A51">
        <v>44</v>
      </c>
      <c r="B51" s="11"/>
      <c r="C51" s="7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33"/>
      <c r="CE51" s="133"/>
      <c r="CF51" s="133"/>
      <c r="CG51" s="133"/>
      <c r="CH51" s="133"/>
      <c r="CI51" s="133"/>
    </row>
    <row r="52" spans="1:87" ht="15">
      <c r="A52">
        <v>45</v>
      </c>
      <c r="B52" s="35" t="s">
        <v>150</v>
      </c>
      <c r="C52" s="7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33"/>
      <c r="CE52" s="133"/>
      <c r="CF52" s="133"/>
      <c r="CG52" s="133"/>
      <c r="CH52" s="133"/>
      <c r="CI52" s="133"/>
    </row>
    <row r="53" spans="1:87" ht="15">
      <c r="A53">
        <v>46</v>
      </c>
      <c r="B53" s="11" t="s">
        <v>151</v>
      </c>
      <c r="C53" s="7">
        <f aca="true" t="shared" si="9" ref="C53:C59">ROUND(SUM(D53:BJ53),-3)</f>
        <v>11660000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>
        <v>9986590</v>
      </c>
      <c r="AE53" s="129"/>
      <c r="AF53" s="129"/>
      <c r="AG53" s="129"/>
      <c r="AH53" s="129"/>
      <c r="AI53" s="129"/>
      <c r="AJ53" s="129"/>
      <c r="AK53" s="129"/>
      <c r="AL53" s="129"/>
      <c r="AM53" s="129">
        <v>-45112</v>
      </c>
      <c r="AN53" s="129"/>
      <c r="AO53" s="129">
        <v>933876</v>
      </c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>
        <v>902172</v>
      </c>
      <c r="BC53" s="129">
        <v>14283</v>
      </c>
      <c r="BD53" s="129"/>
      <c r="BE53" s="129">
        <v>-131503</v>
      </c>
      <c r="BF53" s="129"/>
      <c r="BG53" s="129"/>
      <c r="BH53" s="129">
        <v>0</v>
      </c>
      <c r="BI53" s="129"/>
      <c r="BJ53" s="129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33"/>
      <c r="CE53" s="133"/>
      <c r="CF53" s="133"/>
      <c r="CG53" s="133"/>
      <c r="CH53" s="133"/>
      <c r="CI53" s="133"/>
    </row>
    <row r="54" spans="1:87" ht="15">
      <c r="A54">
        <v>47</v>
      </c>
      <c r="B54" s="11" t="s">
        <v>152</v>
      </c>
      <c r="C54" s="7">
        <f t="shared" si="9"/>
        <v>0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33"/>
      <c r="CE54" s="133"/>
      <c r="CF54" s="133"/>
      <c r="CG54" s="133"/>
      <c r="CH54" s="133"/>
      <c r="CI54" s="133"/>
    </row>
    <row r="55" spans="1:87" ht="15">
      <c r="A55">
        <v>48</v>
      </c>
      <c r="B55" s="11" t="s">
        <v>153</v>
      </c>
      <c r="C55" s="7">
        <f t="shared" si="9"/>
        <v>4638000</v>
      </c>
      <c r="D55" s="129"/>
      <c r="E55" s="129"/>
      <c r="F55" s="129"/>
      <c r="G55" s="129"/>
      <c r="H55" s="129">
        <v>1415358</v>
      </c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>
        <v>671269</v>
      </c>
      <c r="AE55" s="129"/>
      <c r="AF55" s="129"/>
      <c r="AG55" s="129"/>
      <c r="AH55" s="129"/>
      <c r="AI55" s="129"/>
      <c r="AJ55" s="129"/>
      <c r="AK55" s="129"/>
      <c r="AL55" s="129"/>
      <c r="AM55" s="129">
        <v>34240</v>
      </c>
      <c r="AN55" s="129"/>
      <c r="AO55" s="129">
        <v>-708831</v>
      </c>
      <c r="AP55" s="129"/>
      <c r="AQ55" s="129">
        <v>3635102</v>
      </c>
      <c r="AR55" s="129">
        <v>-3618692</v>
      </c>
      <c r="AS55" s="129">
        <v>858757</v>
      </c>
      <c r="AT55" s="129"/>
      <c r="AU55" s="129"/>
      <c r="AV55" s="181">
        <f>4637815-2318908</f>
        <v>2318907</v>
      </c>
      <c r="AW55" s="129"/>
      <c r="AX55" s="129"/>
      <c r="AY55" s="129"/>
      <c r="AZ55" s="129"/>
      <c r="BA55" s="129"/>
      <c r="BB55" s="129">
        <v>32003</v>
      </c>
      <c r="BC55" s="129"/>
      <c r="BD55" s="129"/>
      <c r="BE55" s="129"/>
      <c r="BF55" s="129"/>
      <c r="BG55" s="129"/>
      <c r="BH55" s="129">
        <v>0</v>
      </c>
      <c r="BI55" s="129"/>
      <c r="BJ55" s="129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33"/>
      <c r="CE55" s="133"/>
      <c r="CF55" s="133"/>
      <c r="CG55" s="133"/>
      <c r="CH55" s="133"/>
      <c r="CI55" s="133"/>
    </row>
    <row r="56" spans="1:87" ht="15">
      <c r="A56">
        <v>49</v>
      </c>
      <c r="B56" s="11" t="s">
        <v>154</v>
      </c>
      <c r="C56" s="7">
        <f t="shared" si="9"/>
        <v>-39000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>
        <v>366606</v>
      </c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>
        <v>141000</v>
      </c>
      <c r="AS56" s="129">
        <v>-546889</v>
      </c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33"/>
      <c r="CE56" s="133"/>
      <c r="CF56" s="133"/>
      <c r="CG56" s="133"/>
      <c r="CH56" s="133"/>
      <c r="CI56" s="133"/>
    </row>
    <row r="57" spans="1:87" ht="15">
      <c r="A57">
        <v>50</v>
      </c>
      <c r="B57" s="11" t="s">
        <v>155</v>
      </c>
      <c r="C57" s="7">
        <f t="shared" si="9"/>
        <v>0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33"/>
      <c r="CE57" s="133"/>
      <c r="CF57" s="133"/>
      <c r="CG57" s="133"/>
      <c r="CH57" s="133"/>
      <c r="CI57" s="133"/>
    </row>
    <row r="58" spans="1:87" ht="15">
      <c r="A58">
        <v>51</v>
      </c>
      <c r="B58" s="11" t="s">
        <v>156</v>
      </c>
      <c r="C58" s="7">
        <f t="shared" si="9"/>
        <v>-1030000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>
        <v>-1029605.17</v>
      </c>
      <c r="BJ58" s="129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33"/>
      <c r="CE58" s="133"/>
      <c r="CF58" s="133"/>
      <c r="CG58" s="133"/>
      <c r="CH58" s="133"/>
      <c r="CI58" s="133"/>
    </row>
    <row r="59" spans="1:87" ht="15">
      <c r="A59">
        <v>52</v>
      </c>
      <c r="B59" s="11" t="s">
        <v>157</v>
      </c>
      <c r="C59" s="7">
        <f t="shared" si="9"/>
        <v>-2681000</v>
      </c>
      <c r="D59" s="129"/>
      <c r="E59" s="129"/>
      <c r="F59" s="129"/>
      <c r="G59" s="129"/>
      <c r="H59" s="129">
        <v>-3912517</v>
      </c>
      <c r="I59" s="129">
        <v>495844</v>
      </c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>
        <v>0</v>
      </c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>
        <v>735839</v>
      </c>
      <c r="BE59" s="129"/>
      <c r="BF59" s="129"/>
      <c r="BG59" s="129">
        <v>0</v>
      </c>
      <c r="BH59" s="129"/>
      <c r="BI59" s="129"/>
      <c r="BJ59" s="129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33"/>
      <c r="CE59" s="133"/>
      <c r="CF59" s="133"/>
      <c r="CG59" s="133"/>
      <c r="CH59" s="133"/>
      <c r="CI59" s="133"/>
    </row>
    <row r="60" spans="1:87" ht="15">
      <c r="A60">
        <v>53</v>
      </c>
      <c r="B60" s="11"/>
      <c r="C60" s="7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33"/>
      <c r="CE60" s="133"/>
      <c r="CF60" s="133"/>
      <c r="CG60" s="133"/>
      <c r="CH60" s="133"/>
      <c r="CI60" s="133"/>
    </row>
    <row r="61" spans="1:87" ht="15">
      <c r="A61">
        <v>54</v>
      </c>
      <c r="B61" s="187" t="s">
        <v>158</v>
      </c>
      <c r="C61" s="39">
        <f aca="true" t="shared" si="10" ref="C61:BJ61">SUM(C53:C60)</f>
        <v>12548000</v>
      </c>
      <c r="D61" s="136">
        <f t="shared" si="10"/>
        <v>0</v>
      </c>
      <c r="E61" s="136">
        <f t="shared" si="10"/>
        <v>0</v>
      </c>
      <c r="F61" s="136">
        <f t="shared" si="10"/>
        <v>0</v>
      </c>
      <c r="G61" s="136"/>
      <c r="H61" s="136">
        <f t="shared" si="10"/>
        <v>-2497159</v>
      </c>
      <c r="I61" s="136">
        <f t="shared" si="10"/>
        <v>495844</v>
      </c>
      <c r="J61" s="136">
        <f t="shared" si="10"/>
        <v>0</v>
      </c>
      <c r="K61" s="136">
        <f t="shared" si="10"/>
        <v>0</v>
      </c>
      <c r="L61" s="136">
        <f t="shared" si="10"/>
        <v>0</v>
      </c>
      <c r="M61" s="136">
        <f t="shared" si="10"/>
        <v>0</v>
      </c>
      <c r="N61" s="136">
        <f t="shared" si="10"/>
        <v>0</v>
      </c>
      <c r="O61" s="136">
        <f t="shared" si="10"/>
        <v>0</v>
      </c>
      <c r="P61" s="136">
        <f t="shared" si="10"/>
        <v>0</v>
      </c>
      <c r="Q61" s="136">
        <f t="shared" si="10"/>
        <v>0</v>
      </c>
      <c r="R61" s="136">
        <f t="shared" si="10"/>
        <v>0</v>
      </c>
      <c r="S61" s="136">
        <f t="shared" si="10"/>
        <v>0</v>
      </c>
      <c r="T61" s="136">
        <f t="shared" si="10"/>
        <v>0</v>
      </c>
      <c r="U61" s="136">
        <f t="shared" si="10"/>
        <v>0</v>
      </c>
      <c r="V61" s="136">
        <f t="shared" si="10"/>
        <v>0</v>
      </c>
      <c r="W61" s="136">
        <f t="shared" si="10"/>
        <v>0</v>
      </c>
      <c r="X61" s="136">
        <f t="shared" si="10"/>
        <v>0</v>
      </c>
      <c r="Y61" s="136">
        <f t="shared" si="10"/>
        <v>0</v>
      </c>
      <c r="Z61" s="136">
        <f t="shared" si="10"/>
        <v>0</v>
      </c>
      <c r="AA61" s="136">
        <f t="shared" si="10"/>
        <v>0</v>
      </c>
      <c r="AB61" s="136">
        <f t="shared" si="10"/>
        <v>0</v>
      </c>
      <c r="AC61" s="136">
        <f t="shared" si="10"/>
        <v>0</v>
      </c>
      <c r="AD61" s="136">
        <f t="shared" si="10"/>
        <v>11024465</v>
      </c>
      <c r="AE61" s="136">
        <f t="shared" si="10"/>
        <v>0</v>
      </c>
      <c r="AF61" s="136">
        <f t="shared" si="10"/>
        <v>0</v>
      </c>
      <c r="AG61" s="136">
        <f t="shared" si="10"/>
        <v>0</v>
      </c>
      <c r="AH61" s="136">
        <f t="shared" si="10"/>
        <v>0</v>
      </c>
      <c r="AI61" s="136">
        <f t="shared" si="10"/>
        <v>0</v>
      </c>
      <c r="AJ61" s="136">
        <f t="shared" si="10"/>
        <v>0</v>
      </c>
      <c r="AK61" s="136">
        <f t="shared" si="10"/>
        <v>0</v>
      </c>
      <c r="AL61" s="136">
        <f>SUM(AL53:AL60)</f>
        <v>0</v>
      </c>
      <c r="AM61" s="136">
        <f>SUM(AM53:AM60)</f>
        <v>-10872</v>
      </c>
      <c r="AN61" s="136">
        <f>SUM(AN53:AN60)</f>
        <v>0</v>
      </c>
      <c r="AO61" s="136">
        <f>SUM(AO53:AO60)</f>
        <v>225045</v>
      </c>
      <c r="AP61" s="136">
        <f t="shared" si="10"/>
        <v>0</v>
      </c>
      <c r="AQ61" s="136">
        <f t="shared" si="10"/>
        <v>3635102</v>
      </c>
      <c r="AR61" s="136">
        <f t="shared" si="10"/>
        <v>-3477692</v>
      </c>
      <c r="AS61" s="136">
        <f t="shared" si="10"/>
        <v>311868</v>
      </c>
      <c r="AT61" s="136">
        <f t="shared" si="10"/>
        <v>0</v>
      </c>
      <c r="AU61" s="136">
        <f t="shared" si="10"/>
        <v>0</v>
      </c>
      <c r="AV61" s="136">
        <f t="shared" si="10"/>
        <v>2318907</v>
      </c>
      <c r="AW61" s="136">
        <f t="shared" si="10"/>
        <v>0</v>
      </c>
      <c r="AX61" s="136">
        <f t="shared" si="10"/>
        <v>0</v>
      </c>
      <c r="AY61" s="136">
        <f t="shared" si="10"/>
        <v>0</v>
      </c>
      <c r="AZ61" s="136">
        <f t="shared" si="10"/>
        <v>0</v>
      </c>
      <c r="BA61" s="136">
        <f t="shared" si="10"/>
        <v>0</v>
      </c>
      <c r="BB61" s="136">
        <f t="shared" si="10"/>
        <v>934175</v>
      </c>
      <c r="BC61" s="136">
        <f t="shared" si="10"/>
        <v>14283</v>
      </c>
      <c r="BD61" s="136">
        <f t="shared" si="10"/>
        <v>735839</v>
      </c>
      <c r="BE61" s="136">
        <f t="shared" si="10"/>
        <v>-131503</v>
      </c>
      <c r="BF61" s="136">
        <f t="shared" si="10"/>
        <v>0</v>
      </c>
      <c r="BG61" s="136">
        <f t="shared" si="10"/>
        <v>0</v>
      </c>
      <c r="BH61" s="136">
        <f t="shared" si="10"/>
        <v>0</v>
      </c>
      <c r="BI61" s="136">
        <f t="shared" si="10"/>
        <v>-1029605.17</v>
      </c>
      <c r="BJ61" s="136">
        <f t="shared" si="10"/>
        <v>0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33"/>
      <c r="CE61" s="133"/>
      <c r="CF61" s="133"/>
      <c r="CG61" s="133"/>
      <c r="CH61" s="133"/>
      <c r="CI61" s="133"/>
    </row>
    <row r="62" spans="1:87" ht="15">
      <c r="A62">
        <v>55</v>
      </c>
      <c r="B62" s="11"/>
      <c r="C62" s="7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33"/>
      <c r="CE62" s="133"/>
      <c r="CF62" s="133"/>
      <c r="CG62" s="133"/>
      <c r="CH62" s="133"/>
      <c r="CI62" s="133"/>
    </row>
    <row r="63" spans="1:87" ht="15">
      <c r="A63">
        <v>56</v>
      </c>
      <c r="B63" s="37" t="s">
        <v>159</v>
      </c>
      <c r="C63" s="42">
        <f>C50+C61</f>
        <v>-6247000</v>
      </c>
      <c r="D63" s="138">
        <f>D50+D61</f>
        <v>0</v>
      </c>
      <c r="E63" s="138">
        <f aca="true" t="shared" si="11" ref="E63:BH63">E50+E61</f>
        <v>0</v>
      </c>
      <c r="F63" s="138">
        <f t="shared" si="11"/>
        <v>0</v>
      </c>
      <c r="G63" s="138"/>
      <c r="H63" s="138">
        <f t="shared" si="11"/>
        <v>-2497159</v>
      </c>
      <c r="I63" s="138">
        <f t="shared" si="11"/>
        <v>495844</v>
      </c>
      <c r="J63" s="138">
        <f t="shared" si="11"/>
        <v>0</v>
      </c>
      <c r="K63" s="138">
        <f t="shared" si="11"/>
        <v>0</v>
      </c>
      <c r="L63" s="138">
        <f t="shared" si="11"/>
        <v>0</v>
      </c>
      <c r="M63" s="138">
        <f t="shared" si="11"/>
        <v>0</v>
      </c>
      <c r="N63" s="138">
        <f t="shared" si="11"/>
        <v>0</v>
      </c>
      <c r="O63" s="138">
        <f t="shared" si="11"/>
        <v>0</v>
      </c>
      <c r="P63" s="138">
        <f t="shared" si="11"/>
        <v>0</v>
      </c>
      <c r="Q63" s="138">
        <f t="shared" si="11"/>
        <v>0</v>
      </c>
      <c r="R63" s="138">
        <f t="shared" si="11"/>
        <v>0</v>
      </c>
      <c r="S63" s="138">
        <f t="shared" si="11"/>
        <v>0</v>
      </c>
      <c r="T63" s="138">
        <f t="shared" si="11"/>
        <v>0</v>
      </c>
      <c r="U63" s="138">
        <f t="shared" si="11"/>
        <v>0</v>
      </c>
      <c r="V63" s="138">
        <f t="shared" si="11"/>
        <v>0</v>
      </c>
      <c r="W63" s="138">
        <f t="shared" si="11"/>
        <v>0</v>
      </c>
      <c r="X63" s="138">
        <f t="shared" si="11"/>
        <v>0</v>
      </c>
      <c r="Y63" s="138">
        <f t="shared" si="11"/>
        <v>0</v>
      </c>
      <c r="Z63" s="138">
        <f>Z50+Z61</f>
        <v>0</v>
      </c>
      <c r="AA63" s="138">
        <f>AA50+AA61</f>
        <v>0</v>
      </c>
      <c r="AB63" s="138">
        <f>AB50+AB61</f>
        <v>0</v>
      </c>
      <c r="AC63" s="138">
        <f t="shared" si="11"/>
        <v>0</v>
      </c>
      <c r="AD63" s="138">
        <f t="shared" si="11"/>
        <v>-7852572</v>
      </c>
      <c r="AE63" s="138">
        <f t="shared" si="11"/>
        <v>-366503</v>
      </c>
      <c r="AF63" s="138">
        <f t="shared" si="11"/>
        <v>0</v>
      </c>
      <c r="AG63" s="138">
        <f t="shared" si="11"/>
        <v>0</v>
      </c>
      <c r="AH63" s="138">
        <f t="shared" si="11"/>
        <v>0</v>
      </c>
      <c r="AI63" s="138">
        <f t="shared" si="11"/>
        <v>0</v>
      </c>
      <c r="AJ63" s="138">
        <f t="shared" si="11"/>
        <v>0</v>
      </c>
      <c r="AK63" s="138">
        <f>AK50+AK61</f>
        <v>0</v>
      </c>
      <c r="AL63" s="138">
        <f t="shared" si="11"/>
        <v>0</v>
      </c>
      <c r="AM63" s="138">
        <f t="shared" si="11"/>
        <v>-10872</v>
      </c>
      <c r="AN63" s="138">
        <f t="shared" si="11"/>
        <v>0</v>
      </c>
      <c r="AO63" s="138">
        <f t="shared" si="11"/>
        <v>225045</v>
      </c>
      <c r="AP63" s="138">
        <f t="shared" si="11"/>
        <v>0</v>
      </c>
      <c r="AQ63" s="138">
        <f t="shared" si="11"/>
        <v>3635102</v>
      </c>
      <c r="AR63" s="138">
        <f t="shared" si="11"/>
        <v>-3477692</v>
      </c>
      <c r="AS63" s="138">
        <f t="shared" si="11"/>
        <v>311868</v>
      </c>
      <c r="AT63" s="138">
        <f t="shared" si="11"/>
        <v>0</v>
      </c>
      <c r="AU63" s="138">
        <f t="shared" si="11"/>
        <v>0</v>
      </c>
      <c r="AV63" s="138">
        <f t="shared" si="11"/>
        <v>2318907</v>
      </c>
      <c r="AW63" s="138">
        <f t="shared" si="11"/>
        <v>-1854468</v>
      </c>
      <c r="AX63" s="138">
        <f t="shared" si="11"/>
        <v>364883</v>
      </c>
      <c r="AY63" s="138">
        <f t="shared" si="11"/>
        <v>4527049</v>
      </c>
      <c r="AZ63" s="138">
        <f t="shared" si="11"/>
        <v>-580839</v>
      </c>
      <c r="BA63" s="138">
        <f t="shared" si="11"/>
        <v>1710148</v>
      </c>
      <c r="BB63" s="138">
        <f t="shared" si="11"/>
        <v>-806297</v>
      </c>
      <c r="BC63" s="138">
        <f t="shared" si="11"/>
        <v>-73026</v>
      </c>
      <c r="BD63" s="138">
        <f t="shared" si="11"/>
        <v>-733458</v>
      </c>
      <c r="BE63" s="138">
        <f t="shared" si="11"/>
        <v>10492389</v>
      </c>
      <c r="BF63" s="138">
        <f t="shared" si="11"/>
        <v>-1160769</v>
      </c>
      <c r="BG63" s="138">
        <f t="shared" si="11"/>
        <v>-8367770</v>
      </c>
      <c r="BH63" s="138">
        <f t="shared" si="11"/>
        <v>0</v>
      </c>
      <c r="BI63" s="138">
        <f>BI50+BI61</f>
        <v>-1029605.17</v>
      </c>
      <c r="BJ63" s="138">
        <f>BJ50+BJ61</f>
        <v>-1516298</v>
      </c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33"/>
      <c r="CE63" s="133"/>
      <c r="CF63" s="133"/>
      <c r="CG63" s="133"/>
      <c r="CH63" s="133"/>
      <c r="CI63" s="133"/>
    </row>
    <row r="64" spans="1:87" ht="15">
      <c r="A64" s="93">
        <v>57</v>
      </c>
      <c r="B64" s="11"/>
      <c r="C64" s="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33"/>
      <c r="CE64" s="133"/>
      <c r="CF64" s="133"/>
      <c r="CG64" s="133"/>
      <c r="CH64" s="133"/>
      <c r="CI64" s="133"/>
    </row>
    <row r="65" spans="1:87" ht="15.75" thickBot="1">
      <c r="A65" s="93">
        <v>58</v>
      </c>
      <c r="B65" s="44"/>
      <c r="C65" s="45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33"/>
      <c r="CE65" s="133"/>
      <c r="CF65" s="133"/>
      <c r="CG65" s="133"/>
      <c r="CH65" s="133"/>
      <c r="CI65" s="133"/>
    </row>
    <row r="66" spans="1:87" ht="15">
      <c r="A66" s="93">
        <v>59</v>
      </c>
      <c r="B66" s="11"/>
      <c r="C66" s="1"/>
      <c r="D66" s="140"/>
      <c r="E66" s="140"/>
      <c r="F66" s="140"/>
      <c r="G66" s="140"/>
      <c r="H66" s="140"/>
      <c r="I66" s="14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33"/>
      <c r="CE66" s="133"/>
      <c r="CF66" s="133"/>
      <c r="CG66" s="133"/>
      <c r="CH66" s="133"/>
      <c r="CI66" s="133"/>
    </row>
    <row r="67" spans="1:87" ht="15">
      <c r="A67" s="89">
        <v>60</v>
      </c>
      <c r="B67" s="90" t="s">
        <v>160</v>
      </c>
      <c r="C67" s="3"/>
      <c r="D67" s="141" t="s">
        <v>161</v>
      </c>
      <c r="E67" s="141"/>
      <c r="F67" s="142">
        <f>4.54%</f>
        <v>0.0454</v>
      </c>
      <c r="G67" s="142"/>
      <c r="H67" s="141"/>
      <c r="I67" s="141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33"/>
      <c r="CE67" s="133"/>
      <c r="CF67" s="133"/>
      <c r="CG67" s="133"/>
      <c r="CH67" s="133"/>
      <c r="CI67" s="133"/>
    </row>
    <row r="68" spans="1:87" ht="15">
      <c r="A68" s="89">
        <v>61</v>
      </c>
      <c r="B68" s="90" t="s">
        <v>5</v>
      </c>
      <c r="C68" s="3"/>
      <c r="D68" s="141" t="s">
        <v>162</v>
      </c>
      <c r="E68" s="141"/>
      <c r="F68" s="142">
        <v>0.35</v>
      </c>
      <c r="G68" s="142"/>
      <c r="H68" s="141"/>
      <c r="I68" s="141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33"/>
      <c r="CE68" s="133"/>
      <c r="CF68" s="133"/>
      <c r="CG68" s="133"/>
      <c r="CH68" s="133"/>
      <c r="CI68" s="133"/>
    </row>
    <row r="69" spans="1:87" ht="15">
      <c r="A69" s="89">
        <v>62</v>
      </c>
      <c r="B69" s="90"/>
      <c r="C69" s="3"/>
      <c r="D69" s="141"/>
      <c r="E69" s="141"/>
      <c r="F69" s="142"/>
      <c r="G69" s="142"/>
      <c r="H69" s="141"/>
      <c r="I69" s="141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33"/>
      <c r="CE69" s="133"/>
      <c r="CF69" s="133"/>
      <c r="CG69" s="133"/>
      <c r="CH69" s="133"/>
      <c r="CI69" s="133"/>
    </row>
    <row r="70" spans="1:87" ht="15">
      <c r="A70" s="89">
        <v>63</v>
      </c>
      <c r="B70" s="90" t="s">
        <v>163</v>
      </c>
      <c r="C70" s="91">
        <f>C12-C25-C26-C27-C28-C33</f>
        <v>5735000</v>
      </c>
      <c r="D70" s="144">
        <f>D12-D25-D26-D27-D28-D33</f>
        <v>1013205</v>
      </c>
      <c r="E70" s="144">
        <f aca="true" t="shared" si="12" ref="E70:BH70">E12-E25-E26-E27-E28-E33</f>
        <v>1364320</v>
      </c>
      <c r="F70" s="144">
        <f t="shared" si="12"/>
        <v>20743729</v>
      </c>
      <c r="G70" s="144">
        <f>G12-G25-G26-G27-G28-G33</f>
        <v>-1755178</v>
      </c>
      <c r="H70" s="144">
        <f t="shared" si="12"/>
        <v>340594</v>
      </c>
      <c r="I70" s="144">
        <f t="shared" si="12"/>
        <v>-2078072</v>
      </c>
      <c r="J70" s="144">
        <f t="shared" si="12"/>
        <v>-7612696</v>
      </c>
      <c r="K70" s="144">
        <f t="shared" si="12"/>
        <v>-5499045</v>
      </c>
      <c r="L70" s="144">
        <f t="shared" si="12"/>
        <v>72756</v>
      </c>
      <c r="M70" s="144">
        <f t="shared" si="12"/>
        <v>-1679415</v>
      </c>
      <c r="N70" s="144">
        <f t="shared" si="12"/>
        <v>21452</v>
      </c>
      <c r="O70" s="144">
        <f t="shared" si="12"/>
        <v>227899</v>
      </c>
      <c r="P70" s="144">
        <f t="shared" si="12"/>
        <v>559330</v>
      </c>
      <c r="Q70" s="144">
        <f t="shared" si="12"/>
        <v>0</v>
      </c>
      <c r="R70" s="144">
        <f t="shared" si="12"/>
        <v>-663324</v>
      </c>
      <c r="S70" s="144">
        <f t="shared" si="12"/>
        <v>0</v>
      </c>
      <c r="T70" s="144">
        <f t="shared" si="12"/>
        <v>-53882</v>
      </c>
      <c r="U70" s="144">
        <f t="shared" si="12"/>
        <v>1373123</v>
      </c>
      <c r="V70" s="144">
        <f t="shared" si="12"/>
        <v>857274</v>
      </c>
      <c r="W70" s="144">
        <f t="shared" si="12"/>
        <v>178176</v>
      </c>
      <c r="X70" s="144">
        <f t="shared" si="12"/>
        <v>443434</v>
      </c>
      <c r="Y70" s="144">
        <f t="shared" si="12"/>
        <v>261750</v>
      </c>
      <c r="Z70" s="144">
        <f>Z12-Z25-Z26-Z27-Z28-Z33</f>
        <v>663200</v>
      </c>
      <c r="AA70" s="144">
        <f>AA12-AA25-AA26-AA27-AA28-AA33</f>
        <v>168096</v>
      </c>
      <c r="AB70" s="144">
        <f>AB12-AB25-AB26-AB27-AB28-AB33</f>
        <v>550000</v>
      </c>
      <c r="AC70" s="144">
        <f t="shared" si="12"/>
        <v>11153808</v>
      </c>
      <c r="AD70" s="144">
        <f>AD12-AD25-AD26-AD27-AD28-AD33-1</f>
        <v>600872</v>
      </c>
      <c r="AE70" s="144">
        <f t="shared" si="12"/>
        <v>-709301.55</v>
      </c>
      <c r="AF70" s="144">
        <f t="shared" si="12"/>
        <v>1352718</v>
      </c>
      <c r="AG70" s="144">
        <f t="shared" si="12"/>
        <v>-355551</v>
      </c>
      <c r="AH70" s="144">
        <f t="shared" si="12"/>
        <v>-151209</v>
      </c>
      <c r="AI70" s="144">
        <f t="shared" si="12"/>
        <v>-20850595</v>
      </c>
      <c r="AJ70" s="144">
        <f t="shared" si="12"/>
        <v>3312525</v>
      </c>
      <c r="AK70" s="144">
        <f>AK12-AK25-AK26-AK27-AK28-AK33</f>
        <v>323713</v>
      </c>
      <c r="AL70" s="144">
        <f t="shared" si="12"/>
        <v>-90222</v>
      </c>
      <c r="AM70" s="144">
        <f t="shared" si="12"/>
        <v>0</v>
      </c>
      <c r="AN70" s="144">
        <f t="shared" si="12"/>
        <v>1867753</v>
      </c>
      <c r="AO70" s="144">
        <f t="shared" si="12"/>
        <v>0</v>
      </c>
      <c r="AP70" s="144">
        <f t="shared" si="12"/>
        <v>0</v>
      </c>
      <c r="AQ70" s="144">
        <f t="shared" si="12"/>
        <v>0</v>
      </c>
      <c r="AR70" s="144">
        <f t="shared" si="12"/>
        <v>0</v>
      </c>
      <c r="AS70" s="144">
        <f t="shared" si="12"/>
        <v>0</v>
      </c>
      <c r="AT70" s="144">
        <f t="shared" si="12"/>
        <v>0</v>
      </c>
      <c r="AU70" s="144">
        <f t="shared" si="12"/>
        <v>-284632</v>
      </c>
      <c r="AV70" s="144">
        <f t="shared" si="12"/>
        <v>0</v>
      </c>
      <c r="AW70" s="144">
        <f t="shared" si="12"/>
        <v>30000</v>
      </c>
      <c r="AX70" s="144">
        <f t="shared" si="12"/>
        <v>0</v>
      </c>
      <c r="AY70" s="144">
        <f t="shared" si="12"/>
        <v>0</v>
      </c>
      <c r="AZ70" s="144">
        <f t="shared" si="12"/>
        <v>33000</v>
      </c>
      <c r="BA70" s="144">
        <f t="shared" si="12"/>
        <v>0</v>
      </c>
      <c r="BB70" s="144">
        <f t="shared" si="12"/>
        <v>0</v>
      </c>
      <c r="BC70" s="144">
        <f t="shared" si="12"/>
        <v>0</v>
      </c>
      <c r="BD70" s="144">
        <f t="shared" si="12"/>
        <v>166104</v>
      </c>
      <c r="BE70" s="144">
        <f t="shared" si="12"/>
        <v>-263005</v>
      </c>
      <c r="BF70" s="144">
        <f t="shared" si="12"/>
        <v>0</v>
      </c>
      <c r="BG70" s="144">
        <f t="shared" si="12"/>
        <v>0</v>
      </c>
      <c r="BH70" s="144">
        <f t="shared" si="12"/>
        <v>0</v>
      </c>
      <c r="BI70" s="144">
        <f>BI12-BI25-BI26-BI27-BI28-BI33</f>
        <v>-12149.341006</v>
      </c>
      <c r="BJ70" s="144">
        <f>BJ12-BJ25-BJ26-BJ27-BJ28-BJ33</f>
        <v>114323</v>
      </c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33"/>
      <c r="CE70" s="133"/>
      <c r="CF70" s="133"/>
      <c r="CG70" s="133"/>
      <c r="CH70" s="133"/>
      <c r="CI70" s="133"/>
    </row>
    <row r="71" spans="1:87" ht="15">
      <c r="A71" s="89">
        <v>64</v>
      </c>
      <c r="B71" s="90" t="s">
        <v>164</v>
      </c>
      <c r="C71" s="5">
        <f>ROUND(SUM(D71:BJ71),-3)</f>
        <v>0</v>
      </c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33"/>
      <c r="CE71" s="133"/>
      <c r="CF71" s="133"/>
      <c r="CG71" s="133"/>
      <c r="CH71" s="133"/>
      <c r="CI71" s="133"/>
    </row>
    <row r="72" spans="1:87" ht="15">
      <c r="A72" s="89">
        <v>65</v>
      </c>
      <c r="B72" s="90" t="s">
        <v>165</v>
      </c>
      <c r="C72" s="5">
        <f>ROUND(SUM(D72:BJ72),-3)</f>
        <v>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33"/>
      <c r="CE72" s="133"/>
      <c r="CF72" s="133"/>
      <c r="CG72" s="133"/>
      <c r="CH72" s="133"/>
      <c r="CI72" s="133"/>
    </row>
    <row r="73" spans="1:87" ht="15">
      <c r="A73" s="89">
        <v>66</v>
      </c>
      <c r="B73" s="90" t="s">
        <v>45</v>
      </c>
      <c r="C73" s="5">
        <f>ROUND(SUM(D73:BJ73),-3)</f>
        <v>-1328000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>
        <f>D93</f>
        <v>-1328000</v>
      </c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33"/>
      <c r="CE73" s="133"/>
      <c r="CF73" s="133"/>
      <c r="CG73" s="133"/>
      <c r="CH73" s="133"/>
      <c r="CI73" s="133"/>
    </row>
    <row r="74" spans="1:87" ht="15">
      <c r="A74" s="89">
        <v>67</v>
      </c>
      <c r="B74" s="90" t="s">
        <v>166</v>
      </c>
      <c r="C74" s="5">
        <f>ROUND(SUM(D74:BJ74),-3)</f>
        <v>-31994000</v>
      </c>
      <c r="D74" s="144"/>
      <c r="E74" s="144"/>
      <c r="F74" s="144"/>
      <c r="G74" s="144"/>
      <c r="H74" s="144">
        <v>48248</v>
      </c>
      <c r="I74" s="144">
        <v>-8989</v>
      </c>
      <c r="J74" s="144"/>
      <c r="K74" s="144">
        <v>-30314000</v>
      </c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>
        <v>-568199</v>
      </c>
      <c r="AE74" s="144"/>
      <c r="AF74" s="144"/>
      <c r="AG74" s="144"/>
      <c r="AH74" s="144"/>
      <c r="AI74" s="144"/>
      <c r="AJ74" s="144"/>
      <c r="AK74" s="144"/>
      <c r="AL74" s="144">
        <v>90222</v>
      </c>
      <c r="AM74" s="144"/>
      <c r="AN74" s="144">
        <v>-1867828</v>
      </c>
      <c r="AO74" s="144"/>
      <c r="AP74" s="144"/>
      <c r="AQ74" s="144"/>
      <c r="AR74" s="144"/>
      <c r="AS74" s="144">
        <v>626396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33"/>
      <c r="CE74" s="133"/>
      <c r="CF74" s="133"/>
      <c r="CG74" s="133"/>
      <c r="CH74" s="133"/>
      <c r="CI74" s="133"/>
    </row>
    <row r="75" spans="1:87" ht="15">
      <c r="A75" s="89">
        <v>68</v>
      </c>
      <c r="B75" s="188" t="s">
        <v>167</v>
      </c>
      <c r="C75" s="183">
        <f>ROUND(SUM(D75:BJ75),-3)</f>
        <v>372000</v>
      </c>
      <c r="D75" s="145"/>
      <c r="E75" s="145"/>
      <c r="F75" s="145"/>
      <c r="G75" s="145"/>
      <c r="H75" s="145">
        <v>388842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>
        <v>-16366</v>
      </c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33"/>
      <c r="CE75" s="133"/>
      <c r="CF75" s="133"/>
      <c r="CG75" s="133"/>
      <c r="CH75" s="133"/>
      <c r="CI75" s="133"/>
    </row>
    <row r="76" spans="1:87" ht="15">
      <c r="A76" s="89">
        <v>69</v>
      </c>
      <c r="B76" s="90"/>
      <c r="C76" s="91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33"/>
      <c r="CE76" s="133"/>
      <c r="CF76" s="133"/>
      <c r="CG76" s="133"/>
      <c r="CH76" s="133"/>
      <c r="CI76" s="133"/>
    </row>
    <row r="77" spans="1:87" ht="15">
      <c r="A77" s="89">
        <v>70</v>
      </c>
      <c r="B77" s="90" t="s">
        <v>168</v>
      </c>
      <c r="C77" s="5">
        <f>C70-C71-C72-C73+C74-C75</f>
        <v>-25303000</v>
      </c>
      <c r="D77" s="146">
        <f aca="true" t="shared" si="13" ref="D77:BH77">D70-D71-D72-D73+D74-D75</f>
        <v>1013205</v>
      </c>
      <c r="E77" s="146">
        <f t="shared" si="13"/>
        <v>1364320</v>
      </c>
      <c r="F77" s="146">
        <f t="shared" si="13"/>
        <v>20743729</v>
      </c>
      <c r="G77" s="146">
        <f t="shared" si="13"/>
        <v>-1755178</v>
      </c>
      <c r="H77" s="146">
        <f t="shared" si="13"/>
        <v>0</v>
      </c>
      <c r="I77" s="146">
        <f t="shared" si="13"/>
        <v>-2087061</v>
      </c>
      <c r="J77" s="146">
        <f t="shared" si="13"/>
        <v>-7612696</v>
      </c>
      <c r="K77" s="146">
        <f t="shared" si="13"/>
        <v>-35813045</v>
      </c>
      <c r="L77" s="146">
        <f t="shared" si="13"/>
        <v>72756</v>
      </c>
      <c r="M77" s="146">
        <f t="shared" si="13"/>
        <v>-1679415</v>
      </c>
      <c r="N77" s="146">
        <f t="shared" si="13"/>
        <v>21452</v>
      </c>
      <c r="O77" s="146">
        <f t="shared" si="13"/>
        <v>227899</v>
      </c>
      <c r="P77" s="146">
        <f t="shared" si="13"/>
        <v>559330</v>
      </c>
      <c r="Q77" s="146">
        <f t="shared" si="13"/>
        <v>0</v>
      </c>
      <c r="R77" s="146">
        <f t="shared" si="13"/>
        <v>-663324</v>
      </c>
      <c r="S77" s="146">
        <f t="shared" si="13"/>
        <v>0</v>
      </c>
      <c r="T77" s="146">
        <f t="shared" si="13"/>
        <v>-53882</v>
      </c>
      <c r="U77" s="146">
        <f t="shared" si="13"/>
        <v>1373123</v>
      </c>
      <c r="V77" s="146">
        <f t="shared" si="13"/>
        <v>857274</v>
      </c>
      <c r="W77" s="146">
        <f t="shared" si="13"/>
        <v>178176</v>
      </c>
      <c r="X77" s="146">
        <f t="shared" si="13"/>
        <v>443434</v>
      </c>
      <c r="Y77" s="146">
        <f t="shared" si="13"/>
        <v>261750</v>
      </c>
      <c r="Z77" s="146">
        <f>Z70-Z71-Z72-Z73+Z74-Z75</f>
        <v>663200</v>
      </c>
      <c r="AA77" s="146">
        <f>AA70-AA71-AA72-AA73+AA74-AA75</f>
        <v>168096</v>
      </c>
      <c r="AB77" s="146">
        <f>AB70-AB71-AB72-AB73+AB74-AB75</f>
        <v>550000</v>
      </c>
      <c r="AC77" s="146">
        <f t="shared" si="13"/>
        <v>11153808</v>
      </c>
      <c r="AD77" s="146">
        <f t="shared" si="13"/>
        <v>49039</v>
      </c>
      <c r="AE77" s="146">
        <f t="shared" si="13"/>
        <v>-709301.55</v>
      </c>
      <c r="AF77" s="146">
        <f t="shared" si="13"/>
        <v>1352718</v>
      </c>
      <c r="AG77" s="146">
        <f t="shared" si="13"/>
        <v>-355551</v>
      </c>
      <c r="AH77" s="146">
        <f t="shared" si="13"/>
        <v>-151209</v>
      </c>
      <c r="AI77" s="146">
        <f t="shared" si="13"/>
        <v>-20850595</v>
      </c>
      <c r="AJ77" s="146">
        <f t="shared" si="13"/>
        <v>3312525</v>
      </c>
      <c r="AK77" s="146">
        <f>AK70-AK71-AK72-AK73+AK74-AK75</f>
        <v>323713</v>
      </c>
      <c r="AL77" s="146">
        <f t="shared" si="13"/>
        <v>0</v>
      </c>
      <c r="AM77" s="146">
        <f t="shared" si="13"/>
        <v>0</v>
      </c>
      <c r="AN77" s="146">
        <f t="shared" si="13"/>
        <v>-75</v>
      </c>
      <c r="AO77" s="146">
        <f t="shared" si="13"/>
        <v>0</v>
      </c>
      <c r="AP77" s="146">
        <f t="shared" si="13"/>
        <v>1328000</v>
      </c>
      <c r="AQ77" s="146">
        <f t="shared" si="13"/>
        <v>0</v>
      </c>
      <c r="AR77" s="146">
        <f t="shared" si="13"/>
        <v>0</v>
      </c>
      <c r="AS77" s="146">
        <f t="shared" si="13"/>
        <v>626396</v>
      </c>
      <c r="AT77" s="146">
        <f t="shared" si="13"/>
        <v>0</v>
      </c>
      <c r="AU77" s="146">
        <f t="shared" si="13"/>
        <v>-284632</v>
      </c>
      <c r="AV77" s="146">
        <f t="shared" si="13"/>
        <v>0</v>
      </c>
      <c r="AW77" s="146">
        <f t="shared" si="13"/>
        <v>30000</v>
      </c>
      <c r="AX77" s="146">
        <f t="shared" si="13"/>
        <v>0</v>
      </c>
      <c r="AY77" s="146">
        <f t="shared" si="13"/>
        <v>0</v>
      </c>
      <c r="AZ77" s="146">
        <f t="shared" si="13"/>
        <v>33000</v>
      </c>
      <c r="BA77" s="146">
        <f t="shared" si="13"/>
        <v>0</v>
      </c>
      <c r="BB77" s="146">
        <f t="shared" si="13"/>
        <v>0</v>
      </c>
      <c r="BC77" s="146">
        <f t="shared" si="13"/>
        <v>0</v>
      </c>
      <c r="BD77" s="146">
        <f t="shared" si="13"/>
        <v>166104</v>
      </c>
      <c r="BE77" s="146">
        <f t="shared" si="13"/>
        <v>-263005</v>
      </c>
      <c r="BF77" s="146">
        <f t="shared" si="13"/>
        <v>0</v>
      </c>
      <c r="BG77" s="146">
        <f t="shared" si="13"/>
        <v>0</v>
      </c>
      <c r="BH77" s="146">
        <f t="shared" si="13"/>
        <v>0</v>
      </c>
      <c r="BI77" s="146">
        <f>BI70-BI71-BI72-BI73+BI74-BI75</f>
        <v>-12149.341006</v>
      </c>
      <c r="BJ77" s="146">
        <f>BJ70-BJ71-BJ72-BJ73+BJ74-BJ75</f>
        <v>114323</v>
      </c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33"/>
      <c r="CE77" s="133"/>
      <c r="CF77" s="133"/>
      <c r="CG77" s="133"/>
      <c r="CH77" s="133"/>
      <c r="CI77" s="133"/>
    </row>
    <row r="78" spans="1:87" ht="15">
      <c r="A78" s="89">
        <v>71</v>
      </c>
      <c r="B78" s="90" t="s">
        <v>169</v>
      </c>
      <c r="C78" s="5">
        <f>ROUND(SUM(D78:BJ78),-3)</f>
        <v>-1149000</v>
      </c>
      <c r="D78" s="144">
        <f aca="true" t="shared" si="14" ref="D78:AJ78">D77*$F$67</f>
        <v>45999.507000000005</v>
      </c>
      <c r="E78" s="144">
        <f t="shared" si="14"/>
        <v>61940.128000000004</v>
      </c>
      <c r="F78" s="144">
        <f t="shared" si="14"/>
        <v>941765.2966</v>
      </c>
      <c r="G78" s="144">
        <f t="shared" si="14"/>
        <v>-79685.0812</v>
      </c>
      <c r="H78" s="144">
        <f t="shared" si="14"/>
        <v>0</v>
      </c>
      <c r="I78" s="144">
        <f t="shared" si="14"/>
        <v>-94752.56940000001</v>
      </c>
      <c r="J78" s="144">
        <f t="shared" si="14"/>
        <v>-345616.3984</v>
      </c>
      <c r="K78" s="144">
        <f t="shared" si="14"/>
        <v>-1625912.243</v>
      </c>
      <c r="L78" s="144">
        <f t="shared" si="14"/>
        <v>3303.1224</v>
      </c>
      <c r="M78" s="144">
        <f t="shared" si="14"/>
        <v>-76245.441</v>
      </c>
      <c r="N78" s="144">
        <f t="shared" si="14"/>
        <v>973.9208000000001</v>
      </c>
      <c r="O78" s="144">
        <f t="shared" si="14"/>
        <v>10346.6146</v>
      </c>
      <c r="P78" s="144">
        <f t="shared" si="14"/>
        <v>25393.582000000002</v>
      </c>
      <c r="Q78" s="144">
        <f t="shared" si="14"/>
        <v>0</v>
      </c>
      <c r="R78" s="144">
        <f t="shared" si="14"/>
        <v>-30114.909600000003</v>
      </c>
      <c r="S78" s="144">
        <f t="shared" si="14"/>
        <v>0</v>
      </c>
      <c r="T78" s="144">
        <f t="shared" si="14"/>
        <v>-2446.2428</v>
      </c>
      <c r="U78" s="144">
        <f t="shared" si="14"/>
        <v>62339.7842</v>
      </c>
      <c r="V78" s="144">
        <f t="shared" si="14"/>
        <v>38920.2396</v>
      </c>
      <c r="W78" s="144">
        <f t="shared" si="14"/>
        <v>8089.1904</v>
      </c>
      <c r="X78" s="144">
        <f t="shared" si="14"/>
        <v>20131.9036</v>
      </c>
      <c r="Y78" s="144">
        <f t="shared" si="14"/>
        <v>11883.45</v>
      </c>
      <c r="Z78" s="144">
        <f t="shared" si="14"/>
        <v>30109.280000000002</v>
      </c>
      <c r="AA78" s="144">
        <f t="shared" si="14"/>
        <v>7631.558400000001</v>
      </c>
      <c r="AB78" s="144">
        <f t="shared" si="14"/>
        <v>24970</v>
      </c>
      <c r="AC78" s="144">
        <f t="shared" si="14"/>
        <v>506382.88320000004</v>
      </c>
      <c r="AD78" s="144">
        <f t="shared" si="14"/>
        <v>2226.3706</v>
      </c>
      <c r="AE78" s="144">
        <f t="shared" si="14"/>
        <v>-32202.290370000002</v>
      </c>
      <c r="AF78" s="144">
        <f t="shared" si="14"/>
        <v>61413.39720000001</v>
      </c>
      <c r="AG78" s="144">
        <f t="shared" si="14"/>
        <v>-16142.0154</v>
      </c>
      <c r="AH78" s="144">
        <f t="shared" si="14"/>
        <v>-6864.8886</v>
      </c>
      <c r="AI78" s="144">
        <f t="shared" si="14"/>
        <v>-946617.013</v>
      </c>
      <c r="AJ78" s="144">
        <f t="shared" si="14"/>
        <v>150388.635</v>
      </c>
      <c r="AK78" s="144">
        <f aca="true" t="shared" si="15" ref="AK78:BJ78">AK77*$F$67</f>
        <v>14696.5702</v>
      </c>
      <c r="AL78" s="144">
        <f t="shared" si="15"/>
        <v>0</v>
      </c>
      <c r="AM78" s="144">
        <f t="shared" si="15"/>
        <v>0</v>
      </c>
      <c r="AN78" s="144">
        <f t="shared" si="15"/>
        <v>-3.4050000000000002</v>
      </c>
      <c r="AO78" s="144">
        <f t="shared" si="15"/>
        <v>0</v>
      </c>
      <c r="AP78" s="144">
        <f t="shared" si="15"/>
        <v>60291.200000000004</v>
      </c>
      <c r="AQ78" s="144">
        <f t="shared" si="15"/>
        <v>0</v>
      </c>
      <c r="AR78" s="144">
        <f t="shared" si="15"/>
        <v>0</v>
      </c>
      <c r="AS78" s="144">
        <f t="shared" si="15"/>
        <v>28438.3784</v>
      </c>
      <c r="AT78" s="144">
        <f t="shared" si="15"/>
        <v>0</v>
      </c>
      <c r="AU78" s="144">
        <f t="shared" si="15"/>
        <v>-12922.292800000001</v>
      </c>
      <c r="AV78" s="144">
        <f t="shared" si="15"/>
        <v>0</v>
      </c>
      <c r="AW78" s="144">
        <f t="shared" si="15"/>
        <v>1362</v>
      </c>
      <c r="AX78" s="144">
        <f t="shared" si="15"/>
        <v>0</v>
      </c>
      <c r="AY78" s="144">
        <f t="shared" si="15"/>
        <v>0</v>
      </c>
      <c r="AZ78" s="144">
        <f t="shared" si="15"/>
        <v>1498.2</v>
      </c>
      <c r="BA78" s="144">
        <f t="shared" si="15"/>
        <v>0</v>
      </c>
      <c r="BB78" s="144">
        <f t="shared" si="15"/>
        <v>0</v>
      </c>
      <c r="BC78" s="144">
        <f t="shared" si="15"/>
        <v>0</v>
      </c>
      <c r="BD78" s="144">
        <f t="shared" si="15"/>
        <v>7541.1216</v>
      </c>
      <c r="BE78" s="144">
        <f t="shared" si="15"/>
        <v>-11940.427000000001</v>
      </c>
      <c r="BF78" s="144">
        <f t="shared" si="15"/>
        <v>0</v>
      </c>
      <c r="BG78" s="144">
        <f t="shared" si="15"/>
        <v>0</v>
      </c>
      <c r="BH78" s="144">
        <f t="shared" si="15"/>
        <v>0</v>
      </c>
      <c r="BI78" s="144">
        <f t="shared" si="15"/>
        <v>-551.5800816724001</v>
      </c>
      <c r="BJ78" s="144">
        <f t="shared" si="15"/>
        <v>5190.2642000000005</v>
      </c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33"/>
      <c r="CE78" s="133"/>
      <c r="CF78" s="133"/>
      <c r="CG78" s="133"/>
      <c r="CH78" s="133"/>
      <c r="CI78" s="133"/>
    </row>
    <row r="79" spans="1:87" ht="15">
      <c r="A79" s="89">
        <v>72</v>
      </c>
      <c r="B79" s="189" t="s">
        <v>170</v>
      </c>
      <c r="C79" s="92">
        <f aca="true" t="shared" si="16" ref="C79:BJ79">C77-C78</f>
        <v>-24154000</v>
      </c>
      <c r="D79" s="147">
        <f t="shared" si="16"/>
        <v>967205.493</v>
      </c>
      <c r="E79" s="147">
        <f t="shared" si="16"/>
        <v>1302379.872</v>
      </c>
      <c r="F79" s="147">
        <f t="shared" si="16"/>
        <v>19801963.7034</v>
      </c>
      <c r="G79" s="147">
        <f t="shared" si="16"/>
        <v>-1675492.9188</v>
      </c>
      <c r="H79" s="147">
        <f t="shared" si="16"/>
        <v>0</v>
      </c>
      <c r="I79" s="147">
        <f t="shared" si="16"/>
        <v>-1992308.4306</v>
      </c>
      <c r="J79" s="147">
        <f t="shared" si="16"/>
        <v>-7267079.6016</v>
      </c>
      <c r="K79" s="147">
        <f t="shared" si="16"/>
        <v>-34187132.757</v>
      </c>
      <c r="L79" s="147">
        <f t="shared" si="16"/>
        <v>69452.8776</v>
      </c>
      <c r="M79" s="147">
        <f t="shared" si="16"/>
        <v>-1603169.559</v>
      </c>
      <c r="N79" s="147">
        <f t="shared" si="16"/>
        <v>20478.0792</v>
      </c>
      <c r="O79" s="147">
        <f t="shared" si="16"/>
        <v>217552.3854</v>
      </c>
      <c r="P79" s="147">
        <f t="shared" si="16"/>
        <v>533936.418</v>
      </c>
      <c r="Q79" s="147">
        <f t="shared" si="16"/>
        <v>0</v>
      </c>
      <c r="R79" s="147">
        <f t="shared" si="16"/>
        <v>-633209.0904</v>
      </c>
      <c r="S79" s="147">
        <f t="shared" si="16"/>
        <v>0</v>
      </c>
      <c r="T79" s="147">
        <f t="shared" si="16"/>
        <v>-51435.7572</v>
      </c>
      <c r="U79" s="147">
        <f t="shared" si="16"/>
        <v>1310783.2158</v>
      </c>
      <c r="V79" s="147">
        <f t="shared" si="16"/>
        <v>818353.7604</v>
      </c>
      <c r="W79" s="147">
        <f t="shared" si="16"/>
        <v>170086.8096</v>
      </c>
      <c r="X79" s="147">
        <f t="shared" si="16"/>
        <v>423302.0964</v>
      </c>
      <c r="Y79" s="147">
        <f t="shared" si="16"/>
        <v>249866.55</v>
      </c>
      <c r="Z79" s="147">
        <f t="shared" si="16"/>
        <v>633090.72</v>
      </c>
      <c r="AA79" s="147">
        <f t="shared" si="16"/>
        <v>160464.4416</v>
      </c>
      <c r="AB79" s="147">
        <f t="shared" si="16"/>
        <v>525030</v>
      </c>
      <c r="AC79" s="147">
        <f t="shared" si="16"/>
        <v>10647425.116799999</v>
      </c>
      <c r="AD79" s="147">
        <f t="shared" si="16"/>
        <v>46812.6294</v>
      </c>
      <c r="AE79" s="147">
        <f t="shared" si="16"/>
        <v>-677099.25963</v>
      </c>
      <c r="AF79" s="147">
        <f t="shared" si="16"/>
        <v>1291304.6028</v>
      </c>
      <c r="AG79" s="147">
        <f t="shared" si="16"/>
        <v>-339408.9846</v>
      </c>
      <c r="AH79" s="147">
        <f t="shared" si="16"/>
        <v>-144344.1114</v>
      </c>
      <c r="AI79" s="147">
        <f t="shared" si="16"/>
        <v>-19903977.987</v>
      </c>
      <c r="AJ79" s="147">
        <f t="shared" si="16"/>
        <v>3162136.365</v>
      </c>
      <c r="AK79" s="147">
        <f t="shared" si="16"/>
        <v>309016.4298</v>
      </c>
      <c r="AL79" s="147">
        <f>AL77-AL78</f>
        <v>0</v>
      </c>
      <c r="AM79" s="147">
        <f>AM77-AM78</f>
        <v>0</v>
      </c>
      <c r="AN79" s="147">
        <f>AN77-AN78</f>
        <v>-71.595</v>
      </c>
      <c r="AO79" s="147">
        <f>AO77-AO78</f>
        <v>0</v>
      </c>
      <c r="AP79" s="147">
        <f t="shared" si="16"/>
        <v>1267708.8</v>
      </c>
      <c r="AQ79" s="147">
        <f t="shared" si="16"/>
        <v>0</v>
      </c>
      <c r="AR79" s="147">
        <f t="shared" si="16"/>
        <v>0</v>
      </c>
      <c r="AS79" s="147">
        <f t="shared" si="16"/>
        <v>597957.6216</v>
      </c>
      <c r="AT79" s="147">
        <f t="shared" si="16"/>
        <v>0</v>
      </c>
      <c r="AU79" s="147">
        <f t="shared" si="16"/>
        <v>-271709.7072</v>
      </c>
      <c r="AV79" s="147">
        <f t="shared" si="16"/>
        <v>0</v>
      </c>
      <c r="AW79" s="147">
        <f t="shared" si="16"/>
        <v>28638</v>
      </c>
      <c r="AX79" s="147">
        <f t="shared" si="16"/>
        <v>0</v>
      </c>
      <c r="AY79" s="147">
        <f t="shared" si="16"/>
        <v>0</v>
      </c>
      <c r="AZ79" s="147">
        <f t="shared" si="16"/>
        <v>31501.8</v>
      </c>
      <c r="BA79" s="147">
        <f t="shared" si="16"/>
        <v>0</v>
      </c>
      <c r="BB79" s="147">
        <f t="shared" si="16"/>
        <v>0</v>
      </c>
      <c r="BC79" s="147">
        <f t="shared" si="16"/>
        <v>0</v>
      </c>
      <c r="BD79" s="147">
        <f t="shared" si="16"/>
        <v>158562.8784</v>
      </c>
      <c r="BE79" s="147">
        <f t="shared" si="16"/>
        <v>-251064.573</v>
      </c>
      <c r="BF79" s="147">
        <f t="shared" si="16"/>
        <v>0</v>
      </c>
      <c r="BG79" s="147">
        <f t="shared" si="16"/>
        <v>0</v>
      </c>
      <c r="BH79" s="147">
        <f t="shared" si="16"/>
        <v>0</v>
      </c>
      <c r="BI79" s="147">
        <f t="shared" si="16"/>
        <v>-11597.7609243276</v>
      </c>
      <c r="BJ79" s="147">
        <f t="shared" si="16"/>
        <v>109132.7358</v>
      </c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33"/>
      <c r="CE79" s="133"/>
      <c r="CF79" s="133"/>
      <c r="CG79" s="133"/>
      <c r="CH79" s="133"/>
      <c r="CI79" s="133"/>
    </row>
    <row r="80" spans="1:87" ht="15">
      <c r="A80" s="89">
        <v>73</v>
      </c>
      <c r="B80" s="90" t="s">
        <v>171</v>
      </c>
      <c r="C80" s="5">
        <f>ROUND(SUM(D80:BJ80),-3)</f>
        <v>393000</v>
      </c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>
        <v>-186337</v>
      </c>
      <c r="AU80" s="144"/>
      <c r="AV80" s="182">
        <f>1159454-579727</f>
        <v>579727</v>
      </c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33"/>
      <c r="CE80" s="133"/>
      <c r="CF80" s="133"/>
      <c r="CG80" s="133"/>
      <c r="CH80" s="133"/>
      <c r="CI80" s="133"/>
    </row>
    <row r="81" spans="1:87" ht="15.75" thickBot="1">
      <c r="A81" s="89">
        <v>74</v>
      </c>
      <c r="B81" s="190" t="s">
        <v>172</v>
      </c>
      <c r="C81" s="148">
        <f>ROUND(C79*$F$68+C80,-3)</f>
        <v>-8061000</v>
      </c>
      <c r="D81" s="148">
        <f aca="true" t="shared" si="17" ref="D81:AS81">D79*$F$68</f>
        <v>338521.92254999996</v>
      </c>
      <c r="E81" s="148">
        <f t="shared" si="17"/>
        <v>455832.95519999997</v>
      </c>
      <c r="F81" s="148">
        <f t="shared" si="17"/>
        <v>6930687.29619</v>
      </c>
      <c r="G81" s="148">
        <f t="shared" si="17"/>
        <v>-586422.52158</v>
      </c>
      <c r="H81" s="148">
        <f t="shared" si="17"/>
        <v>0</v>
      </c>
      <c r="I81" s="148">
        <f t="shared" si="17"/>
        <v>-697307.95071</v>
      </c>
      <c r="J81" s="148">
        <f t="shared" si="17"/>
        <v>-2543477.86056</v>
      </c>
      <c r="K81" s="148">
        <f t="shared" si="17"/>
        <v>-11965496.464949999</v>
      </c>
      <c r="L81" s="148">
        <f t="shared" si="17"/>
        <v>24308.50716</v>
      </c>
      <c r="M81" s="148">
        <f t="shared" si="17"/>
        <v>-561109.3456499999</v>
      </c>
      <c r="N81" s="148">
        <f t="shared" si="17"/>
        <v>7167.327719999999</v>
      </c>
      <c r="O81" s="148">
        <f t="shared" si="17"/>
        <v>76143.33489</v>
      </c>
      <c r="P81" s="148">
        <f t="shared" si="17"/>
        <v>186877.74629999997</v>
      </c>
      <c r="Q81" s="148">
        <f t="shared" si="17"/>
        <v>0</v>
      </c>
      <c r="R81" s="148">
        <f t="shared" si="17"/>
        <v>-221623.18164</v>
      </c>
      <c r="S81" s="148">
        <f t="shared" si="17"/>
        <v>0</v>
      </c>
      <c r="T81" s="148">
        <f t="shared" si="17"/>
        <v>-18002.51502</v>
      </c>
      <c r="U81" s="148">
        <f t="shared" si="17"/>
        <v>458774.12552999996</v>
      </c>
      <c r="V81" s="148">
        <f t="shared" si="17"/>
        <v>286423.81614</v>
      </c>
      <c r="W81" s="148">
        <f t="shared" si="17"/>
        <v>59530.38336</v>
      </c>
      <c r="X81" s="148">
        <f t="shared" si="17"/>
        <v>148155.73374</v>
      </c>
      <c r="Y81" s="148">
        <f t="shared" si="17"/>
        <v>87453.2925</v>
      </c>
      <c r="Z81" s="148">
        <f>Z79*$F$68</f>
        <v>221581.75199999998</v>
      </c>
      <c r="AA81" s="148">
        <f>AA79*$F$68</f>
        <v>56162.55456</v>
      </c>
      <c r="AB81" s="148">
        <f>AB79*$F$68</f>
        <v>183760.5</v>
      </c>
      <c r="AC81" s="148">
        <f t="shared" si="17"/>
        <v>3726598.7908799993</v>
      </c>
      <c r="AD81" s="148">
        <f t="shared" si="17"/>
        <v>16384.42029</v>
      </c>
      <c r="AE81" s="148">
        <f t="shared" si="17"/>
        <v>-236984.74087049998</v>
      </c>
      <c r="AF81" s="148">
        <f t="shared" si="17"/>
        <v>451956.61098</v>
      </c>
      <c r="AG81" s="148">
        <f t="shared" si="17"/>
        <v>-118793.14461</v>
      </c>
      <c r="AH81" s="148">
        <f t="shared" si="17"/>
        <v>-50520.438989999995</v>
      </c>
      <c r="AI81" s="148">
        <f t="shared" si="17"/>
        <v>-6966392.295449999</v>
      </c>
      <c r="AJ81" s="148">
        <f t="shared" si="17"/>
        <v>1106747.72775</v>
      </c>
      <c r="AK81" s="148">
        <f>AK79*$F$68</f>
        <v>108155.75042999999</v>
      </c>
      <c r="AL81" s="148">
        <f t="shared" si="17"/>
        <v>0</v>
      </c>
      <c r="AM81" s="148">
        <f t="shared" si="17"/>
        <v>0</v>
      </c>
      <c r="AN81" s="148">
        <f t="shared" si="17"/>
        <v>-25.058249999999997</v>
      </c>
      <c r="AO81" s="148">
        <f t="shared" si="17"/>
        <v>0</v>
      </c>
      <c r="AP81" s="148">
        <f t="shared" si="17"/>
        <v>443698.08</v>
      </c>
      <c r="AQ81" s="148">
        <f t="shared" si="17"/>
        <v>0</v>
      </c>
      <c r="AR81" s="148">
        <f t="shared" si="17"/>
        <v>0</v>
      </c>
      <c r="AS81" s="148">
        <f t="shared" si="17"/>
        <v>209285.16755999997</v>
      </c>
      <c r="AT81" s="148">
        <f>AT79*$F$68+AT80</f>
        <v>-186337</v>
      </c>
      <c r="AU81" s="148">
        <f>AU79*$F$68+AU80</f>
        <v>-95098.39752</v>
      </c>
      <c r="AV81" s="148">
        <f>AV79*$F$68+AV80</f>
        <v>579727</v>
      </c>
      <c r="AW81" s="148">
        <f aca="true" t="shared" si="18" ref="AW81:BH81">AW79*$F$68</f>
        <v>10023.3</v>
      </c>
      <c r="AX81" s="148">
        <f t="shared" si="18"/>
        <v>0</v>
      </c>
      <c r="AY81" s="148">
        <f t="shared" si="18"/>
        <v>0</v>
      </c>
      <c r="AZ81" s="148">
        <f t="shared" si="18"/>
        <v>11025.63</v>
      </c>
      <c r="BA81" s="148">
        <f t="shared" si="18"/>
        <v>0</v>
      </c>
      <c r="BB81" s="148">
        <f t="shared" si="18"/>
        <v>0</v>
      </c>
      <c r="BC81" s="148">
        <f t="shared" si="18"/>
        <v>0</v>
      </c>
      <c r="BD81" s="148">
        <f t="shared" si="18"/>
        <v>55497.007439999994</v>
      </c>
      <c r="BE81" s="148">
        <f t="shared" si="18"/>
        <v>-87872.60055</v>
      </c>
      <c r="BF81" s="148">
        <f t="shared" si="18"/>
        <v>0</v>
      </c>
      <c r="BG81" s="148">
        <f t="shared" si="18"/>
        <v>0</v>
      </c>
      <c r="BH81" s="148">
        <f t="shared" si="18"/>
        <v>0</v>
      </c>
      <c r="BI81" s="148">
        <f>BI79*$F$68</f>
        <v>-4059.21632351466</v>
      </c>
      <c r="BJ81" s="148">
        <f>BJ79*$F$68+BJ80</f>
        <v>38196.45752999999</v>
      </c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33"/>
      <c r="CE81" s="133"/>
      <c r="CF81" s="133"/>
      <c r="CG81" s="133"/>
      <c r="CH81" s="133"/>
      <c r="CI81" s="133"/>
    </row>
    <row r="82" spans="2:87" ht="15.75" thickTop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</row>
    <row r="83" spans="2:87" ht="15">
      <c r="B83" s="50" t="s">
        <v>173</v>
      </c>
      <c r="C83" s="1"/>
      <c r="D83" s="6">
        <f>SUM(D81:K81)</f>
        <v>-8067662.62386</v>
      </c>
      <c r="E83" s="1"/>
      <c r="F83" s="1"/>
      <c r="G83" s="1"/>
      <c r="H83" s="1"/>
      <c r="I83" s="1"/>
      <c r="J83" s="1"/>
      <c r="K83" s="1"/>
      <c r="L83" s="6">
        <f>SUM(L81:AA81)</f>
        <v>811843.5315899999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6">
        <f>SUM(AC81:AJ81)</f>
        <v>-2071003.0700205</v>
      </c>
      <c r="AD83" s="1"/>
      <c r="AE83" s="1"/>
      <c r="AF83" s="1"/>
      <c r="AG83" s="1"/>
      <c r="AH83" s="1"/>
      <c r="AI83" s="1"/>
      <c r="AJ83" s="1"/>
      <c r="AK83" s="1"/>
      <c r="AL83" s="6">
        <f>SUM(AL81:AO81)</f>
        <v>-25.058249999999997</v>
      </c>
      <c r="AM83" s="1"/>
      <c r="AN83" s="1"/>
      <c r="AO83" s="1"/>
      <c r="AP83" s="6">
        <f>SUM(AP81:AV81)</f>
        <v>951274.85004</v>
      </c>
      <c r="AQ83" s="1"/>
      <c r="AR83" s="1"/>
      <c r="AS83" s="1"/>
      <c r="AT83" s="1"/>
      <c r="AU83" s="1"/>
      <c r="AV83" s="1"/>
      <c r="AW83" s="6">
        <f>SUM(AW81:BJ81)</f>
        <v>22810.578096485326</v>
      </c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</row>
    <row r="84" spans="2:87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</row>
    <row r="85" spans="2:87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</row>
    <row r="86" spans="2:87" ht="15">
      <c r="B86" s="50" t="s">
        <v>174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</row>
    <row r="87" spans="2:87" ht="15">
      <c r="B87" s="1" t="s">
        <v>175</v>
      </c>
      <c r="C87" s="1"/>
      <c r="D87" s="51">
        <f>+Panel4RevReqSummary!E63</f>
        <v>582941000</v>
      </c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</row>
    <row r="88" spans="2:87" ht="15">
      <c r="B88" s="1" t="s">
        <v>176</v>
      </c>
      <c r="C88" s="1"/>
      <c r="D88" s="52"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</row>
    <row r="89" spans="2:87" ht="15">
      <c r="B89" s="1" t="s">
        <v>177</v>
      </c>
      <c r="C89" s="1"/>
      <c r="D89" s="51">
        <f>D87+D88</f>
        <v>582941000</v>
      </c>
      <c r="E89" s="1"/>
      <c r="F89" s="207"/>
      <c r="G89" s="207"/>
      <c r="H89" s="207"/>
      <c r="I89" s="20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</row>
    <row r="90" spans="2:87" ht="15">
      <c r="B90" s="1" t="s">
        <v>178</v>
      </c>
      <c r="C90" s="1"/>
      <c r="D90" s="155">
        <f>+'Panel4cost of capital'!F8</f>
        <v>0.03352</v>
      </c>
      <c r="E90" s="1"/>
      <c r="F90" s="207"/>
      <c r="G90" s="207"/>
      <c r="H90" s="207"/>
      <c r="I90" s="20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</row>
    <row r="91" spans="2:87" ht="15">
      <c r="B91" s="1" t="s">
        <v>179</v>
      </c>
      <c r="C91" s="1"/>
      <c r="D91" s="52">
        <f>D90*D89</f>
        <v>19540182.32</v>
      </c>
      <c r="E91" s="11"/>
      <c r="F91" s="11"/>
      <c r="G91" s="11"/>
      <c r="H91" s="1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</row>
    <row r="92" spans="2:87" ht="15">
      <c r="B92" s="11" t="s">
        <v>180</v>
      </c>
      <c r="C92" s="1"/>
      <c r="D92" s="51">
        <f>+Panel4RevReqSummary!C74</f>
        <v>20868000</v>
      </c>
      <c r="E92" s="28"/>
      <c r="F92" s="28"/>
      <c r="G92" s="28"/>
      <c r="H92" s="28"/>
      <c r="I92" s="29"/>
      <c r="J92" s="29"/>
      <c r="K92" s="28"/>
      <c r="L92" s="29"/>
      <c r="M92" s="29"/>
      <c r="N92" s="29"/>
      <c r="O92" s="29"/>
      <c r="P92" s="29"/>
      <c r="Q92" s="29"/>
      <c r="R92" s="29"/>
      <c r="S92" s="29"/>
      <c r="T92" s="29"/>
      <c r="U92" s="30"/>
      <c r="V92" s="30"/>
      <c r="W92" s="30"/>
      <c r="X92" s="30"/>
      <c r="Y92" s="30"/>
      <c r="Z92" s="30"/>
      <c r="AA92" s="30"/>
      <c r="AB92" s="30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0"/>
      <c r="BG92" s="30"/>
      <c r="BH92" s="30"/>
      <c r="BI92" s="30"/>
      <c r="BJ92" s="30"/>
      <c r="BK92" s="30"/>
      <c r="BL92" s="30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</row>
    <row r="93" spans="2:87" ht="15">
      <c r="B93" s="11" t="s">
        <v>181</v>
      </c>
      <c r="C93" s="1"/>
      <c r="D93" s="53">
        <f>ROUND(D91-D92,-3)</f>
        <v>-1328000</v>
      </c>
      <c r="E93" s="31"/>
      <c r="F93" s="31"/>
      <c r="G93" s="31"/>
      <c r="H93" s="31"/>
      <c r="I93" s="3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</row>
    <row r="94" spans="2:87" ht="15">
      <c r="B94" s="35"/>
      <c r="C94" s="1"/>
      <c r="D94" s="31"/>
      <c r="E94" s="31"/>
      <c r="F94" s="31"/>
      <c r="G94" s="31"/>
      <c r="H94" s="31"/>
      <c r="I94" s="3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</row>
    <row r="95" spans="2:87" ht="15">
      <c r="B95" s="27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</row>
    <row r="96" spans="2:87" ht="15">
      <c r="B96" s="8"/>
      <c r="C96" s="5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</row>
  </sheetData>
  <mergeCells count="4">
    <mergeCell ref="F1:I1"/>
    <mergeCell ref="F2:I2"/>
    <mergeCell ref="F89:I89"/>
    <mergeCell ref="F90:I90"/>
  </mergeCells>
  <printOptions horizontalCentered="1" verticalCentered="1"/>
  <pageMargins left="1.25" right="0.5" top="0.75" bottom="0.75" header="0.5" footer="0.5"/>
  <pageSetup fitToWidth="11" fitToHeight="1" horizontalDpi="600" verticalDpi="600" orientation="portrait" scale="57" r:id="rId1"/>
  <headerFooter alignWithMargins="0">
    <oddHeader>&amp;C&amp;"Palatino Linotype,Regular"PacifiCorp General Rate Case Settlement&amp;R&amp;"Palatino Linotype,Regular"Exhibit __ (Panel-4)
Docket No. UE-032065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2"/>
  <sheetViews>
    <sheetView workbookViewId="0" topLeftCell="A1">
      <selection activeCell="C18" sqref="C18"/>
    </sheetView>
  </sheetViews>
  <sheetFormatPr defaultColWidth="9.140625" defaultRowHeight="12.75"/>
  <cols>
    <col min="1" max="1" width="3.28125" style="0" customWidth="1"/>
    <col min="2" max="2" width="34.7109375" style="0" bestFit="1" customWidth="1"/>
    <col min="3" max="3" width="14.7109375" style="0" bestFit="1" customWidth="1"/>
    <col min="4" max="4" width="8.00390625" style="0" customWidth="1"/>
    <col min="5" max="5" width="15.421875" style="0" bestFit="1" customWidth="1"/>
    <col min="6" max="6" width="10.57421875" style="0" customWidth="1"/>
  </cols>
  <sheetData>
    <row r="4" spans="1:7" ht="18">
      <c r="A4" s="99"/>
      <c r="B4" s="100" t="s">
        <v>216</v>
      </c>
      <c r="C4" s="99"/>
      <c r="D4" s="99"/>
      <c r="E4" s="99"/>
      <c r="F4" s="99"/>
      <c r="G4" s="99"/>
    </row>
    <row r="5" spans="1:7" ht="18">
      <c r="A5" s="99"/>
      <c r="B5" s="99"/>
      <c r="C5" s="99"/>
      <c r="D5" s="99"/>
      <c r="E5" s="99"/>
      <c r="F5" s="101" t="s">
        <v>234</v>
      </c>
      <c r="G5" s="99"/>
    </row>
    <row r="6" spans="1:7" ht="18">
      <c r="A6" s="99">
        <v>77</v>
      </c>
      <c r="B6" s="167"/>
      <c r="C6" s="101" t="s">
        <v>198</v>
      </c>
      <c r="D6" s="101"/>
      <c r="E6" s="101" t="s">
        <v>199</v>
      </c>
      <c r="F6" s="101" t="s">
        <v>222</v>
      </c>
      <c r="G6" s="99"/>
    </row>
    <row r="7" spans="1:7" ht="18">
      <c r="A7" s="99">
        <v>78</v>
      </c>
      <c r="B7" s="102" t="s">
        <v>200</v>
      </c>
      <c r="C7" s="103"/>
      <c r="D7" s="104"/>
      <c r="E7" s="149"/>
      <c r="F7" s="99"/>
      <c r="G7" s="99"/>
    </row>
    <row r="8" spans="1:6" ht="18">
      <c r="A8" s="99">
        <v>79</v>
      </c>
      <c r="B8" s="102" t="s">
        <v>201</v>
      </c>
      <c r="C8" s="103"/>
      <c r="D8" s="104"/>
      <c r="E8" s="105"/>
      <c r="F8" s="156">
        <v>0.03352</v>
      </c>
    </row>
    <row r="9" spans="1:7" ht="18">
      <c r="A9" s="99">
        <v>80</v>
      </c>
      <c r="B9" s="102" t="s">
        <v>223</v>
      </c>
      <c r="C9" s="103"/>
      <c r="D9" s="104"/>
      <c r="E9" s="105"/>
      <c r="F9" s="99"/>
      <c r="G9" s="99"/>
    </row>
    <row r="10" spans="1:7" ht="18">
      <c r="A10" s="99">
        <v>81</v>
      </c>
      <c r="B10" s="106" t="s">
        <v>224</v>
      </c>
      <c r="C10" s="107"/>
      <c r="D10" s="107"/>
      <c r="E10" s="105"/>
      <c r="F10" s="99"/>
      <c r="G10" s="99"/>
    </row>
    <row r="11" spans="1:7" ht="18.75" thickBot="1">
      <c r="A11" s="99">
        <v>82</v>
      </c>
      <c r="B11" s="109" t="s">
        <v>216</v>
      </c>
      <c r="C11" s="158" t="s">
        <v>237</v>
      </c>
      <c r="D11" s="108"/>
      <c r="E11" s="153">
        <v>0.0839</v>
      </c>
      <c r="F11" s="99"/>
      <c r="G11" s="99"/>
    </row>
    <row r="12" spans="1:7" ht="18.75" thickTop="1">
      <c r="A12" s="99"/>
      <c r="B12" s="99"/>
      <c r="C12" s="99"/>
      <c r="D12" s="99"/>
      <c r="E12" s="99"/>
      <c r="F12" s="99"/>
      <c r="G12" s="99"/>
    </row>
  </sheetData>
  <printOptions horizontalCentered="1" verticalCentered="1"/>
  <pageMargins left="1.25" right="0.5" top="0.75" bottom="0.75" header="0.5" footer="0.5"/>
  <pageSetup fitToWidth="11" fitToHeight="1" horizontalDpi="600" verticalDpi="600" orientation="portrait" r:id="rId1"/>
  <headerFooter alignWithMargins="0">
    <oddHeader>&amp;C&amp;"Palatino Linotype,Regular"PacifiCorp General Rate Case Settlement&amp;R&amp;"Palatino Linotype,Regular"Exhibit __ (Panel-4)
Docket No. UE-032065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workbookViewId="0" topLeftCell="A6">
      <selection activeCell="A1" sqref="A1"/>
    </sheetView>
  </sheetViews>
  <sheetFormatPr defaultColWidth="9.140625" defaultRowHeight="12.75"/>
  <cols>
    <col min="1" max="1" width="3.00390625" style="0" bestFit="1" customWidth="1"/>
    <col min="2" max="2" width="28.28125" style="0" bestFit="1" customWidth="1"/>
    <col min="3" max="3" width="16.421875" style="0" bestFit="1" customWidth="1"/>
    <col min="4" max="4" width="10.28125" style="0" bestFit="1" customWidth="1"/>
    <col min="5" max="5" width="10.421875" style="0" bestFit="1" customWidth="1"/>
    <col min="6" max="6" width="9.28125" style="0" bestFit="1" customWidth="1"/>
    <col min="7" max="7" width="10.8515625" style="0" bestFit="1" customWidth="1"/>
    <col min="8" max="8" width="9.28125" style="0" bestFit="1" customWidth="1"/>
    <col min="9" max="9" width="12.57421875" style="0" bestFit="1" customWidth="1"/>
    <col min="10" max="10" width="10.8515625" style="0" bestFit="1" customWidth="1"/>
    <col min="11" max="11" width="9.421875" style="0" bestFit="1" customWidth="1"/>
    <col min="12" max="12" width="14.00390625" style="0" bestFit="1" customWidth="1"/>
    <col min="13" max="13" width="13.421875" style="0" bestFit="1" customWidth="1"/>
    <col min="14" max="14" width="12.28125" style="0" bestFit="1" customWidth="1"/>
    <col min="15" max="15" width="11.7109375" style="0" bestFit="1" customWidth="1"/>
    <col min="16" max="16" width="8.0039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5">
      <c r="A3" s="1"/>
      <c r="B3" s="1"/>
      <c r="C3" s="162" t="s">
        <v>259</v>
      </c>
      <c r="D3" s="196">
        <v>10.1</v>
      </c>
      <c r="E3" s="196">
        <v>10.2</v>
      </c>
      <c r="F3" s="196">
        <v>10.3</v>
      </c>
      <c r="G3" s="196">
        <v>10.4</v>
      </c>
      <c r="H3" s="196">
        <v>10.5</v>
      </c>
      <c r="I3" s="196">
        <v>10.6</v>
      </c>
      <c r="J3" s="196">
        <v>10.7</v>
      </c>
      <c r="K3" s="196">
        <v>10.8</v>
      </c>
      <c r="L3" s="196">
        <v>10.9</v>
      </c>
      <c r="M3" s="196" t="s">
        <v>228</v>
      </c>
      <c r="N3" s="196">
        <v>10.11</v>
      </c>
      <c r="O3" s="196">
        <v>10.12</v>
      </c>
      <c r="P3" s="196">
        <v>10.13</v>
      </c>
    </row>
    <row r="4" spans="1:16" ht="15">
      <c r="A4" s="132"/>
      <c r="B4" s="193"/>
      <c r="C4" s="160" t="s">
        <v>260</v>
      </c>
      <c r="D4" s="161">
        <v>5.1</v>
      </c>
      <c r="E4" s="161">
        <v>3.1</v>
      </c>
      <c r="F4" s="161">
        <v>5.9</v>
      </c>
      <c r="G4" s="161">
        <v>8.11</v>
      </c>
      <c r="H4" s="161">
        <v>4.15</v>
      </c>
      <c r="I4" s="161">
        <v>4.14</v>
      </c>
      <c r="J4" s="161">
        <v>7.7</v>
      </c>
      <c r="K4" s="161">
        <v>4.11</v>
      </c>
      <c r="L4" s="161">
        <v>8.1</v>
      </c>
      <c r="M4" s="161">
        <v>4.16</v>
      </c>
      <c r="N4" s="161">
        <v>7.6</v>
      </c>
      <c r="O4" s="161">
        <v>4.17</v>
      </c>
      <c r="P4" s="161" t="s">
        <v>250</v>
      </c>
    </row>
    <row r="5" spans="1:16" ht="15">
      <c r="A5" s="2"/>
      <c r="B5" s="2"/>
      <c r="C5" s="1"/>
      <c r="D5" s="197" t="s">
        <v>240</v>
      </c>
      <c r="E5" s="197" t="s">
        <v>243</v>
      </c>
      <c r="F5" s="197" t="s">
        <v>245</v>
      </c>
      <c r="G5" s="197" t="s">
        <v>247</v>
      </c>
      <c r="H5" s="197" t="s">
        <v>249</v>
      </c>
      <c r="I5" s="2" t="s">
        <v>30</v>
      </c>
      <c r="J5" s="2" t="s">
        <v>51</v>
      </c>
      <c r="K5" s="2" t="s">
        <v>27</v>
      </c>
      <c r="L5" s="2" t="s">
        <v>52</v>
      </c>
      <c r="M5" s="2" t="s">
        <v>32</v>
      </c>
      <c r="N5" s="2" t="s">
        <v>50</v>
      </c>
      <c r="O5" s="2" t="s">
        <v>235</v>
      </c>
      <c r="P5" s="2" t="s">
        <v>45</v>
      </c>
    </row>
    <row r="6" spans="1:16" ht="15">
      <c r="A6" s="2"/>
      <c r="B6" s="2"/>
      <c r="C6" s="1"/>
      <c r="D6" s="198" t="s">
        <v>241</v>
      </c>
      <c r="E6" s="198" t="s">
        <v>242</v>
      </c>
      <c r="F6" s="198" t="s">
        <v>244</v>
      </c>
      <c r="G6" s="198" t="s">
        <v>246</v>
      </c>
      <c r="H6" s="198" t="s">
        <v>248</v>
      </c>
      <c r="I6" s="2" t="s">
        <v>81</v>
      </c>
      <c r="J6" s="2" t="s">
        <v>98</v>
      </c>
      <c r="K6" s="2" t="s">
        <v>78</v>
      </c>
      <c r="L6" s="2" t="s">
        <v>98</v>
      </c>
      <c r="M6" s="2" t="s">
        <v>83</v>
      </c>
      <c r="N6" s="2" t="s">
        <v>82</v>
      </c>
      <c r="O6" s="2" t="s">
        <v>236</v>
      </c>
      <c r="P6" s="2" t="s">
        <v>94</v>
      </c>
    </row>
    <row r="7" spans="1:16" ht="15">
      <c r="A7" s="1"/>
      <c r="B7" s="35" t="s">
        <v>110</v>
      </c>
      <c r="C7" s="133"/>
      <c r="D7" s="199"/>
      <c r="E7" s="199"/>
      <c r="F7" s="199"/>
      <c r="G7" s="199"/>
      <c r="H7" s="199"/>
      <c r="I7" s="199"/>
      <c r="J7" s="133"/>
      <c r="K7" s="199"/>
      <c r="L7" s="199"/>
      <c r="M7" s="199"/>
      <c r="N7" s="199"/>
      <c r="O7" s="199"/>
      <c r="P7" s="199"/>
    </row>
    <row r="8" spans="1:16" ht="15">
      <c r="A8" s="1">
        <v>1</v>
      </c>
      <c r="B8" s="11" t="s">
        <v>112</v>
      </c>
      <c r="C8" s="133"/>
      <c r="D8" s="199">
        <v>0</v>
      </c>
      <c r="E8" s="199">
        <v>585279</v>
      </c>
      <c r="F8" s="199">
        <v>0</v>
      </c>
      <c r="G8" s="199">
        <v>0</v>
      </c>
      <c r="H8" s="199">
        <v>0</v>
      </c>
      <c r="I8" s="199">
        <v>0</v>
      </c>
      <c r="J8" s="200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ht="15">
      <c r="A9" s="1">
        <v>2</v>
      </c>
      <c r="B9" s="11" t="s">
        <v>113</v>
      </c>
      <c r="C9" s="133"/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</row>
    <row r="10" spans="1:16" ht="15">
      <c r="A10" s="1">
        <v>3</v>
      </c>
      <c r="B10" s="11" t="s">
        <v>114</v>
      </c>
      <c r="C10" s="133"/>
      <c r="D10" s="200">
        <v>1082754.6449661807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</row>
    <row r="11" spans="1:16" ht="15">
      <c r="A11" s="1">
        <v>4</v>
      </c>
      <c r="B11" s="11" t="s">
        <v>115</v>
      </c>
      <c r="C11" s="133"/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</row>
    <row r="12" spans="1:16" ht="15">
      <c r="A12" s="1">
        <v>5</v>
      </c>
      <c r="B12" s="187" t="s">
        <v>116</v>
      </c>
      <c r="C12" s="179"/>
      <c r="D12" s="134">
        <f aca="true" t="shared" si="0" ref="D12:P12">SUM(D8:D11)</f>
        <v>1082754.6449661807</v>
      </c>
      <c r="E12" s="134">
        <f t="shared" si="0"/>
        <v>585279</v>
      </c>
      <c r="F12" s="134">
        <f t="shared" si="0"/>
        <v>0</v>
      </c>
      <c r="G12" s="134">
        <f t="shared" si="0"/>
        <v>0</v>
      </c>
      <c r="H12" s="134">
        <f t="shared" si="0"/>
        <v>0</v>
      </c>
      <c r="I12" s="134">
        <f t="shared" si="0"/>
        <v>0</v>
      </c>
      <c r="J12" s="134">
        <f t="shared" si="0"/>
        <v>0</v>
      </c>
      <c r="K12" s="134">
        <f t="shared" si="0"/>
        <v>0</v>
      </c>
      <c r="L12" s="134">
        <f t="shared" si="0"/>
        <v>0</v>
      </c>
      <c r="M12" s="134">
        <f t="shared" si="0"/>
        <v>0</v>
      </c>
      <c r="N12" s="134">
        <f t="shared" si="0"/>
        <v>0</v>
      </c>
      <c r="O12" s="134">
        <f t="shared" si="0"/>
        <v>0</v>
      </c>
      <c r="P12" s="134">
        <f t="shared" si="0"/>
        <v>0</v>
      </c>
    </row>
    <row r="13" spans="1:16" ht="15">
      <c r="A13" s="1">
        <v>6</v>
      </c>
      <c r="B13" s="1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ht="15">
      <c r="A14" s="1">
        <v>7</v>
      </c>
      <c r="B14" s="35" t="s">
        <v>117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ht="15">
      <c r="A15" s="1">
        <v>8</v>
      </c>
      <c r="B15" s="11" t="s">
        <v>118</v>
      </c>
      <c r="C15" s="133"/>
      <c r="D15" s="200">
        <v>4975.206764544145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</row>
    <row r="16" spans="1:16" ht="15">
      <c r="A16" s="1">
        <v>9</v>
      </c>
      <c r="B16" s="11" t="s">
        <v>119</v>
      </c>
      <c r="C16" s="133"/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</row>
    <row r="17" spans="1:16" ht="15">
      <c r="A17" s="1">
        <v>10</v>
      </c>
      <c r="B17" s="11" t="s">
        <v>120</v>
      </c>
      <c r="C17" s="133"/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</row>
    <row r="18" spans="1:16" ht="15">
      <c r="A18" s="1">
        <v>11</v>
      </c>
      <c r="B18" s="11" t="s">
        <v>121</v>
      </c>
      <c r="C18" s="133"/>
      <c r="D18" s="200">
        <v>-779646.1403184361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</row>
    <row r="19" spans="1:16" ht="15">
      <c r="A19" s="1">
        <v>12</v>
      </c>
      <c r="B19" s="11" t="s">
        <v>122</v>
      </c>
      <c r="C19" s="133"/>
      <c r="D19" s="200">
        <v>18591.32985174617</v>
      </c>
      <c r="E19" s="200">
        <v>0</v>
      </c>
      <c r="F19" s="200">
        <v>-323713.0003442859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</row>
    <row r="20" spans="1:16" ht="15">
      <c r="A20" s="1">
        <v>13</v>
      </c>
      <c r="B20" s="11" t="s">
        <v>123</v>
      </c>
      <c r="C20" s="133"/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</row>
    <row r="21" spans="1:16" ht="15">
      <c r="A21" s="1">
        <v>14</v>
      </c>
      <c r="B21" s="11" t="s">
        <v>124</v>
      </c>
      <c r="C21" s="133"/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</row>
    <row r="22" spans="1:16" ht="15">
      <c r="A22" s="1">
        <v>15</v>
      </c>
      <c r="B22" s="11" t="s">
        <v>125</v>
      </c>
      <c r="C22" s="133"/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</row>
    <row r="23" spans="1:16" ht="15">
      <c r="A23" s="1">
        <v>16</v>
      </c>
      <c r="B23" s="11" t="s">
        <v>126</v>
      </c>
      <c r="C23" s="133"/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</row>
    <row r="24" spans="1:16" ht="15">
      <c r="A24" s="1">
        <v>17</v>
      </c>
      <c r="B24" s="184" t="s">
        <v>127</v>
      </c>
      <c r="C24" s="178"/>
      <c r="D24" s="201">
        <v>0</v>
      </c>
      <c r="E24" s="201">
        <v>0</v>
      </c>
      <c r="F24" s="201">
        <v>0</v>
      </c>
      <c r="G24" s="201">
        <v>0</v>
      </c>
      <c r="H24" s="201">
        <v>-663199.5330035022</v>
      </c>
      <c r="I24" s="201">
        <v>-1480.021435289709</v>
      </c>
      <c r="J24" s="201">
        <v>0</v>
      </c>
      <c r="K24" s="201">
        <v>-600000</v>
      </c>
      <c r="L24" s="201">
        <v>-30000</v>
      </c>
      <c r="M24" s="201">
        <v>-168096.0174984478</v>
      </c>
      <c r="N24" s="201">
        <v>0</v>
      </c>
      <c r="O24" s="201">
        <v>-550000</v>
      </c>
      <c r="P24" s="201">
        <v>0</v>
      </c>
    </row>
    <row r="25" spans="1:16" ht="15">
      <c r="A25" s="1">
        <v>18</v>
      </c>
      <c r="B25" s="35" t="s">
        <v>128</v>
      </c>
      <c r="C25" s="133"/>
      <c r="D25" s="135">
        <f aca="true" t="shared" si="1" ref="D25:P25">SUM(D15:D24)</f>
        <v>-756079.6037021457</v>
      </c>
      <c r="E25" s="135">
        <f t="shared" si="1"/>
        <v>0</v>
      </c>
      <c r="F25" s="135">
        <f t="shared" si="1"/>
        <v>-323713.0003442859</v>
      </c>
      <c r="G25" s="135">
        <f t="shared" si="1"/>
        <v>0</v>
      </c>
      <c r="H25" s="135">
        <f t="shared" si="1"/>
        <v>-663199.5330035022</v>
      </c>
      <c r="I25" s="135">
        <f t="shared" si="1"/>
        <v>-1480.021435289709</v>
      </c>
      <c r="J25" s="135">
        <f t="shared" si="1"/>
        <v>0</v>
      </c>
      <c r="K25" s="135">
        <f t="shared" si="1"/>
        <v>-600000</v>
      </c>
      <c r="L25" s="135">
        <f t="shared" si="1"/>
        <v>-30000</v>
      </c>
      <c r="M25" s="135">
        <f t="shared" si="1"/>
        <v>-168096.0174984478</v>
      </c>
      <c r="N25" s="135">
        <f t="shared" si="1"/>
        <v>0</v>
      </c>
      <c r="O25" s="135">
        <f t="shared" si="1"/>
        <v>-550000</v>
      </c>
      <c r="P25" s="135">
        <f t="shared" si="1"/>
        <v>0</v>
      </c>
    </row>
    <row r="26" spans="1:16" ht="15">
      <c r="A26" s="1">
        <v>19</v>
      </c>
      <c r="B26" s="11" t="s">
        <v>129</v>
      </c>
      <c r="C26" s="133"/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</row>
    <row r="27" spans="1:16" ht="15">
      <c r="A27" s="1">
        <v>20</v>
      </c>
      <c r="B27" s="11" t="s">
        <v>103</v>
      </c>
      <c r="C27" s="133"/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</row>
    <row r="28" spans="1:16" ht="15">
      <c r="A28" s="1">
        <v>21</v>
      </c>
      <c r="B28" s="11" t="s">
        <v>130</v>
      </c>
      <c r="C28" s="133"/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148396.8103479336</v>
      </c>
      <c r="O28" s="200">
        <v>0</v>
      </c>
      <c r="P28" s="200">
        <v>0</v>
      </c>
    </row>
    <row r="29" spans="1:16" ht="15">
      <c r="A29" s="1">
        <v>22</v>
      </c>
      <c r="B29" s="11" t="s">
        <v>131</v>
      </c>
      <c r="C29" s="133"/>
      <c r="D29" s="129">
        <f aca="true" t="shared" si="2" ref="D29:P29">D85</f>
        <v>614372.9108225745</v>
      </c>
      <c r="E29" s="129">
        <f t="shared" si="2"/>
        <v>195547.56668999998</v>
      </c>
      <c r="F29" s="129">
        <f t="shared" si="2"/>
        <v>108155.75054502937</v>
      </c>
      <c r="G29" s="129">
        <f t="shared" si="2"/>
        <v>0</v>
      </c>
      <c r="H29" s="129">
        <f t="shared" si="2"/>
        <v>221581.59597180012</v>
      </c>
      <c r="I29" s="129">
        <f t="shared" si="2"/>
        <v>494.48996174464463</v>
      </c>
      <c r="J29" s="129">
        <f t="shared" si="2"/>
        <v>-579727</v>
      </c>
      <c r="K29" s="129">
        <f t="shared" si="2"/>
        <v>200466</v>
      </c>
      <c r="L29" s="129">
        <f t="shared" si="2"/>
        <v>10023.3</v>
      </c>
      <c r="M29" s="129">
        <f t="shared" si="2"/>
        <v>56162.56040640638</v>
      </c>
      <c r="N29" s="129">
        <f t="shared" si="2"/>
        <v>-49580.8583053481</v>
      </c>
      <c r="O29" s="129">
        <f t="shared" si="2"/>
        <v>183760.5</v>
      </c>
      <c r="P29" s="129">
        <f t="shared" si="2"/>
        <v>0</v>
      </c>
    </row>
    <row r="30" spans="1:16" ht="15">
      <c r="A30" s="1">
        <v>23</v>
      </c>
      <c r="B30" s="11" t="s">
        <v>132</v>
      </c>
      <c r="C30" s="133"/>
      <c r="D30" s="129">
        <f aca="true" t="shared" si="3" ref="D30:P30">D82</f>
        <v>83483.07488954203</v>
      </c>
      <c r="E30" s="129">
        <f t="shared" si="3"/>
        <v>26571.6666</v>
      </c>
      <c r="F30" s="129">
        <f t="shared" si="3"/>
        <v>14696.570215630582</v>
      </c>
      <c r="G30" s="129">
        <f t="shared" si="3"/>
        <v>0</v>
      </c>
      <c r="H30" s="129">
        <f t="shared" si="3"/>
        <v>30109.258798359002</v>
      </c>
      <c r="I30" s="129">
        <f t="shared" si="3"/>
        <v>67.1929731621528</v>
      </c>
      <c r="J30" s="129">
        <f t="shared" si="3"/>
        <v>0</v>
      </c>
      <c r="K30" s="129">
        <f t="shared" si="3"/>
        <v>27240</v>
      </c>
      <c r="L30" s="129">
        <f t="shared" si="3"/>
        <v>1362</v>
      </c>
      <c r="M30" s="129">
        <f t="shared" si="3"/>
        <v>7631.55919442953</v>
      </c>
      <c r="N30" s="129">
        <f t="shared" si="3"/>
        <v>-6737.215189796187</v>
      </c>
      <c r="O30" s="129">
        <f t="shared" si="3"/>
        <v>24970</v>
      </c>
      <c r="P30" s="129">
        <f t="shared" si="3"/>
        <v>0</v>
      </c>
    </row>
    <row r="31" spans="1:16" ht="15">
      <c r="A31" s="1">
        <v>24</v>
      </c>
      <c r="B31" s="11" t="s">
        <v>133</v>
      </c>
      <c r="C31" s="133"/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</row>
    <row r="32" spans="1:16" ht="15">
      <c r="A32" s="1">
        <v>25</v>
      </c>
      <c r="B32" s="11" t="s">
        <v>134</v>
      </c>
      <c r="C32" s="133"/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</row>
    <row r="33" spans="1:16" ht="15">
      <c r="A33" s="1">
        <v>26</v>
      </c>
      <c r="B33" s="11" t="s">
        <v>135</v>
      </c>
      <c r="C33" s="133"/>
      <c r="D33" s="200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</row>
    <row r="34" spans="1:16" ht="15">
      <c r="A34" s="1">
        <v>27</v>
      </c>
      <c r="B34" s="187" t="s">
        <v>136</v>
      </c>
      <c r="C34" s="179"/>
      <c r="D34" s="136">
        <f aca="true" t="shared" si="4" ref="D34:P34">SUM(D25:D33)</f>
        <v>-58223.617990029205</v>
      </c>
      <c r="E34" s="136">
        <f t="shared" si="4"/>
        <v>222119.23328999997</v>
      </c>
      <c r="F34" s="136">
        <f t="shared" si="4"/>
        <v>-200860.67958362598</v>
      </c>
      <c r="G34" s="136">
        <f t="shared" si="4"/>
        <v>0</v>
      </c>
      <c r="H34" s="136">
        <f t="shared" si="4"/>
        <v>-411508.678233343</v>
      </c>
      <c r="I34" s="136">
        <f t="shared" si="4"/>
        <v>-918.3385003829114</v>
      </c>
      <c r="J34" s="136">
        <f t="shared" si="4"/>
        <v>-579727</v>
      </c>
      <c r="K34" s="136">
        <f t="shared" si="4"/>
        <v>-372294</v>
      </c>
      <c r="L34" s="136">
        <f t="shared" si="4"/>
        <v>-18614.7</v>
      </c>
      <c r="M34" s="136">
        <f t="shared" si="4"/>
        <v>-104301.89789761188</v>
      </c>
      <c r="N34" s="136">
        <f t="shared" si="4"/>
        <v>92078.73685278933</v>
      </c>
      <c r="O34" s="136">
        <f t="shared" si="4"/>
        <v>-341269.5</v>
      </c>
      <c r="P34" s="136">
        <f t="shared" si="4"/>
        <v>0</v>
      </c>
    </row>
    <row r="35" spans="1:16" ht="15">
      <c r="A35" s="1">
        <v>28</v>
      </c>
      <c r="B35" s="11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</row>
    <row r="36" spans="1:16" ht="15.75" thickBot="1">
      <c r="A36" s="1">
        <v>29</v>
      </c>
      <c r="B36" s="40" t="s">
        <v>137</v>
      </c>
      <c r="C36" s="180"/>
      <c r="D36" s="137">
        <f aca="true" t="shared" si="5" ref="D36:I36">D12-D34</f>
        <v>1140978.26295621</v>
      </c>
      <c r="E36" s="137">
        <f t="shared" si="5"/>
        <v>363159.76671</v>
      </c>
      <c r="F36" s="137">
        <f t="shared" si="5"/>
        <v>200860.67958362598</v>
      </c>
      <c r="G36" s="137">
        <f t="shared" si="5"/>
        <v>0</v>
      </c>
      <c r="H36" s="137">
        <f t="shared" si="5"/>
        <v>411508.678233343</v>
      </c>
      <c r="I36" s="137">
        <f t="shared" si="5"/>
        <v>918.3385003829114</v>
      </c>
      <c r="J36" s="202">
        <v>579727</v>
      </c>
      <c r="K36" s="137">
        <f aca="true" t="shared" si="6" ref="K36:P36">K12-K34</f>
        <v>372294</v>
      </c>
      <c r="L36" s="137">
        <f t="shared" si="6"/>
        <v>18614.7</v>
      </c>
      <c r="M36" s="137">
        <f t="shared" si="6"/>
        <v>104301.89789761188</v>
      </c>
      <c r="N36" s="137">
        <f t="shared" si="6"/>
        <v>-92078.73685278933</v>
      </c>
      <c r="O36" s="137">
        <f t="shared" si="6"/>
        <v>341269.5</v>
      </c>
      <c r="P36" s="137">
        <f t="shared" si="6"/>
        <v>0</v>
      </c>
    </row>
    <row r="37" spans="1:16" ht="15.75" thickTop="1">
      <c r="A37" s="1">
        <v>30</v>
      </c>
      <c r="B37" s="11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6" ht="15">
      <c r="A38" s="1">
        <v>31</v>
      </c>
      <c r="B38" s="35" t="s">
        <v>138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1:16" ht="15">
      <c r="A39" s="1">
        <v>32</v>
      </c>
      <c r="B39" s="11" t="s">
        <v>139</v>
      </c>
      <c r="C39" s="133"/>
      <c r="D39" s="200">
        <v>0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</row>
    <row r="40" spans="1:16" ht="15">
      <c r="A40" s="1">
        <v>33</v>
      </c>
      <c r="B40" s="11" t="s">
        <v>140</v>
      </c>
      <c r="C40" s="133"/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</row>
    <row r="41" spans="1:16" ht="15">
      <c r="A41" s="1">
        <v>34</v>
      </c>
      <c r="B41" s="11" t="s">
        <v>141</v>
      </c>
      <c r="C41" s="133"/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</row>
    <row r="42" spans="1:16" ht="15">
      <c r="A42" s="1">
        <v>35</v>
      </c>
      <c r="B42" s="11" t="s">
        <v>142</v>
      </c>
      <c r="C42" s="133"/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0</v>
      </c>
      <c r="P42" s="200">
        <v>0</v>
      </c>
    </row>
    <row r="43" spans="1:16" ht="15">
      <c r="A43" s="1">
        <v>36</v>
      </c>
      <c r="B43" s="11" t="s">
        <v>143</v>
      </c>
      <c r="C43" s="133"/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</row>
    <row r="44" spans="1:16" ht="15">
      <c r="A44" s="1">
        <v>37</v>
      </c>
      <c r="B44" s="11" t="s">
        <v>144</v>
      </c>
      <c r="C44" s="133"/>
      <c r="D44" s="200">
        <v>0</v>
      </c>
      <c r="E44" s="200">
        <v>0</v>
      </c>
      <c r="F44" s="200">
        <v>0</v>
      </c>
      <c r="G44" s="129">
        <v>-1334684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</row>
    <row r="45" spans="1:16" ht="15">
      <c r="A45" s="1">
        <v>38</v>
      </c>
      <c r="B45" s="11" t="s">
        <v>145</v>
      </c>
      <c r="C45" s="133"/>
      <c r="D45" s="200">
        <v>0</v>
      </c>
      <c r="E45" s="200">
        <v>0</v>
      </c>
      <c r="F45" s="200">
        <v>0</v>
      </c>
      <c r="G45" s="129">
        <v>-4068814</v>
      </c>
      <c r="H45" s="200">
        <v>0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</row>
    <row r="46" spans="1:16" ht="15">
      <c r="A46" s="1">
        <v>39</v>
      </c>
      <c r="B46" s="11" t="s">
        <v>146</v>
      </c>
      <c r="C46" s="133"/>
      <c r="D46" s="200">
        <v>0</v>
      </c>
      <c r="E46" s="200">
        <v>0</v>
      </c>
      <c r="F46" s="200">
        <v>0</v>
      </c>
      <c r="G46" s="129">
        <v>-6613137</v>
      </c>
      <c r="H46" s="200">
        <v>0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</row>
    <row r="47" spans="1:16" ht="15">
      <c r="A47" s="1">
        <v>40</v>
      </c>
      <c r="B47" s="11" t="s">
        <v>106</v>
      </c>
      <c r="C47" s="133"/>
      <c r="D47" s="200">
        <v>0</v>
      </c>
      <c r="E47" s="200">
        <v>0</v>
      </c>
      <c r="F47" s="200">
        <v>0</v>
      </c>
      <c r="G47" s="200">
        <f>1632230+2016635</f>
        <v>3648865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0">
        <v>0</v>
      </c>
      <c r="P47" s="200">
        <v>0</v>
      </c>
    </row>
    <row r="48" spans="1:16" ht="15">
      <c r="A48" s="1">
        <v>41</v>
      </c>
      <c r="B48" s="11" t="s">
        <v>147</v>
      </c>
      <c r="C48" s="133"/>
      <c r="D48" s="200">
        <v>0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</row>
    <row r="49" spans="1:16" ht="15">
      <c r="A49" s="1">
        <v>42</v>
      </c>
      <c r="B49" s="11" t="s">
        <v>148</v>
      </c>
      <c r="C49" s="133"/>
      <c r="D49" s="200">
        <v>0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</row>
    <row r="50" spans="1:16" ht="15">
      <c r="A50" s="1">
        <v>43</v>
      </c>
      <c r="B50" s="187" t="s">
        <v>149</v>
      </c>
      <c r="C50" s="179"/>
      <c r="D50" s="136">
        <f aca="true" t="shared" si="7" ref="D50:I50">SUM(D39:D49)</f>
        <v>0</v>
      </c>
      <c r="E50" s="136">
        <f t="shared" si="7"/>
        <v>0</v>
      </c>
      <c r="F50" s="136">
        <f t="shared" si="7"/>
        <v>0</v>
      </c>
      <c r="G50" s="136">
        <f t="shared" si="7"/>
        <v>-8367770</v>
      </c>
      <c r="H50" s="136">
        <f t="shared" si="7"/>
        <v>0</v>
      </c>
      <c r="I50" s="136">
        <f t="shared" si="7"/>
        <v>0</v>
      </c>
      <c r="J50" s="203">
        <v>0</v>
      </c>
      <c r="K50" s="136">
        <f aca="true" t="shared" si="8" ref="K50:P50">SUM(K39:K49)</f>
        <v>0</v>
      </c>
      <c r="L50" s="136">
        <f t="shared" si="8"/>
        <v>0</v>
      </c>
      <c r="M50" s="136">
        <f t="shared" si="8"/>
        <v>0</v>
      </c>
      <c r="N50" s="136">
        <f t="shared" si="8"/>
        <v>0</v>
      </c>
      <c r="O50" s="136">
        <f t="shared" si="8"/>
        <v>0</v>
      </c>
      <c r="P50" s="136">
        <f t="shared" si="8"/>
        <v>0</v>
      </c>
    </row>
    <row r="51" spans="1:16" ht="15">
      <c r="A51" s="1">
        <v>44</v>
      </c>
      <c r="B51" s="11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</row>
    <row r="52" spans="1:16" ht="15">
      <c r="A52" s="1">
        <v>45</v>
      </c>
      <c r="B52" s="35" t="s">
        <v>150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</row>
    <row r="53" spans="1:16" ht="15">
      <c r="A53" s="1">
        <v>46</v>
      </c>
      <c r="B53" s="11" t="s">
        <v>151</v>
      </c>
      <c r="C53" s="133"/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200">
        <v>0</v>
      </c>
    </row>
    <row r="54" spans="1:16" ht="15">
      <c r="A54" s="1">
        <v>47</v>
      </c>
      <c r="B54" s="11" t="s">
        <v>152</v>
      </c>
      <c r="C54" s="133"/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</row>
    <row r="55" spans="1:16" ht="15">
      <c r="A55" s="1">
        <v>48</v>
      </c>
      <c r="B55" s="11" t="s">
        <v>153</v>
      </c>
      <c r="C55" s="133"/>
      <c r="D55" s="200">
        <v>0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200">
        <v>-2318907.5</v>
      </c>
      <c r="K55" s="200">
        <v>0</v>
      </c>
      <c r="L55" s="200">
        <v>0</v>
      </c>
      <c r="M55" s="200">
        <v>0</v>
      </c>
      <c r="N55" s="200">
        <v>0</v>
      </c>
      <c r="O55" s="200">
        <v>0</v>
      </c>
      <c r="P55" s="200">
        <v>0</v>
      </c>
    </row>
    <row r="56" spans="1:16" ht="15">
      <c r="A56" s="1">
        <v>49</v>
      </c>
      <c r="B56" s="11" t="s">
        <v>154</v>
      </c>
      <c r="C56" s="133"/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</row>
    <row r="57" spans="1:16" ht="15">
      <c r="A57" s="1">
        <v>50</v>
      </c>
      <c r="B57" s="11" t="s">
        <v>155</v>
      </c>
      <c r="C57" s="133"/>
      <c r="D57" s="200">
        <v>0</v>
      </c>
      <c r="E57" s="200">
        <v>0</v>
      </c>
      <c r="F57" s="200">
        <v>0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0">
        <v>0</v>
      </c>
      <c r="O57" s="200">
        <v>0</v>
      </c>
      <c r="P57" s="200">
        <v>0</v>
      </c>
    </row>
    <row r="58" spans="1:16" ht="15">
      <c r="A58" s="1">
        <v>51</v>
      </c>
      <c r="B58" s="11" t="s">
        <v>156</v>
      </c>
      <c r="C58" s="133"/>
      <c r="D58" s="200">
        <v>0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</row>
    <row r="59" spans="1:16" ht="15">
      <c r="A59" s="1">
        <v>52</v>
      </c>
      <c r="B59" s="11" t="s">
        <v>157</v>
      </c>
      <c r="C59" s="133"/>
      <c r="D59" s="200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</row>
    <row r="60" spans="1:16" ht="15">
      <c r="A60" s="1">
        <v>53</v>
      </c>
      <c r="B60" s="11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ht="15">
      <c r="A61" s="1">
        <v>54</v>
      </c>
      <c r="B61" s="187" t="s">
        <v>158</v>
      </c>
      <c r="C61" s="179"/>
      <c r="D61" s="136">
        <f aca="true" t="shared" si="9" ref="D61:P61">SUM(D53:D60)</f>
        <v>0</v>
      </c>
      <c r="E61" s="136">
        <f t="shared" si="9"/>
        <v>0</v>
      </c>
      <c r="F61" s="136">
        <f t="shared" si="9"/>
        <v>0</v>
      </c>
      <c r="G61" s="136">
        <f t="shared" si="9"/>
        <v>0</v>
      </c>
      <c r="H61" s="136">
        <f t="shared" si="9"/>
        <v>0</v>
      </c>
      <c r="I61" s="136">
        <f t="shared" si="9"/>
        <v>0</v>
      </c>
      <c r="J61" s="136">
        <f t="shared" si="9"/>
        <v>-2318907.5</v>
      </c>
      <c r="K61" s="136">
        <f t="shared" si="9"/>
        <v>0</v>
      </c>
      <c r="L61" s="136">
        <f t="shared" si="9"/>
        <v>0</v>
      </c>
      <c r="M61" s="136">
        <f t="shared" si="9"/>
        <v>0</v>
      </c>
      <c r="N61" s="136">
        <f t="shared" si="9"/>
        <v>0</v>
      </c>
      <c r="O61" s="136">
        <f t="shared" si="9"/>
        <v>0</v>
      </c>
      <c r="P61" s="136">
        <f t="shared" si="9"/>
        <v>0</v>
      </c>
    </row>
    <row r="62" spans="1:16" ht="15">
      <c r="A62" s="1">
        <v>55</v>
      </c>
      <c r="B62" s="11"/>
      <c r="C62" s="133"/>
      <c r="D62" s="129"/>
      <c r="E62" s="129"/>
      <c r="F62" s="129"/>
      <c r="G62" s="129"/>
      <c r="H62" s="129"/>
      <c r="I62" s="129"/>
      <c r="J62" s="133"/>
      <c r="K62" s="129"/>
      <c r="L62" s="129"/>
      <c r="M62" s="129"/>
      <c r="N62" s="129"/>
      <c r="O62" s="129"/>
      <c r="P62" s="129"/>
    </row>
    <row r="63" spans="1:16" ht="15.75" thickBot="1">
      <c r="A63" s="1">
        <v>56</v>
      </c>
      <c r="B63" s="37" t="s">
        <v>159</v>
      </c>
      <c r="C63" s="133"/>
      <c r="D63" s="138">
        <f aca="true" t="shared" si="10" ref="D63:P63">D50+D61</f>
        <v>0</v>
      </c>
      <c r="E63" s="138">
        <f t="shared" si="10"/>
        <v>0</v>
      </c>
      <c r="F63" s="138">
        <f t="shared" si="10"/>
        <v>0</v>
      </c>
      <c r="G63" s="138">
        <f t="shared" si="10"/>
        <v>-8367770</v>
      </c>
      <c r="H63" s="138">
        <f t="shared" si="10"/>
        <v>0</v>
      </c>
      <c r="I63" s="138">
        <f t="shared" si="10"/>
        <v>0</v>
      </c>
      <c r="J63" s="138">
        <f t="shared" si="10"/>
        <v>-2318907.5</v>
      </c>
      <c r="K63" s="138">
        <f t="shared" si="10"/>
        <v>0</v>
      </c>
      <c r="L63" s="138">
        <f t="shared" si="10"/>
        <v>0</v>
      </c>
      <c r="M63" s="138">
        <f t="shared" si="10"/>
        <v>0</v>
      </c>
      <c r="N63" s="138">
        <f t="shared" si="10"/>
        <v>0</v>
      </c>
      <c r="O63" s="138">
        <f t="shared" si="10"/>
        <v>0</v>
      </c>
      <c r="P63" s="138">
        <f t="shared" si="10"/>
        <v>0</v>
      </c>
    </row>
    <row r="64" spans="1:16" ht="15">
      <c r="A64" s="1">
        <v>57</v>
      </c>
      <c r="B64" s="175" t="s">
        <v>239</v>
      </c>
      <c r="C64" s="176">
        <f>+'Panel4Conversion factor'!C17</f>
        <v>0.59071</v>
      </c>
      <c r="D64" s="170"/>
      <c r="E64" s="170"/>
      <c r="F64" s="170"/>
      <c r="G64" s="170"/>
      <c r="H64" s="170"/>
      <c r="I64" s="170"/>
      <c r="J64" s="171"/>
      <c r="K64" s="170"/>
      <c r="L64" s="170"/>
      <c r="M64" s="170"/>
      <c r="N64" s="170"/>
      <c r="O64" s="170"/>
      <c r="P64" s="171"/>
    </row>
    <row r="65" spans="1:16" ht="15.75" thickBot="1">
      <c r="A65" s="1">
        <v>58</v>
      </c>
      <c r="B65" s="177" t="s">
        <v>257</v>
      </c>
      <c r="C65" s="194"/>
      <c r="D65" s="172">
        <f>-D36/$C$64</f>
        <v>-1931537.0705696705</v>
      </c>
      <c r="E65" s="172">
        <f>-E36/$C$64</f>
        <v>-614785.2020619255</v>
      </c>
      <c r="F65" s="172">
        <f>-F36/$C$64</f>
        <v>-340032.6379841648</v>
      </c>
      <c r="G65" s="173">
        <f>+G63*'Panel4cost of capital'!$E$11/'Panel4Conversion factor'!$C$17</f>
        <v>-1188495.0364815225</v>
      </c>
      <c r="H65" s="172">
        <f>-H36/$C$64</f>
        <v>-696634.0137010429</v>
      </c>
      <c r="I65" s="172">
        <f>-I36/$C$64</f>
        <v>-1554.6351007819599</v>
      </c>
      <c r="J65" s="174">
        <f>-J36/$C$64+J63*'Panel4cost of capital'!$E$11/'Panel4Conversion factor'!$C$17</f>
        <v>-1310767.2787831593</v>
      </c>
      <c r="K65" s="172">
        <f aca="true" t="shared" si="11" ref="K65:P65">-K36/$C$64</f>
        <v>-630248.3452116945</v>
      </c>
      <c r="L65" s="172">
        <f t="shared" si="11"/>
        <v>-31512.417260584723</v>
      </c>
      <c r="M65" s="172">
        <f t="shared" si="11"/>
        <v>-176570.39477512127</v>
      </c>
      <c r="N65" s="172">
        <f t="shared" si="11"/>
        <v>155878.07359413136</v>
      </c>
      <c r="O65" s="172">
        <f t="shared" si="11"/>
        <v>-577727.6497773866</v>
      </c>
      <c r="P65" s="174">
        <f t="shared" si="11"/>
        <v>0</v>
      </c>
    </row>
    <row r="66" spans="1:16" ht="15">
      <c r="A66" s="1">
        <v>59</v>
      </c>
      <c r="B66" s="94"/>
      <c r="C66" s="164"/>
      <c r="D66" s="165"/>
      <c r="E66" s="165"/>
      <c r="F66" s="165"/>
      <c r="G66" s="4"/>
      <c r="H66" s="165"/>
      <c r="I66" s="165"/>
      <c r="J66" s="166"/>
      <c r="K66" s="165"/>
      <c r="L66" s="165"/>
      <c r="M66" s="165"/>
      <c r="N66" s="165"/>
      <c r="O66" s="165"/>
      <c r="P66" s="165"/>
    </row>
    <row r="67" spans="1:16" ht="15">
      <c r="A67" s="1">
        <v>60</v>
      </c>
      <c r="B67" s="1"/>
      <c r="C67" s="164"/>
      <c r="D67" s="165"/>
      <c r="E67" s="165"/>
      <c r="F67" s="165"/>
      <c r="G67" s="166"/>
      <c r="H67" s="165"/>
      <c r="I67" s="165"/>
      <c r="J67" s="166"/>
      <c r="K67" s="165"/>
      <c r="L67" s="11" t="s">
        <v>251</v>
      </c>
      <c r="M67" s="165"/>
      <c r="N67" s="165"/>
      <c r="O67" s="165"/>
      <c r="P67" s="165"/>
    </row>
    <row r="68" spans="1:16" ht="15">
      <c r="A68" s="1">
        <v>61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>
        <v>62</v>
      </c>
      <c r="B69" s="16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>
        <v>63</v>
      </c>
      <c r="B70" s="11"/>
      <c r="C70" s="133"/>
      <c r="D70" s="133"/>
      <c r="E70" s="133"/>
      <c r="F70" s="133"/>
      <c r="G70" s="133"/>
      <c r="H70" s="133"/>
      <c r="I70" s="133"/>
      <c r="J70" s="159"/>
      <c r="K70" s="133"/>
      <c r="L70" s="133"/>
      <c r="M70" s="133"/>
      <c r="N70" s="133"/>
      <c r="O70" s="133"/>
      <c r="P70" s="133"/>
    </row>
    <row r="71" spans="1:16" ht="15">
      <c r="A71" s="1">
        <v>64</v>
      </c>
      <c r="B71" s="11" t="s">
        <v>160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</row>
    <row r="72" spans="1:16" ht="15">
      <c r="A72" s="1">
        <v>65</v>
      </c>
      <c r="B72" s="11" t="s">
        <v>5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</row>
    <row r="73" spans="1:16" ht="15">
      <c r="A73" s="1">
        <v>66</v>
      </c>
      <c r="B73" s="11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4" spans="1:16" ht="15">
      <c r="A74" s="1">
        <v>67</v>
      </c>
      <c r="B74" s="11" t="s">
        <v>163</v>
      </c>
      <c r="C74" s="133"/>
      <c r="D74" s="129">
        <f aca="true" t="shared" si="12" ref="D74:P74">D12-D25-D26-D27-D28-D33</f>
        <v>1838834.2486683265</v>
      </c>
      <c r="E74" s="129">
        <f t="shared" si="12"/>
        <v>585279</v>
      </c>
      <c r="F74" s="129">
        <f t="shared" si="12"/>
        <v>323713.0003442859</v>
      </c>
      <c r="G74" s="129">
        <f t="shared" si="12"/>
        <v>0</v>
      </c>
      <c r="H74" s="129">
        <f t="shared" si="12"/>
        <v>663199.5330035022</v>
      </c>
      <c r="I74" s="129">
        <f t="shared" si="12"/>
        <v>1480.021435289709</v>
      </c>
      <c r="J74" s="129">
        <f t="shared" si="12"/>
        <v>0</v>
      </c>
      <c r="K74" s="129">
        <f t="shared" si="12"/>
        <v>600000</v>
      </c>
      <c r="L74" s="129">
        <f t="shared" si="12"/>
        <v>30000</v>
      </c>
      <c r="M74" s="129">
        <f t="shared" si="12"/>
        <v>168096.0174984478</v>
      </c>
      <c r="N74" s="129">
        <f t="shared" si="12"/>
        <v>-148396.8103479336</v>
      </c>
      <c r="O74" s="129">
        <f t="shared" si="12"/>
        <v>550000</v>
      </c>
      <c r="P74" s="129">
        <f t="shared" si="12"/>
        <v>0</v>
      </c>
    </row>
    <row r="75" spans="1:16" ht="15">
      <c r="A75" s="1">
        <v>68</v>
      </c>
      <c r="B75" s="11" t="s">
        <v>164</v>
      </c>
      <c r="C75" s="133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</row>
    <row r="76" spans="1:16" ht="15">
      <c r="A76" s="1">
        <v>69</v>
      </c>
      <c r="B76" s="11" t="s">
        <v>165</v>
      </c>
      <c r="C76" s="133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</row>
    <row r="77" spans="1:16" ht="15">
      <c r="A77" s="1">
        <v>70</v>
      </c>
      <c r="B77" s="11" t="s">
        <v>45</v>
      </c>
      <c r="C77" s="133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>
        <v>0</v>
      </c>
    </row>
    <row r="78" spans="1:16" ht="15">
      <c r="A78" s="1">
        <v>71</v>
      </c>
      <c r="B78" s="11" t="s">
        <v>166</v>
      </c>
      <c r="C78" s="133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15">
      <c r="A79" s="1">
        <v>72</v>
      </c>
      <c r="B79" s="11" t="s">
        <v>167</v>
      </c>
      <c r="C79" s="133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</row>
    <row r="80" spans="1:16" ht="15">
      <c r="A80" s="1">
        <v>73</v>
      </c>
      <c r="B80" s="11"/>
      <c r="C80" s="133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15">
      <c r="A81" s="1">
        <v>74</v>
      </c>
      <c r="B81" s="11" t="s">
        <v>168</v>
      </c>
      <c r="C81" s="133"/>
      <c r="D81" s="159">
        <f aca="true" t="shared" si="13" ref="D81:P81">D74-D75-D76-D77+D78-D79</f>
        <v>1838834.2486683265</v>
      </c>
      <c r="E81" s="159">
        <f t="shared" si="13"/>
        <v>585279</v>
      </c>
      <c r="F81" s="159">
        <f t="shared" si="13"/>
        <v>323713.0003442859</v>
      </c>
      <c r="G81" s="159">
        <f t="shared" si="13"/>
        <v>0</v>
      </c>
      <c r="H81" s="159">
        <f t="shared" si="13"/>
        <v>663199.5330035022</v>
      </c>
      <c r="I81" s="159">
        <f t="shared" si="13"/>
        <v>1480.021435289709</v>
      </c>
      <c r="J81" s="159">
        <f t="shared" si="13"/>
        <v>0</v>
      </c>
      <c r="K81" s="159">
        <f t="shared" si="13"/>
        <v>600000</v>
      </c>
      <c r="L81" s="159">
        <f t="shared" si="13"/>
        <v>30000</v>
      </c>
      <c r="M81" s="159">
        <f t="shared" si="13"/>
        <v>168096.0174984478</v>
      </c>
      <c r="N81" s="159">
        <f t="shared" si="13"/>
        <v>-148396.8103479336</v>
      </c>
      <c r="O81" s="159">
        <f t="shared" si="13"/>
        <v>550000</v>
      </c>
      <c r="P81" s="159">
        <f t="shared" si="13"/>
        <v>0</v>
      </c>
    </row>
    <row r="82" spans="1:16" ht="15">
      <c r="A82" s="1">
        <v>75</v>
      </c>
      <c r="B82" s="11" t="s">
        <v>169</v>
      </c>
      <c r="C82" s="133"/>
      <c r="D82" s="129">
        <f>D81*'Panel4 adjs'!$F$67</f>
        <v>83483.07488954203</v>
      </c>
      <c r="E82" s="129">
        <f>E81*'Panel4 adjs'!$F$67</f>
        <v>26571.6666</v>
      </c>
      <c r="F82" s="129">
        <f>F81*'Panel4 adjs'!$F$67</f>
        <v>14696.570215630582</v>
      </c>
      <c r="G82" s="129">
        <f>G81*'Panel4 adjs'!$F$67</f>
        <v>0</v>
      </c>
      <c r="H82" s="129">
        <f>H81*'Panel4 adjs'!$F$67</f>
        <v>30109.258798359002</v>
      </c>
      <c r="I82" s="129">
        <f>I81*'Panel4 adjs'!$F$67</f>
        <v>67.1929731621528</v>
      </c>
      <c r="J82" s="129">
        <f>J81*'Panel4 adjs'!$F$67</f>
        <v>0</v>
      </c>
      <c r="K82" s="129">
        <f>K81*'Panel4 adjs'!$F$67</f>
        <v>27240</v>
      </c>
      <c r="L82" s="129">
        <f>L81*'Panel4 adjs'!$F$67</f>
        <v>1362</v>
      </c>
      <c r="M82" s="129">
        <f>M81*'Panel4 adjs'!$F$67</f>
        <v>7631.55919442953</v>
      </c>
      <c r="N82" s="129">
        <f>N81*'Panel4 adjs'!$F$67</f>
        <v>-6737.215189796187</v>
      </c>
      <c r="O82" s="129">
        <f>O81*'Panel4 adjs'!$F$67</f>
        <v>24970</v>
      </c>
      <c r="P82" s="129">
        <f>P81*'Panel4 adjs'!$F$67</f>
        <v>0</v>
      </c>
    </row>
    <row r="83" spans="1:16" ht="15">
      <c r="A83" s="1">
        <v>76</v>
      </c>
      <c r="B83" s="11" t="s">
        <v>170</v>
      </c>
      <c r="C83" s="133"/>
      <c r="D83" s="136">
        <f aca="true" t="shared" si="14" ref="D83:P83">D81-D82</f>
        <v>1755351.1737787845</v>
      </c>
      <c r="E83" s="136">
        <f t="shared" si="14"/>
        <v>558707.3334</v>
      </c>
      <c r="F83" s="136">
        <f t="shared" si="14"/>
        <v>309016.43012865534</v>
      </c>
      <c r="G83" s="136">
        <f t="shared" si="14"/>
        <v>0</v>
      </c>
      <c r="H83" s="136">
        <f t="shared" si="14"/>
        <v>633090.2742051432</v>
      </c>
      <c r="I83" s="136">
        <f t="shared" si="14"/>
        <v>1412.8284621275561</v>
      </c>
      <c r="J83" s="136">
        <f t="shared" si="14"/>
        <v>0</v>
      </c>
      <c r="K83" s="136">
        <f t="shared" si="14"/>
        <v>572760</v>
      </c>
      <c r="L83" s="136">
        <f t="shared" si="14"/>
        <v>28638</v>
      </c>
      <c r="M83" s="136">
        <f t="shared" si="14"/>
        <v>160464.45830401825</v>
      </c>
      <c r="N83" s="136">
        <f t="shared" si="14"/>
        <v>-141659.59515813744</v>
      </c>
      <c r="O83" s="136">
        <f t="shared" si="14"/>
        <v>525030</v>
      </c>
      <c r="P83" s="136">
        <f t="shared" si="14"/>
        <v>0</v>
      </c>
    </row>
    <row r="84" spans="1:16" ht="15">
      <c r="A84" s="1">
        <v>77</v>
      </c>
      <c r="B84" s="11" t="s">
        <v>171</v>
      </c>
      <c r="C84" s="133"/>
      <c r="D84" s="129"/>
      <c r="E84" s="129"/>
      <c r="F84" s="129"/>
      <c r="G84" s="129"/>
      <c r="H84" s="129"/>
      <c r="I84" s="129"/>
      <c r="J84" s="205">
        <v>-579727</v>
      </c>
      <c r="K84" s="129"/>
      <c r="L84" s="129"/>
      <c r="M84" s="129"/>
      <c r="N84" s="129"/>
      <c r="O84" s="129"/>
      <c r="P84" s="129"/>
    </row>
    <row r="85" spans="1:16" ht="15.75" thickBot="1">
      <c r="A85" s="1">
        <v>78</v>
      </c>
      <c r="B85" s="11" t="s">
        <v>172</v>
      </c>
      <c r="C85" s="133"/>
      <c r="D85" s="206">
        <f>D83*'Panel4 adjs'!$F$68+D84</f>
        <v>614372.9108225745</v>
      </c>
      <c r="E85" s="206">
        <f>E83*'Panel4 adjs'!$F$68+E84</f>
        <v>195547.56668999998</v>
      </c>
      <c r="F85" s="206">
        <f>F83*'Panel4 adjs'!$F$68+F84</f>
        <v>108155.75054502937</v>
      </c>
      <c r="G85" s="206">
        <f>G83*'Panel4 adjs'!$F$68+G84</f>
        <v>0</v>
      </c>
      <c r="H85" s="206">
        <f>H83*'Panel4 adjs'!$F$68+H84</f>
        <v>221581.59597180012</v>
      </c>
      <c r="I85" s="206">
        <f>I83*'Panel4 adjs'!$F$68+I84</f>
        <v>494.48996174464463</v>
      </c>
      <c r="J85" s="206">
        <f>J83*'Panel4 adjs'!$F$68+J84</f>
        <v>-579727</v>
      </c>
      <c r="K85" s="206">
        <f>K83*'Panel4 adjs'!$F$68+K84</f>
        <v>200466</v>
      </c>
      <c r="L85" s="206">
        <f>L83*'Panel4 adjs'!$F$68+L84</f>
        <v>10023.3</v>
      </c>
      <c r="M85" s="206">
        <f>M83*'Panel4 adjs'!$F$68+M84</f>
        <v>56162.56040640638</v>
      </c>
      <c r="N85" s="206">
        <f>N83*'Panel4 adjs'!$F$68+N84</f>
        <v>-49580.8583053481</v>
      </c>
      <c r="O85" s="206">
        <f>O83*'Panel4 adjs'!$F$68+O84</f>
        <v>183760.5</v>
      </c>
      <c r="P85" s="206">
        <f>P83*'Panel4 adjs'!$F$68+P84</f>
        <v>0</v>
      </c>
    </row>
    <row r="86" spans="1:16" ht="15.75" thickTop="1">
      <c r="A86" s="34"/>
      <c r="B86" s="34"/>
      <c r="C86" s="1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</sheetData>
  <printOptions/>
  <pageMargins left="1.25" right="0.75" top="0.75" bottom="0.75" header="0.5" footer="0.5"/>
  <pageSetup fitToWidth="0" fitToHeight="1" horizontalDpi="600" verticalDpi="600" orientation="portrait" scale="68" r:id="rId1"/>
  <headerFooter alignWithMargins="0">
    <oddHeader>&amp;L&amp;"Palatino Linotype,Regular"PacifiCorp General Rate Case Settlement&amp;C&amp;"Palatino Linotype,Regular"Incremental Revenue Requirement Changes 
from Agreements in Settlement&amp;R&amp;"Palatino Linotype,Regular"Exhibit __ (Panel-5)
UE-032065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rmartin</dc:creator>
  <cp:keywords/>
  <dc:description/>
  <cp:lastModifiedBy>TSchoole</cp:lastModifiedBy>
  <cp:lastPrinted>2004-08-27T16:23:12Z</cp:lastPrinted>
  <dcterms:created xsi:type="dcterms:W3CDTF">2003-12-22T18:47:15Z</dcterms:created>
  <dcterms:modified xsi:type="dcterms:W3CDTF">2004-08-27T16:39:17Z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2004-08-27T00:00:00Z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