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activeX/activeX1.xml" ContentType="application/vnd.ms-office.activeX+xml"/>
  <Override PartName="/xl/activeX/activeX1.bin" ContentType="application/vnd.ms-office.activeX"/>
  <Override PartName="/xl/externalLinks/externalLink1.xml" ContentType="application/vnd.openxmlformats-officedocument.spreadsheetml.externalLink+xml"/>
  <Override PartName="/docProps/custom.xml" ContentType="application/vnd.openxmlformats-officedocument.custom-properties+xml"/>
  <Override PartName="/xl/externalLinks/externalLink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Client Data\Naslund Disposal Service, Inc\Rate Case 2021\"/>
    </mc:Choice>
  </mc:AlternateContent>
  <xr:revisionPtr revIDLastSave="0" documentId="13_ncr:1_{7291CBC9-7394-404B-B0D7-B7903765127E}" xr6:coauthVersionLast="47" xr6:coauthVersionMax="47" xr10:uidLastSave="{00000000-0000-0000-0000-000000000000}"/>
  <bookViews>
    <workbookView xWindow="-57720" yWindow="-120" windowWidth="29040" windowHeight="15840" tabRatio="832" activeTab="8" xr2:uid="{00000000-000D-0000-FFFF-FFFF00000000}"/>
  </bookViews>
  <sheets>
    <sheet name="LG Nonpublic 2018 V5.2a" sheetId="1" r:id="rId1"/>
    <sheet name="Monthly P&amp;L" sheetId="4" r:id="rId2"/>
    <sheet name="Pro Forma" sheetId="5" r:id="rId3"/>
    <sheet name="Restating Adjustments" sheetId="6" r:id="rId4"/>
    <sheet name="Pro Forma Adjustments" sheetId="7" r:id="rId5"/>
    <sheet name="Balance Sheet" sheetId="8" r:id="rId6"/>
    <sheet name="Allocation Matrix" sheetId="9" r:id="rId7"/>
    <sheet name="Truck Hours" sheetId="10" r:id="rId8"/>
    <sheet name="Price Out" sheetId="11" r:id="rId9"/>
    <sheet name="Disposal Cost" sheetId="12" r:id="rId10"/>
    <sheet name="Fuel Cost" sheetId="13" r:id="rId11"/>
    <sheet name="Payroll" sheetId="14" r:id="rId12"/>
    <sheet name="Payroll Tax Summary" sheetId="15" r:id="rId13"/>
    <sheet name="Regulatory Depreciation" sheetId="16" r:id="rId14"/>
    <sheet name="Truck Repair" sheetId="18" r:id="rId15"/>
    <sheet name="Maintenance Supplies" sheetId="17" r:id="rId16"/>
    <sheet name="Bank Charges" sheetId="19" r:id="rId17"/>
    <sheet name="UTC Reg Fee" sheetId="20" r:id="rId18"/>
    <sheet name="Advertising" sheetId="21" r:id="rId19"/>
    <sheet name="Employee Benefits" sheetId="22" r:id="rId20"/>
  </sheets>
  <externalReferences>
    <externalReference r:id="rId21"/>
    <externalReference r:id="rId22"/>
    <externalReference r:id="rId23"/>
  </externalReferences>
  <definedNames>
    <definedName name="Debt_Rate" localSheetId="0">'LG Nonpublic 2018 V5.2a'!$K$27</definedName>
    <definedName name="debtP" localSheetId="0">'LG Nonpublic 2018 V5.2a'!$I$27</definedName>
    <definedName name="Equity_percent" localSheetId="0">'LG Nonpublic 2018 V5.2a'!$S$58</definedName>
    <definedName name="equityP" localSheetId="0">'LG Nonpublic 2018 V5.2a'!$I$26</definedName>
    <definedName name="expenses" localSheetId="0">'LG Nonpublic 2018 V5.2a'!$I$8</definedName>
    <definedName name="INPUT" localSheetId="0">'LG Nonpublic 2018 V5.2a'!#REF!</definedName>
    <definedName name="INPUT">#REF!</definedName>
    <definedName name="INPUTc">#REF!</definedName>
    <definedName name="Investment" localSheetId="0">'LG Nonpublic 2018 V5.2a'!$J$28</definedName>
    <definedName name="Pfd_weighted" localSheetId="0">'LG Nonpublic 2018 V5.2a'!$U$57</definedName>
    <definedName name="_xlnm.Print_Area" localSheetId="0">'LG Nonpublic 2018 V5.2a'!$A$1:$M$49</definedName>
    <definedName name="_xlnm.Print_Area" localSheetId="8">'Price Out'!$A$6:$Q$94</definedName>
    <definedName name="_xlnm.Print_Area" localSheetId="2">'Pro Forma'!$A$6:$J$55</definedName>
    <definedName name="Print_Area_MI">#REF!</definedName>
    <definedName name="Print_Area_MIc">#REF!</definedName>
    <definedName name="_xlnm.Print_Titles" localSheetId="8">'Price Out'!$1:$5</definedName>
    <definedName name="_xlnm.Print_Titles" localSheetId="2">'Pro Forma'!$1:$5</definedName>
    <definedName name="regDebt_weighted" localSheetId="0">'LG Nonpublic 2018 V5.2a'!$U$56</definedName>
    <definedName name="Revenue" localSheetId="0">'LG Nonpublic 2018 V5.2a'!$I$7</definedName>
    <definedName name="slope">'LG Nonpublic 2018 V5.2a'!$Y$58</definedName>
    <definedName name="taxrate" localSheetId="0">'LG Nonpublic 2018 V5.2a'!$J$38</definedName>
    <definedName name="y_inter1">'LG Nonpublic 2018 V5.2a'!$X$55</definedName>
    <definedName name="y_inter2">'LG Nonpublic 2018 V5.2a'!$X$56</definedName>
    <definedName name="y_inter3">'LG Nonpublic 2018 V5.2a'!$Z$55</definedName>
    <definedName name="y_inter4">'LG Nonpublic 2018 V5.2a'!$Z$56</definedName>
  </definedNames>
  <calcPr calcId="181029" iterate="1"/>
</workbook>
</file>

<file path=xl/calcChain.xml><?xml version="1.0" encoding="utf-8"?>
<calcChain xmlns="http://schemas.openxmlformats.org/spreadsheetml/2006/main">
  <c r="B23" i="14" l="1"/>
  <c r="B24" i="14" s="1"/>
  <c r="B25" i="14" s="1"/>
  <c r="B26" i="14" s="1"/>
  <c r="B27" i="14" s="1"/>
  <c r="B28" i="14" s="1"/>
  <c r="B29" i="14" s="1"/>
  <c r="B30" i="14" s="1"/>
  <c r="B31" i="14" s="1"/>
  <c r="B32" i="14" s="1"/>
  <c r="B33" i="14" s="1"/>
  <c r="I9" i="5" l="1"/>
  <c r="I8" i="5"/>
  <c r="I7" i="5"/>
  <c r="C8" i="1"/>
  <c r="C9" i="1"/>
  <c r="V68" i="22"/>
  <c r="V67" i="22"/>
  <c r="V66" i="22"/>
  <c r="S60" i="22"/>
  <c r="S61" i="22" s="1"/>
  <c r="U59" i="22"/>
  <c r="V58" i="22"/>
  <c r="V57" i="22"/>
  <c r="V56" i="22"/>
  <c r="V55" i="22"/>
  <c r="V54" i="22"/>
  <c r="V53" i="22"/>
  <c r="V52" i="22"/>
  <c r="V51" i="22"/>
  <c r="V50" i="22"/>
  <c r="V49" i="22"/>
  <c r="V48" i="22"/>
  <c r="V47" i="22"/>
  <c r="U46" i="22"/>
  <c r="X45" i="22"/>
  <c r="X44" i="22"/>
  <c r="X43" i="22"/>
  <c r="X42" i="22"/>
  <c r="X41" i="22"/>
  <c r="X40" i="22"/>
  <c r="X39" i="22"/>
  <c r="X38" i="22"/>
  <c r="X37" i="22"/>
  <c r="X36" i="22"/>
  <c r="X35" i="22"/>
  <c r="X34" i="22"/>
  <c r="X33" i="22"/>
  <c r="X32" i="22"/>
  <c r="X60" i="22" s="1"/>
  <c r="X31" i="22"/>
  <c r="X30" i="22"/>
  <c r="X29" i="22"/>
  <c r="W28" i="22"/>
  <c r="W27" i="22"/>
  <c r="W26" i="22"/>
  <c r="W25" i="22"/>
  <c r="W24" i="22"/>
  <c r="W23" i="22"/>
  <c r="U22" i="22"/>
  <c r="U21" i="22"/>
  <c r="U20" i="22"/>
  <c r="U19" i="22"/>
  <c r="U18" i="22"/>
  <c r="V17" i="22"/>
  <c r="V16" i="22"/>
  <c r="V15" i="22"/>
  <c r="W14" i="22"/>
  <c r="W60" i="22" s="1"/>
  <c r="V13" i="22"/>
  <c r="V12" i="22"/>
  <c r="V11" i="22"/>
  <c r="V10" i="22"/>
  <c r="V9" i="22"/>
  <c r="V8" i="22"/>
  <c r="V7" i="22"/>
  <c r="V6" i="22"/>
  <c r="V60" i="22" s="1"/>
  <c r="V5" i="22"/>
  <c r="U4" i="22"/>
  <c r="U60" i="22" s="1"/>
  <c r="Y3" i="22"/>
  <c r="Y60" i="22" s="1"/>
  <c r="O49" i="21"/>
  <c r="V46" i="21"/>
  <c r="O46" i="21"/>
  <c r="O47" i="21" s="1"/>
  <c r="X45" i="21"/>
  <c r="S44" i="21"/>
  <c r="T43" i="21"/>
  <c r="S42" i="21"/>
  <c r="S41" i="21"/>
  <c r="X40" i="21"/>
  <c r="X46" i="21" s="1"/>
  <c r="T39" i="21"/>
  <c r="T46" i="21" s="1"/>
  <c r="S38" i="21"/>
  <c r="T37" i="21"/>
  <c r="S36" i="21"/>
  <c r="S35" i="21"/>
  <c r="T34" i="21"/>
  <c r="S33" i="21"/>
  <c r="S32" i="21"/>
  <c r="S31" i="21"/>
  <c r="T30" i="21"/>
  <c r="S29" i="21"/>
  <c r="T28" i="21"/>
  <c r="S27" i="21"/>
  <c r="T26" i="21"/>
  <c r="T25" i="21"/>
  <c r="S24" i="21"/>
  <c r="S23" i="21"/>
  <c r="S22" i="21"/>
  <c r="T21" i="21"/>
  <c r="W20" i="21"/>
  <c r="W46" i="21" s="1"/>
  <c r="S19" i="21"/>
  <c r="S18" i="21"/>
  <c r="T17" i="21"/>
  <c r="T16" i="21"/>
  <c r="S15" i="21"/>
  <c r="S14" i="21"/>
  <c r="S13" i="21"/>
  <c r="T12" i="21"/>
  <c r="S11" i="21"/>
  <c r="S10" i="21"/>
  <c r="V9" i="21"/>
  <c r="S8" i="21"/>
  <c r="S7" i="21"/>
  <c r="S6" i="21"/>
  <c r="U5" i="21"/>
  <c r="U46" i="21" s="1"/>
  <c r="T4" i="21"/>
  <c r="S3" i="21"/>
  <c r="S46" i="21" s="1"/>
  <c r="Q3" i="21"/>
  <c r="Q4" i="21" s="1"/>
  <c r="Q5" i="21" s="1"/>
  <c r="Q6" i="21" s="1"/>
  <c r="Q7" i="21" s="1"/>
  <c r="Q8" i="21" s="1"/>
  <c r="Q9" i="21" s="1"/>
  <c r="Q10" i="21" s="1"/>
  <c r="Q11" i="21" s="1"/>
  <c r="Q12" i="21" s="1"/>
  <c r="Q13" i="21" s="1"/>
  <c r="Q14" i="21" s="1"/>
  <c r="Q15" i="21" s="1"/>
  <c r="Q16" i="21" s="1"/>
  <c r="Q17" i="21" s="1"/>
  <c r="Q18" i="21" s="1"/>
  <c r="Q19" i="21" s="1"/>
  <c r="Q20" i="21" s="1"/>
  <c r="Q21" i="21" s="1"/>
  <c r="Q22" i="21" s="1"/>
  <c r="Q23" i="21" s="1"/>
  <c r="Q24" i="21" s="1"/>
  <c r="Q25" i="21" s="1"/>
  <c r="Q26" i="21" s="1"/>
  <c r="Q27" i="21" s="1"/>
  <c r="Q28" i="21" s="1"/>
  <c r="Q29" i="21" s="1"/>
  <c r="Q30" i="21" s="1"/>
  <c r="Q31" i="21" s="1"/>
  <c r="Q32" i="21" s="1"/>
  <c r="Q33" i="21" s="1"/>
  <c r="Q34" i="21" s="1"/>
  <c r="Q35" i="21" s="1"/>
  <c r="Q36" i="21" s="1"/>
  <c r="Q37" i="21" s="1"/>
  <c r="Q38" i="21" s="1"/>
  <c r="Q39" i="21" s="1"/>
  <c r="Q40" i="21" s="1"/>
  <c r="Q41" i="21" s="1"/>
  <c r="Q42" i="21" s="1"/>
  <c r="Q43" i="21" s="1"/>
  <c r="Q44" i="21" s="1"/>
  <c r="Q45" i="21" s="1"/>
  <c r="Q46" i="21" s="1"/>
  <c r="Q47" i="21" s="1"/>
  <c r="J21" i="20"/>
  <c r="M21" i="20" s="1"/>
  <c r="M19" i="20"/>
  <c r="M22" i="20" s="1"/>
  <c r="L10" i="20"/>
  <c r="J11" i="20" s="1"/>
  <c r="M11" i="20" s="1"/>
  <c r="M24" i="20" s="1"/>
  <c r="M38" i="20" s="1"/>
  <c r="L5" i="20"/>
  <c r="E31" i="20" s="1"/>
  <c r="D5" i="20"/>
  <c r="B3" i="20"/>
  <c r="Q106" i="19"/>
  <c r="Q107" i="19" s="1"/>
  <c r="S3" i="19"/>
  <c r="S4" i="19" s="1"/>
  <c r="S5" i="19" s="1"/>
  <c r="S6" i="19" s="1"/>
  <c r="S7" i="19" s="1"/>
  <c r="S8" i="19" s="1"/>
  <c r="S9" i="19" s="1"/>
  <c r="S10" i="19" s="1"/>
  <c r="S11" i="19" s="1"/>
  <c r="S12" i="19" s="1"/>
  <c r="S13" i="19" s="1"/>
  <c r="S14" i="19" s="1"/>
  <c r="S15" i="19" s="1"/>
  <c r="S16" i="19" s="1"/>
  <c r="S17" i="19" s="1"/>
  <c r="S18" i="19" s="1"/>
  <c r="S19" i="19" s="1"/>
  <c r="S20" i="19" s="1"/>
  <c r="S21" i="19" s="1"/>
  <c r="S22" i="19" s="1"/>
  <c r="S23" i="19" s="1"/>
  <c r="S24" i="19" s="1"/>
  <c r="S25" i="19" s="1"/>
  <c r="S26" i="19" s="1"/>
  <c r="S27" i="19" s="1"/>
  <c r="S28" i="19" s="1"/>
  <c r="S29" i="19" s="1"/>
  <c r="S30" i="19" s="1"/>
  <c r="S31" i="19" s="1"/>
  <c r="S32" i="19" s="1"/>
  <c r="S33" i="19" s="1"/>
  <c r="S34" i="19" s="1"/>
  <c r="S35" i="19" s="1"/>
  <c r="S36" i="19" s="1"/>
  <c r="S37" i="19" s="1"/>
  <c r="S38" i="19" s="1"/>
  <c r="S39" i="19" s="1"/>
  <c r="S40" i="19" s="1"/>
  <c r="S41" i="19" s="1"/>
  <c r="S42" i="19" s="1"/>
  <c r="S43" i="19" s="1"/>
  <c r="S44" i="19" s="1"/>
  <c r="S45" i="19" s="1"/>
  <c r="S46" i="19" s="1"/>
  <c r="S47" i="19" s="1"/>
  <c r="S48" i="19" s="1"/>
  <c r="S49" i="19" s="1"/>
  <c r="S50" i="19" s="1"/>
  <c r="S51" i="19" s="1"/>
  <c r="S52" i="19" s="1"/>
  <c r="S53" i="19" s="1"/>
  <c r="S54" i="19" s="1"/>
  <c r="S55" i="19" s="1"/>
  <c r="S56" i="19" s="1"/>
  <c r="S57" i="19" s="1"/>
  <c r="S58" i="19" s="1"/>
  <c r="S59" i="19" s="1"/>
  <c r="S60" i="19" s="1"/>
  <c r="S61" i="19" s="1"/>
  <c r="S62" i="19" s="1"/>
  <c r="S63" i="19" s="1"/>
  <c r="S64" i="19" s="1"/>
  <c r="S65" i="19" s="1"/>
  <c r="S66" i="19" s="1"/>
  <c r="S67" i="19" s="1"/>
  <c r="S68" i="19" s="1"/>
  <c r="S69" i="19" s="1"/>
  <c r="S70" i="19" s="1"/>
  <c r="S71" i="19" s="1"/>
  <c r="S72" i="19" s="1"/>
  <c r="S73" i="19" s="1"/>
  <c r="S74" i="19" s="1"/>
  <c r="S75" i="19" s="1"/>
  <c r="S76" i="19" s="1"/>
  <c r="S77" i="19" s="1"/>
  <c r="S78" i="19" s="1"/>
  <c r="S79" i="19" s="1"/>
  <c r="S80" i="19" s="1"/>
  <c r="S81" i="19" s="1"/>
  <c r="S82" i="19" s="1"/>
  <c r="S83" i="19" s="1"/>
  <c r="S84" i="19" s="1"/>
  <c r="S85" i="19" s="1"/>
  <c r="S86" i="19" s="1"/>
  <c r="S87" i="19" s="1"/>
  <c r="S88" i="19" s="1"/>
  <c r="S89" i="19" s="1"/>
  <c r="S90" i="19" s="1"/>
  <c r="S91" i="19" s="1"/>
  <c r="S92" i="19" s="1"/>
  <c r="S93" i="19" s="1"/>
  <c r="S94" i="19" s="1"/>
  <c r="S95" i="19" s="1"/>
  <c r="S96" i="19" s="1"/>
  <c r="S97" i="19" s="1"/>
  <c r="S98" i="19" s="1"/>
  <c r="S99" i="19" s="1"/>
  <c r="S100" i="19" s="1"/>
  <c r="S101" i="19" s="1"/>
  <c r="S102" i="19" s="1"/>
  <c r="S103" i="19" s="1"/>
  <c r="S104" i="19" s="1"/>
  <c r="S105" i="19" s="1"/>
  <c r="S106" i="19" s="1"/>
  <c r="S107" i="19" s="1"/>
  <c r="Q75" i="17"/>
  <c r="Q74" i="17"/>
  <c r="Q76" i="17" s="1"/>
  <c r="S6" i="17"/>
  <c r="S7" i="17" s="1"/>
  <c r="S8" i="17" s="1"/>
  <c r="S9" i="17" s="1"/>
  <c r="S10" i="17" s="1"/>
  <c r="S11" i="17" s="1"/>
  <c r="S12" i="17" s="1"/>
  <c r="S13" i="17" s="1"/>
  <c r="S14" i="17" s="1"/>
  <c r="S15" i="17" s="1"/>
  <c r="S16" i="17" s="1"/>
  <c r="S17" i="17" s="1"/>
  <c r="S18" i="17" s="1"/>
  <c r="S19" i="17" s="1"/>
  <c r="S20" i="17" s="1"/>
  <c r="S21" i="17" s="1"/>
  <c r="S22" i="17" s="1"/>
  <c r="S23" i="17" s="1"/>
  <c r="S24" i="17" s="1"/>
  <c r="S25" i="17" s="1"/>
  <c r="S26" i="17" s="1"/>
  <c r="S27" i="17" s="1"/>
  <c r="S28" i="17" s="1"/>
  <c r="S29" i="17" s="1"/>
  <c r="S30" i="17" s="1"/>
  <c r="S31" i="17" s="1"/>
  <c r="S32" i="17" s="1"/>
  <c r="S33" i="17" s="1"/>
  <c r="S34" i="17" s="1"/>
  <c r="S35" i="17" s="1"/>
  <c r="S36" i="17" s="1"/>
  <c r="S37" i="17" s="1"/>
  <c r="S38" i="17" s="1"/>
  <c r="S39" i="17" s="1"/>
  <c r="S40" i="17" s="1"/>
  <c r="S41" i="17" s="1"/>
  <c r="S42" i="17" s="1"/>
  <c r="S43" i="17" s="1"/>
  <c r="S44" i="17" s="1"/>
  <c r="S45" i="17" s="1"/>
  <c r="S46" i="17" s="1"/>
  <c r="S47" i="17" s="1"/>
  <c r="S48" i="17" s="1"/>
  <c r="S49" i="17" s="1"/>
  <c r="S50" i="17" s="1"/>
  <c r="S51" i="17" s="1"/>
  <c r="S52" i="17" s="1"/>
  <c r="S53" i="17" s="1"/>
  <c r="S54" i="17" s="1"/>
  <c r="S55" i="17" s="1"/>
  <c r="S56" i="17" s="1"/>
  <c r="S57" i="17" s="1"/>
  <c r="S58" i="17" s="1"/>
  <c r="S59" i="17" s="1"/>
  <c r="S60" i="17" s="1"/>
  <c r="S61" i="17" s="1"/>
  <c r="S62" i="17" s="1"/>
  <c r="S63" i="17" s="1"/>
  <c r="S64" i="17" s="1"/>
  <c r="S65" i="17" s="1"/>
  <c r="S66" i="17" s="1"/>
  <c r="S67" i="17" s="1"/>
  <c r="S68" i="17" s="1"/>
  <c r="S69" i="17" s="1"/>
  <c r="S70" i="17" s="1"/>
  <c r="S71" i="17" s="1"/>
  <c r="S72" i="17" s="1"/>
  <c r="S73" i="17" s="1"/>
  <c r="S74" i="17" s="1"/>
  <c r="S5" i="17"/>
  <c r="S4" i="17"/>
  <c r="S3" i="17"/>
  <c r="Q85" i="18"/>
  <c r="Q84" i="18"/>
  <c r="S4" i="18"/>
  <c r="S5" i="18" s="1"/>
  <c r="S6" i="18" s="1"/>
  <c r="S7" i="18" s="1"/>
  <c r="S8" i="18" s="1"/>
  <c r="S9" i="18" s="1"/>
  <c r="S10" i="18" s="1"/>
  <c r="S11" i="18" s="1"/>
  <c r="S12" i="18" s="1"/>
  <c r="S13" i="18" s="1"/>
  <c r="S14" i="18" s="1"/>
  <c r="S15" i="18" s="1"/>
  <c r="S16" i="18" s="1"/>
  <c r="S17" i="18" s="1"/>
  <c r="S18" i="18" s="1"/>
  <c r="S19" i="18" s="1"/>
  <c r="S20" i="18" s="1"/>
  <c r="S21" i="18" s="1"/>
  <c r="S22" i="18" s="1"/>
  <c r="S23" i="18" s="1"/>
  <c r="S24" i="18" s="1"/>
  <c r="S25" i="18" s="1"/>
  <c r="S26" i="18" s="1"/>
  <c r="S27" i="18" s="1"/>
  <c r="S28" i="18" s="1"/>
  <c r="S29" i="18" s="1"/>
  <c r="S30" i="18" s="1"/>
  <c r="S31" i="18" s="1"/>
  <c r="S32" i="18" s="1"/>
  <c r="S33" i="18" s="1"/>
  <c r="S34" i="18" s="1"/>
  <c r="S35" i="18" s="1"/>
  <c r="S36" i="18" s="1"/>
  <c r="S37" i="18" s="1"/>
  <c r="S38" i="18" s="1"/>
  <c r="S39" i="18" s="1"/>
  <c r="S40" i="18" s="1"/>
  <c r="S41" i="18" s="1"/>
  <c r="S42" i="18" s="1"/>
  <c r="S43" i="18" s="1"/>
  <c r="S44" i="18" s="1"/>
  <c r="S45" i="18" s="1"/>
  <c r="S46" i="18" s="1"/>
  <c r="S47" i="18" s="1"/>
  <c r="S48" i="18" s="1"/>
  <c r="S49" i="18" s="1"/>
  <c r="S50" i="18" s="1"/>
  <c r="S51" i="18" s="1"/>
  <c r="S52" i="18" s="1"/>
  <c r="S53" i="18" s="1"/>
  <c r="S54" i="18" s="1"/>
  <c r="S55" i="18" s="1"/>
  <c r="S56" i="18" s="1"/>
  <c r="S57" i="18" s="1"/>
  <c r="S58" i="18" s="1"/>
  <c r="S59" i="18" s="1"/>
  <c r="S60" i="18" s="1"/>
  <c r="S61" i="18" s="1"/>
  <c r="S62" i="18" s="1"/>
  <c r="S63" i="18" s="1"/>
  <c r="S64" i="18" s="1"/>
  <c r="S65" i="18" s="1"/>
  <c r="S66" i="18" s="1"/>
  <c r="S67" i="18" s="1"/>
  <c r="S68" i="18" s="1"/>
  <c r="S69" i="18" s="1"/>
  <c r="S70" i="18" s="1"/>
  <c r="S71" i="18" s="1"/>
  <c r="S72" i="18" s="1"/>
  <c r="S73" i="18" s="1"/>
  <c r="S74" i="18" s="1"/>
  <c r="S75" i="18" s="1"/>
  <c r="S76" i="18" s="1"/>
  <c r="S77" i="18" s="1"/>
  <c r="S78" i="18" s="1"/>
  <c r="S79" i="18" s="1"/>
  <c r="S80" i="18" s="1"/>
  <c r="S81" i="18" s="1"/>
  <c r="S82" i="18" s="1"/>
  <c r="S83" i="18" s="1"/>
  <c r="S84" i="18" s="1"/>
  <c r="S85" i="18" s="1"/>
  <c r="S3" i="18"/>
  <c r="T307" i="16"/>
  <c r="T297" i="16"/>
  <c r="K297" i="16"/>
  <c r="W287" i="16"/>
  <c r="W297" i="16" s="1"/>
  <c r="T287" i="16"/>
  <c r="R287" i="16"/>
  <c r="R297" i="16" s="1"/>
  <c r="R307" i="16" s="1"/>
  <c r="R316" i="16" s="1"/>
  <c r="L287" i="16"/>
  <c r="K287" i="16"/>
  <c r="AH286" i="16"/>
  <c r="AF286" i="16"/>
  <c r="AE286" i="16"/>
  <c r="AC286" i="16"/>
  <c r="AB286" i="16"/>
  <c r="P286" i="16"/>
  <c r="N286" i="16"/>
  <c r="M286" i="16"/>
  <c r="I286" i="16"/>
  <c r="AI286" i="16" s="1"/>
  <c r="H286" i="16"/>
  <c r="AI285" i="16"/>
  <c r="AH285" i="16"/>
  <c r="AG285" i="16"/>
  <c r="AE285" i="16"/>
  <c r="AD285" i="16"/>
  <c r="AC285" i="16"/>
  <c r="AB285" i="16"/>
  <c r="P285" i="16"/>
  <c r="M285" i="16"/>
  <c r="N285" i="16" s="1"/>
  <c r="I285" i="16"/>
  <c r="AF285" i="16" s="1"/>
  <c r="H285" i="16"/>
  <c r="AH284" i="16"/>
  <c r="AG284" i="16"/>
  <c r="AE284" i="16"/>
  <c r="AD284" i="16"/>
  <c r="AC284" i="16"/>
  <c r="AB284" i="16"/>
  <c r="U284" i="16" s="1"/>
  <c r="V284" i="16" s="1"/>
  <c r="X284" i="16"/>
  <c r="P284" i="16"/>
  <c r="N284" i="16"/>
  <c r="M284" i="16"/>
  <c r="I284" i="16"/>
  <c r="AF284" i="16" s="1"/>
  <c r="H284" i="16"/>
  <c r="AI283" i="16"/>
  <c r="AH283" i="16"/>
  <c r="AG283" i="16"/>
  <c r="AE283" i="16"/>
  <c r="AD283" i="16"/>
  <c r="U283" i="16" s="1"/>
  <c r="V283" i="16" s="1"/>
  <c r="X283" i="16" s="1"/>
  <c r="AC283" i="16"/>
  <c r="AB283" i="16"/>
  <c r="P283" i="16"/>
  <c r="N283" i="16"/>
  <c r="M283" i="16"/>
  <c r="I283" i="16"/>
  <c r="AF283" i="16" s="1"/>
  <c r="H283" i="16"/>
  <c r="AI282" i="16"/>
  <c r="AH282" i="16"/>
  <c r="AG282" i="16"/>
  <c r="AE282" i="16"/>
  <c r="AD282" i="16"/>
  <c r="AC282" i="16"/>
  <c r="AB282" i="16"/>
  <c r="P282" i="16"/>
  <c r="N282" i="16"/>
  <c r="M282" i="16"/>
  <c r="I282" i="16"/>
  <c r="AF282" i="16" s="1"/>
  <c r="H282" i="16"/>
  <c r="AH281" i="16"/>
  <c r="AG281" i="16"/>
  <c r="AF281" i="16"/>
  <c r="AE281" i="16"/>
  <c r="AD281" i="16"/>
  <c r="AC281" i="16"/>
  <c r="AB281" i="16"/>
  <c r="O281" i="16" s="1"/>
  <c r="P281" i="16"/>
  <c r="M281" i="16"/>
  <c r="I281" i="16"/>
  <c r="AI281" i="16" s="1"/>
  <c r="H281" i="16"/>
  <c r="AH280" i="16"/>
  <c r="AG280" i="16"/>
  <c r="AE280" i="16"/>
  <c r="AD280" i="16"/>
  <c r="AC280" i="16"/>
  <c r="AB280" i="16"/>
  <c r="P280" i="16"/>
  <c r="N280" i="16"/>
  <c r="M280" i="16"/>
  <c r="I280" i="16"/>
  <c r="AI280" i="16" s="1"/>
  <c r="H280" i="16"/>
  <c r="AI279" i="16"/>
  <c r="AH279" i="16"/>
  <c r="AG279" i="16"/>
  <c r="AE279" i="16"/>
  <c r="AD279" i="16"/>
  <c r="AC279" i="16"/>
  <c r="AB279" i="16"/>
  <c r="P279" i="16"/>
  <c r="O279" i="16"/>
  <c r="N279" i="16"/>
  <c r="M279" i="16"/>
  <c r="U279" i="16" s="1"/>
  <c r="V279" i="16" s="1"/>
  <c r="X279" i="16" s="1"/>
  <c r="I279" i="16"/>
  <c r="AF279" i="16" s="1"/>
  <c r="H279" i="16"/>
  <c r="AH278" i="16"/>
  <c r="AG278" i="16"/>
  <c r="AE278" i="16"/>
  <c r="AD278" i="16"/>
  <c r="AC278" i="16"/>
  <c r="U278" i="16" s="1"/>
  <c r="V278" i="16" s="1"/>
  <c r="X278" i="16" s="1"/>
  <c r="AB278" i="16"/>
  <c r="P278" i="16"/>
  <c r="N278" i="16"/>
  <c r="M278" i="16"/>
  <c r="I278" i="16"/>
  <c r="H278" i="16"/>
  <c r="AI277" i="16"/>
  <c r="AH277" i="16"/>
  <c r="AG277" i="16"/>
  <c r="AE277" i="16"/>
  <c r="AD277" i="16"/>
  <c r="AC277" i="16"/>
  <c r="AB277" i="16"/>
  <c r="P277" i="16"/>
  <c r="N277" i="16"/>
  <c r="M277" i="16"/>
  <c r="I277" i="16"/>
  <c r="AF277" i="16" s="1"/>
  <c r="H277" i="16"/>
  <c r="AH276" i="16"/>
  <c r="AG276" i="16"/>
  <c r="AE276" i="16"/>
  <c r="AD276" i="16"/>
  <c r="AC276" i="16"/>
  <c r="AB276" i="16"/>
  <c r="U276" i="16"/>
  <c r="V276" i="16" s="1"/>
  <c r="X276" i="16" s="1"/>
  <c r="P276" i="16"/>
  <c r="N276" i="16"/>
  <c r="M276" i="16"/>
  <c r="I276" i="16"/>
  <c r="AF276" i="16" s="1"/>
  <c r="H276" i="16"/>
  <c r="AI275" i="16"/>
  <c r="AH275" i="16"/>
  <c r="AG275" i="16"/>
  <c r="AE275" i="16"/>
  <c r="AD275" i="16"/>
  <c r="AC275" i="16"/>
  <c r="AB275" i="16"/>
  <c r="U275" i="16" s="1"/>
  <c r="V275" i="16" s="1"/>
  <c r="X275" i="16" s="1"/>
  <c r="P275" i="16"/>
  <c r="N275" i="16"/>
  <c r="M275" i="16"/>
  <c r="I275" i="16"/>
  <c r="AF275" i="16" s="1"/>
  <c r="H275" i="16"/>
  <c r="AI274" i="16"/>
  <c r="AH274" i="16"/>
  <c r="AG274" i="16"/>
  <c r="AE274" i="16"/>
  <c r="AD274" i="16"/>
  <c r="AC274" i="16"/>
  <c r="AB274" i="16"/>
  <c r="U274" i="16" s="1"/>
  <c r="V274" i="16" s="1"/>
  <c r="X274" i="16" s="1"/>
  <c r="P274" i="16"/>
  <c r="O274" i="16"/>
  <c r="S274" i="16" s="1"/>
  <c r="M274" i="16"/>
  <c r="N274" i="16" s="1"/>
  <c r="I274" i="16"/>
  <c r="AF274" i="16" s="1"/>
  <c r="H274" i="16"/>
  <c r="AH273" i="16"/>
  <c r="AG273" i="16"/>
  <c r="AE273" i="16"/>
  <c r="AD273" i="16"/>
  <c r="U273" i="16" s="1"/>
  <c r="V273" i="16" s="1"/>
  <c r="X273" i="16" s="1"/>
  <c r="AC273" i="16"/>
  <c r="AB273" i="16"/>
  <c r="P273" i="16"/>
  <c r="M273" i="16"/>
  <c r="I273" i="16"/>
  <c r="H273" i="16"/>
  <c r="AI272" i="16"/>
  <c r="AH272" i="16"/>
  <c r="AG272" i="16"/>
  <c r="AE272" i="16"/>
  <c r="AD272" i="16"/>
  <c r="AC272" i="16"/>
  <c r="O272" i="16" s="1"/>
  <c r="Q272" i="16" s="1"/>
  <c r="AB272" i="16"/>
  <c r="U272" i="16" s="1"/>
  <c r="V272" i="16" s="1"/>
  <c r="X272" i="16" s="1"/>
  <c r="P272" i="16"/>
  <c r="N272" i="16"/>
  <c r="M272" i="16"/>
  <c r="I272" i="16"/>
  <c r="AF272" i="16" s="1"/>
  <c r="H272" i="16"/>
  <c r="AI271" i="16"/>
  <c r="AH271" i="16"/>
  <c r="AG271" i="16"/>
  <c r="AE271" i="16"/>
  <c r="AD271" i="16"/>
  <c r="AC271" i="16"/>
  <c r="AB271" i="16"/>
  <c r="Z271" i="16"/>
  <c r="P271" i="16"/>
  <c r="O271" i="16"/>
  <c r="S271" i="16" s="1"/>
  <c r="N271" i="16"/>
  <c r="M271" i="16"/>
  <c r="U271" i="16" s="1"/>
  <c r="V271" i="16" s="1"/>
  <c r="X271" i="16" s="1"/>
  <c r="Y271" i="16" s="1"/>
  <c r="I271" i="16"/>
  <c r="AF271" i="16" s="1"/>
  <c r="H271" i="16"/>
  <c r="AH270" i="16"/>
  <c r="AG270" i="16"/>
  <c r="AE270" i="16"/>
  <c r="AD270" i="16"/>
  <c r="AC270" i="16"/>
  <c r="U270" i="16" s="1"/>
  <c r="AB270" i="16"/>
  <c r="V270" i="16"/>
  <c r="X270" i="16" s="1"/>
  <c r="P270" i="16"/>
  <c r="M270" i="16"/>
  <c r="N270" i="16" s="1"/>
  <c r="I270" i="16"/>
  <c r="AI270" i="16" s="1"/>
  <c r="H270" i="16"/>
  <c r="AI269" i="16"/>
  <c r="AH269" i="16"/>
  <c r="AG269" i="16"/>
  <c r="AE269" i="16"/>
  <c r="AD269" i="16"/>
  <c r="AC269" i="16"/>
  <c r="O269" i="16" s="1"/>
  <c r="S269" i="16" s="1"/>
  <c r="AB269" i="16"/>
  <c r="Q269" i="16"/>
  <c r="P269" i="16"/>
  <c r="N269" i="16"/>
  <c r="M269" i="16"/>
  <c r="I269" i="16"/>
  <c r="AF269" i="16" s="1"/>
  <c r="H269" i="16"/>
  <c r="AH268" i="16"/>
  <c r="AG268" i="16"/>
  <c r="AE268" i="16"/>
  <c r="U268" i="16" s="1"/>
  <c r="V268" i="16" s="1"/>
  <c r="X268" i="16" s="1"/>
  <c r="AD268" i="16"/>
  <c r="AC268" i="16"/>
  <c r="O268" i="16" s="1"/>
  <c r="AB268" i="16"/>
  <c r="P268" i="16"/>
  <c r="M268" i="16"/>
  <c r="I268" i="16"/>
  <c r="AI268" i="16" s="1"/>
  <c r="H268" i="16"/>
  <c r="AI267" i="16"/>
  <c r="AH267" i="16"/>
  <c r="AG267" i="16"/>
  <c r="AE267" i="16"/>
  <c r="AD267" i="16"/>
  <c r="AC267" i="16"/>
  <c r="AB267" i="16"/>
  <c r="U267" i="16"/>
  <c r="V267" i="16" s="1"/>
  <c r="X267" i="16" s="1"/>
  <c r="P267" i="16"/>
  <c r="N267" i="16"/>
  <c r="M267" i="16"/>
  <c r="I267" i="16"/>
  <c r="AF267" i="16" s="1"/>
  <c r="H267" i="16"/>
  <c r="AI266" i="16"/>
  <c r="AH266" i="16"/>
  <c r="AG266" i="16"/>
  <c r="AE266" i="16"/>
  <c r="AD266" i="16"/>
  <c r="AC266" i="16"/>
  <c r="AB266" i="16"/>
  <c r="U266" i="16" s="1"/>
  <c r="V266" i="16" s="1"/>
  <c r="X266" i="16" s="1"/>
  <c r="P266" i="16"/>
  <c r="N266" i="16"/>
  <c r="M266" i="16"/>
  <c r="I266" i="16"/>
  <c r="AF266" i="16" s="1"/>
  <c r="H266" i="16"/>
  <c r="AH265" i="16"/>
  <c r="AG265" i="16"/>
  <c r="AF265" i="16"/>
  <c r="AE265" i="16"/>
  <c r="AD265" i="16"/>
  <c r="U265" i="16" s="1"/>
  <c r="AC265" i="16"/>
  <c r="AB265" i="16"/>
  <c r="O265" i="16" s="1"/>
  <c r="Q265" i="16" s="1"/>
  <c r="V265" i="16"/>
  <c r="X265" i="16" s="1"/>
  <c r="Y265" i="16" s="1"/>
  <c r="S265" i="16"/>
  <c r="P265" i="16"/>
  <c r="M265" i="16"/>
  <c r="I265" i="16"/>
  <c r="AI265" i="16" s="1"/>
  <c r="H265" i="16"/>
  <c r="AI264" i="16"/>
  <c r="AH264" i="16"/>
  <c r="AG264" i="16"/>
  <c r="AE264" i="16"/>
  <c r="AD264" i="16"/>
  <c r="AC264" i="16"/>
  <c r="AB264" i="16"/>
  <c r="P264" i="16"/>
  <c r="O264" i="16"/>
  <c r="S264" i="16" s="1"/>
  <c r="N264" i="16"/>
  <c r="M264" i="16"/>
  <c r="I264" i="16"/>
  <c r="AF264" i="16" s="1"/>
  <c r="H264" i="16"/>
  <c r="AH263" i="16"/>
  <c r="AG263" i="16"/>
  <c r="AF263" i="16"/>
  <c r="AE263" i="16"/>
  <c r="AD263" i="16"/>
  <c r="AC263" i="16"/>
  <c r="AB263" i="16"/>
  <c r="Y263" i="16"/>
  <c r="V263" i="16"/>
  <c r="X263" i="16" s="1"/>
  <c r="P263" i="16"/>
  <c r="O263" i="16"/>
  <c r="S263" i="16" s="1"/>
  <c r="M263" i="16"/>
  <c r="U263" i="16" s="1"/>
  <c r="I263" i="16"/>
  <c r="AI263" i="16" s="1"/>
  <c r="H263" i="16"/>
  <c r="AH262" i="16"/>
  <c r="AG262" i="16"/>
  <c r="AE262" i="16"/>
  <c r="AD262" i="16"/>
  <c r="AC262" i="16"/>
  <c r="AB262" i="16"/>
  <c r="U262" i="16" s="1"/>
  <c r="V262" i="16"/>
  <c r="X262" i="16" s="1"/>
  <c r="P262" i="16"/>
  <c r="M262" i="16"/>
  <c r="N262" i="16" s="1"/>
  <c r="I262" i="16"/>
  <c r="AI262" i="16" s="1"/>
  <c r="H262" i="16"/>
  <c r="AI261" i="16"/>
  <c r="AH261" i="16"/>
  <c r="AG261" i="16"/>
  <c r="AE261" i="16"/>
  <c r="AD261" i="16"/>
  <c r="AC261" i="16"/>
  <c r="AB261" i="16"/>
  <c r="P261" i="16"/>
  <c r="M261" i="16"/>
  <c r="N261" i="16" s="1"/>
  <c r="I261" i="16"/>
  <c r="AF261" i="16" s="1"/>
  <c r="H261" i="16"/>
  <c r="AH260" i="16"/>
  <c r="AG260" i="16"/>
  <c r="AE260" i="16"/>
  <c r="U260" i="16" s="1"/>
  <c r="AD260" i="16"/>
  <c r="AC260" i="16"/>
  <c r="O260" i="16" s="1"/>
  <c r="Q260" i="16" s="1"/>
  <c r="AB260" i="16"/>
  <c r="V260" i="16"/>
  <c r="X260" i="16" s="1"/>
  <c r="P260" i="16"/>
  <c r="N260" i="16"/>
  <c r="M260" i="16"/>
  <c r="I260" i="16"/>
  <c r="H260" i="16"/>
  <c r="AI259" i="16"/>
  <c r="AH259" i="16"/>
  <c r="AG259" i="16"/>
  <c r="AE259" i="16"/>
  <c r="AD259" i="16"/>
  <c r="AC259" i="16"/>
  <c r="AB259" i="16"/>
  <c r="O259" i="16" s="1"/>
  <c r="U259" i="16"/>
  <c r="V259" i="16" s="1"/>
  <c r="X259" i="16" s="1"/>
  <c r="P259" i="16"/>
  <c r="N259" i="16"/>
  <c r="M259" i="16"/>
  <c r="I259" i="16"/>
  <c r="AF259" i="16" s="1"/>
  <c r="H259" i="16"/>
  <c r="AH258" i="16"/>
  <c r="AG258" i="16"/>
  <c r="AF258" i="16"/>
  <c r="AE258" i="16"/>
  <c r="AD258" i="16"/>
  <c r="AC258" i="16"/>
  <c r="AB258" i="16"/>
  <c r="U258" i="16" s="1"/>
  <c r="P258" i="16"/>
  <c r="M258" i="16"/>
  <c r="I258" i="16"/>
  <c r="AI258" i="16" s="1"/>
  <c r="H258" i="16"/>
  <c r="AI251" i="16"/>
  <c r="AH251" i="16"/>
  <c r="AG251" i="16"/>
  <c r="AF251" i="16"/>
  <c r="AE251" i="16"/>
  <c r="AD251" i="16"/>
  <c r="AC251" i="16"/>
  <c r="AB251" i="16"/>
  <c r="U251" i="16" s="1"/>
  <c r="V251" i="16" s="1"/>
  <c r="X251" i="16" s="1"/>
  <c r="P251" i="16"/>
  <c r="K251" i="16"/>
  <c r="M251" i="16" s="1"/>
  <c r="H251" i="16"/>
  <c r="AA248" i="16"/>
  <c r="W248" i="16"/>
  <c r="W296" i="16" s="1"/>
  <c r="T248" i="16"/>
  <c r="T296" i="16" s="1"/>
  <c r="R248" i="16"/>
  <c r="R296" i="16" s="1"/>
  <c r="K248" i="16"/>
  <c r="K296" i="16" s="1"/>
  <c r="AI247" i="16"/>
  <c r="AH247" i="16"/>
  <c r="AE247" i="16"/>
  <c r="AD247" i="16"/>
  <c r="AC247" i="16"/>
  <c r="AB247" i="16"/>
  <c r="P247" i="16"/>
  <c r="M247" i="16"/>
  <c r="N247" i="16" s="1"/>
  <c r="I247" i="16"/>
  <c r="AF247" i="16" s="1"/>
  <c r="H247" i="16"/>
  <c r="AG247" i="16" s="1"/>
  <c r="AH246" i="16"/>
  <c r="AG246" i="16"/>
  <c r="AF246" i="16"/>
  <c r="AE246" i="16"/>
  <c r="AD246" i="16"/>
  <c r="AC246" i="16"/>
  <c r="AB246" i="16"/>
  <c r="U246" i="16" s="1"/>
  <c r="V246" i="16" s="1"/>
  <c r="X246" i="16" s="1"/>
  <c r="P246" i="16"/>
  <c r="N246" i="16"/>
  <c r="M246" i="16"/>
  <c r="I246" i="16"/>
  <c r="AI246" i="16" s="1"/>
  <c r="H246" i="16"/>
  <c r="AI245" i="16"/>
  <c r="AH245" i="16"/>
  <c r="AG245" i="16"/>
  <c r="AE245" i="16"/>
  <c r="AD245" i="16"/>
  <c r="AC245" i="16"/>
  <c r="AB245" i="16"/>
  <c r="U245" i="16"/>
  <c r="V245" i="16" s="1"/>
  <c r="X245" i="16" s="1"/>
  <c r="P245" i="16"/>
  <c r="M245" i="16"/>
  <c r="I245" i="16"/>
  <c r="AF245" i="16" s="1"/>
  <c r="H245" i="16"/>
  <c r="AH244" i="16"/>
  <c r="AG244" i="16"/>
  <c r="AE244" i="16"/>
  <c r="AD244" i="16"/>
  <c r="AC244" i="16"/>
  <c r="AB244" i="16"/>
  <c r="P244" i="16"/>
  <c r="N244" i="16"/>
  <c r="M244" i="16"/>
  <c r="I244" i="16"/>
  <c r="AF244" i="16" s="1"/>
  <c r="H244" i="16"/>
  <c r="AI243" i="16"/>
  <c r="AH243" i="16"/>
  <c r="AG243" i="16"/>
  <c r="AE243" i="16"/>
  <c r="O243" i="16" s="1"/>
  <c r="AD243" i="16"/>
  <c r="AC243" i="16"/>
  <c r="AB243" i="16"/>
  <c r="P243" i="16"/>
  <c r="M243" i="16"/>
  <c r="I243" i="16"/>
  <c r="AF243" i="16" s="1"/>
  <c r="H243" i="16"/>
  <c r="AH242" i="16"/>
  <c r="AG242" i="16"/>
  <c r="AE242" i="16"/>
  <c r="AD242" i="16"/>
  <c r="AC242" i="16"/>
  <c r="AB242" i="16"/>
  <c r="P242" i="16"/>
  <c r="N242" i="16"/>
  <c r="M242" i="16"/>
  <c r="I242" i="16"/>
  <c r="AI242" i="16" s="1"/>
  <c r="H242" i="16"/>
  <c r="AI241" i="16"/>
  <c r="AH241" i="16"/>
  <c r="AG241" i="16"/>
  <c r="AE241" i="16"/>
  <c r="AD241" i="16"/>
  <c r="AC241" i="16"/>
  <c r="AB241" i="16"/>
  <c r="U241" i="16" s="1"/>
  <c r="V241" i="16" s="1"/>
  <c r="X241" i="16" s="1"/>
  <c r="P241" i="16"/>
  <c r="Q241" i="16" s="1"/>
  <c r="O241" i="16"/>
  <c r="M241" i="16"/>
  <c r="N241" i="16" s="1"/>
  <c r="I241" i="16"/>
  <c r="AF241" i="16" s="1"/>
  <c r="H241" i="16"/>
  <c r="AH240" i="16"/>
  <c r="AG240" i="16"/>
  <c r="AF240" i="16"/>
  <c r="AE240" i="16"/>
  <c r="AD240" i="16"/>
  <c r="AC240" i="16"/>
  <c r="AB240" i="16"/>
  <c r="P240" i="16"/>
  <c r="M240" i="16"/>
  <c r="N240" i="16" s="1"/>
  <c r="I240" i="16"/>
  <c r="AI240" i="16" s="1"/>
  <c r="H240" i="16"/>
  <c r="W237" i="16"/>
  <c r="W295" i="16" s="1"/>
  <c r="T237" i="16"/>
  <c r="T295" i="16" s="1"/>
  <c r="R237" i="16"/>
  <c r="R295" i="16" s="1"/>
  <c r="M237" i="16"/>
  <c r="M295" i="16" s="1"/>
  <c r="K237" i="16"/>
  <c r="K295" i="16" s="1"/>
  <c r="AI236" i="16"/>
  <c r="AH236" i="16"/>
  <c r="AF236" i="16"/>
  <c r="AE236" i="16"/>
  <c r="AD236" i="16"/>
  <c r="AC236" i="16"/>
  <c r="AB236" i="16"/>
  <c r="P236" i="16"/>
  <c r="N236" i="16"/>
  <c r="N237" i="16" s="1"/>
  <c r="N295" i="16" s="1"/>
  <c r="M236" i="16"/>
  <c r="H236" i="16"/>
  <c r="AG236" i="16" s="1"/>
  <c r="AI235" i="16"/>
  <c r="AH235" i="16"/>
  <c r="AG235" i="16"/>
  <c r="AF235" i="16"/>
  <c r="AE235" i="16"/>
  <c r="AD235" i="16"/>
  <c r="AC235" i="16"/>
  <c r="AB235" i="16"/>
  <c r="X235" i="16"/>
  <c r="Y235" i="16" s="1"/>
  <c r="Z235" i="16" s="1"/>
  <c r="V235" i="16"/>
  <c r="Q235" i="16"/>
  <c r="P235" i="16"/>
  <c r="S235" i="16" s="1"/>
  <c r="M235" i="16"/>
  <c r="H235" i="16"/>
  <c r="AI234" i="16"/>
  <c r="AH234" i="16"/>
  <c r="AG234" i="16"/>
  <c r="AF234" i="16"/>
  <c r="AE234" i="16"/>
  <c r="AC234" i="16"/>
  <c r="AB234" i="16"/>
  <c r="X234" i="16"/>
  <c r="V234" i="16"/>
  <c r="S234" i="16"/>
  <c r="P234" i="16"/>
  <c r="Q234" i="16" s="1"/>
  <c r="M234" i="16"/>
  <c r="H234" i="16"/>
  <c r="AD234" i="16" s="1"/>
  <c r="W231" i="16"/>
  <c r="W294" i="16" s="1"/>
  <c r="T231" i="16"/>
  <c r="T294" i="16" s="1"/>
  <c r="R231" i="16"/>
  <c r="R294" i="16" s="1"/>
  <c r="K231" i="16"/>
  <c r="K294" i="16" s="1"/>
  <c r="AI230" i="16"/>
  <c r="AH230" i="16"/>
  <c r="AG230" i="16"/>
  <c r="AF230" i="16"/>
  <c r="AE230" i="16"/>
  <c r="AD230" i="16"/>
  <c r="AC230" i="16"/>
  <c r="AB230" i="16"/>
  <c r="U230" i="16"/>
  <c r="V230" i="16" s="1"/>
  <c r="X230" i="16" s="1"/>
  <c r="Y230" i="16" s="1"/>
  <c r="P230" i="16"/>
  <c r="N230" i="16"/>
  <c r="O230" i="16" s="1"/>
  <c r="S230" i="16" s="1"/>
  <c r="M230" i="16"/>
  <c r="H230" i="16"/>
  <c r="AI229" i="16"/>
  <c r="AH229" i="16"/>
  <c r="AF229" i="16"/>
  <c r="AE229" i="16"/>
  <c r="AD229" i="16"/>
  <c r="AC229" i="16"/>
  <c r="U229" i="16" s="1"/>
  <c r="V229" i="16" s="1"/>
  <c r="X229" i="16" s="1"/>
  <c r="AB229" i="16"/>
  <c r="P229" i="16"/>
  <c r="O229" i="16"/>
  <c r="M229" i="16"/>
  <c r="N229" i="16" s="1"/>
  <c r="H229" i="16"/>
  <c r="AG229" i="16" s="1"/>
  <c r="AI228" i="16"/>
  <c r="AH228" i="16"/>
  <c r="AG228" i="16"/>
  <c r="AF228" i="16"/>
  <c r="AE228" i="16"/>
  <c r="U228" i="16" s="1"/>
  <c r="V228" i="16" s="1"/>
  <c r="X228" i="16" s="1"/>
  <c r="AD228" i="16"/>
  <c r="AC228" i="16"/>
  <c r="AB228" i="16"/>
  <c r="P228" i="16"/>
  <c r="N228" i="16"/>
  <c r="O228" i="16" s="1"/>
  <c r="S228" i="16" s="1"/>
  <c r="M228" i="16"/>
  <c r="H228" i="16"/>
  <c r="AI227" i="16"/>
  <c r="AH227" i="16"/>
  <c r="AF227" i="16"/>
  <c r="AE227" i="16"/>
  <c r="AD227" i="16"/>
  <c r="AC227" i="16"/>
  <c r="U227" i="16" s="1"/>
  <c r="V227" i="16" s="1"/>
  <c r="X227" i="16" s="1"/>
  <c r="Y227" i="16" s="1"/>
  <c r="Z227" i="16" s="1"/>
  <c r="AB227" i="16"/>
  <c r="S227" i="16"/>
  <c r="Q227" i="16"/>
  <c r="P227" i="16"/>
  <c r="O227" i="16"/>
  <c r="M227" i="16"/>
  <c r="N227" i="16" s="1"/>
  <c r="H227" i="16"/>
  <c r="AG227" i="16" s="1"/>
  <c r="AI226" i="16"/>
  <c r="AH226" i="16"/>
  <c r="AG226" i="16"/>
  <c r="AF226" i="16"/>
  <c r="AE226" i="16"/>
  <c r="AD226" i="16"/>
  <c r="AC226" i="16"/>
  <c r="AB226" i="16"/>
  <c r="Y226" i="16"/>
  <c r="U226" i="16"/>
  <c r="V226" i="16" s="1"/>
  <c r="X226" i="16" s="1"/>
  <c r="P226" i="16"/>
  <c r="Q226" i="16" s="1"/>
  <c r="N226" i="16"/>
  <c r="O226" i="16" s="1"/>
  <c r="S226" i="16" s="1"/>
  <c r="M226" i="16"/>
  <c r="H226" i="16"/>
  <c r="AI225" i="16"/>
  <c r="AH225" i="16"/>
  <c r="AF225" i="16"/>
  <c r="AE225" i="16"/>
  <c r="AD225" i="16"/>
  <c r="AC225" i="16"/>
  <c r="AB225" i="16"/>
  <c r="S225" i="16"/>
  <c r="Q225" i="16"/>
  <c r="P225" i="16"/>
  <c r="O225" i="16"/>
  <c r="M225" i="16"/>
  <c r="N225" i="16" s="1"/>
  <c r="H225" i="16"/>
  <c r="AG225" i="16" s="1"/>
  <c r="AI224" i="16"/>
  <c r="AH224" i="16"/>
  <c r="AG224" i="16"/>
  <c r="AF224" i="16"/>
  <c r="AE224" i="16"/>
  <c r="AD224" i="16"/>
  <c r="AC224" i="16"/>
  <c r="AB224" i="16"/>
  <c r="U224" i="16"/>
  <c r="V224" i="16" s="1"/>
  <c r="X224" i="16" s="1"/>
  <c r="P224" i="16"/>
  <c r="M224" i="16"/>
  <c r="H224" i="16"/>
  <c r="AI223" i="16"/>
  <c r="AH223" i="16"/>
  <c r="AF223" i="16"/>
  <c r="AE223" i="16"/>
  <c r="AD223" i="16"/>
  <c r="AC223" i="16"/>
  <c r="AB223" i="16"/>
  <c r="P223" i="16"/>
  <c r="M223" i="16"/>
  <c r="N223" i="16" s="1"/>
  <c r="O223" i="16" s="1"/>
  <c r="H223" i="16"/>
  <c r="AG223" i="16" s="1"/>
  <c r="AI222" i="16"/>
  <c r="AH222" i="16"/>
  <c r="AG222" i="16"/>
  <c r="AF222" i="16"/>
  <c r="AE222" i="16"/>
  <c r="AD222" i="16"/>
  <c r="AC222" i="16"/>
  <c r="AB222" i="16"/>
  <c r="P222" i="16"/>
  <c r="M222" i="16"/>
  <c r="N222" i="16" s="1"/>
  <c r="U222" i="16" s="1"/>
  <c r="V222" i="16" s="1"/>
  <c r="X222" i="16" s="1"/>
  <c r="H222" i="16"/>
  <c r="AI221" i="16"/>
  <c r="AH221" i="16"/>
  <c r="AF221" i="16"/>
  <c r="AE221" i="16"/>
  <c r="AD221" i="16"/>
  <c r="AC221" i="16"/>
  <c r="AB221" i="16"/>
  <c r="Q221" i="16"/>
  <c r="P221" i="16"/>
  <c r="O221" i="16"/>
  <c r="S221" i="16" s="1"/>
  <c r="M221" i="16"/>
  <c r="N221" i="16" s="1"/>
  <c r="H221" i="16"/>
  <c r="AG221" i="16" s="1"/>
  <c r="AI220" i="16"/>
  <c r="AH220" i="16"/>
  <c r="AG220" i="16"/>
  <c r="AF220" i="16"/>
  <c r="AE220" i="16"/>
  <c r="AD220" i="16"/>
  <c r="AC220" i="16"/>
  <c r="AB220" i="16"/>
  <c r="P220" i="16"/>
  <c r="N220" i="16"/>
  <c r="M220" i="16"/>
  <c r="H220" i="16"/>
  <c r="AI219" i="16"/>
  <c r="AH219" i="16"/>
  <c r="AF219" i="16"/>
  <c r="AE219" i="16"/>
  <c r="AD219" i="16"/>
  <c r="AC219" i="16"/>
  <c r="AB219" i="16"/>
  <c r="P219" i="16"/>
  <c r="M219" i="16"/>
  <c r="N219" i="16" s="1"/>
  <c r="H219" i="16"/>
  <c r="AG219" i="16" s="1"/>
  <c r="AI218" i="16"/>
  <c r="AH218" i="16"/>
  <c r="AG218" i="16"/>
  <c r="AF218" i="16"/>
  <c r="AE218" i="16"/>
  <c r="AD218" i="16"/>
  <c r="AC218" i="16"/>
  <c r="AB218" i="16"/>
  <c r="P218" i="16"/>
  <c r="N218" i="16"/>
  <c r="M218" i="16"/>
  <c r="H218" i="16"/>
  <c r="AI217" i="16"/>
  <c r="AH217" i="16"/>
  <c r="AF217" i="16"/>
  <c r="AE217" i="16"/>
  <c r="AD217" i="16"/>
  <c r="AC217" i="16"/>
  <c r="AB217" i="16"/>
  <c r="P217" i="16"/>
  <c r="M217" i="16"/>
  <c r="N217" i="16" s="1"/>
  <c r="H217" i="16"/>
  <c r="AG217" i="16" s="1"/>
  <c r="AI216" i="16"/>
  <c r="AH216" i="16"/>
  <c r="AG216" i="16"/>
  <c r="AF216" i="16"/>
  <c r="AE216" i="16"/>
  <c r="AD216" i="16"/>
  <c r="AC216" i="16"/>
  <c r="AB216" i="16"/>
  <c r="X216" i="16"/>
  <c r="U216" i="16"/>
  <c r="V216" i="16" s="1"/>
  <c r="P216" i="16"/>
  <c r="N216" i="16"/>
  <c r="M216" i="16"/>
  <c r="H216" i="16"/>
  <c r="AI215" i="16"/>
  <c r="AH215" i="16"/>
  <c r="AF215" i="16"/>
  <c r="AE215" i="16"/>
  <c r="AD215" i="16"/>
  <c r="AC215" i="16"/>
  <c r="AB215" i="16"/>
  <c r="U215" i="16"/>
  <c r="V215" i="16" s="1"/>
  <c r="X215" i="16" s="1"/>
  <c r="Y215" i="16" s="1"/>
  <c r="Q215" i="16"/>
  <c r="P215" i="16"/>
  <c r="O215" i="16"/>
  <c r="S215" i="16" s="1"/>
  <c r="M215" i="16"/>
  <c r="N215" i="16" s="1"/>
  <c r="H215" i="16"/>
  <c r="AG215" i="16" s="1"/>
  <c r="AI214" i="16"/>
  <c r="AH214" i="16"/>
  <c r="AG214" i="16"/>
  <c r="AF214" i="16"/>
  <c r="AE214" i="16"/>
  <c r="O214" i="16" s="1"/>
  <c r="S214" i="16" s="1"/>
  <c r="AD214" i="16"/>
  <c r="AC214" i="16"/>
  <c r="AB214" i="16"/>
  <c r="U214" i="16"/>
  <c r="V214" i="16" s="1"/>
  <c r="X214" i="16" s="1"/>
  <c r="P214" i="16"/>
  <c r="N214" i="16"/>
  <c r="M214" i="16"/>
  <c r="H214" i="16"/>
  <c r="AI213" i="16"/>
  <c r="AH213" i="16"/>
  <c r="AF213" i="16"/>
  <c r="AE213" i="16"/>
  <c r="AC213" i="16"/>
  <c r="AB213" i="16"/>
  <c r="P213" i="16"/>
  <c r="M213" i="16"/>
  <c r="N213" i="16" s="1"/>
  <c r="H213" i="16"/>
  <c r="AI212" i="16"/>
  <c r="AH212" i="16"/>
  <c r="AG212" i="16"/>
  <c r="AF212" i="16"/>
  <c r="AE212" i="16"/>
  <c r="AD212" i="16"/>
  <c r="AC212" i="16"/>
  <c r="AB212" i="16"/>
  <c r="P212" i="16"/>
  <c r="M212" i="16"/>
  <c r="N212" i="16" s="1"/>
  <c r="H212" i="16"/>
  <c r="AI211" i="16"/>
  <c r="AH211" i="16"/>
  <c r="AF211" i="16"/>
  <c r="AE211" i="16"/>
  <c r="AC211" i="16"/>
  <c r="AB211" i="16"/>
  <c r="P211" i="16"/>
  <c r="M211" i="16"/>
  <c r="N211" i="16" s="1"/>
  <c r="H211" i="16"/>
  <c r="AI210" i="16"/>
  <c r="AH210" i="16"/>
  <c r="AG210" i="16"/>
  <c r="AF210" i="16"/>
  <c r="AE210" i="16"/>
  <c r="AD210" i="16"/>
  <c r="AC210" i="16"/>
  <c r="AB210" i="16"/>
  <c r="P210" i="16"/>
  <c r="M210" i="16"/>
  <c r="N210" i="16" s="1"/>
  <c r="H210" i="16"/>
  <c r="AI209" i="16"/>
  <c r="AH209" i="16"/>
  <c r="AF209" i="16"/>
  <c r="AE209" i="16"/>
  <c r="AC209" i="16"/>
  <c r="AB209" i="16"/>
  <c r="P209" i="16"/>
  <c r="N209" i="16"/>
  <c r="M209" i="16"/>
  <c r="H209" i="16"/>
  <c r="AG209" i="16" s="1"/>
  <c r="AI208" i="16"/>
  <c r="AH208" i="16"/>
  <c r="AG208" i="16"/>
  <c r="AF208" i="16"/>
  <c r="AE208" i="16"/>
  <c r="AD208" i="16"/>
  <c r="AC208" i="16"/>
  <c r="AB208" i="16"/>
  <c r="P208" i="16"/>
  <c r="N208" i="16"/>
  <c r="M208" i="16"/>
  <c r="H208" i="16"/>
  <c r="AI207" i="16"/>
  <c r="AH207" i="16"/>
  <c r="AG207" i="16"/>
  <c r="AF207" i="16"/>
  <c r="AE207" i="16"/>
  <c r="AD207" i="16"/>
  <c r="AC207" i="16"/>
  <c r="AB207" i="16"/>
  <c r="P207" i="16"/>
  <c r="M207" i="16"/>
  <c r="N207" i="16" s="1"/>
  <c r="U207" i="16" s="1"/>
  <c r="V207" i="16" s="1"/>
  <c r="X207" i="16" s="1"/>
  <c r="H207" i="16"/>
  <c r="AI206" i="16"/>
  <c r="AH206" i="16"/>
  <c r="AG206" i="16"/>
  <c r="AF206" i="16"/>
  <c r="AE206" i="16"/>
  <c r="AD206" i="16"/>
  <c r="AC206" i="16"/>
  <c r="AB206" i="16"/>
  <c r="P206" i="16"/>
  <c r="N206" i="16"/>
  <c r="M206" i="16"/>
  <c r="H206" i="16"/>
  <c r="AI205" i="16"/>
  <c r="AH205" i="16"/>
  <c r="AF205" i="16"/>
  <c r="AE205" i="16"/>
  <c r="AC205" i="16"/>
  <c r="AB205" i="16"/>
  <c r="P205" i="16"/>
  <c r="M205" i="16"/>
  <c r="N205" i="16" s="1"/>
  <c r="H205" i="16"/>
  <c r="AI204" i="16"/>
  <c r="AH204" i="16"/>
  <c r="AG204" i="16"/>
  <c r="AF204" i="16"/>
  <c r="AE204" i="16"/>
  <c r="AD204" i="16"/>
  <c r="AC204" i="16"/>
  <c r="AB204" i="16"/>
  <c r="P204" i="16"/>
  <c r="M204" i="16"/>
  <c r="N204" i="16" s="1"/>
  <c r="H204" i="16"/>
  <c r="AI203" i="16"/>
  <c r="AH203" i="16"/>
  <c r="AF203" i="16"/>
  <c r="AE203" i="16"/>
  <c r="AC203" i="16"/>
  <c r="AB203" i="16"/>
  <c r="P203" i="16"/>
  <c r="N203" i="16"/>
  <c r="M203" i="16"/>
  <c r="H203" i="16"/>
  <c r="AI202" i="16"/>
  <c r="AH202" i="16"/>
  <c r="AG202" i="16"/>
  <c r="AF202" i="16"/>
  <c r="AE202" i="16"/>
  <c r="AC202" i="16"/>
  <c r="AB202" i="16"/>
  <c r="P202" i="16"/>
  <c r="M202" i="16"/>
  <c r="N202" i="16" s="1"/>
  <c r="H202" i="16"/>
  <c r="AD202" i="16" s="1"/>
  <c r="AI201" i="16"/>
  <c r="AH201" i="16"/>
  <c r="AF201" i="16"/>
  <c r="AE201" i="16"/>
  <c r="AC201" i="16"/>
  <c r="AB201" i="16"/>
  <c r="P201" i="16"/>
  <c r="N201" i="16"/>
  <c r="M201" i="16"/>
  <c r="H201" i="16"/>
  <c r="AI200" i="16"/>
  <c r="AH200" i="16"/>
  <c r="AG200" i="16"/>
  <c r="AF200" i="16"/>
  <c r="AE200" i="16"/>
  <c r="AC200" i="16"/>
  <c r="AB200" i="16"/>
  <c r="P200" i="16"/>
  <c r="M200" i="16"/>
  <c r="N200" i="16" s="1"/>
  <c r="H200" i="16"/>
  <c r="AD200" i="16" s="1"/>
  <c r="O200" i="16" s="1"/>
  <c r="S200" i="16" s="1"/>
  <c r="AI199" i="16"/>
  <c r="AH199" i="16"/>
  <c r="AF199" i="16"/>
  <c r="AE199" i="16"/>
  <c r="AC199" i="16"/>
  <c r="AB199" i="16"/>
  <c r="P199" i="16"/>
  <c r="N199" i="16"/>
  <c r="M199" i="16"/>
  <c r="H199" i="16"/>
  <c r="AI198" i="16"/>
  <c r="AH198" i="16"/>
  <c r="AG198" i="16"/>
  <c r="AF198" i="16"/>
  <c r="AE198" i="16"/>
  <c r="AC198" i="16"/>
  <c r="AB198" i="16"/>
  <c r="U198" i="16" s="1"/>
  <c r="V198" i="16" s="1"/>
  <c r="X198" i="16"/>
  <c r="P198" i="16"/>
  <c r="O198" i="16"/>
  <c r="S198" i="16" s="1"/>
  <c r="M198" i="16"/>
  <c r="N198" i="16" s="1"/>
  <c r="H198" i="16"/>
  <c r="AD198" i="16" s="1"/>
  <c r="AI197" i="16"/>
  <c r="AH197" i="16"/>
  <c r="AF197" i="16"/>
  <c r="AE197" i="16"/>
  <c r="AC197" i="16"/>
  <c r="AB197" i="16"/>
  <c r="P197" i="16"/>
  <c r="N197" i="16"/>
  <c r="M197" i="16"/>
  <c r="H197" i="16"/>
  <c r="AI196" i="16"/>
  <c r="AH196" i="16"/>
  <c r="AG196" i="16"/>
  <c r="AF196" i="16"/>
  <c r="AE196" i="16"/>
  <c r="AC196" i="16"/>
  <c r="AB196" i="16"/>
  <c r="U196" i="16" s="1"/>
  <c r="V196" i="16" s="1"/>
  <c r="X196" i="16"/>
  <c r="P196" i="16"/>
  <c r="M196" i="16"/>
  <c r="N196" i="16" s="1"/>
  <c r="H196" i="16"/>
  <c r="AD196" i="16" s="1"/>
  <c r="AI195" i="16"/>
  <c r="AH195" i="16"/>
  <c r="AF195" i="16"/>
  <c r="AE195" i="16"/>
  <c r="AC195" i="16"/>
  <c r="AB195" i="16"/>
  <c r="P195" i="16"/>
  <c r="N195" i="16"/>
  <c r="M195" i="16"/>
  <c r="H195" i="16"/>
  <c r="AI194" i="16"/>
  <c r="AH194" i="16"/>
  <c r="AG194" i="16"/>
  <c r="AF194" i="16"/>
  <c r="AE194" i="16"/>
  <c r="AC194" i="16"/>
  <c r="AB194" i="16"/>
  <c r="P194" i="16"/>
  <c r="M194" i="16"/>
  <c r="N194" i="16" s="1"/>
  <c r="H194" i="16"/>
  <c r="AD194" i="16" s="1"/>
  <c r="AI193" i="16"/>
  <c r="AH193" i="16"/>
  <c r="AF193" i="16"/>
  <c r="AE193" i="16"/>
  <c r="AC193" i="16"/>
  <c r="AB193" i="16"/>
  <c r="P193" i="16"/>
  <c r="N193" i="16"/>
  <c r="M193" i="16"/>
  <c r="H193" i="16"/>
  <c r="AI192" i="16"/>
  <c r="AH192" i="16"/>
  <c r="AG192" i="16"/>
  <c r="AF192" i="16"/>
  <c r="AE192" i="16"/>
  <c r="AC192" i="16"/>
  <c r="AB192" i="16"/>
  <c r="P192" i="16"/>
  <c r="M192" i="16"/>
  <c r="N192" i="16" s="1"/>
  <c r="H192" i="16"/>
  <c r="AD192" i="16" s="1"/>
  <c r="O192" i="16" s="1"/>
  <c r="S192" i="16" s="1"/>
  <c r="AI191" i="16"/>
  <c r="AH191" i="16"/>
  <c r="AF191" i="16"/>
  <c r="AE191" i="16"/>
  <c r="AC191" i="16"/>
  <c r="AB191" i="16"/>
  <c r="P191" i="16"/>
  <c r="N191" i="16"/>
  <c r="M191" i="16"/>
  <c r="H191" i="16"/>
  <c r="AI190" i="16"/>
  <c r="AH190" i="16"/>
  <c r="AG190" i="16"/>
  <c r="AF190" i="16"/>
  <c r="AE190" i="16"/>
  <c r="AC190" i="16"/>
  <c r="AB190" i="16"/>
  <c r="U190" i="16" s="1"/>
  <c r="V190" i="16" s="1"/>
  <c r="X190" i="16"/>
  <c r="P190" i="16"/>
  <c r="O190" i="16"/>
  <c r="S190" i="16" s="1"/>
  <c r="M190" i="16"/>
  <c r="N190" i="16" s="1"/>
  <c r="H190" i="16"/>
  <c r="AD190" i="16" s="1"/>
  <c r="AI189" i="16"/>
  <c r="AH189" i="16"/>
  <c r="AF189" i="16"/>
  <c r="AE189" i="16"/>
  <c r="AC189" i="16"/>
  <c r="AB189" i="16"/>
  <c r="P189" i="16"/>
  <c r="N189" i="16"/>
  <c r="M189" i="16"/>
  <c r="H189" i="16"/>
  <c r="AI188" i="16"/>
  <c r="AH188" i="16"/>
  <c r="AG188" i="16"/>
  <c r="AF188" i="16"/>
  <c r="AE188" i="16"/>
  <c r="AC188" i="16"/>
  <c r="AB188" i="16"/>
  <c r="U188" i="16" s="1"/>
  <c r="V188" i="16" s="1"/>
  <c r="X188" i="16"/>
  <c r="P188" i="16"/>
  <c r="M188" i="16"/>
  <c r="N188" i="16" s="1"/>
  <c r="H188" i="16"/>
  <c r="AD188" i="16" s="1"/>
  <c r="AI187" i="16"/>
  <c r="AH187" i="16"/>
  <c r="AF187" i="16"/>
  <c r="AE187" i="16"/>
  <c r="AC187" i="16"/>
  <c r="AB187" i="16"/>
  <c r="P187" i="16"/>
  <c r="N187" i="16"/>
  <c r="M187" i="16"/>
  <c r="H187" i="16"/>
  <c r="AI186" i="16"/>
  <c r="AH186" i="16"/>
  <c r="AG186" i="16"/>
  <c r="AF186" i="16"/>
  <c r="AE186" i="16"/>
  <c r="AC186" i="16"/>
  <c r="AB186" i="16"/>
  <c r="P186" i="16"/>
  <c r="M186" i="16"/>
  <c r="N186" i="16" s="1"/>
  <c r="H186" i="16"/>
  <c r="AD186" i="16" s="1"/>
  <c r="AI185" i="16"/>
  <c r="AH185" i="16"/>
  <c r="AF185" i="16"/>
  <c r="AE185" i="16"/>
  <c r="AC185" i="16"/>
  <c r="AB185" i="16"/>
  <c r="P185" i="16"/>
  <c r="N185" i="16"/>
  <c r="M185" i="16"/>
  <c r="H185" i="16"/>
  <c r="AI184" i="16"/>
  <c r="AH184" i="16"/>
  <c r="AG184" i="16"/>
  <c r="AF184" i="16"/>
  <c r="AE184" i="16"/>
  <c r="AC184" i="16"/>
  <c r="AB184" i="16"/>
  <c r="P184" i="16"/>
  <c r="M184" i="16"/>
  <c r="N184" i="16" s="1"/>
  <c r="H184" i="16"/>
  <c r="AD184" i="16" s="1"/>
  <c r="O184" i="16" s="1"/>
  <c r="S184" i="16" s="1"/>
  <c r="AI183" i="16"/>
  <c r="AH183" i="16"/>
  <c r="AF183" i="16"/>
  <c r="AE183" i="16"/>
  <c r="AC183" i="16"/>
  <c r="AB183" i="16"/>
  <c r="P183" i="16"/>
  <c r="N183" i="16"/>
  <c r="M183" i="16"/>
  <c r="H183" i="16"/>
  <c r="AI182" i="16"/>
  <c r="AH182" i="16"/>
  <c r="AG182" i="16"/>
  <c r="AF182" i="16"/>
  <c r="AE182" i="16"/>
  <c r="AC182" i="16"/>
  <c r="AB182" i="16"/>
  <c r="O182" i="16" s="1"/>
  <c r="S182" i="16" s="1"/>
  <c r="U182" i="16"/>
  <c r="V182" i="16" s="1"/>
  <c r="X182" i="16" s="1"/>
  <c r="P182" i="16"/>
  <c r="M182" i="16"/>
  <c r="N182" i="16" s="1"/>
  <c r="H182" i="16"/>
  <c r="AD182" i="16" s="1"/>
  <c r="AI181" i="16"/>
  <c r="AH181" i="16"/>
  <c r="AF181" i="16"/>
  <c r="AE181" i="16"/>
  <c r="AC181" i="16"/>
  <c r="AB181" i="16"/>
  <c r="P181" i="16"/>
  <c r="N181" i="16"/>
  <c r="M181" i="16"/>
  <c r="H181" i="16"/>
  <c r="AI180" i="16"/>
  <c r="AH180" i="16"/>
  <c r="AG180" i="16"/>
  <c r="AF180" i="16"/>
  <c r="AE180" i="16"/>
  <c r="AC180" i="16"/>
  <c r="AB180" i="16"/>
  <c r="P180" i="16"/>
  <c r="M180" i="16"/>
  <c r="N180" i="16" s="1"/>
  <c r="H180" i="16"/>
  <c r="AD180" i="16" s="1"/>
  <c r="AI179" i="16"/>
  <c r="AH179" i="16"/>
  <c r="AF179" i="16"/>
  <c r="AE179" i="16"/>
  <c r="AC179" i="16"/>
  <c r="AB179" i="16"/>
  <c r="P179" i="16"/>
  <c r="N179" i="16"/>
  <c r="M179" i="16"/>
  <c r="H179" i="16"/>
  <c r="AI178" i="16"/>
  <c r="AH178" i="16"/>
  <c r="AF178" i="16"/>
  <c r="AE178" i="16"/>
  <c r="AC178" i="16"/>
  <c r="AB178" i="16"/>
  <c r="P178" i="16"/>
  <c r="M178" i="16"/>
  <c r="N178" i="16" s="1"/>
  <c r="H178" i="16"/>
  <c r="AI177" i="16"/>
  <c r="AH177" i="16"/>
  <c r="AF177" i="16"/>
  <c r="AE177" i="16"/>
  <c r="AC177" i="16"/>
  <c r="AB177" i="16"/>
  <c r="P177" i="16"/>
  <c r="N177" i="16"/>
  <c r="M177" i="16"/>
  <c r="H177" i="16"/>
  <c r="AI176" i="16"/>
  <c r="AH176" i="16"/>
  <c r="AF176" i="16"/>
  <c r="AE176" i="16"/>
  <c r="AC176" i="16"/>
  <c r="AB176" i="16"/>
  <c r="P176" i="16"/>
  <c r="M176" i="16"/>
  <c r="N176" i="16" s="1"/>
  <c r="H176" i="16"/>
  <c r="AD176" i="16" s="1"/>
  <c r="AI175" i="16"/>
  <c r="AH175" i="16"/>
  <c r="AF175" i="16"/>
  <c r="AE175" i="16"/>
  <c r="AC175" i="16"/>
  <c r="AB175" i="16"/>
  <c r="P175" i="16"/>
  <c r="N175" i="16"/>
  <c r="M175" i="16"/>
  <c r="H175" i="16"/>
  <c r="AI174" i="16"/>
  <c r="AH174" i="16"/>
  <c r="AG174" i="16"/>
  <c r="AF174" i="16"/>
  <c r="AE174" i="16"/>
  <c r="AC174" i="16"/>
  <c r="AB174" i="16"/>
  <c r="O174" i="16" s="1"/>
  <c r="S174" i="16" s="1"/>
  <c r="P174" i="16"/>
  <c r="M174" i="16"/>
  <c r="N174" i="16" s="1"/>
  <c r="H174" i="16"/>
  <c r="AD174" i="16" s="1"/>
  <c r="AI173" i="16"/>
  <c r="AH173" i="16"/>
  <c r="AF173" i="16"/>
  <c r="AE173" i="16"/>
  <c r="AC173" i="16"/>
  <c r="AB173" i="16"/>
  <c r="P173" i="16"/>
  <c r="N173" i="16"/>
  <c r="M173" i="16"/>
  <c r="H173" i="16"/>
  <c r="AI172" i="16"/>
  <c r="AH172" i="16"/>
  <c r="AG172" i="16"/>
  <c r="AF172" i="16"/>
  <c r="AE172" i="16"/>
  <c r="AC172" i="16"/>
  <c r="AB172" i="16"/>
  <c r="P172" i="16"/>
  <c r="O172" i="16"/>
  <c r="S172" i="16" s="1"/>
  <c r="M172" i="16"/>
  <c r="N172" i="16" s="1"/>
  <c r="H172" i="16"/>
  <c r="AD172" i="16" s="1"/>
  <c r="AI171" i="16"/>
  <c r="AH171" i="16"/>
  <c r="AF171" i="16"/>
  <c r="AE171" i="16"/>
  <c r="AC171" i="16"/>
  <c r="AB171" i="16"/>
  <c r="P171" i="16"/>
  <c r="N171" i="16"/>
  <c r="M171" i="16"/>
  <c r="H171" i="16"/>
  <c r="AI170" i="16"/>
  <c r="AH170" i="16"/>
  <c r="AF170" i="16"/>
  <c r="AE170" i="16"/>
  <c r="AC170" i="16"/>
  <c r="AB170" i="16"/>
  <c r="P170" i="16"/>
  <c r="M170" i="16"/>
  <c r="N170" i="16" s="1"/>
  <c r="H170" i="16"/>
  <c r="AI169" i="16"/>
  <c r="AH169" i="16"/>
  <c r="AF169" i="16"/>
  <c r="AE169" i="16"/>
  <c r="AC169" i="16"/>
  <c r="AB169" i="16"/>
  <c r="P169" i="16"/>
  <c r="N169" i="16"/>
  <c r="M169" i="16"/>
  <c r="H169" i="16"/>
  <c r="AI168" i="16"/>
  <c r="AH168" i="16"/>
  <c r="AF168" i="16"/>
  <c r="AE168" i="16"/>
  <c r="AC168" i="16"/>
  <c r="AB168" i="16"/>
  <c r="P168" i="16"/>
  <c r="M168" i="16"/>
  <c r="N168" i="16" s="1"/>
  <c r="H168" i="16"/>
  <c r="AI167" i="16"/>
  <c r="AH167" i="16"/>
  <c r="AF167" i="16"/>
  <c r="AE167" i="16"/>
  <c r="AC167" i="16"/>
  <c r="AB167" i="16"/>
  <c r="P167" i="16"/>
  <c r="N167" i="16"/>
  <c r="M167" i="16"/>
  <c r="H167" i="16"/>
  <c r="AI166" i="16"/>
  <c r="AH166" i="16"/>
  <c r="AG166" i="16"/>
  <c r="AF166" i="16"/>
  <c r="AE166" i="16"/>
  <c r="AC166" i="16"/>
  <c r="AB166" i="16"/>
  <c r="O166" i="16" s="1"/>
  <c r="S166" i="16" s="1"/>
  <c r="U166" i="16"/>
  <c r="V166" i="16" s="1"/>
  <c r="X166" i="16" s="1"/>
  <c r="Y166" i="16" s="1"/>
  <c r="P166" i="16"/>
  <c r="M166" i="16"/>
  <c r="N166" i="16" s="1"/>
  <c r="H166" i="16"/>
  <c r="AD166" i="16" s="1"/>
  <c r="AI165" i="16"/>
  <c r="AH165" i="16"/>
  <c r="AF165" i="16"/>
  <c r="AE165" i="16"/>
  <c r="AC165" i="16"/>
  <c r="AB165" i="16"/>
  <c r="P165" i="16"/>
  <c r="N165" i="16"/>
  <c r="M165" i="16"/>
  <c r="H165" i="16"/>
  <c r="AI164" i="16"/>
  <c r="AH164" i="16"/>
  <c r="AF164" i="16"/>
  <c r="AE164" i="16"/>
  <c r="AC164" i="16"/>
  <c r="AB164" i="16"/>
  <c r="P164" i="16"/>
  <c r="M164" i="16"/>
  <c r="N164" i="16" s="1"/>
  <c r="H164" i="16"/>
  <c r="AI163" i="16"/>
  <c r="AH163" i="16"/>
  <c r="AF163" i="16"/>
  <c r="AE163" i="16"/>
  <c r="AC163" i="16"/>
  <c r="AB163" i="16"/>
  <c r="P163" i="16"/>
  <c r="N163" i="16"/>
  <c r="M163" i="16"/>
  <c r="H163" i="16"/>
  <c r="AI162" i="16"/>
  <c r="AH162" i="16"/>
  <c r="AF162" i="16"/>
  <c r="AE162" i="16"/>
  <c r="AC162" i="16"/>
  <c r="AB162" i="16"/>
  <c r="P162" i="16"/>
  <c r="M162" i="16"/>
  <c r="N162" i="16" s="1"/>
  <c r="H162" i="16"/>
  <c r="AI161" i="16"/>
  <c r="AH161" i="16"/>
  <c r="AF161" i="16"/>
  <c r="AE161" i="16"/>
  <c r="AC161" i="16"/>
  <c r="AB161" i="16"/>
  <c r="P161" i="16"/>
  <c r="N161" i="16"/>
  <c r="M161" i="16"/>
  <c r="H161" i="16"/>
  <c r="AI160" i="16"/>
  <c r="AH160" i="16"/>
  <c r="AF160" i="16"/>
  <c r="AE160" i="16"/>
  <c r="AC160" i="16"/>
  <c r="AB160" i="16"/>
  <c r="P160" i="16"/>
  <c r="M160" i="16"/>
  <c r="N160" i="16" s="1"/>
  <c r="H160" i="16"/>
  <c r="AI159" i="16"/>
  <c r="AH159" i="16"/>
  <c r="AF159" i="16"/>
  <c r="AE159" i="16"/>
  <c r="AC159" i="16"/>
  <c r="AB159" i="16"/>
  <c r="P159" i="16"/>
  <c r="N159" i="16"/>
  <c r="M159" i="16"/>
  <c r="H159" i="16"/>
  <c r="AI158" i="16"/>
  <c r="AH158" i="16"/>
  <c r="AG158" i="16"/>
  <c r="AF158" i="16"/>
  <c r="AE158" i="16"/>
  <c r="AD158" i="16"/>
  <c r="AC158" i="16"/>
  <c r="AB158" i="16"/>
  <c r="P158" i="16"/>
  <c r="Q158" i="16" s="1"/>
  <c r="O158" i="16"/>
  <c r="M158" i="16"/>
  <c r="N158" i="16" s="1"/>
  <c r="H158" i="16"/>
  <c r="AI157" i="16"/>
  <c r="AH157" i="16"/>
  <c r="AF157" i="16"/>
  <c r="AE157" i="16"/>
  <c r="AC157" i="16"/>
  <c r="AB157" i="16"/>
  <c r="P157" i="16"/>
  <c r="N157" i="16"/>
  <c r="M157" i="16"/>
  <c r="H157" i="16"/>
  <c r="AI156" i="16"/>
  <c r="AH156" i="16"/>
  <c r="AG156" i="16"/>
  <c r="AF156" i="16"/>
  <c r="AE156" i="16"/>
  <c r="O156" i="16" s="1"/>
  <c r="S156" i="16" s="1"/>
  <c r="AD156" i="16"/>
  <c r="AC156" i="16"/>
  <c r="AB156" i="16"/>
  <c r="P156" i="16"/>
  <c r="M156" i="16"/>
  <c r="N156" i="16" s="1"/>
  <c r="H156" i="16"/>
  <c r="AI155" i="16"/>
  <c r="AH155" i="16"/>
  <c r="AF155" i="16"/>
  <c r="AE155" i="16"/>
  <c r="AC155" i="16"/>
  <c r="AB155" i="16"/>
  <c r="P155" i="16"/>
  <c r="N155" i="16"/>
  <c r="M155" i="16"/>
  <c r="H155" i="16"/>
  <c r="AI154" i="16"/>
  <c r="AH154" i="16"/>
  <c r="AF154" i="16"/>
  <c r="AE154" i="16"/>
  <c r="AD154" i="16"/>
  <c r="AC154" i="16"/>
  <c r="AB154" i="16"/>
  <c r="P154" i="16"/>
  <c r="M154" i="16"/>
  <c r="N154" i="16" s="1"/>
  <c r="H154" i="16"/>
  <c r="AG154" i="16" s="1"/>
  <c r="AI153" i="16"/>
  <c r="AH153" i="16"/>
  <c r="AG153" i="16"/>
  <c r="AF153" i="16"/>
  <c r="AE153" i="16"/>
  <c r="AD153" i="16"/>
  <c r="AC153" i="16"/>
  <c r="AB153" i="16"/>
  <c r="U153" i="16" s="1"/>
  <c r="V153" i="16" s="1"/>
  <c r="X153" i="16" s="1"/>
  <c r="P153" i="16"/>
  <c r="O153" i="16"/>
  <c r="M153" i="16"/>
  <c r="N153" i="16" s="1"/>
  <c r="H153" i="16"/>
  <c r="AI152" i="16"/>
  <c r="AH152" i="16"/>
  <c r="AG152" i="16"/>
  <c r="AF152" i="16"/>
  <c r="AE152" i="16"/>
  <c r="AD152" i="16"/>
  <c r="AC152" i="16"/>
  <c r="U152" i="16" s="1"/>
  <c r="V152" i="16" s="1"/>
  <c r="X152" i="16" s="1"/>
  <c r="AB152" i="16"/>
  <c r="P152" i="16"/>
  <c r="M152" i="16"/>
  <c r="H152" i="16"/>
  <c r="AI151" i="16"/>
  <c r="AH151" i="16"/>
  <c r="AG151" i="16"/>
  <c r="AF151" i="16"/>
  <c r="AE151" i="16"/>
  <c r="AD151" i="16"/>
  <c r="AC151" i="16"/>
  <c r="AB151" i="16"/>
  <c r="P151" i="16"/>
  <c r="O151" i="16"/>
  <c r="N151" i="16"/>
  <c r="M151" i="16"/>
  <c r="H151" i="16"/>
  <c r="AI150" i="16"/>
  <c r="AH150" i="16"/>
  <c r="AG150" i="16"/>
  <c r="AF150" i="16"/>
  <c r="AE150" i="16"/>
  <c r="AD150" i="16"/>
  <c r="AC150" i="16"/>
  <c r="AB150" i="16"/>
  <c r="U150" i="16"/>
  <c r="V150" i="16" s="1"/>
  <c r="X150" i="16" s="1"/>
  <c r="P150" i="16"/>
  <c r="M150" i="16"/>
  <c r="H150" i="16"/>
  <c r="AI149" i="16"/>
  <c r="AH149" i="16"/>
  <c r="AG149" i="16"/>
  <c r="AF149" i="16"/>
  <c r="AE149" i="16"/>
  <c r="AD149" i="16"/>
  <c r="AC149" i="16"/>
  <c r="AB149" i="16"/>
  <c r="U149" i="16" s="1"/>
  <c r="V149" i="16" s="1"/>
  <c r="X149" i="16"/>
  <c r="P149" i="16"/>
  <c r="O149" i="16"/>
  <c r="N149" i="16"/>
  <c r="M149" i="16"/>
  <c r="H149" i="16"/>
  <c r="AI148" i="16"/>
  <c r="AH148" i="16"/>
  <c r="AG148" i="16"/>
  <c r="AF148" i="16"/>
  <c r="AE148" i="16"/>
  <c r="AD148" i="16"/>
  <c r="AC148" i="16"/>
  <c r="AB148" i="16"/>
  <c r="O148" i="16" s="1"/>
  <c r="S148" i="16" s="1"/>
  <c r="U148" i="16"/>
  <c r="V148" i="16" s="1"/>
  <c r="X148" i="16" s="1"/>
  <c r="Q148" i="16"/>
  <c r="P148" i="16"/>
  <c r="M148" i="16"/>
  <c r="H148" i="16"/>
  <c r="AI147" i="16"/>
  <c r="AH147" i="16"/>
  <c r="AG147" i="16"/>
  <c r="AF147" i="16"/>
  <c r="AE147" i="16"/>
  <c r="AD147" i="16"/>
  <c r="AC147" i="16"/>
  <c r="AB147" i="16"/>
  <c r="U147" i="16" s="1"/>
  <c r="V147" i="16" s="1"/>
  <c r="X147" i="16"/>
  <c r="P147" i="16"/>
  <c r="O147" i="16"/>
  <c r="N147" i="16"/>
  <c r="M147" i="16"/>
  <c r="H147" i="16"/>
  <c r="AI146" i="16"/>
  <c r="AH146" i="16"/>
  <c r="AG146" i="16"/>
  <c r="AF146" i="16"/>
  <c r="AE146" i="16"/>
  <c r="AD146" i="16"/>
  <c r="U146" i="16" s="1"/>
  <c r="V146" i="16" s="1"/>
  <c r="X146" i="16" s="1"/>
  <c r="AC146" i="16"/>
  <c r="AB146" i="16"/>
  <c r="P146" i="16"/>
  <c r="M146" i="16"/>
  <c r="N146" i="16" s="1"/>
  <c r="H146" i="16"/>
  <c r="AI145" i="16"/>
  <c r="AH145" i="16"/>
  <c r="AG145" i="16"/>
  <c r="AF145" i="16"/>
  <c r="AE145" i="16"/>
  <c r="AD145" i="16"/>
  <c r="AC145" i="16"/>
  <c r="AB145" i="16"/>
  <c r="P145" i="16"/>
  <c r="O145" i="16"/>
  <c r="M145" i="16"/>
  <c r="N145" i="16" s="1"/>
  <c r="H145" i="16"/>
  <c r="AI144" i="16"/>
  <c r="AH144" i="16"/>
  <c r="AG144" i="16"/>
  <c r="AF144" i="16"/>
  <c r="AE144" i="16"/>
  <c r="AD144" i="16"/>
  <c r="AC144" i="16"/>
  <c r="U144" i="16" s="1"/>
  <c r="V144" i="16" s="1"/>
  <c r="X144" i="16" s="1"/>
  <c r="AB144" i="16"/>
  <c r="P144" i="16"/>
  <c r="M144" i="16"/>
  <c r="N144" i="16" s="1"/>
  <c r="H144" i="16"/>
  <c r="AI143" i="16"/>
  <c r="AH143" i="16"/>
  <c r="AG143" i="16"/>
  <c r="AF143" i="16"/>
  <c r="AE143" i="16"/>
  <c r="AD143" i="16"/>
  <c r="AC143" i="16"/>
  <c r="AB143" i="16"/>
  <c r="P143" i="16"/>
  <c r="O143" i="16"/>
  <c r="M143" i="16"/>
  <c r="N143" i="16" s="1"/>
  <c r="H143" i="16"/>
  <c r="AI142" i="16"/>
  <c r="AH142" i="16"/>
  <c r="AG142" i="16"/>
  <c r="AF142" i="16"/>
  <c r="AE142" i="16"/>
  <c r="AD142" i="16"/>
  <c r="AC142" i="16"/>
  <c r="AB142" i="16"/>
  <c r="U142" i="16"/>
  <c r="V142" i="16" s="1"/>
  <c r="X142" i="16" s="1"/>
  <c r="P142" i="16"/>
  <c r="M142" i="16"/>
  <c r="N142" i="16" s="1"/>
  <c r="H142" i="16"/>
  <c r="AI141" i="16"/>
  <c r="AH141" i="16"/>
  <c r="AG141" i="16"/>
  <c r="AF141" i="16"/>
  <c r="AE141" i="16"/>
  <c r="AD141" i="16"/>
  <c r="AC141" i="16"/>
  <c r="AB141" i="16"/>
  <c r="Q141" i="16"/>
  <c r="P141" i="16"/>
  <c r="O141" i="16"/>
  <c r="S141" i="16" s="1"/>
  <c r="M141" i="16"/>
  <c r="N141" i="16" s="1"/>
  <c r="H141" i="16"/>
  <c r="AI140" i="16"/>
  <c r="AH140" i="16"/>
  <c r="AG140" i="16"/>
  <c r="AF140" i="16"/>
  <c r="AE140" i="16"/>
  <c r="AD140" i="16"/>
  <c r="AC140" i="16"/>
  <c r="AB140" i="16"/>
  <c r="U140" i="16"/>
  <c r="V140" i="16" s="1"/>
  <c r="X140" i="16" s="1"/>
  <c r="P140" i="16"/>
  <c r="M140" i="16"/>
  <c r="N140" i="16" s="1"/>
  <c r="H140" i="16"/>
  <c r="AI139" i="16"/>
  <c r="AH139" i="16"/>
  <c r="AG139" i="16"/>
  <c r="AF139" i="16"/>
  <c r="AE139" i="16"/>
  <c r="AD139" i="16"/>
  <c r="AC139" i="16"/>
  <c r="AB139" i="16"/>
  <c r="Q139" i="16"/>
  <c r="P139" i="16"/>
  <c r="O139" i="16"/>
  <c r="S139" i="16" s="1"/>
  <c r="M139" i="16"/>
  <c r="N139" i="16" s="1"/>
  <c r="H139" i="16"/>
  <c r="AI138" i="16"/>
  <c r="AH138" i="16"/>
  <c r="AG138" i="16"/>
  <c r="AF138" i="16"/>
  <c r="AE138" i="16"/>
  <c r="AD138" i="16"/>
  <c r="AC138" i="16"/>
  <c r="AB138" i="16"/>
  <c r="U138" i="16"/>
  <c r="V138" i="16" s="1"/>
  <c r="X138" i="16" s="1"/>
  <c r="P138" i="16"/>
  <c r="M138" i="16"/>
  <c r="H138" i="16"/>
  <c r="AI137" i="16"/>
  <c r="AH137" i="16"/>
  <c r="AG137" i="16"/>
  <c r="AF137" i="16"/>
  <c r="AE137" i="16"/>
  <c r="AD137" i="16"/>
  <c r="AC137" i="16"/>
  <c r="AB137" i="16"/>
  <c r="Q137" i="16"/>
  <c r="P137" i="16"/>
  <c r="O137" i="16"/>
  <c r="S137" i="16" s="1"/>
  <c r="M137" i="16"/>
  <c r="N137" i="16" s="1"/>
  <c r="H137" i="16"/>
  <c r="AI136" i="16"/>
  <c r="AH136" i="16"/>
  <c r="AG136" i="16"/>
  <c r="AF136" i="16"/>
  <c r="AE136" i="16"/>
  <c r="AD136" i="16"/>
  <c r="AC136" i="16"/>
  <c r="AB136" i="16"/>
  <c r="U136" i="16"/>
  <c r="V136" i="16" s="1"/>
  <c r="X136" i="16" s="1"/>
  <c r="P136" i="16"/>
  <c r="N136" i="16"/>
  <c r="M136" i="16"/>
  <c r="H136" i="16"/>
  <c r="AI135" i="16"/>
  <c r="AH135" i="16"/>
  <c r="AG135" i="16"/>
  <c r="AF135" i="16"/>
  <c r="AE135" i="16"/>
  <c r="AD135" i="16"/>
  <c r="O135" i="16" s="1"/>
  <c r="AC135" i="16"/>
  <c r="AB135" i="16"/>
  <c r="P135" i="16"/>
  <c r="M135" i="16"/>
  <c r="N135" i="16" s="1"/>
  <c r="H135" i="16"/>
  <c r="AI134" i="16"/>
  <c r="AH134" i="16"/>
  <c r="AG134" i="16"/>
  <c r="AF134" i="16"/>
  <c r="AE134" i="16"/>
  <c r="AD134" i="16"/>
  <c r="AC134" i="16"/>
  <c r="U134" i="16" s="1"/>
  <c r="V134" i="16" s="1"/>
  <c r="X134" i="16" s="1"/>
  <c r="AB134" i="16"/>
  <c r="O134" i="16" s="1"/>
  <c r="P134" i="16"/>
  <c r="N134" i="16"/>
  <c r="M134" i="16"/>
  <c r="H134" i="16"/>
  <c r="AI133" i="16"/>
  <c r="AH133" i="16"/>
  <c r="AG133" i="16"/>
  <c r="AF133" i="16"/>
  <c r="AE133" i="16"/>
  <c r="AD133" i="16"/>
  <c r="O133" i="16" s="1"/>
  <c r="AC133" i="16"/>
  <c r="AB133" i="16"/>
  <c r="P133" i="16"/>
  <c r="M133" i="16"/>
  <c r="N133" i="16" s="1"/>
  <c r="H133" i="16"/>
  <c r="AI132" i="16"/>
  <c r="AH132" i="16"/>
  <c r="AF132" i="16"/>
  <c r="AE132" i="16"/>
  <c r="AC132" i="16"/>
  <c r="AB132" i="16"/>
  <c r="U132" i="16"/>
  <c r="V132" i="16" s="1"/>
  <c r="X132" i="16" s="1"/>
  <c r="P132" i="16"/>
  <c r="M132" i="16"/>
  <c r="H132" i="16"/>
  <c r="AD132" i="16" s="1"/>
  <c r="AI131" i="16"/>
  <c r="AH131" i="16"/>
  <c r="AF131" i="16"/>
  <c r="AE131" i="16"/>
  <c r="AC131" i="16"/>
  <c r="AB131" i="16"/>
  <c r="P131" i="16"/>
  <c r="M131" i="16"/>
  <c r="H131" i="16"/>
  <c r="AD131" i="16" s="1"/>
  <c r="AI130" i="16"/>
  <c r="AH130" i="16"/>
  <c r="AF130" i="16"/>
  <c r="AE130" i="16"/>
  <c r="AC130" i="16"/>
  <c r="AB130" i="16"/>
  <c r="P130" i="16"/>
  <c r="N130" i="16"/>
  <c r="M130" i="16"/>
  <c r="H130" i="16"/>
  <c r="AG130" i="16" s="1"/>
  <c r="AI129" i="16"/>
  <c r="AH129" i="16"/>
  <c r="AF129" i="16"/>
  <c r="AE129" i="16"/>
  <c r="AD129" i="16"/>
  <c r="O129" i="16" s="1"/>
  <c r="S129" i="16" s="1"/>
  <c r="AC129" i="16"/>
  <c r="AB129" i="16"/>
  <c r="Q129" i="16"/>
  <c r="P129" i="16"/>
  <c r="M129" i="16"/>
  <c r="H129" i="16"/>
  <c r="AG129" i="16" s="1"/>
  <c r="AI128" i="16"/>
  <c r="AH128" i="16"/>
  <c r="AG128" i="16"/>
  <c r="AF128" i="16"/>
  <c r="AE128" i="16"/>
  <c r="AC128" i="16"/>
  <c r="AB128" i="16"/>
  <c r="P128" i="16"/>
  <c r="M128" i="16"/>
  <c r="H128" i="16"/>
  <c r="AD128" i="16" s="1"/>
  <c r="AI127" i="16"/>
  <c r="AH127" i="16"/>
  <c r="AF127" i="16"/>
  <c r="AE127" i="16"/>
  <c r="AC127" i="16"/>
  <c r="AB127" i="16"/>
  <c r="P127" i="16"/>
  <c r="N127" i="16"/>
  <c r="M127" i="16"/>
  <c r="H127" i="16"/>
  <c r="AG127" i="16" s="1"/>
  <c r="AI126" i="16"/>
  <c r="AH126" i="16"/>
  <c r="AF126" i="16"/>
  <c r="AE126" i="16"/>
  <c r="AC126" i="16"/>
  <c r="AB126" i="16"/>
  <c r="P126" i="16"/>
  <c r="M126" i="16"/>
  <c r="N126" i="16" s="1"/>
  <c r="H126" i="16"/>
  <c r="AD126" i="16" s="1"/>
  <c r="AI125" i="16"/>
  <c r="AH125" i="16"/>
  <c r="AF125" i="16"/>
  <c r="AE125" i="16"/>
  <c r="AC125" i="16"/>
  <c r="AB125" i="16"/>
  <c r="P125" i="16"/>
  <c r="N125" i="16"/>
  <c r="M125" i="16"/>
  <c r="H125" i="16"/>
  <c r="AG125" i="16" s="1"/>
  <c r="AI124" i="16"/>
  <c r="AH124" i="16"/>
  <c r="AF124" i="16"/>
  <c r="AE124" i="16"/>
  <c r="AC124" i="16"/>
  <c r="AB124" i="16"/>
  <c r="U124" i="16" s="1"/>
  <c r="V124" i="16" s="1"/>
  <c r="X124" i="16" s="1"/>
  <c r="P124" i="16"/>
  <c r="M124" i="16"/>
  <c r="N124" i="16" s="1"/>
  <c r="H124" i="16"/>
  <c r="AD124" i="16" s="1"/>
  <c r="AI123" i="16"/>
  <c r="AH123" i="16"/>
  <c r="AF123" i="16"/>
  <c r="AE123" i="16"/>
  <c r="AC123" i="16"/>
  <c r="AB123" i="16"/>
  <c r="P123" i="16"/>
  <c r="N123" i="16"/>
  <c r="M123" i="16"/>
  <c r="H123" i="16"/>
  <c r="AG123" i="16" s="1"/>
  <c r="AI122" i="16"/>
  <c r="AH122" i="16"/>
  <c r="AF122" i="16"/>
  <c r="AE122" i="16"/>
  <c r="AC122" i="16"/>
  <c r="AB122" i="16"/>
  <c r="P122" i="16"/>
  <c r="M122" i="16"/>
  <c r="H122" i="16"/>
  <c r="AD122" i="16" s="1"/>
  <c r="AI121" i="16"/>
  <c r="AH121" i="16"/>
  <c r="AF121" i="16"/>
  <c r="AE121" i="16"/>
  <c r="AC121" i="16"/>
  <c r="AB121" i="16"/>
  <c r="P121" i="16"/>
  <c r="N121" i="16"/>
  <c r="M121" i="16"/>
  <c r="H121" i="16"/>
  <c r="AG121" i="16" s="1"/>
  <c r="AI120" i="16"/>
  <c r="AH120" i="16"/>
  <c r="AF120" i="16"/>
  <c r="AE120" i="16"/>
  <c r="AC120" i="16"/>
  <c r="AB120" i="16"/>
  <c r="U120" i="16" s="1"/>
  <c r="V120" i="16"/>
  <c r="X120" i="16" s="1"/>
  <c r="P120" i="16"/>
  <c r="M120" i="16"/>
  <c r="H120" i="16"/>
  <c r="AD120" i="16" s="1"/>
  <c r="AI119" i="16"/>
  <c r="AH119" i="16"/>
  <c r="AF119" i="16"/>
  <c r="AE119" i="16"/>
  <c r="AC119" i="16"/>
  <c r="AB119" i="16"/>
  <c r="P119" i="16"/>
  <c r="N119" i="16"/>
  <c r="M119" i="16"/>
  <c r="H119" i="16"/>
  <c r="AG119" i="16" s="1"/>
  <c r="AI118" i="16"/>
  <c r="AH118" i="16"/>
  <c r="AG118" i="16"/>
  <c r="AF118" i="16"/>
  <c r="AE118" i="16"/>
  <c r="AC118" i="16"/>
  <c r="AB118" i="16"/>
  <c r="U118" i="16" s="1"/>
  <c r="V118" i="16" s="1"/>
  <c r="X118" i="16" s="1"/>
  <c r="P118" i="16"/>
  <c r="M118" i="16"/>
  <c r="H118" i="16"/>
  <c r="AD118" i="16" s="1"/>
  <c r="AI117" i="16"/>
  <c r="AH117" i="16"/>
  <c r="AF117" i="16"/>
  <c r="AE117" i="16"/>
  <c r="AC117" i="16"/>
  <c r="AB117" i="16"/>
  <c r="P117" i="16"/>
  <c r="N117" i="16"/>
  <c r="M117" i="16"/>
  <c r="H117" i="16"/>
  <c r="AG117" i="16" s="1"/>
  <c r="AI116" i="16"/>
  <c r="AH116" i="16"/>
  <c r="AG116" i="16"/>
  <c r="AF116" i="16"/>
  <c r="AE116" i="16"/>
  <c r="AC116" i="16"/>
  <c r="AB116" i="16"/>
  <c r="P116" i="16"/>
  <c r="M116" i="16"/>
  <c r="H116" i="16"/>
  <c r="AD116" i="16" s="1"/>
  <c r="AI115" i="16"/>
  <c r="AH115" i="16"/>
  <c r="AF115" i="16"/>
  <c r="AE115" i="16"/>
  <c r="AC115" i="16"/>
  <c r="AB115" i="16"/>
  <c r="P115" i="16"/>
  <c r="N115" i="16"/>
  <c r="M115" i="16"/>
  <c r="H115" i="16"/>
  <c r="AI114" i="16"/>
  <c r="AH114" i="16"/>
  <c r="AG114" i="16"/>
  <c r="AF114" i="16"/>
  <c r="AE114" i="16"/>
  <c r="AC114" i="16"/>
  <c r="AB114" i="16"/>
  <c r="P114" i="16"/>
  <c r="M114" i="16"/>
  <c r="H114" i="16"/>
  <c r="AD114" i="16" s="1"/>
  <c r="AI113" i="16"/>
  <c r="AH113" i="16"/>
  <c r="AF113" i="16"/>
  <c r="AE113" i="16"/>
  <c r="AC113" i="16"/>
  <c r="AB113" i="16"/>
  <c r="P113" i="16"/>
  <c r="N113" i="16"/>
  <c r="M113" i="16"/>
  <c r="H113" i="16"/>
  <c r="AI112" i="16"/>
  <c r="AH112" i="16"/>
  <c r="AF112" i="16"/>
  <c r="AE112" i="16"/>
  <c r="AC112" i="16"/>
  <c r="AB112" i="16"/>
  <c r="U112" i="16" s="1"/>
  <c r="V112" i="16"/>
  <c r="X112" i="16" s="1"/>
  <c r="P112" i="16"/>
  <c r="M112" i="16"/>
  <c r="N112" i="16" s="1"/>
  <c r="H112" i="16"/>
  <c r="AD112" i="16" s="1"/>
  <c r="AI111" i="16"/>
  <c r="AH111" i="16"/>
  <c r="AF111" i="16"/>
  <c r="AE111" i="16"/>
  <c r="AC111" i="16"/>
  <c r="AB111" i="16"/>
  <c r="P111" i="16"/>
  <c r="N111" i="16"/>
  <c r="M111" i="16"/>
  <c r="H111" i="16"/>
  <c r="AI110" i="16"/>
  <c r="AH110" i="16"/>
  <c r="AG110" i="16"/>
  <c r="AF110" i="16"/>
  <c r="AE110" i="16"/>
  <c r="AD110" i="16"/>
  <c r="O110" i="16" s="1"/>
  <c r="S110" i="16" s="1"/>
  <c r="AC110" i="16"/>
  <c r="AB110" i="16"/>
  <c r="P110" i="16"/>
  <c r="M110" i="16"/>
  <c r="N110" i="16" s="1"/>
  <c r="H110" i="16"/>
  <c r="AI109" i="16"/>
  <c r="AH109" i="16"/>
  <c r="AF109" i="16"/>
  <c r="AE109" i="16"/>
  <c r="AC109" i="16"/>
  <c r="AB109" i="16"/>
  <c r="P109" i="16"/>
  <c r="N109" i="16"/>
  <c r="M109" i="16"/>
  <c r="H109" i="16"/>
  <c r="AI108" i="16"/>
  <c r="AH108" i="16"/>
  <c r="AF108" i="16"/>
  <c r="AE108" i="16"/>
  <c r="AC108" i="16"/>
  <c r="AB108" i="16"/>
  <c r="P108" i="16"/>
  <c r="M108" i="16"/>
  <c r="N108" i="16" s="1"/>
  <c r="H108" i="16"/>
  <c r="AI107" i="16"/>
  <c r="AH107" i="16"/>
  <c r="AF107" i="16"/>
  <c r="AE107" i="16"/>
  <c r="AC107" i="16"/>
  <c r="AB107" i="16"/>
  <c r="P107" i="16"/>
  <c r="N107" i="16"/>
  <c r="M107" i="16"/>
  <c r="H107" i="16"/>
  <c r="AI106" i="16"/>
  <c r="AH106" i="16"/>
  <c r="AF106" i="16"/>
  <c r="AE106" i="16"/>
  <c r="AC106" i="16"/>
  <c r="AB106" i="16"/>
  <c r="P106" i="16"/>
  <c r="M106" i="16"/>
  <c r="N106" i="16" s="1"/>
  <c r="H106" i="16"/>
  <c r="AG106" i="16" s="1"/>
  <c r="AI105" i="16"/>
  <c r="AH105" i="16"/>
  <c r="AF105" i="16"/>
  <c r="AE105" i="16"/>
  <c r="AC105" i="16"/>
  <c r="AB105" i="16"/>
  <c r="P105" i="16"/>
  <c r="N105" i="16"/>
  <c r="M105" i="16"/>
  <c r="H105" i="16"/>
  <c r="AI104" i="16"/>
  <c r="AH104" i="16"/>
  <c r="AF104" i="16"/>
  <c r="AE104" i="16"/>
  <c r="AC104" i="16"/>
  <c r="AB104" i="16"/>
  <c r="P104" i="16"/>
  <c r="M104" i="16"/>
  <c r="N104" i="16" s="1"/>
  <c r="H104" i="16"/>
  <c r="AD104" i="16" s="1"/>
  <c r="AI103" i="16"/>
  <c r="AH103" i="16"/>
  <c r="AF103" i="16"/>
  <c r="AE103" i="16"/>
  <c r="AC103" i="16"/>
  <c r="AB103" i="16"/>
  <c r="P103" i="16"/>
  <c r="N103" i="16"/>
  <c r="M103" i="16"/>
  <c r="H103" i="16"/>
  <c r="AI102" i="16"/>
  <c r="AH102" i="16"/>
  <c r="AG102" i="16"/>
  <c r="AF102" i="16"/>
  <c r="AE102" i="16"/>
  <c r="AD102" i="16"/>
  <c r="O102" i="16" s="1"/>
  <c r="S102" i="16" s="1"/>
  <c r="AC102" i="16"/>
  <c r="AB102" i="16"/>
  <c r="P102" i="16"/>
  <c r="M102" i="16"/>
  <c r="N102" i="16" s="1"/>
  <c r="H102" i="16"/>
  <c r="AI101" i="16"/>
  <c r="AH101" i="16"/>
  <c r="AF101" i="16"/>
  <c r="AE101" i="16"/>
  <c r="AC101" i="16"/>
  <c r="AB101" i="16"/>
  <c r="P101" i="16"/>
  <c r="N101" i="16"/>
  <c r="M101" i="16"/>
  <c r="H101" i="16"/>
  <c r="AG101" i="16" s="1"/>
  <c r="AI100" i="16"/>
  <c r="AH100" i="16"/>
  <c r="AG100" i="16"/>
  <c r="AF100" i="16"/>
  <c r="AE100" i="16"/>
  <c r="AD100" i="16"/>
  <c r="O100" i="16" s="1"/>
  <c r="S100" i="16" s="1"/>
  <c r="AC100" i="16"/>
  <c r="AB100" i="16"/>
  <c r="P100" i="16"/>
  <c r="N100" i="16"/>
  <c r="M100" i="16"/>
  <c r="H100" i="16"/>
  <c r="AI99" i="16"/>
  <c r="AH99" i="16"/>
  <c r="AF99" i="16"/>
  <c r="AE99" i="16"/>
  <c r="AC99" i="16"/>
  <c r="AB99" i="16"/>
  <c r="P99" i="16"/>
  <c r="N99" i="16"/>
  <c r="M99" i="16"/>
  <c r="H99" i="16"/>
  <c r="AG99" i="16" s="1"/>
  <c r="AI98" i="16"/>
  <c r="AH98" i="16"/>
  <c r="AF98" i="16"/>
  <c r="AE98" i="16"/>
  <c r="AC98" i="16"/>
  <c r="AB98" i="16"/>
  <c r="P98" i="16"/>
  <c r="M98" i="16"/>
  <c r="N98" i="16" s="1"/>
  <c r="H98" i="16"/>
  <c r="AI97" i="16"/>
  <c r="AH97" i="16"/>
  <c r="AF97" i="16"/>
  <c r="AE97" i="16"/>
  <c r="AC97" i="16"/>
  <c r="AB97" i="16"/>
  <c r="P97" i="16"/>
  <c r="N97" i="16"/>
  <c r="M97" i="16"/>
  <c r="H97" i="16"/>
  <c r="AI96" i="16"/>
  <c r="AH96" i="16"/>
  <c r="AF96" i="16"/>
  <c r="AE96" i="16"/>
  <c r="AD96" i="16"/>
  <c r="AC96" i="16"/>
  <c r="AB96" i="16"/>
  <c r="P96" i="16"/>
  <c r="M96" i="16"/>
  <c r="H96" i="16"/>
  <c r="AG96" i="16" s="1"/>
  <c r="AI95" i="16"/>
  <c r="AH95" i="16"/>
  <c r="AF95" i="16"/>
  <c r="AE95" i="16"/>
  <c r="AC95" i="16"/>
  <c r="AB95" i="16"/>
  <c r="P95" i="16"/>
  <c r="M95" i="16"/>
  <c r="H95" i="16"/>
  <c r="AG95" i="16" s="1"/>
  <c r="AI94" i="16"/>
  <c r="AH94" i="16"/>
  <c r="AG94" i="16"/>
  <c r="AF94" i="16"/>
  <c r="AE94" i="16"/>
  <c r="AC94" i="16"/>
  <c r="AB94" i="16"/>
  <c r="U94" i="16" s="1"/>
  <c r="V94" i="16" s="1"/>
  <c r="X94" i="16" s="1"/>
  <c r="P94" i="16"/>
  <c r="M94" i="16"/>
  <c r="N94" i="16" s="1"/>
  <c r="H94" i="16"/>
  <c r="AD94" i="16" s="1"/>
  <c r="O94" i="16" s="1"/>
  <c r="S94" i="16" s="1"/>
  <c r="AI93" i="16"/>
  <c r="AH93" i="16"/>
  <c r="AF93" i="16"/>
  <c r="AE93" i="16"/>
  <c r="AC93" i="16"/>
  <c r="AB93" i="16"/>
  <c r="P93" i="16"/>
  <c r="M93" i="16"/>
  <c r="N93" i="16" s="1"/>
  <c r="H93" i="16"/>
  <c r="AG93" i="16" s="1"/>
  <c r="AI92" i="16"/>
  <c r="AH92" i="16"/>
  <c r="AG92" i="16"/>
  <c r="AF92" i="16"/>
  <c r="AE92" i="16"/>
  <c r="AC92" i="16"/>
  <c r="AB92" i="16"/>
  <c r="U92" i="16" s="1"/>
  <c r="V92" i="16" s="1"/>
  <c r="X92" i="16" s="1"/>
  <c r="Y92" i="16" s="1"/>
  <c r="Z92" i="16"/>
  <c r="P92" i="16"/>
  <c r="M92" i="16"/>
  <c r="N92" i="16" s="1"/>
  <c r="H92" i="16"/>
  <c r="AD92" i="16" s="1"/>
  <c r="O92" i="16" s="1"/>
  <c r="S92" i="16" s="1"/>
  <c r="AI91" i="16"/>
  <c r="AH91" i="16"/>
  <c r="AF91" i="16"/>
  <c r="AE91" i="16"/>
  <c r="AC91" i="16"/>
  <c r="AB91" i="16"/>
  <c r="P91" i="16"/>
  <c r="M91" i="16"/>
  <c r="N91" i="16" s="1"/>
  <c r="H91" i="16"/>
  <c r="AG91" i="16" s="1"/>
  <c r="AI90" i="16"/>
  <c r="AH90" i="16"/>
  <c r="AG90" i="16"/>
  <c r="AF90" i="16"/>
  <c r="AE90" i="16"/>
  <c r="AC90" i="16"/>
  <c r="AB90" i="16"/>
  <c r="U90" i="16" s="1"/>
  <c r="V90" i="16" s="1"/>
  <c r="X90" i="16" s="1"/>
  <c r="P90" i="16"/>
  <c r="M90" i="16"/>
  <c r="N90" i="16" s="1"/>
  <c r="H90" i="16"/>
  <c r="AD90" i="16" s="1"/>
  <c r="O90" i="16" s="1"/>
  <c r="S90" i="16" s="1"/>
  <c r="AI89" i="16"/>
  <c r="AH89" i="16"/>
  <c r="AF89" i="16"/>
  <c r="AE89" i="16"/>
  <c r="AC89" i="16"/>
  <c r="AB89" i="16"/>
  <c r="P89" i="16"/>
  <c r="M89" i="16"/>
  <c r="H89" i="16"/>
  <c r="AG89" i="16" s="1"/>
  <c r="AI88" i="16"/>
  <c r="AH88" i="16"/>
  <c r="AG88" i="16"/>
  <c r="AF88" i="16"/>
  <c r="AE88" i="16"/>
  <c r="AC88" i="16"/>
  <c r="AB88" i="16"/>
  <c r="U88" i="16" s="1"/>
  <c r="V88" i="16" s="1"/>
  <c r="X88" i="16" s="1"/>
  <c r="Y88" i="16" s="1"/>
  <c r="Z88" i="16"/>
  <c r="P88" i="16"/>
  <c r="M88" i="16"/>
  <c r="N88" i="16" s="1"/>
  <c r="H88" i="16"/>
  <c r="AD88" i="16" s="1"/>
  <c r="O88" i="16" s="1"/>
  <c r="S88" i="16" s="1"/>
  <c r="AI87" i="16"/>
  <c r="AH87" i="16"/>
  <c r="AF87" i="16"/>
  <c r="AE87" i="16"/>
  <c r="AC87" i="16"/>
  <c r="AB87" i="16"/>
  <c r="P87" i="16"/>
  <c r="M87" i="16"/>
  <c r="N87" i="16" s="1"/>
  <c r="H87" i="16"/>
  <c r="AI86" i="16"/>
  <c r="AH86" i="16"/>
  <c r="AG86" i="16"/>
  <c r="AF86" i="16"/>
  <c r="AE86" i="16"/>
  <c r="AC86" i="16"/>
  <c r="AB86" i="16"/>
  <c r="P86" i="16"/>
  <c r="M86" i="16"/>
  <c r="N86" i="16" s="1"/>
  <c r="H86" i="16"/>
  <c r="AD86" i="16" s="1"/>
  <c r="AI85" i="16"/>
  <c r="AH85" i="16"/>
  <c r="AF85" i="16"/>
  <c r="AE85" i="16"/>
  <c r="AC85" i="16"/>
  <c r="AB85" i="16"/>
  <c r="P85" i="16"/>
  <c r="M85" i="16"/>
  <c r="N85" i="16" s="1"/>
  <c r="H85" i="16"/>
  <c r="AI84" i="16"/>
  <c r="AH84" i="16"/>
  <c r="AG84" i="16"/>
  <c r="AF84" i="16"/>
  <c r="AE84" i="16"/>
  <c r="AC84" i="16"/>
  <c r="AB84" i="16"/>
  <c r="O84" i="16" s="1"/>
  <c r="S84" i="16" s="1"/>
  <c r="P84" i="16"/>
  <c r="Q84" i="16" s="1"/>
  <c r="M84" i="16"/>
  <c r="N84" i="16" s="1"/>
  <c r="H84" i="16"/>
  <c r="AD84" i="16" s="1"/>
  <c r="AI83" i="16"/>
  <c r="AH83" i="16"/>
  <c r="AF83" i="16"/>
  <c r="AE83" i="16"/>
  <c r="AC83" i="16"/>
  <c r="AB83" i="16"/>
  <c r="P83" i="16"/>
  <c r="M83" i="16"/>
  <c r="N83" i="16" s="1"/>
  <c r="H83" i="16"/>
  <c r="AD83" i="16" s="1"/>
  <c r="AI82" i="16"/>
  <c r="AH82" i="16"/>
  <c r="AG82" i="16"/>
  <c r="AF82" i="16"/>
  <c r="AE82" i="16"/>
  <c r="AC82" i="16"/>
  <c r="AB82" i="16"/>
  <c r="U82" i="16" s="1"/>
  <c r="V82" i="16" s="1"/>
  <c r="X82" i="16"/>
  <c r="P82" i="16"/>
  <c r="M82" i="16"/>
  <c r="N82" i="16" s="1"/>
  <c r="H82" i="16"/>
  <c r="AD82" i="16" s="1"/>
  <c r="AI81" i="16"/>
  <c r="AH81" i="16"/>
  <c r="AG81" i="16"/>
  <c r="AF81" i="16"/>
  <c r="AE81" i="16"/>
  <c r="AC81" i="16"/>
  <c r="U81" i="16" s="1"/>
  <c r="V81" i="16" s="1"/>
  <c r="X81" i="16" s="1"/>
  <c r="AB81" i="16"/>
  <c r="P81" i="16"/>
  <c r="M81" i="16"/>
  <c r="H81" i="16"/>
  <c r="AD81" i="16" s="1"/>
  <c r="AI80" i="16"/>
  <c r="AH80" i="16"/>
  <c r="AG80" i="16"/>
  <c r="AF80" i="16"/>
  <c r="AE80" i="16"/>
  <c r="AC80" i="16"/>
  <c r="AB80" i="16"/>
  <c r="P80" i="16"/>
  <c r="M80" i="16"/>
  <c r="H80" i="16"/>
  <c r="AD80" i="16" s="1"/>
  <c r="AI79" i="16"/>
  <c r="AH79" i="16"/>
  <c r="AF79" i="16"/>
  <c r="AE79" i="16"/>
  <c r="U79" i="16" s="1"/>
  <c r="V79" i="16" s="1"/>
  <c r="AC79" i="16"/>
  <c r="AB79" i="16"/>
  <c r="X79" i="16"/>
  <c r="P79" i="16"/>
  <c r="M79" i="16"/>
  <c r="H79" i="16"/>
  <c r="AD79" i="16" s="1"/>
  <c r="AI78" i="16"/>
  <c r="AH78" i="16"/>
  <c r="AG78" i="16"/>
  <c r="AF78" i="16"/>
  <c r="AE78" i="16"/>
  <c r="AC78" i="16"/>
  <c r="AB78" i="16"/>
  <c r="U78" i="16" s="1"/>
  <c r="V78" i="16" s="1"/>
  <c r="X78" i="16"/>
  <c r="P78" i="16"/>
  <c r="M78" i="16"/>
  <c r="N78" i="16" s="1"/>
  <c r="H78" i="16"/>
  <c r="AD78" i="16" s="1"/>
  <c r="AI77" i="16"/>
  <c r="AH77" i="16"/>
  <c r="AG77" i="16"/>
  <c r="AF77" i="16"/>
  <c r="AE77" i="16"/>
  <c r="AC77" i="16"/>
  <c r="U77" i="16" s="1"/>
  <c r="V77" i="16" s="1"/>
  <c r="X77" i="16" s="1"/>
  <c r="AB77" i="16"/>
  <c r="P77" i="16"/>
  <c r="M77" i="16"/>
  <c r="N77" i="16" s="1"/>
  <c r="H77" i="16"/>
  <c r="AD77" i="16" s="1"/>
  <c r="AI76" i="16"/>
  <c r="AH76" i="16"/>
  <c r="AG76" i="16"/>
  <c r="AF76" i="16"/>
  <c r="AE76" i="16"/>
  <c r="AC76" i="16"/>
  <c r="AB76" i="16"/>
  <c r="P76" i="16"/>
  <c r="M76" i="16"/>
  <c r="N76" i="16" s="1"/>
  <c r="H76" i="16"/>
  <c r="AD76" i="16" s="1"/>
  <c r="AI75" i="16"/>
  <c r="AH75" i="16"/>
  <c r="AF75" i="16"/>
  <c r="AE75" i="16"/>
  <c r="U75" i="16" s="1"/>
  <c r="V75" i="16" s="1"/>
  <c r="AC75" i="16"/>
  <c r="AB75" i="16"/>
  <c r="X75" i="16"/>
  <c r="P75" i="16"/>
  <c r="M75" i="16"/>
  <c r="H75" i="16"/>
  <c r="AD75" i="16" s="1"/>
  <c r="AI74" i="16"/>
  <c r="AH74" i="16"/>
  <c r="AG74" i="16"/>
  <c r="AF74" i="16"/>
  <c r="AE74" i="16"/>
  <c r="AC74" i="16"/>
  <c r="AB74" i="16"/>
  <c r="O74" i="16" s="1"/>
  <c r="S74" i="16" s="1"/>
  <c r="U74" i="16"/>
  <c r="V74" i="16" s="1"/>
  <c r="X74" i="16" s="1"/>
  <c r="Y74" i="16" s="1"/>
  <c r="P74" i="16"/>
  <c r="Q74" i="16" s="1"/>
  <c r="M74" i="16"/>
  <c r="N74" i="16" s="1"/>
  <c r="H74" i="16"/>
  <c r="AD74" i="16" s="1"/>
  <c r="AI73" i="16"/>
  <c r="AH73" i="16"/>
  <c r="AG73" i="16"/>
  <c r="AF73" i="16"/>
  <c r="AE73" i="16"/>
  <c r="AC73" i="16"/>
  <c r="AB73" i="16"/>
  <c r="U73" i="16"/>
  <c r="V73" i="16" s="1"/>
  <c r="X73" i="16" s="1"/>
  <c r="Y73" i="16" s="1"/>
  <c r="Z73" i="16" s="1"/>
  <c r="P73" i="16"/>
  <c r="Q73" i="16" s="1"/>
  <c r="M73" i="16"/>
  <c r="N73" i="16" s="1"/>
  <c r="H73" i="16"/>
  <c r="AD73" i="16" s="1"/>
  <c r="O73" i="16" s="1"/>
  <c r="S73" i="16" s="1"/>
  <c r="AI72" i="16"/>
  <c r="AH72" i="16"/>
  <c r="AG72" i="16"/>
  <c r="AF72" i="16"/>
  <c r="AE72" i="16"/>
  <c r="AC72" i="16"/>
  <c r="AB72" i="16"/>
  <c r="O72" i="16" s="1"/>
  <c r="S72" i="16" s="1"/>
  <c r="U72" i="16"/>
  <c r="V72" i="16" s="1"/>
  <c r="X72" i="16" s="1"/>
  <c r="Y72" i="16" s="1"/>
  <c r="Z72" i="16" s="1"/>
  <c r="P72" i="16"/>
  <c r="M72" i="16"/>
  <c r="N72" i="16" s="1"/>
  <c r="H72" i="16"/>
  <c r="AD72" i="16" s="1"/>
  <c r="AI71" i="16"/>
  <c r="AH71" i="16"/>
  <c r="AG71" i="16"/>
  <c r="AF71" i="16"/>
  <c r="AE71" i="16"/>
  <c r="AC71" i="16"/>
  <c r="AB71" i="16"/>
  <c r="O71" i="16" s="1"/>
  <c r="S71" i="16" s="1"/>
  <c r="U71" i="16"/>
  <c r="V71" i="16" s="1"/>
  <c r="X71" i="16" s="1"/>
  <c r="P71" i="16"/>
  <c r="Q71" i="16" s="1"/>
  <c r="M71" i="16"/>
  <c r="N71" i="16" s="1"/>
  <c r="H71" i="16"/>
  <c r="AD71" i="16" s="1"/>
  <c r="AI70" i="16"/>
  <c r="AH70" i="16"/>
  <c r="AF70" i="16"/>
  <c r="AE70" i="16"/>
  <c r="AC70" i="16"/>
  <c r="AB70" i="16"/>
  <c r="P70" i="16"/>
  <c r="M70" i="16"/>
  <c r="N70" i="16" s="1"/>
  <c r="H70" i="16"/>
  <c r="AI69" i="16"/>
  <c r="AH69" i="16"/>
  <c r="AF69" i="16"/>
  <c r="AE69" i="16"/>
  <c r="AC69" i="16"/>
  <c r="AB69" i="16"/>
  <c r="U69" i="16" s="1"/>
  <c r="V69" i="16" s="1"/>
  <c r="X69" i="16" s="1"/>
  <c r="P69" i="16"/>
  <c r="M69" i="16"/>
  <c r="N69" i="16" s="1"/>
  <c r="H69" i="16"/>
  <c r="AD69" i="16" s="1"/>
  <c r="AI68" i="16"/>
  <c r="AH68" i="16"/>
  <c r="AF68" i="16"/>
  <c r="AE68" i="16"/>
  <c r="AC68" i="16"/>
  <c r="AB68" i="16"/>
  <c r="P68" i="16"/>
  <c r="N68" i="16"/>
  <c r="M68" i="16"/>
  <c r="H68" i="16"/>
  <c r="AI67" i="16"/>
  <c r="AH67" i="16"/>
  <c r="AG67" i="16"/>
  <c r="AF67" i="16"/>
  <c r="AE67" i="16"/>
  <c r="AD67" i="16"/>
  <c r="AC67" i="16"/>
  <c r="AB67" i="16"/>
  <c r="U67" i="16" s="1"/>
  <c r="V67" i="16" s="1"/>
  <c r="X67" i="16" s="1"/>
  <c r="P67" i="16"/>
  <c r="O67" i="16"/>
  <c r="S67" i="16" s="1"/>
  <c r="M67" i="16"/>
  <c r="N67" i="16" s="1"/>
  <c r="H67" i="16"/>
  <c r="AI66" i="16"/>
  <c r="AH66" i="16"/>
  <c r="AF66" i="16"/>
  <c r="AE66" i="16"/>
  <c r="AC66" i="16"/>
  <c r="AB66" i="16"/>
  <c r="P66" i="16"/>
  <c r="N66" i="16"/>
  <c r="M66" i="16"/>
  <c r="H66" i="16"/>
  <c r="AI65" i="16"/>
  <c r="AH65" i="16"/>
  <c r="AG65" i="16"/>
  <c r="AF65" i="16"/>
  <c r="AE65" i="16"/>
  <c r="AD65" i="16"/>
  <c r="AC65" i="16"/>
  <c r="AB65" i="16"/>
  <c r="U65" i="16" s="1"/>
  <c r="V65" i="16" s="1"/>
  <c r="X65" i="16" s="1"/>
  <c r="P65" i="16"/>
  <c r="Q65" i="16" s="1"/>
  <c r="O65" i="16"/>
  <c r="M65" i="16"/>
  <c r="N65" i="16" s="1"/>
  <c r="H65" i="16"/>
  <c r="AI64" i="16"/>
  <c r="AH64" i="16"/>
  <c r="AF64" i="16"/>
  <c r="AE64" i="16"/>
  <c r="AC64" i="16"/>
  <c r="AB64" i="16"/>
  <c r="P64" i="16"/>
  <c r="N64" i="16"/>
  <c r="M64" i="16"/>
  <c r="H64" i="16"/>
  <c r="AI63" i="16"/>
  <c r="AH63" i="16"/>
  <c r="AG63" i="16"/>
  <c r="AF63" i="16"/>
  <c r="AE63" i="16"/>
  <c r="AD63" i="16"/>
  <c r="AC63" i="16"/>
  <c r="AB63" i="16"/>
  <c r="U63" i="16" s="1"/>
  <c r="V63" i="16" s="1"/>
  <c r="X63" i="16" s="1"/>
  <c r="P63" i="16"/>
  <c r="M63" i="16"/>
  <c r="N63" i="16" s="1"/>
  <c r="H63" i="16"/>
  <c r="AI62" i="16"/>
  <c r="AH62" i="16"/>
  <c r="AF62" i="16"/>
  <c r="AE62" i="16"/>
  <c r="AC62" i="16"/>
  <c r="AB62" i="16"/>
  <c r="P62" i="16"/>
  <c r="N62" i="16"/>
  <c r="M62" i="16"/>
  <c r="H62" i="16"/>
  <c r="AI61" i="16"/>
  <c r="AH61" i="16"/>
  <c r="AG61" i="16"/>
  <c r="AF61" i="16"/>
  <c r="AE61" i="16"/>
  <c r="AD61" i="16"/>
  <c r="AC61" i="16"/>
  <c r="AB61" i="16"/>
  <c r="U61" i="16" s="1"/>
  <c r="V61" i="16" s="1"/>
  <c r="X61" i="16" s="1"/>
  <c r="P61" i="16"/>
  <c r="M61" i="16"/>
  <c r="N61" i="16" s="1"/>
  <c r="H61" i="16"/>
  <c r="AI60" i="16"/>
  <c r="AH60" i="16"/>
  <c r="AF60" i="16"/>
  <c r="AE60" i="16"/>
  <c r="AC60" i="16"/>
  <c r="AB60" i="16"/>
  <c r="P60" i="16"/>
  <c r="N60" i="16"/>
  <c r="M60" i="16"/>
  <c r="H60" i="16"/>
  <c r="AI59" i="16"/>
  <c r="AH59" i="16"/>
  <c r="AG59" i="16"/>
  <c r="AF59" i="16"/>
  <c r="AE59" i="16"/>
  <c r="AD59" i="16"/>
  <c r="AC59" i="16"/>
  <c r="AB59" i="16"/>
  <c r="U59" i="16" s="1"/>
  <c r="V59" i="16" s="1"/>
  <c r="X59" i="16" s="1"/>
  <c r="P59" i="16"/>
  <c r="M59" i="16"/>
  <c r="N59" i="16" s="1"/>
  <c r="H59" i="16"/>
  <c r="AI58" i="16"/>
  <c r="AH58" i="16"/>
  <c r="AF58" i="16"/>
  <c r="AE58" i="16"/>
  <c r="AC58" i="16"/>
  <c r="AB58" i="16"/>
  <c r="P58" i="16"/>
  <c r="N58" i="16"/>
  <c r="M58" i="16"/>
  <c r="H58" i="16"/>
  <c r="AI57" i="16"/>
  <c r="AH57" i="16"/>
  <c r="AG57" i="16"/>
  <c r="AF57" i="16"/>
  <c r="AE57" i="16"/>
  <c r="AD57" i="16"/>
  <c r="AC57" i="16"/>
  <c r="AB57" i="16"/>
  <c r="U57" i="16" s="1"/>
  <c r="V57" i="16" s="1"/>
  <c r="X57" i="16" s="1"/>
  <c r="P57" i="16"/>
  <c r="Q57" i="16" s="1"/>
  <c r="O57" i="16"/>
  <c r="M57" i="16"/>
  <c r="N57" i="16" s="1"/>
  <c r="H57" i="16"/>
  <c r="AI56" i="16"/>
  <c r="AH56" i="16"/>
  <c r="AF56" i="16"/>
  <c r="AE56" i="16"/>
  <c r="AC56" i="16"/>
  <c r="AB56" i="16"/>
  <c r="P56" i="16"/>
  <c r="N56" i="16"/>
  <c r="M56" i="16"/>
  <c r="H56" i="16"/>
  <c r="AI55" i="16"/>
  <c r="AH55" i="16"/>
  <c r="AG55" i="16"/>
  <c r="AF55" i="16"/>
  <c r="AE55" i="16"/>
  <c r="AD55" i="16"/>
  <c r="AC55" i="16"/>
  <c r="AB55" i="16"/>
  <c r="U55" i="16" s="1"/>
  <c r="V55" i="16" s="1"/>
  <c r="X55" i="16" s="1"/>
  <c r="P55" i="16"/>
  <c r="Q55" i="16" s="1"/>
  <c r="O55" i="16"/>
  <c r="M55" i="16"/>
  <c r="N55" i="16" s="1"/>
  <c r="H55" i="16"/>
  <c r="AI54" i="16"/>
  <c r="AH54" i="16"/>
  <c r="AF54" i="16"/>
  <c r="AE54" i="16"/>
  <c r="AC54" i="16"/>
  <c r="AB54" i="16"/>
  <c r="P54" i="16"/>
  <c r="N54" i="16"/>
  <c r="M54" i="16"/>
  <c r="H54" i="16"/>
  <c r="AI53" i="16"/>
  <c r="AH53" i="16"/>
  <c r="AG53" i="16"/>
  <c r="AF53" i="16"/>
  <c r="AE53" i="16"/>
  <c r="AD53" i="16"/>
  <c r="AC53" i="16"/>
  <c r="AB53" i="16"/>
  <c r="U53" i="16" s="1"/>
  <c r="V53" i="16" s="1"/>
  <c r="X53" i="16" s="1"/>
  <c r="P53" i="16"/>
  <c r="M53" i="16"/>
  <c r="N53" i="16" s="1"/>
  <c r="H53" i="16"/>
  <c r="AI52" i="16"/>
  <c r="AH52" i="16"/>
  <c r="AF52" i="16"/>
  <c r="AE52" i="16"/>
  <c r="AC52" i="16"/>
  <c r="AB52" i="16"/>
  <c r="P52" i="16"/>
  <c r="N52" i="16"/>
  <c r="M52" i="16"/>
  <c r="H52" i="16"/>
  <c r="AI51" i="16"/>
  <c r="AH51" i="16"/>
  <c r="AG51" i="16"/>
  <c r="AF51" i="16"/>
  <c r="AE51" i="16"/>
  <c r="AD51" i="16"/>
  <c r="AC51" i="16"/>
  <c r="AB51" i="16"/>
  <c r="U51" i="16" s="1"/>
  <c r="V51" i="16" s="1"/>
  <c r="X51" i="16" s="1"/>
  <c r="P51" i="16"/>
  <c r="O51" i="16"/>
  <c r="S51" i="16" s="1"/>
  <c r="M51" i="16"/>
  <c r="N51" i="16" s="1"/>
  <c r="H51" i="16"/>
  <c r="AI50" i="16"/>
  <c r="AH50" i="16"/>
  <c r="AF50" i="16"/>
  <c r="AE50" i="16"/>
  <c r="AC50" i="16"/>
  <c r="AB50" i="16"/>
  <c r="P50" i="16"/>
  <c r="N50" i="16"/>
  <c r="M50" i="16"/>
  <c r="H50" i="16"/>
  <c r="AI49" i="16"/>
  <c r="AH49" i="16"/>
  <c r="AG49" i="16"/>
  <c r="AF49" i="16"/>
  <c r="AE49" i="16"/>
  <c r="AD49" i="16"/>
  <c r="AC49" i="16"/>
  <c r="AB49" i="16"/>
  <c r="U49" i="16" s="1"/>
  <c r="V49" i="16" s="1"/>
  <c r="X49" i="16" s="1"/>
  <c r="P49" i="16"/>
  <c r="Q49" i="16" s="1"/>
  <c r="O49" i="16"/>
  <c r="M49" i="16"/>
  <c r="N49" i="16" s="1"/>
  <c r="H49" i="16"/>
  <c r="AI48" i="16"/>
  <c r="AH48" i="16"/>
  <c r="AF48" i="16"/>
  <c r="AE48" i="16"/>
  <c r="AC48" i="16"/>
  <c r="AB48" i="16"/>
  <c r="P48" i="16"/>
  <c r="N48" i="16"/>
  <c r="M48" i="16"/>
  <c r="H48" i="16"/>
  <c r="AI47" i="16"/>
  <c r="AH47" i="16"/>
  <c r="AG47" i="16"/>
  <c r="AF47" i="16"/>
  <c r="AE47" i="16"/>
  <c r="AD47" i="16"/>
  <c r="AC47" i="16"/>
  <c r="AB47" i="16"/>
  <c r="U47" i="16" s="1"/>
  <c r="V47" i="16" s="1"/>
  <c r="X47" i="16" s="1"/>
  <c r="P47" i="16"/>
  <c r="M47" i="16"/>
  <c r="N47" i="16" s="1"/>
  <c r="H47" i="16"/>
  <c r="AI46" i="16"/>
  <c r="AH46" i="16"/>
  <c r="AF46" i="16"/>
  <c r="AE46" i="16"/>
  <c r="AC46" i="16"/>
  <c r="AB46" i="16"/>
  <c r="P46" i="16"/>
  <c r="N46" i="16"/>
  <c r="M46" i="16"/>
  <c r="H46" i="16"/>
  <c r="AI45" i="16"/>
  <c r="AH45" i="16"/>
  <c r="AG45" i="16"/>
  <c r="AF45" i="16"/>
  <c r="AE45" i="16"/>
  <c r="AD45" i="16"/>
  <c r="AC45" i="16"/>
  <c r="AB45" i="16"/>
  <c r="U45" i="16" s="1"/>
  <c r="V45" i="16" s="1"/>
  <c r="X45" i="16" s="1"/>
  <c r="P45" i="16"/>
  <c r="M45" i="16"/>
  <c r="N45" i="16" s="1"/>
  <c r="H45" i="16"/>
  <c r="AI44" i="16"/>
  <c r="AH44" i="16"/>
  <c r="AF44" i="16"/>
  <c r="AE44" i="16"/>
  <c r="AC44" i="16"/>
  <c r="AB44" i="16"/>
  <c r="P44" i="16"/>
  <c r="N44" i="16"/>
  <c r="M44" i="16"/>
  <c r="H44" i="16"/>
  <c r="W41" i="16"/>
  <c r="W293" i="16" s="1"/>
  <c r="T41" i="16"/>
  <c r="T293" i="16" s="1"/>
  <c r="R41" i="16"/>
  <c r="R293" i="16" s="1"/>
  <c r="L41" i="16"/>
  <c r="K41" i="16"/>
  <c r="K293" i="16" s="1"/>
  <c r="AI40" i="16"/>
  <c r="AH40" i="16"/>
  <c r="AG40" i="16"/>
  <c r="AF40" i="16"/>
  <c r="AE40" i="16"/>
  <c r="AD40" i="16"/>
  <c r="AC40" i="16"/>
  <c r="AB40" i="16"/>
  <c r="P40" i="16"/>
  <c r="M40" i="16"/>
  <c r="N40" i="16" s="1"/>
  <c r="H40" i="16"/>
  <c r="AI39" i="16"/>
  <c r="AH39" i="16"/>
  <c r="AF39" i="16"/>
  <c r="AE39" i="16"/>
  <c r="AC39" i="16"/>
  <c r="AB39" i="16"/>
  <c r="P39" i="16"/>
  <c r="K39" i="16"/>
  <c r="M39" i="16" s="1"/>
  <c r="H39" i="16"/>
  <c r="AI38" i="16"/>
  <c r="AH38" i="16"/>
  <c r="AF38" i="16"/>
  <c r="AE38" i="16"/>
  <c r="AC38" i="16"/>
  <c r="AB38" i="16"/>
  <c r="P38" i="16"/>
  <c r="P41" i="16" s="1"/>
  <c r="P293" i="16" s="1"/>
  <c r="N38" i="16"/>
  <c r="M38" i="16"/>
  <c r="H38" i="16"/>
  <c r="AG38" i="16" s="1"/>
  <c r="W36" i="16"/>
  <c r="T36" i="16"/>
  <c r="R36" i="16"/>
  <c r="P36" i="16"/>
  <c r="L36" i="16"/>
  <c r="K36" i="16"/>
  <c r="AI35" i="16"/>
  <c r="AH35" i="16"/>
  <c r="AF35" i="16"/>
  <c r="AE35" i="16"/>
  <c r="AC35" i="16"/>
  <c r="AB35" i="16"/>
  <c r="P35" i="16"/>
  <c r="M35" i="16"/>
  <c r="H35" i="16"/>
  <c r="AD35" i="16" s="1"/>
  <c r="O35" i="16" s="1"/>
  <c r="S35" i="16" s="1"/>
  <c r="AI34" i="16"/>
  <c r="AH34" i="16"/>
  <c r="AF34" i="16"/>
  <c r="AE34" i="16"/>
  <c r="AC34" i="16"/>
  <c r="AB34" i="16"/>
  <c r="P34" i="16"/>
  <c r="N34" i="16"/>
  <c r="M34" i="16"/>
  <c r="H34" i="16"/>
  <c r="AG34" i="16" s="1"/>
  <c r="W31" i="16"/>
  <c r="W292" i="16" s="1"/>
  <c r="T31" i="16"/>
  <c r="T292" i="16" s="1"/>
  <c r="R31" i="16"/>
  <c r="R292" i="16" s="1"/>
  <c r="AI30" i="16"/>
  <c r="AH30" i="16"/>
  <c r="AF30" i="16"/>
  <c r="AE30" i="16"/>
  <c r="AC30" i="16"/>
  <c r="AB30" i="16"/>
  <c r="P30" i="16"/>
  <c r="N30" i="16"/>
  <c r="O30" i="16" s="1"/>
  <c r="M30" i="16"/>
  <c r="H30" i="16"/>
  <c r="AI29" i="16"/>
  <c r="AH29" i="16"/>
  <c r="AG29" i="16"/>
  <c r="AF29" i="16"/>
  <c r="AE29" i="16"/>
  <c r="AD29" i="16"/>
  <c r="AC29" i="16"/>
  <c r="AB29" i="16"/>
  <c r="U29" i="16" s="1"/>
  <c r="V29" i="16" s="1"/>
  <c r="X29" i="16" s="1"/>
  <c r="P29" i="16"/>
  <c r="M29" i="16"/>
  <c r="N29" i="16" s="1"/>
  <c r="O29" i="16" s="1"/>
  <c r="S29" i="16" s="1"/>
  <c r="H29" i="16"/>
  <c r="AI28" i="16"/>
  <c r="AH28" i="16"/>
  <c r="AF28" i="16"/>
  <c r="AE28" i="16"/>
  <c r="AC28" i="16"/>
  <c r="AB28" i="16"/>
  <c r="P28" i="16"/>
  <c r="N28" i="16"/>
  <c r="O28" i="16" s="1"/>
  <c r="M28" i="16"/>
  <c r="H28" i="16"/>
  <c r="AI27" i="16"/>
  <c r="AH27" i="16"/>
  <c r="AG27" i="16"/>
  <c r="AF27" i="16"/>
  <c r="AE27" i="16"/>
  <c r="AD27" i="16"/>
  <c r="AC27" i="16"/>
  <c r="AB27" i="16"/>
  <c r="P27" i="16"/>
  <c r="O27" i="16"/>
  <c r="S27" i="16" s="1"/>
  <c r="M27" i="16"/>
  <c r="N27" i="16" s="1"/>
  <c r="H27" i="16"/>
  <c r="AI26" i="16"/>
  <c r="AH26" i="16"/>
  <c r="AF26" i="16"/>
  <c r="AE26" i="16"/>
  <c r="AC26" i="16"/>
  <c r="AB26" i="16"/>
  <c r="P26" i="16"/>
  <c r="N26" i="16"/>
  <c r="M26" i="16"/>
  <c r="H26" i="16"/>
  <c r="AI25" i="16"/>
  <c r="AH25" i="16"/>
  <c r="AG25" i="16"/>
  <c r="AF25" i="16"/>
  <c r="AE25" i="16"/>
  <c r="AD25" i="16"/>
  <c r="AC25" i="16"/>
  <c r="AB25" i="16"/>
  <c r="U25" i="16" s="1"/>
  <c r="V25" i="16" s="1"/>
  <c r="X25" i="16" s="1"/>
  <c r="P25" i="16"/>
  <c r="Q25" i="16" s="1"/>
  <c r="O25" i="16"/>
  <c r="M25" i="16"/>
  <c r="N25" i="16" s="1"/>
  <c r="H25" i="16"/>
  <c r="AI24" i="16"/>
  <c r="AH24" i="16"/>
  <c r="AF24" i="16"/>
  <c r="AE24" i="16"/>
  <c r="AC24" i="16"/>
  <c r="AB24" i="16"/>
  <c r="P24" i="16"/>
  <c r="N24" i="16"/>
  <c r="K24" i="16"/>
  <c r="M24" i="16" s="1"/>
  <c r="H24" i="16"/>
  <c r="AI23" i="16"/>
  <c r="AH23" i="16"/>
  <c r="AF23" i="16"/>
  <c r="AE23" i="16"/>
  <c r="AC23" i="16"/>
  <c r="AB23" i="16"/>
  <c r="P23" i="16"/>
  <c r="N23" i="16"/>
  <c r="M23" i="16"/>
  <c r="H23" i="16"/>
  <c r="AG23" i="16" s="1"/>
  <c r="AI22" i="16"/>
  <c r="AH22" i="16"/>
  <c r="AG22" i="16"/>
  <c r="AF22" i="16"/>
  <c r="AE22" i="16"/>
  <c r="AD22" i="16"/>
  <c r="AC22" i="16"/>
  <c r="AB22" i="16"/>
  <c r="U22" i="16" s="1"/>
  <c r="X22" i="16"/>
  <c r="V22" i="16"/>
  <c r="P22" i="16"/>
  <c r="O22" i="16"/>
  <c r="S22" i="16" s="1"/>
  <c r="M22" i="16"/>
  <c r="N22" i="16" s="1"/>
  <c r="K22" i="16"/>
  <c r="H22" i="16"/>
  <c r="AI21" i="16"/>
  <c r="AH21" i="16"/>
  <c r="AF21" i="16"/>
  <c r="AE21" i="16"/>
  <c r="AD21" i="16"/>
  <c r="AC21" i="16"/>
  <c r="AB21" i="16"/>
  <c r="P21" i="16"/>
  <c r="M21" i="16"/>
  <c r="H21" i="16"/>
  <c r="AG21" i="16" s="1"/>
  <c r="AI20" i="16"/>
  <c r="AH20" i="16"/>
  <c r="AG20" i="16"/>
  <c r="AF20" i="16"/>
  <c r="AE20" i="16"/>
  <c r="AC20" i="16"/>
  <c r="AB20" i="16"/>
  <c r="P20" i="16"/>
  <c r="H20" i="16"/>
  <c r="AD20" i="16" s="1"/>
  <c r="AI19" i="16"/>
  <c r="AH19" i="16"/>
  <c r="AG19" i="16"/>
  <c r="AF19" i="16"/>
  <c r="AE19" i="16"/>
  <c r="AD19" i="16"/>
  <c r="AC19" i="16"/>
  <c r="AB19" i="16"/>
  <c r="O19" i="16" s="1"/>
  <c r="U19" i="16"/>
  <c r="V19" i="16" s="1"/>
  <c r="X19" i="16" s="1"/>
  <c r="Y19" i="16" s="1"/>
  <c r="S19" i="16"/>
  <c r="P19" i="16"/>
  <c r="Q19" i="16" s="1"/>
  <c r="M19" i="16"/>
  <c r="H19" i="16"/>
  <c r="AI18" i="16"/>
  <c r="AH18" i="16"/>
  <c r="AF18" i="16"/>
  <c r="AE18" i="16"/>
  <c r="AD18" i="16"/>
  <c r="AC18" i="16"/>
  <c r="U18" i="16" s="1"/>
  <c r="V18" i="16" s="1"/>
  <c r="X18" i="16" s="1"/>
  <c r="AB18" i="16"/>
  <c r="P18" i="16"/>
  <c r="N18" i="16"/>
  <c r="K18" i="16"/>
  <c r="M18" i="16" s="1"/>
  <c r="H18" i="16"/>
  <c r="AG18" i="16" s="1"/>
  <c r="AI17" i="16"/>
  <c r="AH17" i="16"/>
  <c r="AF17" i="16"/>
  <c r="AE17" i="16"/>
  <c r="AC17" i="16"/>
  <c r="AB17" i="16"/>
  <c r="P17" i="16"/>
  <c r="N17" i="16"/>
  <c r="M17" i="16"/>
  <c r="H17" i="16"/>
  <c r="AI16" i="16"/>
  <c r="AH16" i="16"/>
  <c r="AF16" i="16"/>
  <c r="AE16" i="16"/>
  <c r="AC16" i="16"/>
  <c r="AB16" i="16"/>
  <c r="P16" i="16"/>
  <c r="H16" i="16"/>
  <c r="AG16" i="16" s="1"/>
  <c r="AI15" i="16"/>
  <c r="AH15" i="16"/>
  <c r="AG15" i="16"/>
  <c r="AF15" i="16"/>
  <c r="AE15" i="16"/>
  <c r="AC15" i="16"/>
  <c r="AB15" i="16"/>
  <c r="P15" i="16"/>
  <c r="M15" i="16"/>
  <c r="H15" i="16"/>
  <c r="AD15" i="16" s="1"/>
  <c r="AI14" i="16"/>
  <c r="AH14" i="16"/>
  <c r="AF14" i="16"/>
  <c r="AE14" i="16"/>
  <c r="AC14" i="16"/>
  <c r="AB14" i="16"/>
  <c r="P14" i="16"/>
  <c r="K14" i="16"/>
  <c r="H14" i="16"/>
  <c r="AI13" i="16"/>
  <c r="AH13" i="16"/>
  <c r="AG13" i="16"/>
  <c r="AF13" i="16"/>
  <c r="AE13" i="16"/>
  <c r="AC13" i="16"/>
  <c r="AB13" i="16"/>
  <c r="O13" i="16" s="1"/>
  <c r="S13" i="16" s="1"/>
  <c r="P13" i="16"/>
  <c r="P31" i="16" s="1"/>
  <c r="P292" i="16" s="1"/>
  <c r="N13" i="16"/>
  <c r="M13" i="16"/>
  <c r="H13" i="16"/>
  <c r="AD13" i="16" s="1"/>
  <c r="O28" i="15"/>
  <c r="O27" i="15"/>
  <c r="K22" i="15"/>
  <c r="W22" i="15" s="1"/>
  <c r="K21" i="15"/>
  <c r="W21" i="15" s="1"/>
  <c r="K20" i="15"/>
  <c r="W20" i="15" s="1"/>
  <c r="BW15" i="15"/>
  <c r="BQ15" i="15"/>
  <c r="BK15" i="15"/>
  <c r="BE15" i="15"/>
  <c r="AY15" i="15"/>
  <c r="AS15" i="15"/>
  <c r="AM15" i="15"/>
  <c r="AG15" i="15"/>
  <c r="AA15" i="15"/>
  <c r="U15" i="15"/>
  <c r="O15" i="15"/>
  <c r="I15" i="15"/>
  <c r="BZ15" i="15" s="1"/>
  <c r="BZ14" i="15"/>
  <c r="BZ13" i="15"/>
  <c r="BZ12" i="15"/>
  <c r="BZ11" i="15"/>
  <c r="BZ10" i="15"/>
  <c r="BZ9" i="15"/>
  <c r="BZ8" i="15"/>
  <c r="BZ7" i="15"/>
  <c r="BZ6" i="15"/>
  <c r="BZ5" i="15"/>
  <c r="BZ4" i="15"/>
  <c r="AC48" i="14"/>
  <c r="AA47" i="14"/>
  <c r="Y47" i="14"/>
  <c r="W47" i="14"/>
  <c r="U47" i="14"/>
  <c r="S47" i="14"/>
  <c r="Q47" i="14"/>
  <c r="O47" i="14"/>
  <c r="M47" i="14"/>
  <c r="K47" i="14"/>
  <c r="I47" i="14"/>
  <c r="G47" i="14"/>
  <c r="E47" i="14"/>
  <c r="AB42" i="14"/>
  <c r="AA42" i="14"/>
  <c r="Z42" i="14"/>
  <c r="Y42" i="14"/>
  <c r="X42" i="14"/>
  <c r="W42" i="14"/>
  <c r="V42" i="14"/>
  <c r="U42" i="14"/>
  <c r="T42" i="14"/>
  <c r="S42" i="14"/>
  <c r="R42" i="14"/>
  <c r="Q42" i="14"/>
  <c r="P42" i="14"/>
  <c r="O42" i="14"/>
  <c r="N42" i="14"/>
  <c r="M42" i="14"/>
  <c r="L42" i="14"/>
  <c r="K42" i="14"/>
  <c r="J42" i="14"/>
  <c r="I42" i="14"/>
  <c r="H42" i="14"/>
  <c r="G42" i="14"/>
  <c r="F42" i="14"/>
  <c r="E42" i="14"/>
  <c r="AB41" i="14"/>
  <c r="AA41" i="14"/>
  <c r="Z41" i="14"/>
  <c r="Y41" i="14"/>
  <c r="X41" i="14"/>
  <c r="W41" i="14"/>
  <c r="V41" i="14"/>
  <c r="U41" i="14"/>
  <c r="T41" i="14"/>
  <c r="S41" i="14"/>
  <c r="R41" i="14"/>
  <c r="Q41" i="14"/>
  <c r="P41" i="14"/>
  <c r="O41" i="14"/>
  <c r="N41" i="14"/>
  <c r="M41" i="14"/>
  <c r="L41" i="14"/>
  <c r="K41" i="14"/>
  <c r="J41" i="14"/>
  <c r="I41" i="14"/>
  <c r="H41" i="14"/>
  <c r="G41" i="14"/>
  <c r="F41" i="14"/>
  <c r="E41" i="14"/>
  <c r="AD40" i="14"/>
  <c r="AB40" i="14"/>
  <c r="AA40" i="14"/>
  <c r="Z40" i="14"/>
  <c r="Y40" i="14"/>
  <c r="X40" i="14"/>
  <c r="W40" i="14"/>
  <c r="V40" i="14"/>
  <c r="U40" i="14"/>
  <c r="T40" i="14"/>
  <c r="S40" i="14"/>
  <c r="R40" i="14"/>
  <c r="Q40" i="14"/>
  <c r="P40" i="14"/>
  <c r="O40" i="14"/>
  <c r="N40" i="14"/>
  <c r="M40" i="14"/>
  <c r="L40" i="14"/>
  <c r="K40" i="14"/>
  <c r="J40" i="14"/>
  <c r="I40" i="14"/>
  <c r="H40" i="14"/>
  <c r="G40" i="14"/>
  <c r="F40" i="14"/>
  <c r="E40" i="14"/>
  <c r="AB39" i="14"/>
  <c r="AA39" i="14"/>
  <c r="Z39" i="14"/>
  <c r="Y39" i="14"/>
  <c r="X39" i="14"/>
  <c r="X43" i="14" s="1"/>
  <c r="W39" i="14"/>
  <c r="V39" i="14"/>
  <c r="U39" i="14"/>
  <c r="T39" i="14"/>
  <c r="S39" i="14"/>
  <c r="R39" i="14"/>
  <c r="Q39" i="14"/>
  <c r="P39" i="14"/>
  <c r="P43" i="14" s="1"/>
  <c r="O39" i="14"/>
  <c r="N39" i="14"/>
  <c r="M39" i="14"/>
  <c r="L39" i="14"/>
  <c r="K39" i="14"/>
  <c r="J39" i="14"/>
  <c r="I39" i="14"/>
  <c r="H39" i="14"/>
  <c r="H43" i="14" s="1"/>
  <c r="G39" i="14"/>
  <c r="F39" i="14"/>
  <c r="AB38" i="14"/>
  <c r="AB43" i="14" s="1"/>
  <c r="AA38" i="14"/>
  <c r="AA43" i="14" s="1"/>
  <c r="Z38" i="14"/>
  <c r="Z43" i="14" s="1"/>
  <c r="Y38" i="14"/>
  <c r="Y43" i="14" s="1"/>
  <c r="X38" i="14"/>
  <c r="W38" i="14"/>
  <c r="W43" i="14" s="1"/>
  <c r="V38" i="14"/>
  <c r="V43" i="14" s="1"/>
  <c r="U38" i="14"/>
  <c r="U43" i="14" s="1"/>
  <c r="T38" i="14"/>
  <c r="T43" i="14" s="1"/>
  <c r="S38" i="14"/>
  <c r="S43" i="14" s="1"/>
  <c r="R38" i="14"/>
  <c r="R43" i="14" s="1"/>
  <c r="Q38" i="14"/>
  <c r="Q43" i="14" s="1"/>
  <c r="P38" i="14"/>
  <c r="O38" i="14"/>
  <c r="O43" i="14" s="1"/>
  <c r="N38" i="14"/>
  <c r="N43" i="14" s="1"/>
  <c r="M38" i="14"/>
  <c r="M43" i="14" s="1"/>
  <c r="L38" i="14"/>
  <c r="L43" i="14" s="1"/>
  <c r="K38" i="14"/>
  <c r="K43" i="14" s="1"/>
  <c r="J38" i="14"/>
  <c r="J43" i="14" s="1"/>
  <c r="I38" i="14"/>
  <c r="I43" i="14" s="1"/>
  <c r="H38" i="14"/>
  <c r="G38" i="14"/>
  <c r="G43" i="14" s="1"/>
  <c r="F38" i="14"/>
  <c r="F43" i="14" s="1"/>
  <c r="E38" i="14"/>
  <c r="E43" i="14" s="1"/>
  <c r="M34" i="14"/>
  <c r="AC33" i="14"/>
  <c r="AC32" i="14"/>
  <c r="AC31" i="14"/>
  <c r="AA30" i="14"/>
  <c r="AC30" i="14" s="1"/>
  <c r="AF15" i="14" s="1"/>
  <c r="AH15" i="14" s="1"/>
  <c r="AC29" i="14"/>
  <c r="AC28" i="14"/>
  <c r="AC27" i="14"/>
  <c r="AF12" i="14" s="1"/>
  <c r="AC26" i="14"/>
  <c r="AC25" i="14"/>
  <c r="AC24" i="14"/>
  <c r="AC23" i="14"/>
  <c r="AC22" i="14"/>
  <c r="AG19" i="14"/>
  <c r="AB19" i="14"/>
  <c r="AA19" i="14"/>
  <c r="Z19" i="14"/>
  <c r="Y19" i="14"/>
  <c r="X19" i="14"/>
  <c r="W19" i="14"/>
  <c r="V19" i="14"/>
  <c r="U19" i="14"/>
  <c r="T19" i="14"/>
  <c r="S19" i="14"/>
  <c r="R19" i="14"/>
  <c r="Q19" i="14"/>
  <c r="P19" i="14"/>
  <c r="O19" i="14"/>
  <c r="N19" i="14"/>
  <c r="M19" i="14"/>
  <c r="L19" i="14"/>
  <c r="K19" i="14"/>
  <c r="J19" i="14"/>
  <c r="I19" i="14"/>
  <c r="H19" i="14"/>
  <c r="G19" i="14"/>
  <c r="F19" i="14"/>
  <c r="AD19" i="14" s="1"/>
  <c r="AF18" i="14"/>
  <c r="AD18" i="14"/>
  <c r="AC18" i="14"/>
  <c r="AH18" i="14" s="1"/>
  <c r="AJ17" i="14"/>
  <c r="AG17" i="14"/>
  <c r="AF17" i="14"/>
  <c r="AD17" i="14"/>
  <c r="AD38" i="14" s="1"/>
  <c r="AC17" i="14"/>
  <c r="AH17" i="14" s="1"/>
  <c r="AF16" i="14"/>
  <c r="AD16" i="14"/>
  <c r="AC16" i="14"/>
  <c r="AC40" i="14" s="1"/>
  <c r="AJ15" i="14"/>
  <c r="AD15" i="14"/>
  <c r="AK15" i="14" s="1"/>
  <c r="AC15" i="14"/>
  <c r="AF14" i="14"/>
  <c r="AD14" i="14"/>
  <c r="AD41" i="14" s="1"/>
  <c r="AC14" i="14"/>
  <c r="AH14" i="14" s="1"/>
  <c r="AK13" i="14"/>
  <c r="AJ13" i="14"/>
  <c r="AF13" i="14"/>
  <c r="AD13" i="14"/>
  <c r="AC13" i="14"/>
  <c r="AH13" i="14" s="1"/>
  <c r="AJ12" i="14"/>
  <c r="AD12" i="14"/>
  <c r="AD42" i="14" s="1"/>
  <c r="AC12" i="14"/>
  <c r="AH11" i="14"/>
  <c r="AF11" i="14"/>
  <c r="AD11" i="14"/>
  <c r="AC11" i="14"/>
  <c r="AJ10" i="14"/>
  <c r="AF10" i="14"/>
  <c r="AD10" i="14"/>
  <c r="AK10" i="14" s="1"/>
  <c r="AC10" i="14"/>
  <c r="AH10" i="14" s="1"/>
  <c r="E10" i="14"/>
  <c r="E39" i="14" s="1"/>
  <c r="AF9" i="14"/>
  <c r="AD9" i="14"/>
  <c r="AC9" i="14"/>
  <c r="AH9" i="14" s="1"/>
  <c r="AK8" i="14"/>
  <c r="AJ8" i="14"/>
  <c r="AF8" i="14"/>
  <c r="AD8" i="14"/>
  <c r="AC8" i="14"/>
  <c r="AH8" i="14" s="1"/>
  <c r="B8" i="14"/>
  <c r="B9" i="14" s="1"/>
  <c r="B10" i="14" s="1"/>
  <c r="B11" i="14" s="1"/>
  <c r="B12" i="14" s="1"/>
  <c r="B13" i="14" s="1"/>
  <c r="B14" i="14" s="1"/>
  <c r="B15" i="14" s="1"/>
  <c r="B16" i="14" s="1"/>
  <c r="B17" i="14" s="1"/>
  <c r="B18" i="14" s="1"/>
  <c r="AJ7" i="14"/>
  <c r="AF7" i="14"/>
  <c r="AD7" i="14"/>
  <c r="AK7" i="14" s="1"/>
  <c r="AC7" i="14"/>
  <c r="AC39" i="14" s="1"/>
  <c r="K32" i="13"/>
  <c r="K30" i="13"/>
  <c r="I30" i="13"/>
  <c r="H30" i="13"/>
  <c r="G30" i="13"/>
  <c r="N30" i="13" s="1"/>
  <c r="E30" i="13"/>
  <c r="D30" i="13"/>
  <c r="C30" i="13"/>
  <c r="I28" i="13"/>
  <c r="I32" i="13" s="1"/>
  <c r="H28" i="13"/>
  <c r="H32" i="13" s="1"/>
  <c r="G28" i="13"/>
  <c r="J28" i="13" s="1"/>
  <c r="E28" i="13"/>
  <c r="E32" i="13" s="1"/>
  <c r="D28" i="13"/>
  <c r="D32" i="13" s="1"/>
  <c r="C28" i="13"/>
  <c r="F28" i="13" s="1"/>
  <c r="N27" i="13"/>
  <c r="J27" i="13"/>
  <c r="F27" i="13"/>
  <c r="N26" i="13"/>
  <c r="J26" i="13"/>
  <c r="F26" i="13"/>
  <c r="N25" i="13"/>
  <c r="J25" i="13"/>
  <c r="F25" i="13"/>
  <c r="N24" i="13"/>
  <c r="J24" i="13"/>
  <c r="F24" i="13"/>
  <c r="N23" i="13"/>
  <c r="J23" i="13"/>
  <c r="F23" i="13"/>
  <c r="N22" i="13"/>
  <c r="N28" i="13" s="1"/>
  <c r="J22" i="13"/>
  <c r="F22" i="13"/>
  <c r="M19" i="13"/>
  <c r="L19" i="13"/>
  <c r="K19" i="13"/>
  <c r="K33" i="13" s="1"/>
  <c r="I19" i="13"/>
  <c r="I33" i="13" s="1"/>
  <c r="H19" i="13"/>
  <c r="H33" i="13" s="1"/>
  <c r="G19" i="13"/>
  <c r="J19" i="13" s="1"/>
  <c r="J33" i="13" s="1"/>
  <c r="E19" i="13"/>
  <c r="D19" i="13"/>
  <c r="D33" i="13" s="1"/>
  <c r="C19" i="13"/>
  <c r="N17" i="13"/>
  <c r="J17" i="13"/>
  <c r="F17" i="13"/>
  <c r="N16" i="13"/>
  <c r="J16" i="13"/>
  <c r="F16" i="13"/>
  <c r="N15" i="13"/>
  <c r="J15" i="13"/>
  <c r="F15" i="13"/>
  <c r="N14" i="13"/>
  <c r="J14" i="13"/>
  <c r="F14" i="13"/>
  <c r="N13" i="13"/>
  <c r="J13" i="13"/>
  <c r="F13" i="13"/>
  <c r="N12" i="13"/>
  <c r="J12" i="13"/>
  <c r="F12" i="13"/>
  <c r="N11" i="13"/>
  <c r="J11" i="13"/>
  <c r="F11" i="13"/>
  <c r="N10" i="13"/>
  <c r="J10" i="13"/>
  <c r="F10" i="13"/>
  <c r="N9" i="13"/>
  <c r="J9" i="13"/>
  <c r="F9" i="13"/>
  <c r="N8" i="13"/>
  <c r="J8" i="13"/>
  <c r="F8" i="13"/>
  <c r="N7" i="13"/>
  <c r="J7" i="13"/>
  <c r="F7" i="13"/>
  <c r="N6" i="13"/>
  <c r="N19" i="13" s="1"/>
  <c r="J6" i="13"/>
  <c r="F6" i="13"/>
  <c r="O23" i="12"/>
  <c r="M23" i="12"/>
  <c r="L23" i="12"/>
  <c r="K23" i="12"/>
  <c r="H23" i="12"/>
  <c r="G23" i="12"/>
  <c r="F23" i="12"/>
  <c r="E23" i="12"/>
  <c r="D23" i="12"/>
  <c r="C23" i="12"/>
  <c r="N22" i="12"/>
  <c r="P22" i="12" s="1"/>
  <c r="J22" i="12"/>
  <c r="I22" i="12"/>
  <c r="N21" i="12"/>
  <c r="P21" i="12" s="1"/>
  <c r="J21" i="12"/>
  <c r="I21" i="12"/>
  <c r="N20" i="12"/>
  <c r="P20" i="12" s="1"/>
  <c r="J20" i="12"/>
  <c r="I20" i="12"/>
  <c r="N19" i="12"/>
  <c r="P19" i="12" s="1"/>
  <c r="J19" i="12"/>
  <c r="I19" i="12"/>
  <c r="N18" i="12"/>
  <c r="P18" i="12" s="1"/>
  <c r="J18" i="12"/>
  <c r="I18" i="12"/>
  <c r="N17" i="12"/>
  <c r="P17" i="12" s="1"/>
  <c r="J17" i="12"/>
  <c r="I17" i="12"/>
  <c r="N16" i="12"/>
  <c r="P16" i="12" s="1"/>
  <c r="J16" i="12"/>
  <c r="I16" i="12"/>
  <c r="N15" i="12"/>
  <c r="P15" i="12" s="1"/>
  <c r="J15" i="12"/>
  <c r="I15" i="12"/>
  <c r="N14" i="12"/>
  <c r="P14" i="12" s="1"/>
  <c r="J14" i="12"/>
  <c r="I14" i="12"/>
  <c r="N13" i="12"/>
  <c r="P13" i="12" s="1"/>
  <c r="J13" i="12"/>
  <c r="I13" i="12"/>
  <c r="N12" i="12"/>
  <c r="P12" i="12" s="1"/>
  <c r="J12" i="12"/>
  <c r="I12" i="12"/>
  <c r="N11" i="12"/>
  <c r="P11" i="12" s="1"/>
  <c r="J11" i="12"/>
  <c r="J23" i="12" s="1"/>
  <c r="I11" i="12"/>
  <c r="I23" i="12" s="1"/>
  <c r="J92" i="11"/>
  <c r="N80" i="11"/>
  <c r="J80" i="11"/>
  <c r="N79" i="11"/>
  <c r="J79" i="11"/>
  <c r="N78" i="11"/>
  <c r="J78" i="11"/>
  <c r="N77" i="11"/>
  <c r="N81" i="11" s="1"/>
  <c r="P81" i="11" s="1"/>
  <c r="J77" i="11"/>
  <c r="N76" i="11"/>
  <c r="J76" i="11"/>
  <c r="J81" i="11" s="1"/>
  <c r="J72" i="11"/>
  <c r="J71" i="11"/>
  <c r="D71" i="11"/>
  <c r="N71" i="11" s="1"/>
  <c r="J70" i="11"/>
  <c r="D70" i="11"/>
  <c r="N70" i="11" s="1"/>
  <c r="J69" i="11"/>
  <c r="D69" i="11"/>
  <c r="N69" i="11" s="1"/>
  <c r="N68" i="11"/>
  <c r="J68" i="11"/>
  <c r="D68" i="11"/>
  <c r="J67" i="11"/>
  <c r="D67" i="11"/>
  <c r="N67" i="11" s="1"/>
  <c r="J66" i="11"/>
  <c r="D66" i="11"/>
  <c r="N66" i="11" s="1"/>
  <c r="J65" i="11"/>
  <c r="D65" i="11"/>
  <c r="N65" i="11" s="1"/>
  <c r="J64" i="11"/>
  <c r="D64" i="11"/>
  <c r="N64" i="11" s="1"/>
  <c r="N63" i="11"/>
  <c r="J63" i="11"/>
  <c r="D63" i="11"/>
  <c r="J62" i="11"/>
  <c r="D62" i="11"/>
  <c r="N62" i="11" s="1"/>
  <c r="J61" i="11"/>
  <c r="D61" i="11"/>
  <c r="N61" i="11" s="1"/>
  <c r="N60" i="11"/>
  <c r="J60" i="11"/>
  <c r="D60" i="11"/>
  <c r="I54" i="11"/>
  <c r="J54" i="11" s="1"/>
  <c r="D54" i="11"/>
  <c r="N54" i="11" s="1"/>
  <c r="I53" i="11"/>
  <c r="J53" i="11" s="1"/>
  <c r="D53" i="11"/>
  <c r="N53" i="11" s="1"/>
  <c r="N52" i="11"/>
  <c r="I52" i="11"/>
  <c r="J52" i="11" s="1"/>
  <c r="D52" i="11"/>
  <c r="I51" i="11"/>
  <c r="J51" i="11" s="1"/>
  <c r="D51" i="11"/>
  <c r="N51" i="11" s="1"/>
  <c r="N50" i="11"/>
  <c r="J50" i="11"/>
  <c r="D50" i="11"/>
  <c r="I49" i="11"/>
  <c r="J49" i="11" s="1"/>
  <c r="I41" i="11"/>
  <c r="J41" i="11" s="1"/>
  <c r="D41" i="11"/>
  <c r="N41" i="11" s="1"/>
  <c r="I40" i="11"/>
  <c r="J40" i="11" s="1"/>
  <c r="D40" i="11"/>
  <c r="N40" i="11" s="1"/>
  <c r="I39" i="11"/>
  <c r="J39" i="11" s="1"/>
  <c r="D39" i="11"/>
  <c r="N39" i="11" s="1"/>
  <c r="I38" i="11"/>
  <c r="J38" i="11" s="1"/>
  <c r="D38" i="11"/>
  <c r="N38" i="11" s="1"/>
  <c r="I37" i="11"/>
  <c r="J37" i="11" s="1"/>
  <c r="D37" i="11"/>
  <c r="N37" i="11" s="1"/>
  <c r="I36" i="11"/>
  <c r="J36" i="11" s="1"/>
  <c r="D36" i="11"/>
  <c r="N36" i="11" s="1"/>
  <c r="N35" i="11"/>
  <c r="I35" i="11"/>
  <c r="J35" i="11" s="1"/>
  <c r="D35" i="11"/>
  <c r="I34" i="11"/>
  <c r="J34" i="11" s="1"/>
  <c r="D34" i="11"/>
  <c r="N34" i="11" s="1"/>
  <c r="N33" i="11"/>
  <c r="I33" i="11"/>
  <c r="J33" i="11" s="1"/>
  <c r="D33" i="11"/>
  <c r="I32" i="11"/>
  <c r="J32" i="11" s="1"/>
  <c r="D32" i="11"/>
  <c r="N32" i="11" s="1"/>
  <c r="I31" i="11"/>
  <c r="J31" i="11" s="1"/>
  <c r="D31" i="11"/>
  <c r="N31" i="11" s="1"/>
  <c r="I30" i="11"/>
  <c r="J30" i="11" s="1"/>
  <c r="D30" i="11"/>
  <c r="N30" i="11" s="1"/>
  <c r="N29" i="11"/>
  <c r="I29" i="11"/>
  <c r="J29" i="11" s="1"/>
  <c r="D29" i="11"/>
  <c r="I28" i="11"/>
  <c r="J28" i="11" s="1"/>
  <c r="D28" i="11"/>
  <c r="N28" i="11" s="1"/>
  <c r="N27" i="11"/>
  <c r="I27" i="11"/>
  <c r="J27" i="11" s="1"/>
  <c r="D27" i="11"/>
  <c r="I26" i="11"/>
  <c r="J26" i="11" s="1"/>
  <c r="D26" i="11"/>
  <c r="N26" i="11" s="1"/>
  <c r="M22" i="11"/>
  <c r="I21" i="11"/>
  <c r="J21" i="11" s="1"/>
  <c r="D21" i="11"/>
  <c r="N21" i="11" s="1"/>
  <c r="N20" i="11"/>
  <c r="I20" i="11"/>
  <c r="J20" i="11" s="1"/>
  <c r="D20" i="11"/>
  <c r="I19" i="11"/>
  <c r="J19" i="11" s="1"/>
  <c r="D19" i="11"/>
  <c r="N19" i="11" s="1"/>
  <c r="I18" i="11"/>
  <c r="J18" i="11" s="1"/>
  <c r="D18" i="11"/>
  <c r="N18" i="11" s="1"/>
  <c r="I17" i="11"/>
  <c r="J17" i="11" s="1"/>
  <c r="D17" i="11"/>
  <c r="N17" i="11" s="1"/>
  <c r="I16" i="11"/>
  <c r="J16" i="11" s="1"/>
  <c r="D16" i="11"/>
  <c r="N16" i="11" s="1"/>
  <c r="I15" i="11"/>
  <c r="J15" i="11" s="1"/>
  <c r="D15" i="11"/>
  <c r="N15" i="11" s="1"/>
  <c r="D14" i="11"/>
  <c r="N14" i="11" s="1"/>
  <c r="N13" i="11"/>
  <c r="I13" i="11"/>
  <c r="J13" i="11" s="1"/>
  <c r="D13" i="11"/>
  <c r="I12" i="11"/>
  <c r="J12" i="11" s="1"/>
  <c r="D12" i="11"/>
  <c r="I11" i="11"/>
  <c r="J11" i="11" s="1"/>
  <c r="D11" i="11"/>
  <c r="N11" i="11" s="1"/>
  <c r="I10" i="11"/>
  <c r="J10" i="11" s="1"/>
  <c r="D10" i="11"/>
  <c r="I9" i="11"/>
  <c r="J9" i="11" s="1"/>
  <c r="D9" i="11"/>
  <c r="N9" i="11" s="1"/>
  <c r="I8" i="11"/>
  <c r="J8" i="11" s="1"/>
  <c r="J7" i="11"/>
  <c r="I7" i="11"/>
  <c r="L6" i="10"/>
  <c r="L7" i="10"/>
  <c r="L8" i="10"/>
  <c r="L9" i="10"/>
  <c r="I10" i="10"/>
  <c r="L10" i="10"/>
  <c r="I11" i="10"/>
  <c r="L11" i="10" s="1"/>
  <c r="K12" i="10" s="1"/>
  <c r="J11" i="10"/>
  <c r="J12" i="10" s="1"/>
  <c r="K11" i="10"/>
  <c r="I18" i="10"/>
  <c r="L18" i="10" s="1"/>
  <c r="J18" i="10"/>
  <c r="J24" i="10" s="1"/>
  <c r="I19" i="10"/>
  <c r="K24" i="10"/>
  <c r="B51" i="9"/>
  <c r="B50" i="9"/>
  <c r="B49" i="9"/>
  <c r="D49" i="9" s="1"/>
  <c r="B48" i="9"/>
  <c r="B47" i="9"/>
  <c r="B46" i="9"/>
  <c r="B45" i="9"/>
  <c r="B44" i="9"/>
  <c r="B43" i="9"/>
  <c r="B42" i="9"/>
  <c r="B41" i="9"/>
  <c r="B40" i="9"/>
  <c r="D39" i="9"/>
  <c r="B39" i="9"/>
  <c r="B38" i="9"/>
  <c r="B37" i="9"/>
  <c r="D36" i="9"/>
  <c r="B36" i="9"/>
  <c r="D35" i="9"/>
  <c r="B35" i="9"/>
  <c r="B34" i="9"/>
  <c r="B33" i="9"/>
  <c r="B32" i="9"/>
  <c r="B31" i="9"/>
  <c r="D30" i="9"/>
  <c r="B30" i="9"/>
  <c r="B29" i="9"/>
  <c r="B28" i="9"/>
  <c r="D27" i="9"/>
  <c r="B27" i="9"/>
  <c r="B26" i="9"/>
  <c r="B25" i="9"/>
  <c r="D25" i="9" s="1"/>
  <c r="B24" i="9"/>
  <c r="B23" i="9"/>
  <c r="B22" i="9"/>
  <c r="B21" i="9"/>
  <c r="C21" i="9" s="1"/>
  <c r="D21" i="9" s="1"/>
  <c r="C20" i="9"/>
  <c r="B20" i="9"/>
  <c r="B19" i="9"/>
  <c r="B18" i="9"/>
  <c r="B17" i="9"/>
  <c r="B13" i="9"/>
  <c r="C13" i="9" s="1"/>
  <c r="B12" i="9"/>
  <c r="C12" i="9" s="1"/>
  <c r="I11" i="9"/>
  <c r="H11" i="9"/>
  <c r="J11" i="9" s="1"/>
  <c r="B11" i="9"/>
  <c r="C11" i="9" s="1"/>
  <c r="D10" i="9"/>
  <c r="B10" i="9"/>
  <c r="J9" i="9"/>
  <c r="I9" i="9"/>
  <c r="H9" i="9"/>
  <c r="H10" i="9" s="1"/>
  <c r="B9" i="9"/>
  <c r="D9" i="9" s="1"/>
  <c r="I8" i="9"/>
  <c r="H8" i="9"/>
  <c r="D8" i="9"/>
  <c r="B8" i="9"/>
  <c r="B7" i="9"/>
  <c r="E78" i="8"/>
  <c r="E79" i="8" s="1"/>
  <c r="D73" i="8"/>
  <c r="F73" i="8" s="1"/>
  <c r="F70" i="8"/>
  <c r="I62" i="8"/>
  <c r="E62" i="8"/>
  <c r="F62" i="8" s="1"/>
  <c r="D62" i="8"/>
  <c r="F60" i="8"/>
  <c r="F59" i="8"/>
  <c r="D57" i="8"/>
  <c r="D67" i="8" s="1"/>
  <c r="D32" i="8"/>
  <c r="D26" i="8"/>
  <c r="D25" i="8"/>
  <c r="D21" i="8"/>
  <c r="D39" i="8" s="1"/>
  <c r="D17" i="8"/>
  <c r="K24" i="7"/>
  <c r="K19" i="7"/>
  <c r="K14" i="7"/>
  <c r="K9" i="7"/>
  <c r="K46" i="6"/>
  <c r="K45" i="6"/>
  <c r="K41" i="6"/>
  <c r="B41" i="6"/>
  <c r="K37" i="6"/>
  <c r="K32" i="6"/>
  <c r="K31" i="6"/>
  <c r="K30" i="6"/>
  <c r="K29" i="6"/>
  <c r="K28" i="6"/>
  <c r="K23" i="6"/>
  <c r="K15" i="6"/>
  <c r="K12" i="6"/>
  <c r="K9" i="6"/>
  <c r="G51" i="5"/>
  <c r="B51" i="5"/>
  <c r="D51" i="5" s="1"/>
  <c r="F51" i="5" s="1"/>
  <c r="H51" i="5" s="1"/>
  <c r="J51" i="5" s="1"/>
  <c r="G50" i="5"/>
  <c r="C50" i="5"/>
  <c r="D50" i="5" s="1"/>
  <c r="F50" i="5" s="1"/>
  <c r="H50" i="5" s="1"/>
  <c r="J50" i="5" s="1"/>
  <c r="B50" i="5"/>
  <c r="G49" i="5"/>
  <c r="C49" i="5"/>
  <c r="B49" i="5"/>
  <c r="G48" i="5"/>
  <c r="B48" i="5"/>
  <c r="D48" i="5" s="1"/>
  <c r="F48" i="5" s="1"/>
  <c r="H48" i="5" s="1"/>
  <c r="J48" i="5" s="1"/>
  <c r="G47" i="5"/>
  <c r="D47" i="5"/>
  <c r="F47" i="5" s="1"/>
  <c r="B47" i="5"/>
  <c r="G46" i="5"/>
  <c r="E46" i="5"/>
  <c r="C46" i="5"/>
  <c r="D46" i="5" s="1"/>
  <c r="F46" i="5" s="1"/>
  <c r="H46" i="5" s="1"/>
  <c r="J46" i="5" s="1"/>
  <c r="G45" i="5"/>
  <c r="E45" i="5"/>
  <c r="C45" i="5"/>
  <c r="B45" i="5"/>
  <c r="G44" i="5"/>
  <c r="B44" i="5"/>
  <c r="D44" i="5" s="1"/>
  <c r="F44" i="5" s="1"/>
  <c r="H44" i="5" s="1"/>
  <c r="J44" i="5" s="1"/>
  <c r="G43" i="5"/>
  <c r="B43" i="5"/>
  <c r="D43" i="5" s="1"/>
  <c r="F43" i="5" s="1"/>
  <c r="H43" i="5" s="1"/>
  <c r="G42" i="5"/>
  <c r="B42" i="5"/>
  <c r="D42" i="5" s="1"/>
  <c r="F42" i="5" s="1"/>
  <c r="H42" i="5" s="1"/>
  <c r="J42" i="5" s="1"/>
  <c r="G41" i="5"/>
  <c r="B41" i="5"/>
  <c r="D41" i="5" s="1"/>
  <c r="F41" i="5" s="1"/>
  <c r="H41" i="5" s="1"/>
  <c r="J41" i="5" s="1"/>
  <c r="G40" i="5"/>
  <c r="B40" i="5"/>
  <c r="D40" i="5" s="1"/>
  <c r="F40" i="5" s="1"/>
  <c r="H40" i="5" s="1"/>
  <c r="J40" i="5" s="1"/>
  <c r="G39" i="5"/>
  <c r="C39" i="5"/>
  <c r="B39" i="5"/>
  <c r="G38" i="5"/>
  <c r="B38" i="5"/>
  <c r="D38" i="5" s="1"/>
  <c r="F38" i="5" s="1"/>
  <c r="G37" i="5"/>
  <c r="B37" i="5"/>
  <c r="D37" i="5" s="1"/>
  <c r="F37" i="5" s="1"/>
  <c r="H37" i="5" s="1"/>
  <c r="J37" i="5" s="1"/>
  <c r="G36" i="5"/>
  <c r="C36" i="5"/>
  <c r="B36" i="5"/>
  <c r="D36" i="5" s="1"/>
  <c r="F36" i="5" s="1"/>
  <c r="H36" i="5" s="1"/>
  <c r="J36" i="5" s="1"/>
  <c r="G35" i="5"/>
  <c r="C35" i="5"/>
  <c r="B35" i="5"/>
  <c r="D35" i="5" s="1"/>
  <c r="F35" i="5" s="1"/>
  <c r="H35" i="5" s="1"/>
  <c r="J35" i="5" s="1"/>
  <c r="G34" i="5"/>
  <c r="E34" i="5"/>
  <c r="B34" i="5"/>
  <c r="D34" i="5" s="1"/>
  <c r="G33" i="5"/>
  <c r="B33" i="5"/>
  <c r="D33" i="5" s="1"/>
  <c r="F33" i="5" s="1"/>
  <c r="H33" i="5" s="1"/>
  <c r="J33" i="5" s="1"/>
  <c r="G32" i="5"/>
  <c r="B32" i="5"/>
  <c r="D32" i="5" s="1"/>
  <c r="F32" i="5" s="1"/>
  <c r="G31" i="5"/>
  <c r="B31" i="5"/>
  <c r="D31" i="5" s="1"/>
  <c r="F31" i="5" s="1"/>
  <c r="G30" i="5"/>
  <c r="C30" i="5"/>
  <c r="B30" i="5"/>
  <c r="D30" i="5" s="1"/>
  <c r="F30" i="5" s="1"/>
  <c r="H30" i="5" s="1"/>
  <c r="J30" i="5" s="1"/>
  <c r="G29" i="5"/>
  <c r="D29" i="5"/>
  <c r="F29" i="5" s="1"/>
  <c r="B29" i="5"/>
  <c r="G28" i="5"/>
  <c r="B28" i="5"/>
  <c r="D28" i="5" s="1"/>
  <c r="F28" i="5" s="1"/>
  <c r="H28" i="5" s="1"/>
  <c r="J28" i="5" s="1"/>
  <c r="G27" i="5"/>
  <c r="C27" i="5"/>
  <c r="D27" i="5" s="1"/>
  <c r="F27" i="5" s="1"/>
  <c r="H27" i="5" s="1"/>
  <c r="J27" i="5" s="1"/>
  <c r="B27" i="5"/>
  <c r="G26" i="5"/>
  <c r="C26" i="5"/>
  <c r="B26" i="5"/>
  <c r="G25" i="5"/>
  <c r="C25" i="5"/>
  <c r="D25" i="5" s="1"/>
  <c r="F25" i="5" s="1"/>
  <c r="H25" i="5" s="1"/>
  <c r="J25" i="5" s="1"/>
  <c r="G24" i="5"/>
  <c r="C24" i="5"/>
  <c r="B24" i="5"/>
  <c r="G23" i="5"/>
  <c r="C23" i="5"/>
  <c r="B23" i="5"/>
  <c r="D23" i="5" s="1"/>
  <c r="F23" i="5" s="1"/>
  <c r="H23" i="5" s="1"/>
  <c r="J23" i="5" s="1"/>
  <c r="G22" i="5"/>
  <c r="B22" i="5"/>
  <c r="D22" i="5" s="1"/>
  <c r="F22" i="5" s="1"/>
  <c r="H22" i="5" s="1"/>
  <c r="J22" i="5" s="1"/>
  <c r="G21" i="5"/>
  <c r="D21" i="5"/>
  <c r="F21" i="5" s="1"/>
  <c r="B21" i="5"/>
  <c r="G20" i="5"/>
  <c r="C20" i="5"/>
  <c r="B20" i="5"/>
  <c r="D20" i="5" s="1"/>
  <c r="F20" i="5" s="1"/>
  <c r="H20" i="5" s="1"/>
  <c r="J20" i="5" s="1"/>
  <c r="G19" i="5"/>
  <c r="B19" i="5"/>
  <c r="D19" i="5" s="1"/>
  <c r="F19" i="5" s="1"/>
  <c r="H19" i="5" s="1"/>
  <c r="J19" i="5" s="1"/>
  <c r="G18" i="5"/>
  <c r="B18" i="5"/>
  <c r="D18" i="5" s="1"/>
  <c r="F18" i="5" s="1"/>
  <c r="G17" i="5"/>
  <c r="B17" i="5"/>
  <c r="D17" i="5" s="1"/>
  <c r="E14" i="5"/>
  <c r="G13" i="5"/>
  <c r="B13" i="5"/>
  <c r="D13" i="5" s="1"/>
  <c r="F13" i="5" s="1"/>
  <c r="G12" i="5"/>
  <c r="B12" i="5"/>
  <c r="D12" i="5" s="1"/>
  <c r="F12" i="5" s="1"/>
  <c r="G11" i="5"/>
  <c r="B11" i="5"/>
  <c r="D11" i="5" s="1"/>
  <c r="F11" i="5" s="1"/>
  <c r="G10" i="5"/>
  <c r="B10" i="5"/>
  <c r="D10" i="5" s="1"/>
  <c r="F10" i="5" s="1"/>
  <c r="G9" i="5"/>
  <c r="B9" i="5"/>
  <c r="D9" i="5" s="1"/>
  <c r="F9" i="5" s="1"/>
  <c r="H9" i="5" s="1"/>
  <c r="J9" i="5" s="1"/>
  <c r="G8" i="5"/>
  <c r="B8" i="5"/>
  <c r="D8" i="5" s="1"/>
  <c r="F8" i="5" s="1"/>
  <c r="G7" i="5"/>
  <c r="B7" i="5"/>
  <c r="D7" i="5" s="1"/>
  <c r="O73" i="4"/>
  <c r="N73" i="4"/>
  <c r="G73" i="4"/>
  <c r="F73" i="4"/>
  <c r="O72" i="4"/>
  <c r="N72" i="4"/>
  <c r="M72" i="4"/>
  <c r="M73" i="4" s="1"/>
  <c r="L72" i="4"/>
  <c r="L73" i="4" s="1"/>
  <c r="K72" i="4"/>
  <c r="K73" i="4" s="1"/>
  <c r="J72" i="4"/>
  <c r="J73" i="4" s="1"/>
  <c r="I72" i="4"/>
  <c r="I73" i="4" s="1"/>
  <c r="H72" i="4"/>
  <c r="H73" i="4" s="1"/>
  <c r="G72" i="4"/>
  <c r="F72" i="4"/>
  <c r="E72" i="4"/>
  <c r="E73" i="4" s="1"/>
  <c r="D72" i="4"/>
  <c r="D73" i="4" s="1"/>
  <c r="Q73" i="4" s="1"/>
  <c r="Q71" i="4"/>
  <c r="O67" i="4"/>
  <c r="N67" i="4"/>
  <c r="G67" i="4"/>
  <c r="F67" i="4"/>
  <c r="Q66" i="4"/>
  <c r="Q65" i="4"/>
  <c r="Q64" i="4"/>
  <c r="Q63" i="4"/>
  <c r="Q62" i="4"/>
  <c r="Q61" i="4"/>
  <c r="Q60" i="4"/>
  <c r="Q59" i="4"/>
  <c r="Q58" i="4"/>
  <c r="Q57" i="4"/>
  <c r="Q56" i="4"/>
  <c r="Q55" i="4"/>
  <c r="Q54" i="4"/>
  <c r="O53" i="4"/>
  <c r="N53" i="4"/>
  <c r="M53" i="4"/>
  <c r="L53" i="4"/>
  <c r="K53" i="4"/>
  <c r="J53" i="4"/>
  <c r="I53" i="4"/>
  <c r="H53" i="4"/>
  <c r="Q53" i="4" s="1"/>
  <c r="G53" i="4"/>
  <c r="F53" i="4"/>
  <c r="E53" i="4"/>
  <c r="D53" i="4"/>
  <c r="Q52" i="4"/>
  <c r="Q51" i="4"/>
  <c r="Q49" i="4"/>
  <c r="Q48" i="4"/>
  <c r="Q47" i="4"/>
  <c r="Q46" i="4"/>
  <c r="Q45" i="4"/>
  <c r="Q44" i="4"/>
  <c r="Q43" i="4"/>
  <c r="Q42" i="4"/>
  <c r="Q41" i="4"/>
  <c r="Q40" i="4"/>
  <c r="Q39" i="4"/>
  <c r="Q38" i="4"/>
  <c r="Q37" i="4"/>
  <c r="Q36" i="4"/>
  <c r="Q35" i="4"/>
  <c r="Q34" i="4"/>
  <c r="Q33" i="4"/>
  <c r="Q32" i="4"/>
  <c r="O30" i="4"/>
  <c r="N30" i="4"/>
  <c r="M30" i="4"/>
  <c r="L30" i="4"/>
  <c r="K30" i="4"/>
  <c r="J30" i="4"/>
  <c r="I30" i="4"/>
  <c r="H30" i="4"/>
  <c r="G30" i="4"/>
  <c r="F30" i="4"/>
  <c r="E30" i="4"/>
  <c r="D30" i="4"/>
  <c r="Q30" i="4" s="1"/>
  <c r="Q29" i="4"/>
  <c r="Q28" i="4"/>
  <c r="Q27" i="4"/>
  <c r="Q26" i="4"/>
  <c r="O24" i="4"/>
  <c r="N24" i="4"/>
  <c r="M24" i="4"/>
  <c r="M67" i="4" s="1"/>
  <c r="L24" i="4"/>
  <c r="L67" i="4" s="1"/>
  <c r="K24" i="4"/>
  <c r="K67" i="4" s="1"/>
  <c r="J24" i="4"/>
  <c r="J67" i="4" s="1"/>
  <c r="I24" i="4"/>
  <c r="I67" i="4" s="1"/>
  <c r="H24" i="4"/>
  <c r="H67" i="4" s="1"/>
  <c r="G24" i="4"/>
  <c r="F24" i="4"/>
  <c r="E24" i="4"/>
  <c r="E67" i="4" s="1"/>
  <c r="D24" i="4"/>
  <c r="D67" i="4" s="1"/>
  <c r="Q23" i="4"/>
  <c r="Q21" i="4"/>
  <c r="J19" i="4"/>
  <c r="I19" i="4"/>
  <c r="Q18" i="4"/>
  <c r="Q17" i="4"/>
  <c r="Q16" i="4"/>
  <c r="Q15" i="4"/>
  <c r="Q14" i="4"/>
  <c r="Q13" i="4"/>
  <c r="O12" i="4"/>
  <c r="O19" i="4" s="1"/>
  <c r="O68" i="4" s="1"/>
  <c r="O74" i="4" s="1"/>
  <c r="N12" i="4"/>
  <c r="N19" i="4" s="1"/>
  <c r="N68" i="4" s="1"/>
  <c r="N74" i="4" s="1"/>
  <c r="M12" i="4"/>
  <c r="M19" i="4" s="1"/>
  <c r="L12" i="4"/>
  <c r="L19" i="4" s="1"/>
  <c r="L68" i="4" s="1"/>
  <c r="K12" i="4"/>
  <c r="K19" i="4" s="1"/>
  <c r="J12" i="4"/>
  <c r="I12" i="4"/>
  <c r="H12" i="4"/>
  <c r="H19" i="4" s="1"/>
  <c r="H68" i="4" s="1"/>
  <c r="H74" i="4" s="1"/>
  <c r="G12" i="4"/>
  <c r="G19" i="4" s="1"/>
  <c r="G68" i="4" s="1"/>
  <c r="G74" i="4" s="1"/>
  <c r="F12" i="4"/>
  <c r="F19" i="4" s="1"/>
  <c r="F68" i="4" s="1"/>
  <c r="F74" i="4" s="1"/>
  <c r="E12" i="4"/>
  <c r="E19" i="4" s="1"/>
  <c r="D12" i="4"/>
  <c r="Q12" i="4" s="1"/>
  <c r="Q11" i="4"/>
  <c r="Q10" i="4"/>
  <c r="Q9" i="4"/>
  <c r="Q8" i="4"/>
  <c r="Q7" i="4"/>
  <c r="F34" i="5" l="1"/>
  <c r="H34" i="5" s="1"/>
  <c r="J34" i="5" s="1"/>
  <c r="C24" i="9"/>
  <c r="O29" i="15"/>
  <c r="O31" i="15" s="1"/>
  <c r="C14" i="9"/>
  <c r="AC47" i="14"/>
  <c r="AC49" i="14" s="1"/>
  <c r="H10" i="5"/>
  <c r="J10" i="5" s="1"/>
  <c r="E53" i="5"/>
  <c r="H31" i="5"/>
  <c r="J31" i="5" s="1"/>
  <c r="D49" i="5"/>
  <c r="F49" i="5" s="1"/>
  <c r="H49" i="5" s="1"/>
  <c r="J49" i="5" s="1"/>
  <c r="B14" i="9"/>
  <c r="B14" i="5"/>
  <c r="E52" i="5"/>
  <c r="G14" i="5"/>
  <c r="C52" i="5"/>
  <c r="C53" i="5" s="1"/>
  <c r="H8" i="5"/>
  <c r="G52" i="5"/>
  <c r="G55" i="5" s="1"/>
  <c r="D24" i="5"/>
  <c r="F24" i="5" s="1"/>
  <c r="H24" i="5" s="1"/>
  <c r="J24" i="5" s="1"/>
  <c r="H32" i="5"/>
  <c r="J32" i="5" s="1"/>
  <c r="H38" i="5"/>
  <c r="J38" i="5" s="1"/>
  <c r="H18" i="5"/>
  <c r="J18" i="5" s="1"/>
  <c r="H21" i="5"/>
  <c r="J21" i="5" s="1"/>
  <c r="H29" i="5"/>
  <c r="J29" i="5" s="1"/>
  <c r="D45" i="5"/>
  <c r="F45" i="5" s="1"/>
  <c r="H45" i="5" s="1"/>
  <c r="J45" i="5" s="1"/>
  <c r="H47" i="5"/>
  <c r="J47" i="5" s="1"/>
  <c r="D39" i="5"/>
  <c r="F39" i="5" s="1"/>
  <c r="H39" i="5" s="1"/>
  <c r="I10" i="9"/>
  <c r="C19" i="9"/>
  <c r="D19" i="9" s="1"/>
  <c r="D20" i="9"/>
  <c r="N55" i="11"/>
  <c r="P55" i="11" s="1"/>
  <c r="Z60" i="22"/>
  <c r="V70" i="22"/>
  <c r="P311" i="16"/>
  <c r="P302" i="16"/>
  <c r="Y71" i="16"/>
  <c r="Z71" i="16"/>
  <c r="AG14" i="16"/>
  <c r="AD14" i="16"/>
  <c r="U14" i="16" s="1"/>
  <c r="V14" i="16" s="1"/>
  <c r="X14" i="16" s="1"/>
  <c r="AD17" i="16"/>
  <c r="AG17" i="16"/>
  <c r="S25" i="16"/>
  <c r="N41" i="16"/>
  <c r="N293" i="16" s="1"/>
  <c r="AD44" i="16"/>
  <c r="AG44" i="16"/>
  <c r="S49" i="16"/>
  <c r="AD60" i="16"/>
  <c r="AG60" i="16"/>
  <c r="S65" i="16"/>
  <c r="U96" i="16"/>
  <c r="V96" i="16" s="1"/>
  <c r="X96" i="16" s="1"/>
  <c r="O96" i="16"/>
  <c r="S96" i="16" s="1"/>
  <c r="K303" i="16"/>
  <c r="K312" i="16" s="1"/>
  <c r="AD46" i="16"/>
  <c r="AG46" i="16"/>
  <c r="P303" i="16"/>
  <c r="P312" i="16" s="1"/>
  <c r="AD39" i="16"/>
  <c r="AG39" i="16"/>
  <c r="AD62" i="16"/>
  <c r="AG62" i="16"/>
  <c r="O18" i="16"/>
  <c r="U20" i="16"/>
  <c r="V20" i="16" s="1"/>
  <c r="X20" i="16" s="1"/>
  <c r="Q22" i="16"/>
  <c r="AD24" i="16"/>
  <c r="AG24" i="16"/>
  <c r="Q27" i="16"/>
  <c r="M41" i="16"/>
  <c r="M293" i="16" s="1"/>
  <c r="N39" i="16"/>
  <c r="AD48" i="16"/>
  <c r="AG48" i="16"/>
  <c r="Q51" i="16"/>
  <c r="O53" i="16"/>
  <c r="S53" i="16" s="1"/>
  <c r="Y53" i="16" s="1"/>
  <c r="Z53" i="16" s="1"/>
  <c r="AD64" i="16"/>
  <c r="AG64" i="16"/>
  <c r="Q67" i="16"/>
  <c r="O69" i="16"/>
  <c r="S69" i="16" s="1"/>
  <c r="AD16" i="16"/>
  <c r="U16" i="16" s="1"/>
  <c r="V16" i="16" s="1"/>
  <c r="X16" i="16" s="1"/>
  <c r="Y25" i="16"/>
  <c r="Z25" i="16" s="1"/>
  <c r="AD26" i="16"/>
  <c r="AG26" i="16"/>
  <c r="Q29" i="16"/>
  <c r="M36" i="16"/>
  <c r="N35" i="16"/>
  <c r="AG35" i="16"/>
  <c r="R303" i="16"/>
  <c r="R312" i="16" s="1"/>
  <c r="Y49" i="16"/>
  <c r="Z49" i="16" s="1"/>
  <c r="AD50" i="16"/>
  <c r="AG50" i="16"/>
  <c r="Z51" i="16"/>
  <c r="S55" i="16"/>
  <c r="Y65" i="16"/>
  <c r="Z65" i="16" s="1"/>
  <c r="AD66" i="16"/>
  <c r="AG66" i="16"/>
  <c r="Q69" i="16"/>
  <c r="AG70" i="16"/>
  <c r="AD70" i="16"/>
  <c r="U70" i="16" s="1"/>
  <c r="V70" i="16" s="1"/>
  <c r="X70" i="16" s="1"/>
  <c r="Y70" i="16" s="1"/>
  <c r="Z70" i="16" s="1"/>
  <c r="O76" i="16"/>
  <c r="S76" i="16" s="1"/>
  <c r="N36" i="16"/>
  <c r="U15" i="16"/>
  <c r="V15" i="16" s="1"/>
  <c r="X15" i="16" s="1"/>
  <c r="Y15" i="16" s="1"/>
  <c r="Z15" i="16" s="1"/>
  <c r="Y22" i="16"/>
  <c r="U27" i="16"/>
  <c r="V27" i="16" s="1"/>
  <c r="X27" i="16" s="1"/>
  <c r="Y27" i="16" s="1"/>
  <c r="AD28" i="16"/>
  <c r="U28" i="16" s="1"/>
  <c r="V28" i="16" s="1"/>
  <c r="X28" i="16" s="1"/>
  <c r="AG28" i="16"/>
  <c r="O34" i="16"/>
  <c r="Q35" i="16"/>
  <c r="Y51" i="16"/>
  <c r="AD52" i="16"/>
  <c r="AG52" i="16"/>
  <c r="S57" i="16"/>
  <c r="Y67" i="16"/>
  <c r="Z67" i="16" s="1"/>
  <c r="AD68" i="16"/>
  <c r="U68" i="16" s="1"/>
  <c r="V68" i="16" s="1"/>
  <c r="X68" i="16" s="1"/>
  <c r="AG68" i="16"/>
  <c r="Q72" i="16"/>
  <c r="N80" i="16"/>
  <c r="N114" i="16"/>
  <c r="Z22" i="16"/>
  <c r="Y29" i="16"/>
  <c r="Z29" i="16" s="1"/>
  <c r="AD30" i="16"/>
  <c r="U30" i="16" s="1"/>
  <c r="V30" i="16" s="1"/>
  <c r="X30" i="16" s="1"/>
  <c r="AG30" i="16"/>
  <c r="W298" i="16"/>
  <c r="W302" i="16"/>
  <c r="AD54" i="16"/>
  <c r="AG54" i="16"/>
  <c r="O59" i="16"/>
  <c r="S59" i="16" s="1"/>
  <c r="Y59" i="16" s="1"/>
  <c r="Z59" i="16" s="1"/>
  <c r="Y69" i="16"/>
  <c r="Z69" i="16" s="1"/>
  <c r="U86" i="16"/>
  <c r="V86" i="16" s="1"/>
  <c r="X86" i="16" s="1"/>
  <c r="O86" i="16"/>
  <c r="S86" i="16" s="1"/>
  <c r="Y90" i="16"/>
  <c r="Z90" i="16" s="1"/>
  <c r="Y94" i="16"/>
  <c r="Z94" i="16" s="1"/>
  <c r="Q13" i="16"/>
  <c r="U13" i="16"/>
  <c r="K16" i="16"/>
  <c r="M16" i="16" s="1"/>
  <c r="N15" i="16"/>
  <c r="S28" i="16"/>
  <c r="Q28" i="16"/>
  <c r="O40" i="16"/>
  <c r="S40" i="16" s="1"/>
  <c r="O45" i="16"/>
  <c r="S45" i="16" s="1"/>
  <c r="Y45" i="16" s="1"/>
  <c r="Z45" i="16" s="1"/>
  <c r="Y55" i="16"/>
  <c r="Z55" i="16" s="1"/>
  <c r="AD56" i="16"/>
  <c r="AG56" i="16"/>
  <c r="O61" i="16"/>
  <c r="S61" i="16" s="1"/>
  <c r="Y61" i="16" s="1"/>
  <c r="Z61" i="16" s="1"/>
  <c r="O80" i="16"/>
  <c r="S80" i="16" s="1"/>
  <c r="K31" i="16"/>
  <c r="K292" i="16" s="1"/>
  <c r="M14" i="16"/>
  <c r="M31" i="16" s="1"/>
  <c r="M292" i="16" s="1"/>
  <c r="O15" i="16"/>
  <c r="S15" i="16" s="1"/>
  <c r="K20" i="16"/>
  <c r="M20" i="16" s="1"/>
  <c r="Z19" i="16"/>
  <c r="N19" i="16"/>
  <c r="S30" i="16"/>
  <c r="Q30" i="16"/>
  <c r="U35" i="16"/>
  <c r="V35" i="16" s="1"/>
  <c r="X35" i="16" s="1"/>
  <c r="Q40" i="16"/>
  <c r="U40" i="16" s="1"/>
  <c r="V40" i="16" s="1"/>
  <c r="X40" i="16" s="1"/>
  <c r="O47" i="16"/>
  <c r="S47" i="16" s="1"/>
  <c r="Y47" i="16" s="1"/>
  <c r="Z47" i="16" s="1"/>
  <c r="Y57" i="16"/>
  <c r="Z57" i="16" s="1"/>
  <c r="AD58" i="16"/>
  <c r="AG58" i="16"/>
  <c r="O63" i="16"/>
  <c r="S63" i="16" s="1"/>
  <c r="Y63" i="16" s="1"/>
  <c r="Z63" i="16" s="1"/>
  <c r="AD23" i="16"/>
  <c r="U23" i="16" s="1"/>
  <c r="V23" i="16" s="1"/>
  <c r="X23" i="16" s="1"/>
  <c r="AD34" i="16"/>
  <c r="U34" i="16" s="1"/>
  <c r="AD38" i="16"/>
  <c r="O38" i="16" s="1"/>
  <c r="T303" i="16"/>
  <c r="T312" i="16" s="1"/>
  <c r="M231" i="16"/>
  <c r="M294" i="16" s="1"/>
  <c r="O70" i="16"/>
  <c r="S70" i="16" s="1"/>
  <c r="Z74" i="16"/>
  <c r="O75" i="16"/>
  <c r="O79" i="16"/>
  <c r="O83" i="16"/>
  <c r="AG108" i="16"/>
  <c r="AD108" i="16"/>
  <c r="S133" i="16"/>
  <c r="Q133" i="16"/>
  <c r="R298" i="16"/>
  <c r="R302" i="16"/>
  <c r="N75" i="16"/>
  <c r="N231" i="16" s="1"/>
  <c r="N294" i="16" s="1"/>
  <c r="N79" i="16"/>
  <c r="AD98" i="16"/>
  <c r="U98" i="16" s="1"/>
  <c r="V98" i="16" s="1"/>
  <c r="X98" i="16" s="1"/>
  <c r="Y98" i="16" s="1"/>
  <c r="Z98" i="16" s="1"/>
  <c r="AG98" i="16"/>
  <c r="AG109" i="16"/>
  <c r="AD109" i="16"/>
  <c r="U113" i="16"/>
  <c r="V113" i="16" s="1"/>
  <c r="X113" i="16" s="1"/>
  <c r="U117" i="16"/>
  <c r="V117" i="16" s="1"/>
  <c r="X117" i="16" s="1"/>
  <c r="N96" i="16"/>
  <c r="N21" i="16"/>
  <c r="U21" i="16" s="1"/>
  <c r="V21" i="16" s="1"/>
  <c r="X21" i="16" s="1"/>
  <c r="T298" i="16"/>
  <c r="T302" i="16"/>
  <c r="W303" i="16"/>
  <c r="W312" i="16" s="1"/>
  <c r="P231" i="16"/>
  <c r="P294" i="16" s="1"/>
  <c r="P298" i="16" s="1"/>
  <c r="AG69" i="16"/>
  <c r="AG75" i="16"/>
  <c r="AG79" i="16"/>
  <c r="AG83" i="16"/>
  <c r="Q86" i="16"/>
  <c r="Q100" i="16"/>
  <c r="U101" i="16"/>
  <c r="V101" i="16" s="1"/>
  <c r="X101" i="16" s="1"/>
  <c r="U108" i="16"/>
  <c r="V108" i="16" s="1"/>
  <c r="X108" i="16" s="1"/>
  <c r="O108" i="16"/>
  <c r="S108" i="16" s="1"/>
  <c r="O77" i="16"/>
  <c r="O78" i="16"/>
  <c r="O81" i="16"/>
  <c r="O82" i="16"/>
  <c r="U83" i="16"/>
  <c r="V83" i="16" s="1"/>
  <c r="X83" i="16" s="1"/>
  <c r="AG85" i="16"/>
  <c r="AD85" i="16"/>
  <c r="U85" i="16" s="1"/>
  <c r="V85" i="16" s="1"/>
  <c r="X85" i="16" s="1"/>
  <c r="O87" i="16"/>
  <c r="Q88" i="16"/>
  <c r="O89" i="16"/>
  <c r="Q90" i="16"/>
  <c r="O91" i="16"/>
  <c r="Q92" i="16"/>
  <c r="O93" i="16"/>
  <c r="Q94" i="16"/>
  <c r="Q109" i="16"/>
  <c r="N116" i="16"/>
  <c r="U76" i="16"/>
  <c r="V76" i="16" s="1"/>
  <c r="X76" i="16" s="1"/>
  <c r="U80" i="16"/>
  <c r="V80" i="16" s="1"/>
  <c r="X80" i="16" s="1"/>
  <c r="Y80" i="16" s="1"/>
  <c r="Z80" i="16" s="1"/>
  <c r="N81" i="16"/>
  <c r="U84" i="16"/>
  <c r="V84" i="16" s="1"/>
  <c r="X84" i="16" s="1"/>
  <c r="AG87" i="16"/>
  <c r="AD87" i="16"/>
  <c r="U87" i="16" s="1"/>
  <c r="V87" i="16" s="1"/>
  <c r="X87" i="16" s="1"/>
  <c r="AG97" i="16"/>
  <c r="AD97" i="16"/>
  <c r="U97" i="16" s="1"/>
  <c r="V97" i="16" s="1"/>
  <c r="X97" i="16" s="1"/>
  <c r="U105" i="16"/>
  <c r="V105" i="16" s="1"/>
  <c r="X105" i="16" s="1"/>
  <c r="O109" i="16"/>
  <c r="S109" i="16" s="1"/>
  <c r="U109" i="16"/>
  <c r="V109" i="16" s="1"/>
  <c r="X109" i="16" s="1"/>
  <c r="Y109" i="16" s="1"/>
  <c r="Z109" i="16" s="1"/>
  <c r="AD89" i="16"/>
  <c r="U89" i="16" s="1"/>
  <c r="V89" i="16" s="1"/>
  <c r="X89" i="16" s="1"/>
  <c r="AD91" i="16"/>
  <c r="U91" i="16" s="1"/>
  <c r="V91" i="16" s="1"/>
  <c r="X91" i="16" s="1"/>
  <c r="AD93" i="16"/>
  <c r="U93" i="16" s="1"/>
  <c r="V93" i="16" s="1"/>
  <c r="X93" i="16" s="1"/>
  <c r="AD95" i="16"/>
  <c r="U95" i="16" s="1"/>
  <c r="V95" i="16" s="1"/>
  <c r="X95" i="16" s="1"/>
  <c r="AD101" i="16"/>
  <c r="Q102" i="16"/>
  <c r="AG104" i="16"/>
  <c r="Q110" i="16"/>
  <c r="Q114" i="16"/>
  <c r="U122" i="16"/>
  <c r="V122" i="16" s="1"/>
  <c r="X122" i="16" s="1"/>
  <c r="O131" i="16"/>
  <c r="S131" i="16" s="1"/>
  <c r="S135" i="16"/>
  <c r="Q135" i="16"/>
  <c r="S147" i="16"/>
  <c r="Y147" i="16" s="1"/>
  <c r="Q147" i="16"/>
  <c r="AG162" i="16"/>
  <c r="AD162" i="16"/>
  <c r="U106" i="16"/>
  <c r="V106" i="16" s="1"/>
  <c r="X106" i="16" s="1"/>
  <c r="Y106" i="16" s="1"/>
  <c r="Z106" i="16" s="1"/>
  <c r="AG107" i="16"/>
  <c r="AD107" i="16"/>
  <c r="O107" i="16" s="1"/>
  <c r="AG113" i="16"/>
  <c r="AD113" i="16"/>
  <c r="O113" i="16" s="1"/>
  <c r="N128" i="16"/>
  <c r="S134" i="16"/>
  <c r="Q134" i="16"/>
  <c r="U204" i="16"/>
  <c r="V204" i="16" s="1"/>
  <c r="X204" i="16" s="1"/>
  <c r="O204" i="16"/>
  <c r="S204" i="16" s="1"/>
  <c r="AD205" i="16"/>
  <c r="AG205" i="16"/>
  <c r="Q96" i="16"/>
  <c r="AG115" i="16"/>
  <c r="AD115" i="16"/>
  <c r="O115" i="16" s="1"/>
  <c r="AG126" i="16"/>
  <c r="Y132" i="16"/>
  <c r="Z132" i="16" s="1"/>
  <c r="Y134" i="16"/>
  <c r="U145" i="16"/>
  <c r="V145" i="16" s="1"/>
  <c r="X145" i="16" s="1"/>
  <c r="Z147" i="16"/>
  <c r="U194" i="16"/>
  <c r="V194" i="16" s="1"/>
  <c r="X194" i="16" s="1"/>
  <c r="Y194" i="16" s="1"/>
  <c r="Z194" i="16"/>
  <c r="O194" i="16"/>
  <c r="S194" i="16" s="1"/>
  <c r="U104" i="16"/>
  <c r="V104" i="16" s="1"/>
  <c r="X104" i="16" s="1"/>
  <c r="Y104" i="16" s="1"/>
  <c r="Z104" i="16" s="1"/>
  <c r="AG105" i="16"/>
  <c r="AD105" i="16"/>
  <c r="O105" i="16" s="1"/>
  <c r="O106" i="16"/>
  <c r="S106" i="16" s="1"/>
  <c r="AD106" i="16"/>
  <c r="U114" i="16"/>
  <c r="V114" i="16" s="1"/>
  <c r="X114" i="16" s="1"/>
  <c r="Y114" i="16" s="1"/>
  <c r="Z114" i="16" s="1"/>
  <c r="O114" i="16"/>
  <c r="S114" i="16" s="1"/>
  <c r="U116" i="16"/>
  <c r="V116" i="16" s="1"/>
  <c r="X116" i="16" s="1"/>
  <c r="O116" i="16"/>
  <c r="S116" i="16" s="1"/>
  <c r="AG124" i="16"/>
  <c r="O125" i="16"/>
  <c r="S125" i="16" s="1"/>
  <c r="N131" i="16"/>
  <c r="AG131" i="16"/>
  <c r="AG160" i="16"/>
  <c r="AD160" i="16"/>
  <c r="O180" i="16"/>
  <c r="S180" i="16" s="1"/>
  <c r="N89" i="16"/>
  <c r="N95" i="16"/>
  <c r="O98" i="16"/>
  <c r="S98" i="16" s="1"/>
  <c r="Q106" i="16"/>
  <c r="N122" i="16"/>
  <c r="AG122" i="16"/>
  <c r="U130" i="16"/>
  <c r="V130" i="16" s="1"/>
  <c r="X130" i="16" s="1"/>
  <c r="Q131" i="16"/>
  <c r="U100" i="16"/>
  <c r="V100" i="16" s="1"/>
  <c r="X100" i="16" s="1"/>
  <c r="Y100" i="16" s="1"/>
  <c r="U102" i="16"/>
  <c r="V102" i="16" s="1"/>
  <c r="X102" i="16" s="1"/>
  <c r="Y102" i="16" s="1"/>
  <c r="AG103" i="16"/>
  <c r="AD103" i="16"/>
  <c r="U103" i="16" s="1"/>
  <c r="V103" i="16" s="1"/>
  <c r="X103" i="16" s="1"/>
  <c r="O103" i="16"/>
  <c r="O104" i="16"/>
  <c r="S104" i="16" s="1"/>
  <c r="U110" i="16"/>
  <c r="V110" i="16" s="1"/>
  <c r="X110" i="16" s="1"/>
  <c r="Y110" i="16" s="1"/>
  <c r="Z110" i="16" s="1"/>
  <c r="AG111" i="16"/>
  <c r="AD111" i="16"/>
  <c r="U111" i="16" s="1"/>
  <c r="V111" i="16" s="1"/>
  <c r="X111" i="16" s="1"/>
  <c r="O112" i="16"/>
  <c r="S112" i="16" s="1"/>
  <c r="Y112" i="16" s="1"/>
  <c r="Z112" i="16" s="1"/>
  <c r="N120" i="16"/>
  <c r="AG120" i="16"/>
  <c r="O121" i="16"/>
  <c r="S121" i="16" s="1"/>
  <c r="Q122" i="16"/>
  <c r="U128" i="16"/>
  <c r="V128" i="16" s="1"/>
  <c r="X128" i="16" s="1"/>
  <c r="O152" i="16"/>
  <c r="AD164" i="16"/>
  <c r="O164" i="16" s="1"/>
  <c r="S164" i="16" s="1"/>
  <c r="AG164" i="16"/>
  <c r="AD99" i="16"/>
  <c r="U99" i="16" s="1"/>
  <c r="V99" i="16" s="1"/>
  <c r="X99" i="16" s="1"/>
  <c r="O101" i="16"/>
  <c r="Q104" i="16"/>
  <c r="AG112" i="16"/>
  <c r="N118" i="16"/>
  <c r="U119" i="16"/>
  <c r="V119" i="16" s="1"/>
  <c r="X119" i="16" s="1"/>
  <c r="U126" i="16"/>
  <c r="V126" i="16" s="1"/>
  <c r="X126" i="16" s="1"/>
  <c r="O128" i="16"/>
  <c r="S128" i="16" s="1"/>
  <c r="Z134" i="16"/>
  <c r="O154" i="16"/>
  <c r="U154" i="16"/>
  <c r="V154" i="16" s="1"/>
  <c r="X154" i="16" s="1"/>
  <c r="AD117" i="16"/>
  <c r="O117" i="16" s="1"/>
  <c r="AD119" i="16"/>
  <c r="O119" i="16" s="1"/>
  <c r="AD121" i="16"/>
  <c r="U121" i="16" s="1"/>
  <c r="V121" i="16" s="1"/>
  <c r="X121" i="16" s="1"/>
  <c r="Y121" i="16" s="1"/>
  <c r="Z121" i="16" s="1"/>
  <c r="AD123" i="16"/>
  <c r="O123" i="16" s="1"/>
  <c r="AD125" i="16"/>
  <c r="U125" i="16" s="1"/>
  <c r="V125" i="16" s="1"/>
  <c r="X125" i="16" s="1"/>
  <c r="AD127" i="16"/>
  <c r="U127" i="16" s="1"/>
  <c r="V127" i="16" s="1"/>
  <c r="X127" i="16" s="1"/>
  <c r="AD130" i="16"/>
  <c r="O130" i="16" s="1"/>
  <c r="AG132" i="16"/>
  <c r="U135" i="16"/>
  <c r="V135" i="16" s="1"/>
  <c r="X135" i="16" s="1"/>
  <c r="Y135" i="16" s="1"/>
  <c r="Z135" i="16" s="1"/>
  <c r="U143" i="16"/>
  <c r="V143" i="16" s="1"/>
  <c r="X143" i="16" s="1"/>
  <c r="O150" i="16"/>
  <c r="U151" i="16"/>
  <c r="V151" i="16" s="1"/>
  <c r="X151" i="16" s="1"/>
  <c r="O178" i="16"/>
  <c r="S178" i="16" s="1"/>
  <c r="O118" i="16"/>
  <c r="S118" i="16" s="1"/>
  <c r="Y118" i="16" s="1"/>
  <c r="Z118" i="16" s="1"/>
  <c r="O120" i="16"/>
  <c r="S120" i="16" s="1"/>
  <c r="Y120" i="16" s="1"/>
  <c r="Z120" i="16" s="1"/>
  <c r="O122" i="16"/>
  <c r="S122" i="16" s="1"/>
  <c r="O124" i="16"/>
  <c r="S124" i="16" s="1"/>
  <c r="Y124" i="16" s="1"/>
  <c r="Z124" i="16" s="1"/>
  <c r="O126" i="16"/>
  <c r="S126" i="16" s="1"/>
  <c r="U131" i="16"/>
  <c r="V131" i="16" s="1"/>
  <c r="X131" i="16" s="1"/>
  <c r="Y131" i="16" s="1"/>
  <c r="Z131" i="16" s="1"/>
  <c r="O136" i="16"/>
  <c r="O138" i="16"/>
  <c r="S145" i="16"/>
  <c r="Q145" i="16"/>
  <c r="Y148" i="16"/>
  <c r="Z148" i="16" s="1"/>
  <c r="S153" i="16"/>
  <c r="Y153" i="16" s="1"/>
  <c r="Z153" i="16" s="1"/>
  <c r="Q153" i="16"/>
  <c r="Q156" i="16"/>
  <c r="U157" i="16"/>
  <c r="V157" i="16" s="1"/>
  <c r="X157" i="16" s="1"/>
  <c r="S158" i="16"/>
  <c r="O160" i="16"/>
  <c r="S160" i="16" s="1"/>
  <c r="U161" i="16"/>
  <c r="V161" i="16" s="1"/>
  <c r="X161" i="16" s="1"/>
  <c r="O163" i="16"/>
  <c r="AD170" i="16"/>
  <c r="O170" i="16" s="1"/>
  <c r="AG170" i="16"/>
  <c r="Y182" i="16"/>
  <c r="O207" i="16"/>
  <c r="U137" i="16"/>
  <c r="V137" i="16" s="1"/>
  <c r="X137" i="16" s="1"/>
  <c r="Y137" i="16" s="1"/>
  <c r="Z137" i="16" s="1"/>
  <c r="U139" i="16"/>
  <c r="V139" i="16" s="1"/>
  <c r="X139" i="16" s="1"/>
  <c r="Y139" i="16" s="1"/>
  <c r="Z139" i="16" s="1"/>
  <c r="U141" i="16"/>
  <c r="V141" i="16" s="1"/>
  <c r="X141" i="16" s="1"/>
  <c r="AD161" i="16"/>
  <c r="O161" i="16" s="1"/>
  <c r="S161" i="16" s="1"/>
  <c r="AG161" i="16"/>
  <c r="AD163" i="16"/>
  <c r="U163" i="16" s="1"/>
  <c r="V163" i="16" s="1"/>
  <c r="X163" i="16" s="1"/>
  <c r="AG163" i="16"/>
  <c r="U172" i="16"/>
  <c r="V172" i="16" s="1"/>
  <c r="X172" i="16" s="1"/>
  <c r="Y172" i="16" s="1"/>
  <c r="N129" i="16"/>
  <c r="N132" i="16"/>
  <c r="O132" i="16"/>
  <c r="S132" i="16" s="1"/>
  <c r="N138" i="16"/>
  <c r="S143" i="16"/>
  <c r="Q143" i="16"/>
  <c r="S151" i="16"/>
  <c r="Q151" i="16"/>
  <c r="Z158" i="16"/>
  <c r="U158" i="16"/>
  <c r="V158" i="16" s="1"/>
  <c r="X158" i="16" s="1"/>
  <c r="Y158" i="16" s="1"/>
  <c r="AD159" i="16"/>
  <c r="U159" i="16" s="1"/>
  <c r="V159" i="16" s="1"/>
  <c r="X159" i="16" s="1"/>
  <c r="AG159" i="16"/>
  <c r="AD168" i="16"/>
  <c r="O168" i="16" s="1"/>
  <c r="AG168" i="16"/>
  <c r="U186" i="16"/>
  <c r="V186" i="16" s="1"/>
  <c r="X186" i="16" s="1"/>
  <c r="Y186" i="16" s="1"/>
  <c r="O186" i="16"/>
  <c r="S186" i="16" s="1"/>
  <c r="U202" i="16"/>
  <c r="V202" i="16" s="1"/>
  <c r="X202" i="16" s="1"/>
  <c r="O202" i="16"/>
  <c r="S202" i="16" s="1"/>
  <c r="S223" i="16"/>
  <c r="Q223" i="16"/>
  <c r="U129" i="16"/>
  <c r="V129" i="16" s="1"/>
  <c r="X129" i="16" s="1"/>
  <c r="Y129" i="16" s="1"/>
  <c r="Z129" i="16" s="1"/>
  <c r="U160" i="16"/>
  <c r="V160" i="16" s="1"/>
  <c r="X160" i="16" s="1"/>
  <c r="U162" i="16"/>
  <c r="V162" i="16" s="1"/>
  <c r="X162" i="16" s="1"/>
  <c r="Y162" i="16" s="1"/>
  <c r="O162" i="16"/>
  <c r="S162" i="16" s="1"/>
  <c r="U189" i="16"/>
  <c r="V189" i="16" s="1"/>
  <c r="X189" i="16" s="1"/>
  <c r="U133" i="16"/>
  <c r="V133" i="16" s="1"/>
  <c r="X133" i="16" s="1"/>
  <c r="Y133" i="16" s="1"/>
  <c r="Z133" i="16" s="1"/>
  <c r="S149" i="16"/>
  <c r="Y149" i="16" s="1"/>
  <c r="Z149" i="16" s="1"/>
  <c r="Q149" i="16"/>
  <c r="U156" i="16"/>
  <c r="V156" i="16" s="1"/>
  <c r="X156" i="16" s="1"/>
  <c r="Y156" i="16" s="1"/>
  <c r="Q161" i="16"/>
  <c r="U164" i="16"/>
  <c r="V164" i="16" s="1"/>
  <c r="X164" i="16" s="1"/>
  <c r="AD178" i="16"/>
  <c r="AG178" i="16"/>
  <c r="AD169" i="16"/>
  <c r="O169" i="16" s="1"/>
  <c r="AG169" i="16"/>
  <c r="Q172" i="16"/>
  <c r="AD177" i="16"/>
  <c r="AG177" i="16"/>
  <c r="Q180" i="16"/>
  <c r="U180" i="16" s="1"/>
  <c r="V180" i="16" s="1"/>
  <c r="X180" i="16" s="1"/>
  <c r="AD189" i="16"/>
  <c r="AG189" i="16"/>
  <c r="Q190" i="16"/>
  <c r="AD197" i="16"/>
  <c r="O197" i="16" s="1"/>
  <c r="AG197" i="16"/>
  <c r="Q198" i="16"/>
  <c r="O218" i="16"/>
  <c r="S218" i="16" s="1"/>
  <c r="U218" i="16"/>
  <c r="V218" i="16" s="1"/>
  <c r="X218" i="16" s="1"/>
  <c r="Y260" i="16"/>
  <c r="Y190" i="16"/>
  <c r="Z190" i="16" s="1"/>
  <c r="Y198" i="16"/>
  <c r="Z198" i="16" s="1"/>
  <c r="O206" i="16"/>
  <c r="U206" i="16"/>
  <c r="V206" i="16" s="1"/>
  <c r="X206" i="16" s="1"/>
  <c r="U212" i="16"/>
  <c r="V212" i="16" s="1"/>
  <c r="X212" i="16" s="1"/>
  <c r="O212" i="16"/>
  <c r="S212" i="16" s="1"/>
  <c r="AG213" i="16"/>
  <c r="AD213" i="16"/>
  <c r="O213" i="16" s="1"/>
  <c r="Y214" i="16"/>
  <c r="Z214" i="16" s="1"/>
  <c r="Z215" i="16"/>
  <c r="Q160" i="16"/>
  <c r="AD165" i="16"/>
  <c r="U165" i="16" s="1"/>
  <c r="V165" i="16" s="1"/>
  <c r="X165" i="16" s="1"/>
  <c r="AG165" i="16"/>
  <c r="Z166" i="16"/>
  <c r="AD167" i="16"/>
  <c r="AG167" i="16"/>
  <c r="AD175" i="16"/>
  <c r="O175" i="16" s="1"/>
  <c r="AG175" i="16"/>
  <c r="Z182" i="16"/>
  <c r="AD183" i="16"/>
  <c r="U183" i="16" s="1"/>
  <c r="V183" i="16" s="1"/>
  <c r="X183" i="16" s="1"/>
  <c r="AG183" i="16"/>
  <c r="Q184" i="16"/>
  <c r="AD191" i="16"/>
  <c r="U191" i="16" s="1"/>
  <c r="V191" i="16" s="1"/>
  <c r="X191" i="16" s="1"/>
  <c r="AG191" i="16"/>
  <c r="Q192" i="16"/>
  <c r="AD199" i="16"/>
  <c r="U199" i="16" s="1"/>
  <c r="V199" i="16" s="1"/>
  <c r="X199" i="16" s="1"/>
  <c r="AG199" i="16"/>
  <c r="Q200" i="16"/>
  <c r="Q162" i="16"/>
  <c r="O176" i="16"/>
  <c r="S176" i="16" s="1"/>
  <c r="O177" i="16"/>
  <c r="S177" i="16" s="1"/>
  <c r="U210" i="16"/>
  <c r="V210" i="16" s="1"/>
  <c r="X210" i="16" s="1"/>
  <c r="O210" i="16"/>
  <c r="S210" i="16" s="1"/>
  <c r="AG211" i="16"/>
  <c r="AD211" i="16"/>
  <c r="U217" i="16"/>
  <c r="V217" i="16" s="1"/>
  <c r="X217" i="16" s="1"/>
  <c r="O217" i="16"/>
  <c r="S229" i="16"/>
  <c r="Q229" i="16"/>
  <c r="N148" i="16"/>
  <c r="N150" i="16"/>
  <c r="N152" i="16"/>
  <c r="Q164" i="16"/>
  <c r="AD173" i="16"/>
  <c r="O173" i="16" s="1"/>
  <c r="AG173" i="16"/>
  <c r="AD181" i="16"/>
  <c r="O181" i="16" s="1"/>
  <c r="AG181" i="16"/>
  <c r="AD185" i="16"/>
  <c r="U185" i="16" s="1"/>
  <c r="V185" i="16" s="1"/>
  <c r="X185" i="16" s="1"/>
  <c r="AG185" i="16"/>
  <c r="Q186" i="16"/>
  <c r="AD193" i="16"/>
  <c r="U193" i="16" s="1"/>
  <c r="V193" i="16" s="1"/>
  <c r="X193" i="16" s="1"/>
  <c r="AG193" i="16"/>
  <c r="Q194" i="16"/>
  <c r="AD201" i="16"/>
  <c r="U201" i="16" s="1"/>
  <c r="V201" i="16" s="1"/>
  <c r="X201" i="16" s="1"/>
  <c r="AG201" i="16"/>
  <c r="Y228" i="16"/>
  <c r="Z228" i="16" s="1"/>
  <c r="O247" i="16"/>
  <c r="O140" i="16"/>
  <c r="O142" i="16"/>
  <c r="O144" i="16"/>
  <c r="O146" i="16"/>
  <c r="AD155" i="16"/>
  <c r="O155" i="16" s="1"/>
  <c r="S155" i="16" s="1"/>
  <c r="AG155" i="16"/>
  <c r="Q166" i="16"/>
  <c r="AG176" i="16"/>
  <c r="U184" i="16"/>
  <c r="V184" i="16" s="1"/>
  <c r="X184" i="16" s="1"/>
  <c r="O188" i="16"/>
  <c r="S188" i="16" s="1"/>
  <c r="Y188" i="16" s="1"/>
  <c r="Z188" i="16" s="1"/>
  <c r="U192" i="16"/>
  <c r="V192" i="16" s="1"/>
  <c r="X192" i="16" s="1"/>
  <c r="O196" i="16"/>
  <c r="S196" i="16" s="1"/>
  <c r="Y196" i="16" s="1"/>
  <c r="Z196" i="16" s="1"/>
  <c r="U200" i="16"/>
  <c r="V200" i="16" s="1"/>
  <c r="X200" i="16" s="1"/>
  <c r="U205" i="16"/>
  <c r="V205" i="16" s="1"/>
  <c r="X205" i="16" s="1"/>
  <c r="W304" i="16"/>
  <c r="W313" i="16" s="1"/>
  <c r="Y234" i="16"/>
  <c r="N305" i="16"/>
  <c r="N314" i="16" s="1"/>
  <c r="AD157" i="16"/>
  <c r="O157" i="16" s="1"/>
  <c r="AG157" i="16"/>
  <c r="AD171" i="16"/>
  <c r="AG171" i="16"/>
  <c r="Q174" i="16"/>
  <c r="U174" i="16" s="1"/>
  <c r="V174" i="16" s="1"/>
  <c r="X174" i="16" s="1"/>
  <c r="Y174" i="16" s="1"/>
  <c r="AD179" i="16"/>
  <c r="AG179" i="16"/>
  <c r="Q182" i="16"/>
  <c r="AD187" i="16"/>
  <c r="U187" i="16" s="1"/>
  <c r="V187" i="16" s="1"/>
  <c r="X187" i="16" s="1"/>
  <c r="AG187" i="16"/>
  <c r="Q188" i="16"/>
  <c r="AD195" i="16"/>
  <c r="U195" i="16" s="1"/>
  <c r="V195" i="16" s="1"/>
  <c r="X195" i="16" s="1"/>
  <c r="AG195" i="16"/>
  <c r="AD203" i="16"/>
  <c r="U203" i="16" s="1"/>
  <c r="V203" i="16" s="1"/>
  <c r="X203" i="16" s="1"/>
  <c r="AG203" i="16"/>
  <c r="Q204" i="16"/>
  <c r="O208" i="16"/>
  <c r="Y216" i="16"/>
  <c r="Y262" i="16"/>
  <c r="Z262" i="16" s="1"/>
  <c r="O277" i="16"/>
  <c r="U277" i="16"/>
  <c r="V277" i="16" s="1"/>
  <c r="X277" i="16" s="1"/>
  <c r="AI278" i="16"/>
  <c r="AF278" i="16"/>
  <c r="U208" i="16"/>
  <c r="V208" i="16" s="1"/>
  <c r="X208" i="16" s="1"/>
  <c r="AD209" i="16"/>
  <c r="O209" i="16" s="1"/>
  <c r="U221" i="16"/>
  <c r="V221" i="16" s="1"/>
  <c r="X221" i="16" s="1"/>
  <c r="Q228" i="16"/>
  <c r="O240" i="16"/>
  <c r="Q240" i="16" s="1"/>
  <c r="M287" i="16"/>
  <c r="M297" i="16" s="1"/>
  <c r="N258" i="16"/>
  <c r="S259" i="16"/>
  <c r="Y259" i="16" s="1"/>
  <c r="Z259" i="16" s="1"/>
  <c r="Q259" i="16"/>
  <c r="AI260" i="16"/>
  <c r="AF260" i="16"/>
  <c r="Y274" i="16"/>
  <c r="O205" i="16"/>
  <c r="Z216" i="16"/>
  <c r="O216" i="16"/>
  <c r="S216" i="16" s="1"/>
  <c r="Z226" i="16"/>
  <c r="Q242" i="16"/>
  <c r="O245" i="16"/>
  <c r="K306" i="16"/>
  <c r="K315" i="16" s="1"/>
  <c r="O258" i="16"/>
  <c r="Q258" i="16" s="1"/>
  <c r="Q264" i="16"/>
  <c r="S272" i="16"/>
  <c r="U282" i="16"/>
  <c r="V282" i="16" s="1"/>
  <c r="X282" i="16" s="1"/>
  <c r="Y282" i="16" s="1"/>
  <c r="Z282" i="16" s="1"/>
  <c r="O282" i="16"/>
  <c r="S282" i="16" s="1"/>
  <c r="O189" i="16"/>
  <c r="O195" i="16"/>
  <c r="O201" i="16"/>
  <c r="Q216" i="16"/>
  <c r="U225" i="16"/>
  <c r="V225" i="16" s="1"/>
  <c r="X225" i="16" s="1"/>
  <c r="Y225" i="16" s="1"/>
  <c r="Z225" i="16" s="1"/>
  <c r="K314" i="16"/>
  <c r="K305" i="16"/>
  <c r="S241" i="16"/>
  <c r="Y241" i="16" s="1"/>
  <c r="Z241" i="16" s="1"/>
  <c r="S243" i="16"/>
  <c r="Q243" i="16"/>
  <c r="Q244" i="16"/>
  <c r="M248" i="16"/>
  <c r="M296" i="16" s="1"/>
  <c r="Y272" i="16"/>
  <c r="Z272" i="16" s="1"/>
  <c r="AI273" i="16"/>
  <c r="AF273" i="16"/>
  <c r="Y279" i="16"/>
  <c r="Z279" i="16" s="1"/>
  <c r="Q214" i="16"/>
  <c r="U219" i="16"/>
  <c r="V219" i="16" s="1"/>
  <c r="X219" i="16" s="1"/>
  <c r="O220" i="16"/>
  <c r="S220" i="16" s="1"/>
  <c r="Z230" i="16"/>
  <c r="U236" i="16"/>
  <c r="O236" i="16"/>
  <c r="M305" i="16"/>
  <c r="M314" i="16" s="1"/>
  <c r="O242" i="16"/>
  <c r="S242" i="16" s="1"/>
  <c r="U242" i="16"/>
  <c r="V242" i="16" s="1"/>
  <c r="X242" i="16" s="1"/>
  <c r="N243" i="16"/>
  <c r="Q246" i="16"/>
  <c r="U247" i="16"/>
  <c r="V247" i="16" s="1"/>
  <c r="X247" i="16" s="1"/>
  <c r="N251" i="16"/>
  <c r="O251" i="16" s="1"/>
  <c r="S251" i="16" s="1"/>
  <c r="Y251" i="16" s="1"/>
  <c r="Z251" i="16" s="1"/>
  <c r="V258" i="16"/>
  <c r="Q220" i="16"/>
  <c r="Y229" i="16"/>
  <c r="Z229" i="16" s="1"/>
  <c r="R304" i="16"/>
  <c r="R313" i="16" s="1"/>
  <c r="R305" i="16"/>
  <c r="R314" i="16" s="1"/>
  <c r="U244" i="16"/>
  <c r="V244" i="16" s="1"/>
  <c r="X244" i="16" s="1"/>
  <c r="Y244" i="16" s="1"/>
  <c r="Z244" i="16" s="1"/>
  <c r="O244" i="16"/>
  <c r="S244" i="16" s="1"/>
  <c r="S279" i="16"/>
  <c r="Q279" i="16"/>
  <c r="O219" i="16"/>
  <c r="U220" i="16"/>
  <c r="V220" i="16" s="1"/>
  <c r="X220" i="16" s="1"/>
  <c r="U223" i="16"/>
  <c r="V223" i="16" s="1"/>
  <c r="X223" i="16" s="1"/>
  <c r="Y223" i="16" s="1"/>
  <c r="Z223" i="16" s="1"/>
  <c r="N224" i="16"/>
  <c r="O224" i="16" s="1"/>
  <c r="S224" i="16" s="1"/>
  <c r="Y224" i="16" s="1"/>
  <c r="Z224" i="16" s="1"/>
  <c r="Q230" i="16"/>
  <c r="T305" i="16"/>
  <c r="T314" i="16" s="1"/>
  <c r="U243" i="16"/>
  <c r="V243" i="16" s="1"/>
  <c r="X243" i="16" s="1"/>
  <c r="T315" i="16"/>
  <c r="T306" i="16"/>
  <c r="O273" i="16"/>
  <c r="S281" i="16"/>
  <c r="Q281" i="16"/>
  <c r="U240" i="16"/>
  <c r="AI244" i="16"/>
  <c r="W306" i="16"/>
  <c r="W315" i="16" s="1"/>
  <c r="O270" i="16"/>
  <c r="W307" i="16"/>
  <c r="W316" i="16" s="1"/>
  <c r="O246" i="16"/>
  <c r="S246" i="16" s="1"/>
  <c r="Y246" i="16" s="1"/>
  <c r="Z246" i="16" s="1"/>
  <c r="P287" i="16"/>
  <c r="P297" i="16" s="1"/>
  <c r="Z260" i="16"/>
  <c r="O262" i="16"/>
  <c r="S262" i="16" s="1"/>
  <c r="Z263" i="16"/>
  <c r="O267" i="16"/>
  <c r="U269" i="16"/>
  <c r="V269" i="16" s="1"/>
  <c r="X269" i="16" s="1"/>
  <c r="Y269" i="16" s="1"/>
  <c r="Z269" i="16" s="1"/>
  <c r="N273" i="16"/>
  <c r="Q274" i="16"/>
  <c r="O276" i="16"/>
  <c r="O222" i="16"/>
  <c r="S222" i="16" s="1"/>
  <c r="Y222" i="16" s="1"/>
  <c r="Z222" i="16" s="1"/>
  <c r="AF242" i="16"/>
  <c r="U261" i="16"/>
  <c r="V261" i="16" s="1"/>
  <c r="X261" i="16" s="1"/>
  <c r="S268" i="16"/>
  <c r="Y268" i="16" s="1"/>
  <c r="Z268" i="16" s="1"/>
  <c r="Q268" i="16"/>
  <c r="O275" i="16"/>
  <c r="S275" i="16" s="1"/>
  <c r="Y275" i="16" s="1"/>
  <c r="Z275" i="16" s="1"/>
  <c r="K316" i="16"/>
  <c r="R306" i="16"/>
  <c r="R315" i="16" s="1"/>
  <c r="K304" i="16"/>
  <c r="K313" i="16" s="1"/>
  <c r="T304" i="16"/>
  <c r="T313" i="16" s="1"/>
  <c r="W305" i="16"/>
  <c r="W314" i="16" s="1"/>
  <c r="N245" i="16"/>
  <c r="N248" i="16" s="1"/>
  <c r="N296" i="16" s="1"/>
  <c r="N263" i="16"/>
  <c r="U264" i="16"/>
  <c r="V264" i="16" s="1"/>
  <c r="X264" i="16" s="1"/>
  <c r="Y264" i="16" s="1"/>
  <c r="Z264" i="16" s="1"/>
  <c r="N268" i="16"/>
  <c r="AF270" i="16"/>
  <c r="Q271" i="16"/>
  <c r="Z274" i="16"/>
  <c r="P237" i="16"/>
  <c r="P295" i="16" s="1"/>
  <c r="P248" i="16"/>
  <c r="P296" i="16" s="1"/>
  <c r="S260" i="16"/>
  <c r="O261" i="16"/>
  <c r="Z265" i="16"/>
  <c r="N265" i="16"/>
  <c r="U280" i="16"/>
  <c r="V280" i="16" s="1"/>
  <c r="X280" i="16" s="1"/>
  <c r="U281" i="16"/>
  <c r="V281" i="16" s="1"/>
  <c r="X281" i="16" s="1"/>
  <c r="N281" i="16"/>
  <c r="Q282" i="16"/>
  <c r="AD286" i="16"/>
  <c r="AG286" i="16"/>
  <c r="T316" i="16"/>
  <c r="AF262" i="16"/>
  <c r="Q263" i="16"/>
  <c r="O266" i="16"/>
  <c r="S266" i="16" s="1"/>
  <c r="Y266" i="16" s="1"/>
  <c r="Z266" i="16" s="1"/>
  <c r="AF268" i="16"/>
  <c r="O278" i="16"/>
  <c r="O280" i="16"/>
  <c r="O283" i="16"/>
  <c r="O285" i="16"/>
  <c r="U285" i="16"/>
  <c r="V285" i="16" s="1"/>
  <c r="X285" i="16" s="1"/>
  <c r="K307" i="16"/>
  <c r="AI276" i="16"/>
  <c r="O284" i="16"/>
  <c r="AI284" i="16"/>
  <c r="AF280" i="16"/>
  <c r="W23" i="15"/>
  <c r="K23" i="15"/>
  <c r="Q21" i="15"/>
  <c r="AA21" i="15" s="1"/>
  <c r="Q20" i="15"/>
  <c r="AA20" i="15" s="1"/>
  <c r="Q22" i="15"/>
  <c r="AA22" i="15" s="1"/>
  <c r="AF19" i="14"/>
  <c r="AH12" i="14"/>
  <c r="AD39" i="14"/>
  <c r="AD43" i="14" s="1"/>
  <c r="AK12" i="14"/>
  <c r="AK19" i="14" s="1"/>
  <c r="AH16" i="14"/>
  <c r="AK17" i="14"/>
  <c r="AA34" i="14"/>
  <c r="AC34" i="14" s="1"/>
  <c r="AC41" i="14"/>
  <c r="AC38" i="14"/>
  <c r="AC42" i="14"/>
  <c r="AH7" i="14"/>
  <c r="AH19" i="14" s="1"/>
  <c r="E19" i="14"/>
  <c r="AC19" i="14" s="1"/>
  <c r="E33" i="13"/>
  <c r="F19" i="13"/>
  <c r="F33" i="13" s="1"/>
  <c r="G33" i="13"/>
  <c r="G32" i="13"/>
  <c r="N32" i="13" s="1"/>
  <c r="N33" i="13" s="1"/>
  <c r="N36" i="13" s="1"/>
  <c r="C32" i="13"/>
  <c r="C33" i="13" s="1"/>
  <c r="P23" i="12"/>
  <c r="N23" i="12"/>
  <c r="H25" i="12" s="1"/>
  <c r="J42" i="11"/>
  <c r="N72" i="11"/>
  <c r="P72" i="11" s="1"/>
  <c r="J22" i="11"/>
  <c r="J82" i="11" s="1"/>
  <c r="J94" i="11" s="1"/>
  <c r="J55" i="11"/>
  <c r="N42" i="11"/>
  <c r="P42" i="11" s="1"/>
  <c r="N7" i="11"/>
  <c r="N8" i="11"/>
  <c r="N10" i="11"/>
  <c r="N12" i="11"/>
  <c r="I24" i="10"/>
  <c r="I12" i="10"/>
  <c r="L12" i="10" s="1"/>
  <c r="C45" i="9"/>
  <c r="D45" i="9" s="1"/>
  <c r="C42" i="9"/>
  <c r="D42" i="9" s="1"/>
  <c r="C33" i="9"/>
  <c r="D33" i="9" s="1"/>
  <c r="C46" i="9"/>
  <c r="D46" i="9" s="1"/>
  <c r="C51" i="9"/>
  <c r="D51" i="9" s="1"/>
  <c r="C40" i="9"/>
  <c r="D40" i="9" s="1"/>
  <c r="C37" i="9"/>
  <c r="D37" i="9" s="1"/>
  <c r="C31" i="9"/>
  <c r="D31" i="9" s="1"/>
  <c r="C28" i="9"/>
  <c r="D28" i="9" s="1"/>
  <c r="C44" i="9"/>
  <c r="D44" i="9" s="1"/>
  <c r="C43" i="9"/>
  <c r="D43" i="9" s="1"/>
  <c r="D24" i="9"/>
  <c r="C48" i="9"/>
  <c r="D48" i="9" s="1"/>
  <c r="J8" i="9"/>
  <c r="J10" i="9" s="1"/>
  <c r="C17" i="9"/>
  <c r="C34" i="9"/>
  <c r="D34" i="9" s="1"/>
  <c r="B52" i="9"/>
  <c r="B53" i="9" s="1"/>
  <c r="C23" i="9"/>
  <c r="D23" i="9" s="1"/>
  <c r="C26" i="9"/>
  <c r="D26" i="9" s="1"/>
  <c r="C29" i="9"/>
  <c r="D29" i="9" s="1"/>
  <c r="C32" i="9"/>
  <c r="D32" i="9" s="1"/>
  <c r="C38" i="9"/>
  <c r="D38" i="9" s="1"/>
  <c r="C41" i="9"/>
  <c r="D41" i="9" s="1"/>
  <c r="C22" i="9"/>
  <c r="D22" i="9" s="1"/>
  <c r="D7" i="9"/>
  <c r="D14" i="9" s="1"/>
  <c r="C5" i="1" s="1"/>
  <c r="C18" i="9"/>
  <c r="D18" i="9" s="1"/>
  <c r="C47" i="9"/>
  <c r="D47" i="9" s="1"/>
  <c r="C50" i="9"/>
  <c r="D50" i="9" s="1"/>
  <c r="F78" i="8"/>
  <c r="D79" i="8"/>
  <c r="F79" i="8" s="1"/>
  <c r="F57" i="8"/>
  <c r="F17" i="5"/>
  <c r="J8" i="5"/>
  <c r="D14" i="5"/>
  <c r="G53" i="5"/>
  <c r="F7" i="5"/>
  <c r="D26" i="5"/>
  <c r="F26" i="5" s="1"/>
  <c r="H26" i="5" s="1"/>
  <c r="J26" i="5" s="1"/>
  <c r="B52" i="5"/>
  <c r="I14" i="5"/>
  <c r="Q67" i="4"/>
  <c r="K68" i="4"/>
  <c r="K74" i="4" s="1"/>
  <c r="L74" i="4"/>
  <c r="E68" i="4"/>
  <c r="E74" i="4" s="1"/>
  <c r="M68" i="4"/>
  <c r="M74" i="4" s="1"/>
  <c r="I68" i="4"/>
  <c r="I74" i="4" s="1"/>
  <c r="J68" i="4"/>
  <c r="J74" i="4" s="1"/>
  <c r="D19" i="4"/>
  <c r="Q72" i="4"/>
  <c r="Q24" i="4"/>
  <c r="B55" i="5" l="1"/>
  <c r="Q251" i="16"/>
  <c r="N22" i="11"/>
  <c r="P22" i="11" s="1"/>
  <c r="P82" i="11" s="1"/>
  <c r="S123" i="16"/>
  <c r="Q123" i="16"/>
  <c r="Z83" i="16"/>
  <c r="Y180" i="16"/>
  <c r="Z180" i="16"/>
  <c r="S115" i="16"/>
  <c r="Q115" i="16"/>
  <c r="S119" i="16"/>
  <c r="Q119" i="16"/>
  <c r="S38" i="16"/>
  <c r="Q38" i="16"/>
  <c r="Y40" i="16"/>
  <c r="Z40" i="16"/>
  <c r="M302" i="16"/>
  <c r="M311" i="16" s="1"/>
  <c r="M298" i="16"/>
  <c r="N306" i="16"/>
  <c r="N315" i="16" s="1"/>
  <c r="S168" i="16"/>
  <c r="Q168" i="16"/>
  <c r="U168" i="16" s="1"/>
  <c r="V168" i="16" s="1"/>
  <c r="X168" i="16" s="1"/>
  <c r="S170" i="16"/>
  <c r="Q170" i="16"/>
  <c r="U170" i="16" s="1"/>
  <c r="V170" i="16" s="1"/>
  <c r="X170" i="16" s="1"/>
  <c r="S117" i="16"/>
  <c r="Q117" i="16"/>
  <c r="S113" i="16"/>
  <c r="Q113" i="16"/>
  <c r="U36" i="16"/>
  <c r="V34" i="16"/>
  <c r="N304" i="16"/>
  <c r="N313" i="16" s="1"/>
  <c r="S197" i="16"/>
  <c r="Q197" i="16"/>
  <c r="S130" i="16"/>
  <c r="Y130" i="16" s="1"/>
  <c r="Z130" i="16" s="1"/>
  <c r="Q130" i="16"/>
  <c r="S107" i="16"/>
  <c r="Q107" i="16"/>
  <c r="S169" i="16"/>
  <c r="Q169" i="16"/>
  <c r="S105" i="16"/>
  <c r="Q105" i="16"/>
  <c r="S175" i="16"/>
  <c r="Q175" i="16"/>
  <c r="Y125" i="16"/>
  <c r="Z125" i="16"/>
  <c r="S278" i="16"/>
  <c r="Y278" i="16" s="1"/>
  <c r="Z278" i="16" s="1"/>
  <c r="Q278" i="16"/>
  <c r="O237" i="16"/>
  <c r="O295" i="16" s="1"/>
  <c r="S236" i="16"/>
  <c r="S237" i="16" s="1"/>
  <c r="S295" i="16" s="1"/>
  <c r="Q236" i="16"/>
  <c r="Q237" i="16" s="1"/>
  <c r="Q295" i="16" s="1"/>
  <c r="M307" i="16"/>
  <c r="M316" i="16" s="1"/>
  <c r="S146" i="16"/>
  <c r="Y146" i="16" s="1"/>
  <c r="Z146" i="16" s="1"/>
  <c r="Q146" i="16"/>
  <c r="P306" i="16"/>
  <c r="P315" i="16" s="1"/>
  <c r="Y281" i="16"/>
  <c r="Z281" i="16" s="1"/>
  <c r="S270" i="16"/>
  <c r="Y270" i="16" s="1"/>
  <c r="Z270" i="16" s="1"/>
  <c r="Q270" i="16"/>
  <c r="Q266" i="16"/>
  <c r="O193" i="16"/>
  <c r="Q222" i="16"/>
  <c r="Y280" i="16"/>
  <c r="Z280" i="16" s="1"/>
  <c r="M306" i="16"/>
  <c r="M315" i="16" s="1"/>
  <c r="O191" i="16"/>
  <c r="Y200" i="16"/>
  <c r="Z200" i="16"/>
  <c r="Q202" i="16"/>
  <c r="Q224" i="16"/>
  <c r="Q178" i="16"/>
  <c r="U178" i="16" s="1"/>
  <c r="V178" i="16" s="1"/>
  <c r="X178" i="16" s="1"/>
  <c r="O159" i="16"/>
  <c r="U155" i="16"/>
  <c r="V155" i="16" s="1"/>
  <c r="X155" i="16" s="1"/>
  <c r="Q112" i="16"/>
  <c r="Y128" i="16"/>
  <c r="Z128" i="16" s="1"/>
  <c r="O111" i="16"/>
  <c r="U123" i="16"/>
  <c r="V123" i="16" s="1"/>
  <c r="X123" i="16" s="1"/>
  <c r="O127" i="16"/>
  <c r="Z102" i="16"/>
  <c r="S78" i="16"/>
  <c r="Y78" i="16" s="1"/>
  <c r="Z78" i="16" s="1"/>
  <c r="Q78" i="16"/>
  <c r="O85" i="16"/>
  <c r="T308" i="16"/>
  <c r="R308" i="16"/>
  <c r="M304" i="16"/>
  <c r="M313" i="16" s="1"/>
  <c r="Q61" i="16"/>
  <c r="Q59" i="16"/>
  <c r="O23" i="16"/>
  <c r="S18" i="16"/>
  <c r="Y18" i="16" s="1"/>
  <c r="Z18" i="16" s="1"/>
  <c r="Q18" i="16"/>
  <c r="O39" i="16"/>
  <c r="U39" i="16"/>
  <c r="V39" i="16" s="1"/>
  <c r="X39" i="16" s="1"/>
  <c r="O44" i="16"/>
  <c r="U44" i="16"/>
  <c r="O286" i="16"/>
  <c r="U286" i="16"/>
  <c r="V286" i="16" s="1"/>
  <c r="X286" i="16" s="1"/>
  <c r="Q283" i="16"/>
  <c r="S283" i="16"/>
  <c r="Y283" i="16" s="1"/>
  <c r="Z283" i="16" s="1"/>
  <c r="P307" i="16"/>
  <c r="P316" i="16" s="1"/>
  <c r="S189" i="16"/>
  <c r="Q189" i="16"/>
  <c r="S209" i="16"/>
  <c r="Q209" i="16"/>
  <c r="O203" i="16"/>
  <c r="S157" i="16"/>
  <c r="Q157" i="16"/>
  <c r="S217" i="16"/>
  <c r="Q217" i="16"/>
  <c r="S213" i="16"/>
  <c r="Q213" i="16"/>
  <c r="O179" i="16"/>
  <c r="Y154" i="16"/>
  <c r="Z154" i="16" s="1"/>
  <c r="Y126" i="16"/>
  <c r="O99" i="16"/>
  <c r="O97" i="16"/>
  <c r="Y122" i="16"/>
  <c r="Z122" i="16" s="1"/>
  <c r="Y76" i="16"/>
  <c r="Z76" i="16"/>
  <c r="O95" i="16"/>
  <c r="S87" i="16"/>
  <c r="Q87" i="16"/>
  <c r="S77" i="16"/>
  <c r="Y77" i="16" s="1"/>
  <c r="Z77" i="16" s="1"/>
  <c r="Q77" i="16"/>
  <c r="S83" i="16"/>
  <c r="Q83" i="16"/>
  <c r="Y35" i="16"/>
  <c r="Z35" i="16" s="1"/>
  <c r="N20" i="16"/>
  <c r="O20" i="16" s="1"/>
  <c r="O54" i="16"/>
  <c r="U54" i="16"/>
  <c r="V54" i="16" s="1"/>
  <c r="X54" i="16" s="1"/>
  <c r="Q76" i="16"/>
  <c r="O60" i="16"/>
  <c r="U60" i="16"/>
  <c r="V60" i="16" s="1"/>
  <c r="X60" i="16" s="1"/>
  <c r="N303" i="16"/>
  <c r="N312" i="16" s="1"/>
  <c r="S261" i="16"/>
  <c r="Q261" i="16"/>
  <c r="U248" i="16"/>
  <c r="U296" i="16" s="1"/>
  <c r="V240" i="16"/>
  <c r="S205" i="16"/>
  <c r="Q205" i="16"/>
  <c r="S181" i="16"/>
  <c r="Q181" i="16"/>
  <c r="U181" i="16" s="1"/>
  <c r="V181" i="16" s="1"/>
  <c r="X181" i="16" s="1"/>
  <c r="U211" i="16"/>
  <c r="V211" i="16" s="1"/>
  <c r="X211" i="16" s="1"/>
  <c r="O211" i="16"/>
  <c r="Y157" i="16"/>
  <c r="Z157" i="16" s="1"/>
  <c r="Y145" i="16"/>
  <c r="Z145" i="16" s="1"/>
  <c r="S258" i="16"/>
  <c r="N287" i="16"/>
  <c r="N297" i="16" s="1"/>
  <c r="S284" i="16"/>
  <c r="Y284" i="16" s="1"/>
  <c r="Z284" i="16" s="1"/>
  <c r="Q284" i="16"/>
  <c r="S280" i="16"/>
  <c r="Q280" i="16"/>
  <c r="Y243" i="16"/>
  <c r="Z243" i="16" s="1"/>
  <c r="Y220" i="16"/>
  <c r="Z220" i="16" s="1"/>
  <c r="Q212" i="16"/>
  <c r="O187" i="16"/>
  <c r="Q210" i="16"/>
  <c r="S277" i="16"/>
  <c r="Y277" i="16" s="1"/>
  <c r="Z277" i="16" s="1"/>
  <c r="Q277" i="16"/>
  <c r="Y217" i="16"/>
  <c r="Z217" i="16" s="1"/>
  <c r="U209" i="16"/>
  <c r="V209" i="16" s="1"/>
  <c r="X209" i="16" s="1"/>
  <c r="Q177" i="16"/>
  <c r="U177" i="16" s="1"/>
  <c r="V177" i="16" s="1"/>
  <c r="X177" i="16" s="1"/>
  <c r="Z186" i="16"/>
  <c r="Z126" i="16"/>
  <c r="U197" i="16"/>
  <c r="V197" i="16" s="1"/>
  <c r="X197" i="16" s="1"/>
  <c r="Y151" i="16"/>
  <c r="Z151" i="16" s="1"/>
  <c r="S154" i="16"/>
  <c r="Q154" i="16"/>
  <c r="Q120" i="16"/>
  <c r="U107" i="16"/>
  <c r="V107" i="16" s="1"/>
  <c r="X107" i="16" s="1"/>
  <c r="Y107" i="16" s="1"/>
  <c r="Z107" i="16" s="1"/>
  <c r="Q98" i="16"/>
  <c r="Y116" i="16"/>
  <c r="Z116" i="16" s="1"/>
  <c r="Q116" i="16"/>
  <c r="Y87" i="16"/>
  <c r="Z87" i="16" s="1"/>
  <c r="T311" i="16"/>
  <c r="T317" i="16" s="1"/>
  <c r="Q118" i="16"/>
  <c r="R311" i="16"/>
  <c r="R317" i="16" s="1"/>
  <c r="N16" i="16"/>
  <c r="O16" i="16" s="1"/>
  <c r="Y86" i="16"/>
  <c r="Z86" i="16" s="1"/>
  <c r="Q53" i="16"/>
  <c r="U38" i="16"/>
  <c r="O26" i="16"/>
  <c r="U26" i="16"/>
  <c r="V26" i="16" s="1"/>
  <c r="X26" i="16" s="1"/>
  <c r="O56" i="16"/>
  <c r="U56" i="16"/>
  <c r="V56" i="16" s="1"/>
  <c r="X56" i="16" s="1"/>
  <c r="V13" i="16"/>
  <c r="W308" i="16"/>
  <c r="S34" i="16"/>
  <c r="S36" i="16" s="1"/>
  <c r="O36" i="16"/>
  <c r="O68" i="16"/>
  <c r="O48" i="16"/>
  <c r="U48" i="16"/>
  <c r="V48" i="16" s="1"/>
  <c r="X48" i="16" s="1"/>
  <c r="O24" i="16"/>
  <c r="U24" i="16"/>
  <c r="V24" i="16" s="1"/>
  <c r="X24" i="16" s="1"/>
  <c r="O46" i="16"/>
  <c r="U46" i="16"/>
  <c r="V46" i="16" s="1"/>
  <c r="X46" i="16" s="1"/>
  <c r="O21" i="16"/>
  <c r="Y119" i="16"/>
  <c r="Z119" i="16" s="1"/>
  <c r="Q126" i="16"/>
  <c r="U115" i="16"/>
  <c r="V115" i="16" s="1"/>
  <c r="X115" i="16" s="1"/>
  <c r="Y115" i="16" s="1"/>
  <c r="Z115" i="16" s="1"/>
  <c r="Y105" i="16"/>
  <c r="Z105" i="16" s="1"/>
  <c r="S93" i="16"/>
  <c r="Q93" i="16"/>
  <c r="Y117" i="16"/>
  <c r="Z117" i="16" s="1"/>
  <c r="S79" i="16"/>
  <c r="Y79" i="16" s="1"/>
  <c r="Z79" i="16" s="1"/>
  <c r="Q79" i="16"/>
  <c r="O58" i="16"/>
  <c r="U58" i="16"/>
  <c r="V58" i="16" s="1"/>
  <c r="X58" i="16" s="1"/>
  <c r="V236" i="16"/>
  <c r="U237" i="16"/>
  <c r="U295" i="16" s="1"/>
  <c r="O199" i="16"/>
  <c r="S245" i="16"/>
  <c r="Y245" i="16" s="1"/>
  <c r="Z245" i="16" s="1"/>
  <c r="Q245" i="16"/>
  <c r="Q248" i="16" s="1"/>
  <c r="Q296" i="16" s="1"/>
  <c r="Q196" i="16"/>
  <c r="Z234" i="16"/>
  <c r="S144" i="16"/>
  <c r="Y144" i="16" s="1"/>
  <c r="Z144" i="16" s="1"/>
  <c r="Q144" i="16"/>
  <c r="Q176" i="16"/>
  <c r="U176" i="16" s="1"/>
  <c r="V176" i="16" s="1"/>
  <c r="X176" i="16" s="1"/>
  <c r="O183" i="16"/>
  <c r="Z174" i="16"/>
  <c r="Y212" i="16"/>
  <c r="Z212" i="16" s="1"/>
  <c r="O167" i="16"/>
  <c r="Y160" i="16"/>
  <c r="Z160" i="16" s="1"/>
  <c r="U169" i="16"/>
  <c r="V169" i="16" s="1"/>
  <c r="X169" i="16" s="1"/>
  <c r="Z156" i="16"/>
  <c r="Z143" i="16"/>
  <c r="Y143" i="16"/>
  <c r="S152" i="16"/>
  <c r="Y152" i="16" s="1"/>
  <c r="Z152" i="16" s="1"/>
  <c r="Q152" i="16"/>
  <c r="Z100" i="16"/>
  <c r="Y84" i="16"/>
  <c r="Z84" i="16"/>
  <c r="Y108" i="16"/>
  <c r="Z108" i="16" s="1"/>
  <c r="Q155" i="16"/>
  <c r="N14" i="16"/>
  <c r="Q80" i="16"/>
  <c r="O62" i="16"/>
  <c r="U62" i="16"/>
  <c r="V62" i="16" s="1"/>
  <c r="X62" i="16" s="1"/>
  <c r="Y96" i="16"/>
  <c r="Z96" i="16" s="1"/>
  <c r="Q47" i="16"/>
  <c r="S267" i="16"/>
  <c r="Y267" i="16" s="1"/>
  <c r="Z267" i="16" s="1"/>
  <c r="Q267" i="16"/>
  <c r="Y192" i="16"/>
  <c r="Z192" i="16"/>
  <c r="Y141" i="16"/>
  <c r="Z141" i="16" s="1"/>
  <c r="Z162" i="16"/>
  <c r="S240" i="16"/>
  <c r="O248" i="16"/>
  <c r="O296" i="16" s="1"/>
  <c r="Y164" i="16"/>
  <c r="Z164" i="16" s="1"/>
  <c r="Y189" i="16"/>
  <c r="Z189" i="16" s="1"/>
  <c r="Y202" i="16"/>
  <c r="Z202" i="16" s="1"/>
  <c r="S163" i="16"/>
  <c r="Y163" i="16" s="1"/>
  <c r="Z163" i="16" s="1"/>
  <c r="Q163" i="16"/>
  <c r="Q138" i="16"/>
  <c r="S138" i="16"/>
  <c r="Y138" i="16" s="1"/>
  <c r="Z138" i="16" s="1"/>
  <c r="S101" i="16"/>
  <c r="Y101" i="16" s="1"/>
  <c r="Z101" i="16" s="1"/>
  <c r="Q101" i="16"/>
  <c r="S103" i="16"/>
  <c r="Q103" i="16"/>
  <c r="S91" i="16"/>
  <c r="Q91" i="16"/>
  <c r="Y83" i="16"/>
  <c r="P313" i="16"/>
  <c r="P304" i="16"/>
  <c r="P308" i="16" s="1"/>
  <c r="Y113" i="16"/>
  <c r="Z113" i="16" s="1"/>
  <c r="Q121" i="16"/>
  <c r="S75" i="16"/>
  <c r="Y75" i="16" s="1"/>
  <c r="Z75" i="16" s="1"/>
  <c r="Q75" i="16"/>
  <c r="K298" i="16"/>
  <c r="K302" i="16"/>
  <c r="K308" i="16" s="1"/>
  <c r="Q70" i="16"/>
  <c r="W311" i="16"/>
  <c r="W317" i="16" s="1"/>
  <c r="O64" i="16"/>
  <c r="U64" i="16"/>
  <c r="V64" i="16" s="1"/>
  <c r="X64" i="16" s="1"/>
  <c r="U17" i="16"/>
  <c r="V17" i="16" s="1"/>
  <c r="X17" i="16" s="1"/>
  <c r="O17" i="16"/>
  <c r="Q34" i="16"/>
  <c r="Q36" i="16" s="1"/>
  <c r="S219" i="16"/>
  <c r="Y219" i="16" s="1"/>
  <c r="Z219" i="16" s="1"/>
  <c r="Q219" i="16"/>
  <c r="U175" i="16"/>
  <c r="V175" i="16" s="1"/>
  <c r="X175" i="16" s="1"/>
  <c r="Q150" i="16"/>
  <c r="S150" i="16"/>
  <c r="Y150" i="16" s="1"/>
  <c r="Z150" i="16" s="1"/>
  <c r="X258" i="16"/>
  <c r="V287" i="16"/>
  <c r="V297" i="16" s="1"/>
  <c r="Q142" i="16"/>
  <c r="S142" i="16"/>
  <c r="Y142" i="16" s="1"/>
  <c r="Z142" i="16" s="1"/>
  <c r="P305" i="16"/>
  <c r="P314" i="16" s="1"/>
  <c r="S276" i="16"/>
  <c r="Y276" i="16" s="1"/>
  <c r="Z276" i="16" s="1"/>
  <c r="Q276" i="16"/>
  <c r="Q275" i="16"/>
  <c r="Q262" i="16"/>
  <c r="U287" i="16"/>
  <c r="U297" i="16" s="1"/>
  <c r="Y242" i="16"/>
  <c r="Z242" i="16" s="1"/>
  <c r="S195" i="16"/>
  <c r="Q195" i="16"/>
  <c r="Y195" i="16"/>
  <c r="Z195" i="16" s="1"/>
  <c r="Y184" i="16"/>
  <c r="Z184" i="16" s="1"/>
  <c r="Q140" i="16"/>
  <c r="S140" i="16"/>
  <c r="Y140" i="16" s="1"/>
  <c r="Z140" i="16" s="1"/>
  <c r="Q218" i="16"/>
  <c r="S173" i="16"/>
  <c r="Q173" i="16"/>
  <c r="U173" i="16" s="1"/>
  <c r="V173" i="16" s="1"/>
  <c r="X173" i="16" s="1"/>
  <c r="Y210" i="16"/>
  <c r="Z210" i="16" s="1"/>
  <c r="Y206" i="16"/>
  <c r="Z206" i="16" s="1"/>
  <c r="Y218" i="16"/>
  <c r="Z218" i="16" s="1"/>
  <c r="Z172" i="16"/>
  <c r="Y161" i="16"/>
  <c r="Z161" i="16" s="1"/>
  <c r="Y103" i="16"/>
  <c r="Z103" i="16" s="1"/>
  <c r="Q128" i="16"/>
  <c r="Q108" i="16"/>
  <c r="Y204" i="16"/>
  <c r="Z204" i="16" s="1"/>
  <c r="O171" i="16"/>
  <c r="Y93" i="16"/>
  <c r="Z93" i="16" s="1"/>
  <c r="S82" i="16"/>
  <c r="Y82" i="16" s="1"/>
  <c r="Z82" i="16" s="1"/>
  <c r="Q82" i="16"/>
  <c r="Q45" i="16"/>
  <c r="Y28" i="16"/>
  <c r="Z28" i="16" s="1"/>
  <c r="O50" i="16"/>
  <c r="U50" i="16"/>
  <c r="V50" i="16" s="1"/>
  <c r="X50" i="16" s="1"/>
  <c r="Q125" i="16"/>
  <c r="M303" i="16"/>
  <c r="M312" i="16" s="1"/>
  <c r="Q63" i="16"/>
  <c r="Q15" i="16"/>
  <c r="Y261" i="16"/>
  <c r="Z261" i="16" s="1"/>
  <c r="S201" i="16"/>
  <c r="Y201" i="16" s="1"/>
  <c r="Z201" i="16" s="1"/>
  <c r="Q201" i="16"/>
  <c r="S285" i="16"/>
  <c r="Y285" i="16" s="1"/>
  <c r="Z285" i="16" s="1"/>
  <c r="Q285" i="16"/>
  <c r="Q273" i="16"/>
  <c r="S273" i="16"/>
  <c r="Y273" i="16" s="1"/>
  <c r="Z273" i="16" s="1"/>
  <c r="Y221" i="16"/>
  <c r="Z221" i="16" s="1"/>
  <c r="S208" i="16"/>
  <c r="Y208" i="16" s="1"/>
  <c r="Z208" i="16" s="1"/>
  <c r="Q208" i="16"/>
  <c r="Z205" i="16"/>
  <c r="Y205" i="16"/>
  <c r="S247" i="16"/>
  <c r="Y247" i="16" s="1"/>
  <c r="Z247" i="16" s="1"/>
  <c r="Q247" i="16"/>
  <c r="O185" i="16"/>
  <c r="S206" i="16"/>
  <c r="Q206" i="16"/>
  <c r="O165" i="16"/>
  <c r="U213" i="16"/>
  <c r="V213" i="16" s="1"/>
  <c r="X213" i="16" s="1"/>
  <c r="S207" i="16"/>
  <c r="Y207" i="16" s="1"/>
  <c r="Z207" i="16" s="1"/>
  <c r="Q207" i="16"/>
  <c r="S136" i="16"/>
  <c r="Y136" i="16" s="1"/>
  <c r="Z136" i="16" s="1"/>
  <c r="Q136" i="16"/>
  <c r="Q124" i="16"/>
  <c r="Q132" i="16"/>
  <c r="Y91" i="16"/>
  <c r="Z91" i="16" s="1"/>
  <c r="S89" i="16"/>
  <c r="Y89" i="16" s="1"/>
  <c r="Z89" i="16" s="1"/>
  <c r="Q89" i="16"/>
  <c r="S81" i="16"/>
  <c r="Y81" i="16" s="1"/>
  <c r="Z81" i="16" s="1"/>
  <c r="Q81" i="16"/>
  <c r="Y30" i="16"/>
  <c r="Z30" i="16" s="1"/>
  <c r="O52" i="16"/>
  <c r="U52" i="16"/>
  <c r="V52" i="16" s="1"/>
  <c r="X52" i="16" s="1"/>
  <c r="O66" i="16"/>
  <c r="U66" i="16"/>
  <c r="V66" i="16" s="1"/>
  <c r="X66" i="16" s="1"/>
  <c r="Z27" i="16"/>
  <c r="AA23" i="15"/>
  <c r="Q23" i="15"/>
  <c r="AC43" i="14"/>
  <c r="D25" i="12"/>
  <c r="F25" i="12"/>
  <c r="L25" i="12"/>
  <c r="N82" i="11"/>
  <c r="L24" i="10"/>
  <c r="I25" i="10" s="1"/>
  <c r="C52" i="9"/>
  <c r="C53" i="9" s="1"/>
  <c r="D17" i="9"/>
  <c r="D52" i="9" s="1"/>
  <c r="F80" i="8"/>
  <c r="G62" i="8" s="1"/>
  <c r="D80" i="8"/>
  <c r="B53" i="5"/>
  <c r="F52" i="5"/>
  <c r="H17" i="5"/>
  <c r="H7" i="5"/>
  <c r="F14" i="5"/>
  <c r="I43" i="5"/>
  <c r="J43" i="5" s="1"/>
  <c r="I39" i="5"/>
  <c r="D52" i="5"/>
  <c r="D53" i="5" s="1"/>
  <c r="Q19" i="4"/>
  <c r="D68" i="4"/>
  <c r="P317" i="16" l="1"/>
  <c r="D53" i="9"/>
  <c r="C6" i="1"/>
  <c r="F53" i="5"/>
  <c r="Y181" i="16"/>
  <c r="Z181" i="16" s="1"/>
  <c r="Q306" i="16"/>
  <c r="Q315" i="16"/>
  <c r="M317" i="16"/>
  <c r="Y177" i="16"/>
  <c r="Z177" i="16"/>
  <c r="Y170" i="16"/>
  <c r="Z170" i="16" s="1"/>
  <c r="Y178" i="16"/>
  <c r="Z178" i="16"/>
  <c r="Y173" i="16"/>
  <c r="Z173" i="16" s="1"/>
  <c r="S111" i="16"/>
  <c r="Y111" i="16" s="1"/>
  <c r="Z111" i="16" s="1"/>
  <c r="Q111" i="16"/>
  <c r="Y175" i="16"/>
  <c r="Z175" i="16"/>
  <c r="O306" i="16"/>
  <c r="O315" i="16" s="1"/>
  <c r="S48" i="16"/>
  <c r="Q48" i="16"/>
  <c r="S16" i="16"/>
  <c r="Y16" i="16" s="1"/>
  <c r="Z16" i="16" s="1"/>
  <c r="Q16" i="16"/>
  <c r="S85" i="16"/>
  <c r="Y85" i="16" s="1"/>
  <c r="Z85" i="16" s="1"/>
  <c r="Q85" i="16"/>
  <c r="V36" i="16"/>
  <c r="X34" i="16"/>
  <c r="Y213" i="16"/>
  <c r="Z213" i="16"/>
  <c r="S171" i="16"/>
  <c r="Q171" i="16"/>
  <c r="U171" i="16" s="1"/>
  <c r="V171" i="16" s="1"/>
  <c r="X171" i="16" s="1"/>
  <c r="S248" i="16"/>
  <c r="S296" i="16" s="1"/>
  <c r="S183" i="16"/>
  <c r="Y183" i="16" s="1"/>
  <c r="Z183" i="16" s="1"/>
  <c r="Q183" i="16"/>
  <c r="S68" i="16"/>
  <c r="Y68" i="16" s="1"/>
  <c r="Z68" i="16" s="1"/>
  <c r="Q68" i="16"/>
  <c r="S56" i="16"/>
  <c r="Y56" i="16" s="1"/>
  <c r="Z56" i="16" s="1"/>
  <c r="Q56" i="16"/>
  <c r="S95" i="16"/>
  <c r="Y95" i="16" s="1"/>
  <c r="Z95" i="16" s="1"/>
  <c r="Q95" i="16"/>
  <c r="Y286" i="16"/>
  <c r="Z286" i="16" s="1"/>
  <c r="S23" i="16"/>
  <c r="Y23" i="16" s="1"/>
  <c r="Z23" i="16" s="1"/>
  <c r="Q23" i="16"/>
  <c r="S193" i="16"/>
  <c r="Y193" i="16" s="1"/>
  <c r="Z193" i="16" s="1"/>
  <c r="Q193" i="16"/>
  <c r="Y168" i="16"/>
  <c r="Z168" i="16" s="1"/>
  <c r="M308" i="16"/>
  <c r="V31" i="16"/>
  <c r="V292" i="16" s="1"/>
  <c r="X13" i="16"/>
  <c r="Y176" i="16"/>
  <c r="Z176" i="16"/>
  <c r="S199" i="16"/>
  <c r="Y199" i="16" s="1"/>
  <c r="Z199" i="16" s="1"/>
  <c r="Q199" i="16"/>
  <c r="S21" i="16"/>
  <c r="Y21" i="16" s="1"/>
  <c r="Z21" i="16" s="1"/>
  <c r="Q21" i="16"/>
  <c r="S286" i="16"/>
  <c r="S287" i="16" s="1"/>
  <c r="S297" i="16" s="1"/>
  <c r="Q286" i="16"/>
  <c r="Q287" i="16" s="1"/>
  <c r="Q297" i="16" s="1"/>
  <c r="Y155" i="16"/>
  <c r="Z155" i="16" s="1"/>
  <c r="S20" i="16"/>
  <c r="Y20" i="16" s="1"/>
  <c r="Z20" i="16" s="1"/>
  <c r="Q20" i="16"/>
  <c r="S50" i="16"/>
  <c r="Y50" i="16" s="1"/>
  <c r="Z50" i="16" s="1"/>
  <c r="Q50" i="16"/>
  <c r="Y169" i="16"/>
  <c r="Z169" i="16"/>
  <c r="U305" i="16"/>
  <c r="U314" i="16" s="1"/>
  <c r="S26" i="16"/>
  <c r="Y26" i="16" s="1"/>
  <c r="Z26" i="16" s="1"/>
  <c r="Q26" i="16"/>
  <c r="Y209" i="16"/>
  <c r="Z209" i="16"/>
  <c r="S187" i="16"/>
  <c r="Y187" i="16" s="1"/>
  <c r="Z187" i="16" s="1"/>
  <c r="Q187" i="16"/>
  <c r="V248" i="16"/>
  <c r="V296" i="16" s="1"/>
  <c r="X240" i="16"/>
  <c r="S60" i="16"/>
  <c r="Y60" i="16" s="1"/>
  <c r="Z60" i="16" s="1"/>
  <c r="Q60" i="16"/>
  <c r="V44" i="16"/>
  <c r="S159" i="16"/>
  <c r="Y159" i="16" s="1"/>
  <c r="Z159" i="16" s="1"/>
  <c r="Q159" i="16"/>
  <c r="Y48" i="16"/>
  <c r="Z48" i="16" s="1"/>
  <c r="S66" i="16"/>
  <c r="Y66" i="16" s="1"/>
  <c r="Z66" i="16" s="1"/>
  <c r="Q66" i="16"/>
  <c r="U316" i="16"/>
  <c r="U307" i="16"/>
  <c r="S52" i="16"/>
  <c r="Y52" i="16" s="1"/>
  <c r="Z52" i="16" s="1"/>
  <c r="Q52" i="16"/>
  <c r="V307" i="16"/>
  <c r="V316" i="16" s="1"/>
  <c r="S17" i="16"/>
  <c r="Q17" i="16"/>
  <c r="K311" i="16"/>
  <c r="K317" i="16" s="1"/>
  <c r="S62" i="16"/>
  <c r="Y62" i="16" s="1"/>
  <c r="Z62" i="16" s="1"/>
  <c r="Q62" i="16"/>
  <c r="X236" i="16"/>
  <c r="V237" i="16"/>
  <c r="V295" i="16" s="1"/>
  <c r="S46" i="16"/>
  <c r="Y46" i="16" s="1"/>
  <c r="Z46" i="16" s="1"/>
  <c r="Q46" i="16"/>
  <c r="V38" i="16"/>
  <c r="U41" i="16"/>
  <c r="U293" i="16" s="1"/>
  <c r="U315" i="16"/>
  <c r="U306" i="16"/>
  <c r="S179" i="16"/>
  <c r="Q179" i="16"/>
  <c r="U179" i="16" s="1"/>
  <c r="V179" i="16" s="1"/>
  <c r="X179" i="16" s="1"/>
  <c r="O231" i="16"/>
  <c r="O294" i="16" s="1"/>
  <c r="S44" i="16"/>
  <c r="Q44" i="16"/>
  <c r="S191" i="16"/>
  <c r="Y191" i="16" s="1"/>
  <c r="Z191" i="16" s="1"/>
  <c r="Q191" i="16"/>
  <c r="Q305" i="16"/>
  <c r="Q314" i="16" s="1"/>
  <c r="S64" i="16"/>
  <c r="Q64" i="16"/>
  <c r="S185" i="16"/>
  <c r="Y185" i="16" s="1"/>
  <c r="Z185" i="16" s="1"/>
  <c r="Q185" i="16"/>
  <c r="X287" i="16"/>
  <c r="X297" i="16" s="1"/>
  <c r="Y258" i="16"/>
  <c r="Y17" i="16"/>
  <c r="Z17" i="16" s="1"/>
  <c r="S167" i="16"/>
  <c r="Q167" i="16"/>
  <c r="U167" i="16" s="1"/>
  <c r="V167" i="16" s="1"/>
  <c r="X167" i="16" s="1"/>
  <c r="Y58" i="16"/>
  <c r="Z58" i="16" s="1"/>
  <c r="N316" i="16"/>
  <c r="N307" i="16"/>
  <c r="S211" i="16"/>
  <c r="Q211" i="16"/>
  <c r="S97" i="16"/>
  <c r="Y97" i="16" s="1"/>
  <c r="Z97" i="16" s="1"/>
  <c r="Q97" i="16"/>
  <c r="S203" i="16"/>
  <c r="Y203" i="16" s="1"/>
  <c r="Z203" i="16" s="1"/>
  <c r="Q203" i="16"/>
  <c r="S127" i="16"/>
  <c r="Y127" i="16" s="1"/>
  <c r="Z127" i="16" s="1"/>
  <c r="Q127" i="16"/>
  <c r="S305" i="16"/>
  <c r="S314" i="16" s="1"/>
  <c r="N31" i="16"/>
  <c r="N292" i="16" s="1"/>
  <c r="O14" i="16"/>
  <c r="S165" i="16"/>
  <c r="Y165" i="16" s="1"/>
  <c r="Z165" i="16" s="1"/>
  <c r="Q165" i="16"/>
  <c r="Y64" i="16"/>
  <c r="Z64" i="16" s="1"/>
  <c r="S58" i="16"/>
  <c r="Q58" i="16"/>
  <c r="S24" i="16"/>
  <c r="Y24" i="16" s="1"/>
  <c r="Z24" i="16" s="1"/>
  <c r="Q24" i="16"/>
  <c r="U31" i="16"/>
  <c r="U292" i="16" s="1"/>
  <c r="Y197" i="16"/>
  <c r="Z197" i="16"/>
  <c r="O287" i="16"/>
  <c r="O297" i="16" s="1"/>
  <c r="Y211" i="16"/>
  <c r="Z211" i="16" s="1"/>
  <c r="S54" i="16"/>
  <c r="Y54" i="16" s="1"/>
  <c r="Z54" i="16" s="1"/>
  <c r="Q54" i="16"/>
  <c r="S99" i="16"/>
  <c r="Y99" i="16" s="1"/>
  <c r="Z99" i="16" s="1"/>
  <c r="Q99" i="16"/>
  <c r="S39" i="16"/>
  <c r="Y39" i="16" s="1"/>
  <c r="Z39" i="16" s="1"/>
  <c r="Q39" i="16"/>
  <c r="Q41" i="16" s="1"/>
  <c r="Q293" i="16" s="1"/>
  <c r="Y123" i="16"/>
  <c r="Z123" i="16" s="1"/>
  <c r="O305" i="16"/>
  <c r="O314" i="16" s="1"/>
  <c r="O41" i="16"/>
  <c r="O293" i="16" s="1"/>
  <c r="K25" i="10"/>
  <c r="J25" i="10"/>
  <c r="L25" i="10" s="1"/>
  <c r="G79" i="8"/>
  <c r="F55" i="5"/>
  <c r="H14" i="5"/>
  <c r="J7" i="5"/>
  <c r="J14" i="5" s="1"/>
  <c r="H52" i="5"/>
  <c r="J17" i="5"/>
  <c r="J39" i="5"/>
  <c r="I52" i="5"/>
  <c r="I53" i="5" s="1"/>
  <c r="Q68" i="4"/>
  <c r="D74" i="4"/>
  <c r="Q74" i="4" s="1"/>
  <c r="H55" i="5" l="1"/>
  <c r="J52" i="5"/>
  <c r="J55" i="5" s="1"/>
  <c r="Q307" i="16"/>
  <c r="Q316" i="16" s="1"/>
  <c r="S307" i="16"/>
  <c r="S316" i="16" s="1"/>
  <c r="Q303" i="16"/>
  <c r="Q312" i="16" s="1"/>
  <c r="O303" i="16"/>
  <c r="O312" i="16" s="1"/>
  <c r="N302" i="16"/>
  <c r="N308" i="16" s="1"/>
  <c r="N298" i="16"/>
  <c r="V231" i="16"/>
  <c r="V294" i="16" s="1"/>
  <c r="X44" i="16"/>
  <c r="V302" i="16"/>
  <c r="V311" i="16"/>
  <c r="U231" i="16"/>
  <c r="U294" i="16" s="1"/>
  <c r="S41" i="16"/>
  <c r="S293" i="16" s="1"/>
  <c r="U303" i="16"/>
  <c r="U312" i="16" s="1"/>
  <c r="Q231" i="16"/>
  <c r="Q294" i="16" s="1"/>
  <c r="X38" i="16"/>
  <c r="V41" i="16"/>
  <c r="V293" i="16" s="1"/>
  <c r="S306" i="16"/>
  <c r="S315" i="16" s="1"/>
  <c r="Y167" i="16"/>
  <c r="Z167" i="16" s="1"/>
  <c r="S231" i="16"/>
  <c r="S294" i="16" s="1"/>
  <c r="Y171" i="16"/>
  <c r="Z171" i="16"/>
  <c r="O307" i="16"/>
  <c r="O316" i="16" s="1"/>
  <c r="O304" i="16"/>
  <c r="O313" i="16" s="1"/>
  <c r="X248" i="16"/>
  <c r="X296" i="16" s="1"/>
  <c r="Y240" i="16"/>
  <c r="Y248" i="16" s="1"/>
  <c r="Y296" i="16" s="1"/>
  <c r="Z240" i="16"/>
  <c r="Z248" i="16" s="1"/>
  <c r="Z296" i="16" s="1"/>
  <c r="Y179" i="16"/>
  <c r="Z179" i="16" s="1"/>
  <c r="V314" i="16"/>
  <c r="V305" i="16"/>
  <c r="V315" i="16"/>
  <c r="V306" i="16"/>
  <c r="Y287" i="16"/>
  <c r="Y297" i="16" s="1"/>
  <c r="Z258" i="16"/>
  <c r="Z287" i="16" s="1"/>
  <c r="Z297" i="16" s="1"/>
  <c r="Y236" i="16"/>
  <c r="X237" i="16"/>
  <c r="X295" i="16" s="1"/>
  <c r="U302" i="16"/>
  <c r="U298" i="16"/>
  <c r="S14" i="16"/>
  <c r="O31" i="16"/>
  <c r="O292" i="16" s="1"/>
  <c r="Q14" i="16"/>
  <c r="Q31" i="16" s="1"/>
  <c r="Q292" i="16" s="1"/>
  <c r="X316" i="16"/>
  <c r="X307" i="16"/>
  <c r="X31" i="16"/>
  <c r="X292" i="16" s="1"/>
  <c r="Y13" i="16"/>
  <c r="Y34" i="16"/>
  <c r="Y36" i="16" s="1"/>
  <c r="X36" i="16"/>
  <c r="Z34" i="16"/>
  <c r="Z36" i="16" s="1"/>
  <c r="H53" i="5"/>
  <c r="J53" i="5" l="1"/>
  <c r="X305" i="16"/>
  <c r="X314" i="16" s="1"/>
  <c r="V303" i="16"/>
  <c r="V298" i="16"/>
  <c r="Z236" i="16"/>
  <c r="Z237" i="16" s="1"/>
  <c r="Z295" i="16" s="1"/>
  <c r="Y237" i="16"/>
  <c r="Y295" i="16" s="1"/>
  <c r="X41" i="16"/>
  <c r="X293" i="16" s="1"/>
  <c r="Y38" i="16"/>
  <c r="Z307" i="16"/>
  <c r="Z316" i="16" s="1"/>
  <c r="Z306" i="16"/>
  <c r="Z315" i="16" s="1"/>
  <c r="Q313" i="16"/>
  <c r="Q304" i="16"/>
  <c r="X231" i="16"/>
  <c r="X294" i="16" s="1"/>
  <c r="Y44" i="16"/>
  <c r="Y231" i="16" s="1"/>
  <c r="Y294" i="16" s="1"/>
  <c r="Z44" i="16"/>
  <c r="Z231" i="16" s="1"/>
  <c r="Z294" i="16" s="1"/>
  <c r="S304" i="16"/>
  <c r="S313" i="16" s="1"/>
  <c r="V304" i="16"/>
  <c r="V313" i="16" s="1"/>
  <c r="X298" i="16"/>
  <c r="X302" i="16"/>
  <c r="Y307" i="16"/>
  <c r="Y316" i="16" s="1"/>
  <c r="Y306" i="16"/>
  <c r="Y315" i="16" s="1"/>
  <c r="S31" i="16"/>
  <c r="S292" i="16" s="1"/>
  <c r="Y14" i="16"/>
  <c r="Z14" i="16" s="1"/>
  <c r="X306" i="16"/>
  <c r="X315" i="16" s="1"/>
  <c r="O298" i="16"/>
  <c r="O302" i="16"/>
  <c r="O308" i="16" s="1"/>
  <c r="S303" i="16"/>
  <c r="S312" i="16" s="1"/>
  <c r="Q298" i="16"/>
  <c r="Q302" i="16"/>
  <c r="U311" i="16"/>
  <c r="Z13" i="16"/>
  <c r="Z31" i="16" s="1"/>
  <c r="Z292" i="16" s="1"/>
  <c r="U304" i="16"/>
  <c r="U308" i="16" s="1"/>
  <c r="N311" i="16"/>
  <c r="N317" i="16" s="1"/>
  <c r="U313" i="16" l="1"/>
  <c r="V308" i="16"/>
  <c r="Q308" i="16"/>
  <c r="Y305" i="16"/>
  <c r="Y314" i="16" s="1"/>
  <c r="Z302" i="16"/>
  <c r="Z305" i="16"/>
  <c r="Z314" i="16" s="1"/>
  <c r="Y31" i="16"/>
  <c r="Y292" i="16" s="1"/>
  <c r="U317" i="16"/>
  <c r="O311" i="16"/>
  <c r="O317" i="16" s="1"/>
  <c r="V312" i="16"/>
  <c r="V317" i="16" s="1"/>
  <c r="Z304" i="16"/>
  <c r="Z313" i="16" s="1"/>
  <c r="Y304" i="16"/>
  <c r="Y313" i="16" s="1"/>
  <c r="X304" i="16"/>
  <c r="X313" i="16"/>
  <c r="Y41" i="16"/>
  <c r="Y293" i="16" s="1"/>
  <c r="Z38" i="16"/>
  <c r="Z41" i="16" s="1"/>
  <c r="Z293" i="16" s="1"/>
  <c r="Q311" i="16"/>
  <c r="Q317" i="16" s="1"/>
  <c r="X311" i="16"/>
  <c r="S298" i="16"/>
  <c r="S302" i="16"/>
  <c r="S308" i="16" s="1"/>
  <c r="X303" i="16"/>
  <c r="X312" i="16" s="1"/>
  <c r="X308" i="16" l="1"/>
  <c r="S311" i="16"/>
  <c r="S317" i="16" s="1"/>
  <c r="X317" i="16"/>
  <c r="Z311" i="16"/>
  <c r="Z303" i="16"/>
  <c r="Z308" i="16" s="1"/>
  <c r="C7" i="1" s="1"/>
  <c r="Z298" i="16"/>
  <c r="Y303" i="16"/>
  <c r="Y312" i="16" s="1"/>
  <c r="Y311" i="16"/>
  <c r="Y298" i="16"/>
  <c r="Y302" i="16"/>
  <c r="Y308" i="16" l="1"/>
  <c r="Y317" i="16"/>
  <c r="Z312" i="16"/>
  <c r="Z317" i="16" s="1"/>
  <c r="J28" i="1" l="1"/>
  <c r="J44" i="1"/>
  <c r="J45" i="1"/>
  <c r="J46" i="1"/>
  <c r="J43" i="1"/>
  <c r="K27" i="1"/>
  <c r="I27" i="1"/>
  <c r="I8" i="1"/>
  <c r="I7" i="1"/>
  <c r="J19" i="1" l="1"/>
  <c r="J38" i="1"/>
  <c r="I16" i="1" l="1"/>
  <c r="S7" i="1" l="1"/>
  <c r="T7" i="1" s="1"/>
  <c r="U7" i="1" s="1"/>
  <c r="S8" i="1"/>
  <c r="S6" i="1"/>
  <c r="T6" i="1" s="1"/>
  <c r="U6" i="1" s="1"/>
  <c r="S9" i="1"/>
  <c r="AA39" i="1"/>
  <c r="AA34" i="1"/>
  <c r="AA29" i="1"/>
  <c r="AA24" i="1"/>
  <c r="AA19" i="1"/>
  <c r="AA14" i="1"/>
  <c r="AA38" i="1"/>
  <c r="AA33" i="1"/>
  <c r="AA28" i="1"/>
  <c r="AA23" i="1"/>
  <c r="AA18" i="1"/>
  <c r="AA13" i="1"/>
  <c r="AA37" i="1"/>
  <c r="AA32" i="1"/>
  <c r="AA27" i="1"/>
  <c r="AA22" i="1"/>
  <c r="AA17" i="1"/>
  <c r="AA12" i="1"/>
  <c r="AA36" i="1"/>
  <c r="AA31" i="1"/>
  <c r="AA26" i="1"/>
  <c r="AA21" i="1"/>
  <c r="AA16" i="1"/>
  <c r="AA11" i="1"/>
  <c r="AA9" i="1"/>
  <c r="AA8" i="1"/>
  <c r="AA7" i="1"/>
  <c r="AA6" i="1"/>
  <c r="U57" i="1"/>
  <c r="U56" i="1"/>
  <c r="V39" i="1" l="1"/>
  <c r="V34" i="1"/>
  <c r="V29" i="1"/>
  <c r="V24" i="1"/>
  <c r="V19" i="1"/>
  <c r="V14" i="1"/>
  <c r="V13" i="1"/>
  <c r="V37" i="1"/>
  <c r="V27" i="1"/>
  <c r="V17" i="1"/>
  <c r="V12" i="1"/>
  <c r="V31" i="1"/>
  <c r="V21" i="1"/>
  <c r="V11" i="1"/>
  <c r="V38" i="1"/>
  <c r="V33" i="1"/>
  <c r="V28" i="1"/>
  <c r="V23" i="1"/>
  <c r="V18" i="1"/>
  <c r="V32" i="1"/>
  <c r="V22" i="1"/>
  <c r="V36" i="1"/>
  <c r="V26" i="1"/>
  <c r="V16" i="1"/>
  <c r="V9" i="1"/>
  <c r="V7" i="1"/>
  <c r="W7" i="1" s="1"/>
  <c r="X7" i="1" s="1"/>
  <c r="V6" i="1"/>
  <c r="W6" i="1" s="1"/>
  <c r="X6" i="1" s="1"/>
  <c r="V8" i="1"/>
  <c r="T8" i="1"/>
  <c r="U8" i="1" s="1"/>
  <c r="T9" i="1"/>
  <c r="U9" i="1" s="1"/>
  <c r="W9" i="1" l="1"/>
  <c r="X9" i="1" s="1"/>
  <c r="W8" i="1"/>
  <c r="X8" i="1" s="1"/>
  <c r="F8" i="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K8" i="1"/>
  <c r="I9" i="1"/>
  <c r="I26" i="1"/>
  <c r="J27" i="1"/>
  <c r="M27" i="1" s="1"/>
  <c r="K11" i="1" s="1"/>
  <c r="M11" i="1" s="1"/>
  <c r="L27" i="1"/>
  <c r="K38" i="1"/>
  <c r="J47" i="1"/>
  <c r="S59" i="1"/>
  <c r="Y68" i="1"/>
  <c r="Y6" i="1" l="1"/>
  <c r="Z6" i="1" s="1"/>
  <c r="AB6" i="1" s="1"/>
  <c r="AC6" i="1" s="1"/>
  <c r="AD6" i="1" s="1"/>
  <c r="AE6" i="1" s="1"/>
  <c r="AF6" i="1" s="1"/>
  <c r="Y9" i="1"/>
  <c r="Z9" i="1" s="1"/>
  <c r="AB9" i="1" s="1"/>
  <c r="AC9" i="1" s="1"/>
  <c r="AD9" i="1" s="1"/>
  <c r="AE9" i="1" s="1"/>
  <c r="AF9" i="1" s="1"/>
  <c r="Y7" i="1"/>
  <c r="Z7" i="1" s="1"/>
  <c r="AB7" i="1" s="1"/>
  <c r="AC7" i="1" s="1"/>
  <c r="AD7" i="1" s="1"/>
  <c r="AE7" i="1" s="1"/>
  <c r="AF7" i="1" s="1"/>
  <c r="Y8" i="1"/>
  <c r="Z8" i="1" s="1"/>
  <c r="AB8" i="1" s="1"/>
  <c r="AC8" i="1" s="1"/>
  <c r="AD8" i="1" s="1"/>
  <c r="AE8" i="1" s="1"/>
  <c r="AF8" i="1" s="1"/>
  <c r="I28" i="1"/>
  <c r="Z68" i="1"/>
  <c r="J26" i="1"/>
  <c r="I11" i="1"/>
  <c r="AG6" i="1" l="1"/>
  <c r="AH6" i="1"/>
  <c r="AI6" i="1"/>
  <c r="J7" i="1"/>
  <c r="K7" i="1"/>
  <c r="L7" i="1"/>
  <c r="M7" i="1"/>
  <c r="AG7" i="1"/>
  <c r="AH7" i="1"/>
  <c r="AI7" i="1"/>
  <c r="L8" i="1"/>
  <c r="M8" i="1"/>
  <c r="AG8" i="1"/>
  <c r="AH8" i="1"/>
  <c r="AI8" i="1"/>
  <c r="K9" i="1"/>
  <c r="M9" i="1"/>
  <c r="AG9" i="1"/>
  <c r="AH9" i="1"/>
  <c r="AI9" i="1"/>
  <c r="S11" i="1"/>
  <c r="T11" i="1"/>
  <c r="U11" i="1"/>
  <c r="W11" i="1"/>
  <c r="X11" i="1"/>
  <c r="Y11" i="1"/>
  <c r="Z11" i="1"/>
  <c r="AB11" i="1"/>
  <c r="AC11" i="1"/>
  <c r="AD11" i="1"/>
  <c r="AE11" i="1"/>
  <c r="AF11" i="1"/>
  <c r="AG11" i="1"/>
  <c r="AH11" i="1"/>
  <c r="AI11" i="1"/>
  <c r="I12" i="1"/>
  <c r="J12" i="1"/>
  <c r="K12" i="1"/>
  <c r="M12" i="1"/>
  <c r="S12" i="1"/>
  <c r="T12" i="1"/>
  <c r="U12" i="1"/>
  <c r="W12" i="1"/>
  <c r="X12" i="1"/>
  <c r="Y12" i="1"/>
  <c r="Z12" i="1"/>
  <c r="AB12" i="1"/>
  <c r="AC12" i="1"/>
  <c r="AD12" i="1"/>
  <c r="AE12" i="1"/>
  <c r="AF12" i="1"/>
  <c r="AG12" i="1"/>
  <c r="AH12" i="1"/>
  <c r="AI12" i="1"/>
  <c r="S13" i="1"/>
  <c r="T13" i="1"/>
  <c r="U13" i="1"/>
  <c r="W13" i="1"/>
  <c r="X13" i="1"/>
  <c r="Y13" i="1"/>
  <c r="Z13" i="1"/>
  <c r="AB13" i="1"/>
  <c r="AC13" i="1"/>
  <c r="AD13" i="1"/>
  <c r="AE13" i="1"/>
  <c r="AF13" i="1"/>
  <c r="AG13" i="1"/>
  <c r="AH13" i="1"/>
  <c r="AI13" i="1"/>
  <c r="I14" i="1"/>
  <c r="K14" i="1"/>
  <c r="M14" i="1"/>
  <c r="S14" i="1"/>
  <c r="T14" i="1"/>
  <c r="U14" i="1"/>
  <c r="W14" i="1"/>
  <c r="X14" i="1"/>
  <c r="Y14" i="1"/>
  <c r="Z14" i="1"/>
  <c r="AB14" i="1"/>
  <c r="AC14" i="1"/>
  <c r="AD14" i="1"/>
  <c r="AE14" i="1"/>
  <c r="AF14" i="1"/>
  <c r="AG14" i="1"/>
  <c r="AH14" i="1"/>
  <c r="AI14" i="1"/>
  <c r="K16" i="1"/>
  <c r="M16" i="1"/>
  <c r="S16" i="1"/>
  <c r="T16" i="1"/>
  <c r="U16" i="1"/>
  <c r="W16" i="1"/>
  <c r="X16" i="1"/>
  <c r="Y16" i="1"/>
  <c r="Z16" i="1"/>
  <c r="AB16" i="1"/>
  <c r="AC16" i="1"/>
  <c r="AD16" i="1"/>
  <c r="AE16" i="1"/>
  <c r="AF16" i="1"/>
  <c r="AG16" i="1"/>
  <c r="AH16" i="1"/>
  <c r="AI16" i="1"/>
  <c r="S17" i="1"/>
  <c r="T17" i="1"/>
  <c r="U17" i="1"/>
  <c r="W17" i="1"/>
  <c r="X17" i="1"/>
  <c r="Y17" i="1"/>
  <c r="Z17" i="1"/>
  <c r="AB17" i="1"/>
  <c r="AC17" i="1"/>
  <c r="AD17" i="1"/>
  <c r="AE17" i="1"/>
  <c r="AF17" i="1"/>
  <c r="AG17" i="1"/>
  <c r="AH17" i="1"/>
  <c r="AI17" i="1"/>
  <c r="S18" i="1"/>
  <c r="T18" i="1"/>
  <c r="U18" i="1"/>
  <c r="W18" i="1"/>
  <c r="X18" i="1"/>
  <c r="Y18" i="1"/>
  <c r="Z18" i="1"/>
  <c r="AB18" i="1"/>
  <c r="AC18" i="1"/>
  <c r="AD18" i="1"/>
  <c r="AE18" i="1"/>
  <c r="AF18" i="1"/>
  <c r="AG18" i="1"/>
  <c r="AH18" i="1"/>
  <c r="AI18" i="1"/>
  <c r="M19" i="1"/>
  <c r="S19" i="1"/>
  <c r="T19" i="1"/>
  <c r="U19" i="1"/>
  <c r="W19" i="1"/>
  <c r="X19" i="1"/>
  <c r="Y19" i="1"/>
  <c r="Z19" i="1"/>
  <c r="AB19" i="1"/>
  <c r="AC19" i="1"/>
  <c r="AD19" i="1"/>
  <c r="AE19" i="1"/>
  <c r="AF19" i="1"/>
  <c r="AG19" i="1"/>
  <c r="AH19" i="1"/>
  <c r="AI19" i="1"/>
  <c r="J20" i="1"/>
  <c r="M20" i="1"/>
  <c r="J21" i="1"/>
  <c r="M21" i="1"/>
  <c r="S21" i="1"/>
  <c r="T21" i="1"/>
  <c r="U21" i="1"/>
  <c r="W21" i="1"/>
  <c r="X21" i="1"/>
  <c r="Y21" i="1"/>
  <c r="Z21" i="1"/>
  <c r="AB21" i="1"/>
  <c r="AC21" i="1"/>
  <c r="AD21" i="1"/>
  <c r="AE21" i="1"/>
  <c r="AF21" i="1"/>
  <c r="AG21" i="1"/>
  <c r="AH21" i="1"/>
  <c r="AI21" i="1"/>
  <c r="K22" i="1"/>
  <c r="S22" i="1"/>
  <c r="T22" i="1"/>
  <c r="U22" i="1"/>
  <c r="W22" i="1"/>
  <c r="X22" i="1"/>
  <c r="Y22" i="1"/>
  <c r="Z22" i="1"/>
  <c r="AB22" i="1"/>
  <c r="AC22" i="1"/>
  <c r="AD22" i="1"/>
  <c r="AE22" i="1"/>
  <c r="AF22" i="1"/>
  <c r="AG22" i="1"/>
  <c r="AH22" i="1"/>
  <c r="AI22" i="1"/>
  <c r="S23" i="1"/>
  <c r="T23" i="1"/>
  <c r="U23" i="1"/>
  <c r="W23" i="1"/>
  <c r="X23" i="1"/>
  <c r="Y23" i="1"/>
  <c r="Z23" i="1"/>
  <c r="AB23" i="1"/>
  <c r="AC23" i="1"/>
  <c r="AD23" i="1"/>
  <c r="AE23" i="1"/>
  <c r="AF23" i="1"/>
  <c r="AG23" i="1"/>
  <c r="AH23" i="1"/>
  <c r="AI23" i="1"/>
  <c r="S24" i="1"/>
  <c r="T24" i="1"/>
  <c r="U24" i="1"/>
  <c r="W24" i="1"/>
  <c r="X24" i="1"/>
  <c r="Y24" i="1"/>
  <c r="Z24" i="1"/>
  <c r="AB24" i="1"/>
  <c r="AC24" i="1"/>
  <c r="AD24" i="1"/>
  <c r="AE24" i="1"/>
  <c r="AF24" i="1"/>
  <c r="AG24" i="1"/>
  <c r="AH24" i="1"/>
  <c r="AI24" i="1"/>
  <c r="K26" i="1"/>
  <c r="L26" i="1"/>
  <c r="M26" i="1"/>
  <c r="S26" i="1"/>
  <c r="T26" i="1"/>
  <c r="U26" i="1"/>
  <c r="W26" i="1"/>
  <c r="X26" i="1"/>
  <c r="Y26" i="1"/>
  <c r="Z26" i="1"/>
  <c r="AB26" i="1"/>
  <c r="AC26" i="1"/>
  <c r="AD26" i="1"/>
  <c r="AE26" i="1"/>
  <c r="AF26" i="1"/>
  <c r="AG26" i="1"/>
  <c r="AH26" i="1"/>
  <c r="AI26" i="1"/>
  <c r="S27" i="1"/>
  <c r="T27" i="1"/>
  <c r="U27" i="1"/>
  <c r="W27" i="1"/>
  <c r="X27" i="1"/>
  <c r="Y27" i="1"/>
  <c r="Z27" i="1"/>
  <c r="AB27" i="1"/>
  <c r="AC27" i="1"/>
  <c r="AD27" i="1"/>
  <c r="AE27" i="1"/>
  <c r="AF27" i="1"/>
  <c r="AG27" i="1"/>
  <c r="AH27" i="1"/>
  <c r="AI27" i="1"/>
  <c r="L28" i="1"/>
  <c r="M28" i="1"/>
  <c r="S28" i="1"/>
  <c r="T28" i="1"/>
  <c r="U28" i="1"/>
  <c r="W28" i="1"/>
  <c r="X28" i="1"/>
  <c r="Y28" i="1"/>
  <c r="Z28" i="1"/>
  <c r="AB28" i="1"/>
  <c r="AC28" i="1"/>
  <c r="AD28" i="1"/>
  <c r="AE28" i="1"/>
  <c r="AF28" i="1"/>
  <c r="AG28" i="1"/>
  <c r="AH28" i="1"/>
  <c r="AI28" i="1"/>
  <c r="S29" i="1"/>
  <c r="T29" i="1"/>
  <c r="U29" i="1"/>
  <c r="W29" i="1"/>
  <c r="X29" i="1"/>
  <c r="Y29" i="1"/>
  <c r="Z29" i="1"/>
  <c r="AB29" i="1"/>
  <c r="AC29" i="1"/>
  <c r="AD29" i="1"/>
  <c r="AE29" i="1"/>
  <c r="AF29" i="1"/>
  <c r="AG29" i="1"/>
  <c r="AH29" i="1"/>
  <c r="AI29" i="1"/>
  <c r="S31" i="1"/>
  <c r="T31" i="1"/>
  <c r="U31" i="1"/>
  <c r="W31" i="1"/>
  <c r="X31" i="1"/>
  <c r="Y31" i="1"/>
  <c r="Z31" i="1"/>
  <c r="AB31" i="1"/>
  <c r="AC31" i="1"/>
  <c r="AD31" i="1"/>
  <c r="AE31" i="1"/>
  <c r="AF31" i="1"/>
  <c r="AG31" i="1"/>
  <c r="AH31" i="1"/>
  <c r="AI31" i="1"/>
  <c r="S32" i="1"/>
  <c r="T32" i="1"/>
  <c r="U32" i="1"/>
  <c r="W32" i="1"/>
  <c r="X32" i="1"/>
  <c r="Y32" i="1"/>
  <c r="Z32" i="1"/>
  <c r="AB32" i="1"/>
  <c r="AC32" i="1"/>
  <c r="AD32" i="1"/>
  <c r="AE32" i="1"/>
  <c r="AF32" i="1"/>
  <c r="AG32" i="1"/>
  <c r="AH32" i="1"/>
  <c r="AI32" i="1"/>
  <c r="J33" i="1"/>
  <c r="K33" i="1"/>
  <c r="S33" i="1"/>
  <c r="T33" i="1"/>
  <c r="U33" i="1"/>
  <c r="W33" i="1"/>
  <c r="X33" i="1"/>
  <c r="Y33" i="1"/>
  <c r="Z33" i="1"/>
  <c r="AB33" i="1"/>
  <c r="AC33" i="1"/>
  <c r="AD33" i="1"/>
  <c r="AE33" i="1"/>
  <c r="AF33" i="1"/>
  <c r="AG33" i="1"/>
  <c r="AH33" i="1"/>
  <c r="AI33" i="1"/>
  <c r="J34" i="1"/>
  <c r="K34" i="1"/>
  <c r="S34" i="1"/>
  <c r="T34" i="1"/>
  <c r="U34" i="1"/>
  <c r="W34" i="1"/>
  <c r="X34" i="1"/>
  <c r="Y34" i="1"/>
  <c r="Z34" i="1"/>
  <c r="AB34" i="1"/>
  <c r="AC34" i="1"/>
  <c r="AD34" i="1"/>
  <c r="AE34" i="1"/>
  <c r="AF34" i="1"/>
  <c r="AG34" i="1"/>
  <c r="AH34" i="1"/>
  <c r="AI34" i="1"/>
  <c r="J35" i="1"/>
  <c r="K35" i="1"/>
  <c r="J36" i="1"/>
  <c r="K36" i="1"/>
  <c r="S36" i="1"/>
  <c r="T36" i="1"/>
  <c r="U36" i="1"/>
  <c r="W36" i="1"/>
  <c r="X36" i="1"/>
  <c r="Y36" i="1"/>
  <c r="Z36" i="1"/>
  <c r="AB36" i="1"/>
  <c r="AC36" i="1"/>
  <c r="AD36" i="1"/>
  <c r="AE36" i="1"/>
  <c r="AF36" i="1"/>
  <c r="AG36" i="1"/>
  <c r="AH36" i="1"/>
  <c r="AI36" i="1"/>
  <c r="J37" i="1"/>
  <c r="K37" i="1"/>
  <c r="S37" i="1"/>
  <c r="T37" i="1"/>
  <c r="U37" i="1"/>
  <c r="W37" i="1"/>
  <c r="X37" i="1"/>
  <c r="Y37" i="1"/>
  <c r="Z37" i="1"/>
  <c r="AB37" i="1"/>
  <c r="AC37" i="1"/>
  <c r="AD37" i="1"/>
  <c r="AE37" i="1"/>
  <c r="AF37" i="1"/>
  <c r="AG37" i="1"/>
  <c r="AH37" i="1"/>
  <c r="AI37" i="1"/>
  <c r="S38" i="1"/>
  <c r="T38" i="1"/>
  <c r="U38" i="1"/>
  <c r="W38" i="1"/>
  <c r="X38" i="1"/>
  <c r="Y38" i="1"/>
  <c r="Z38" i="1"/>
  <c r="AB38" i="1"/>
  <c r="AC38" i="1"/>
  <c r="AD38" i="1"/>
  <c r="AE38" i="1"/>
  <c r="AF38" i="1"/>
  <c r="AG38" i="1"/>
  <c r="AH38" i="1"/>
  <c r="AI38" i="1"/>
  <c r="S39" i="1"/>
  <c r="T39" i="1"/>
  <c r="U39" i="1"/>
  <c r="W39" i="1"/>
  <c r="X39" i="1"/>
  <c r="Y39" i="1"/>
  <c r="Z39" i="1"/>
  <c r="AB39" i="1"/>
  <c r="AC39" i="1"/>
  <c r="AD39" i="1"/>
  <c r="AE39" i="1"/>
  <c r="AF39" i="1"/>
  <c r="AG39" i="1"/>
  <c r="AH39" i="1"/>
  <c r="AI39" i="1"/>
  <c r="K43" i="1"/>
  <c r="V43" i="1"/>
  <c r="K44" i="1"/>
  <c r="V44" i="1"/>
  <c r="K45" i="1"/>
  <c r="V45" i="1"/>
  <c r="K46" i="1"/>
  <c r="K47" i="1"/>
  <c r="R48" i="1"/>
  <c r="J49" i="1"/>
  <c r="R49" i="1"/>
  <c r="R51" i="1"/>
  <c r="Y63" i="1"/>
  <c r="Z63" i="1"/>
  <c r="Y64" i="1"/>
  <c r="Z64" i="1"/>
  <c r="Y65" i="1"/>
  <c r="Z65" i="1"/>
  <c r="Y66" i="1"/>
  <c r="Z66" i="1"/>
  <c r="Y67" i="1"/>
  <c r="Z67" i="1"/>
  <c r="Q8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Weldon Burton</author>
  </authors>
  <commentList>
    <comment ref="K31" authorId="0" shapeId="0" xr:uid="{5C9D0AD7-7C67-47B3-BD02-95C93E824050}">
      <text>
        <r>
          <rPr>
            <b/>
            <sz val="9"/>
            <color indexed="81"/>
            <rFont val="Tahoma"/>
            <family val="2"/>
          </rPr>
          <t>Weldon Burton:</t>
        </r>
        <r>
          <rPr>
            <sz val="9"/>
            <color indexed="81"/>
            <rFont val="Tahoma"/>
            <family val="2"/>
          </rPr>
          <t xml:space="preserve">
Balance includes calculated salvage value of $242,034</t>
        </r>
      </text>
    </comment>
    <comment ref="M31" authorId="0" shapeId="0" xr:uid="{FC6E7789-B9D7-4B94-B2DF-E8FC31E8CF10}">
      <text>
        <r>
          <rPr>
            <b/>
            <sz val="9"/>
            <color indexed="81"/>
            <rFont val="Tahoma"/>
            <family val="2"/>
          </rPr>
          <t>Weldon Burton:</t>
        </r>
        <r>
          <rPr>
            <sz val="9"/>
            <color indexed="81"/>
            <rFont val="Tahoma"/>
            <family val="2"/>
          </rPr>
          <t xml:space="preserve">
Balance $1,462,910 agrees with books
</t>
        </r>
      </text>
    </comment>
    <comment ref="O223" authorId="0" shapeId="0" xr:uid="{A7794E5C-63F9-479B-A973-18061C70A630}">
      <text>
        <r>
          <rPr>
            <b/>
            <sz val="9"/>
            <color indexed="81"/>
            <rFont val="Tahoma"/>
            <family val="2"/>
          </rPr>
          <t xml:space="preserve">Weldon Burton: Full Year of Deprecaition taken-prospective rate making
</t>
        </r>
        <r>
          <rPr>
            <sz val="9"/>
            <color indexed="81"/>
            <rFont val="Tahoma"/>
            <family val="2"/>
          </rPr>
          <t xml:space="preserve">
</t>
        </r>
      </text>
    </comment>
    <comment ref="O224" authorId="0" shapeId="0" xr:uid="{CAE7CD51-AC62-41E6-9B71-B87A00680C19}">
      <text>
        <r>
          <rPr>
            <b/>
            <sz val="9"/>
            <color indexed="81"/>
            <rFont val="Tahoma"/>
            <family val="2"/>
          </rPr>
          <t xml:space="preserve">Weldon Burton: Full Year of Deprecaition taken-prospective rate making
</t>
        </r>
        <r>
          <rPr>
            <sz val="9"/>
            <color indexed="81"/>
            <rFont val="Tahoma"/>
            <family val="2"/>
          </rPr>
          <t xml:space="preserve">
</t>
        </r>
      </text>
    </comment>
    <comment ref="O225" authorId="0" shapeId="0" xr:uid="{A6E792AC-8D94-4A62-980B-30572CC41E1E}">
      <text>
        <r>
          <rPr>
            <b/>
            <sz val="9"/>
            <color indexed="81"/>
            <rFont val="Tahoma"/>
            <family val="2"/>
          </rPr>
          <t xml:space="preserve">Weldon Burton: Full Year of Deprecaition taken-prospective rate making
</t>
        </r>
        <r>
          <rPr>
            <sz val="9"/>
            <color indexed="81"/>
            <rFont val="Tahoma"/>
            <family val="2"/>
          </rPr>
          <t xml:space="preserve">
</t>
        </r>
      </text>
    </comment>
    <comment ref="O226" authorId="0" shapeId="0" xr:uid="{CA3347AA-E582-42CD-9525-DD245E9D228A}">
      <text>
        <r>
          <rPr>
            <b/>
            <sz val="9"/>
            <color indexed="81"/>
            <rFont val="Tahoma"/>
            <family val="2"/>
          </rPr>
          <t xml:space="preserve">Weldon Burton: Full Year of Deprecaition taken-prospective rate making
</t>
        </r>
        <r>
          <rPr>
            <sz val="9"/>
            <color indexed="81"/>
            <rFont val="Tahoma"/>
            <family val="2"/>
          </rPr>
          <t xml:space="preserve">
</t>
        </r>
      </text>
    </comment>
    <comment ref="O227" authorId="0" shapeId="0" xr:uid="{57939D03-9810-4866-8E2C-736A5217499F}">
      <text>
        <r>
          <rPr>
            <b/>
            <sz val="9"/>
            <color indexed="81"/>
            <rFont val="Tahoma"/>
            <family val="2"/>
          </rPr>
          <t xml:space="preserve">Weldon Burton: Full Year of Deprecaition taken-prospective rate making
</t>
        </r>
        <r>
          <rPr>
            <sz val="9"/>
            <color indexed="81"/>
            <rFont val="Tahoma"/>
            <family val="2"/>
          </rPr>
          <t xml:space="preserve">
</t>
        </r>
      </text>
    </comment>
    <comment ref="O228" authorId="0" shapeId="0" xr:uid="{66E55D4D-B39D-482E-88DC-45F7F9C6E200}">
      <text>
        <r>
          <rPr>
            <b/>
            <sz val="9"/>
            <color indexed="81"/>
            <rFont val="Tahoma"/>
            <family val="2"/>
          </rPr>
          <t xml:space="preserve">Weldon Burton: Full Year of Deprecaition taken-prospective rate making
</t>
        </r>
        <r>
          <rPr>
            <sz val="9"/>
            <color indexed="81"/>
            <rFont val="Tahoma"/>
            <family val="2"/>
          </rPr>
          <t xml:space="preserve">
</t>
        </r>
      </text>
    </comment>
    <comment ref="O229" authorId="0" shapeId="0" xr:uid="{C2A4C761-FA21-401B-BEF4-F54FFEFDF4E2}">
      <text>
        <r>
          <rPr>
            <b/>
            <sz val="9"/>
            <color indexed="81"/>
            <rFont val="Tahoma"/>
            <family val="2"/>
          </rPr>
          <t xml:space="preserve">Weldon Burton: Full Year of Deprecaition taken-prospective rate making
</t>
        </r>
        <r>
          <rPr>
            <sz val="9"/>
            <color indexed="81"/>
            <rFont val="Tahoma"/>
            <family val="2"/>
          </rPr>
          <t xml:space="preserve">
</t>
        </r>
      </text>
    </comment>
    <comment ref="O230" authorId="0" shapeId="0" xr:uid="{73C5009C-6650-4D53-A36B-505CEB16AC06}">
      <text>
        <r>
          <rPr>
            <b/>
            <sz val="9"/>
            <color indexed="81"/>
            <rFont val="Tahoma"/>
            <family val="2"/>
          </rPr>
          <t xml:space="preserve">Weldon Burton: Full Year of Deprecaition taken-prospective rate making
</t>
        </r>
        <r>
          <rPr>
            <sz val="9"/>
            <color indexed="81"/>
            <rFont val="Tahoma"/>
            <family val="2"/>
          </rPr>
          <t xml:space="preserve">
</t>
        </r>
      </text>
    </comment>
  </commentList>
</comments>
</file>

<file path=xl/sharedStrings.xml><?xml version="1.0" encoding="utf-8"?>
<sst xmlns="http://schemas.openxmlformats.org/spreadsheetml/2006/main" count="3289" uniqueCount="1108">
  <si>
    <t>2018 Version Update Changes</t>
  </si>
  <si>
    <t>CALCULATION TABLES</t>
  </si>
  <si>
    <t>(a)</t>
  </si>
  <si>
    <t>(b)</t>
  </si>
  <si>
    <t>(c)</t>
  </si>
  <si>
    <t>(d)</t>
  </si>
  <si>
    <t>(e)</t>
  </si>
  <si>
    <t>(f)</t>
  </si>
  <si>
    <t>Regession</t>
  </si>
  <si>
    <t>Hauler</t>
  </si>
  <si>
    <t>Line</t>
  </si>
  <si>
    <t>Historical</t>
  </si>
  <si>
    <t>Revenue</t>
  </si>
  <si>
    <t>Proforma</t>
  </si>
  <si>
    <t>Before Tax</t>
  </si>
  <si>
    <t>Less</t>
  </si>
  <si>
    <t>Adjusted</t>
  </si>
  <si>
    <t>After Tax</t>
  </si>
  <si>
    <t>Weighted Cost</t>
  </si>
  <si>
    <t>No.</t>
  </si>
  <si>
    <t>Taxes</t>
  </si>
  <si>
    <t>Requirment</t>
  </si>
  <si>
    <t>Profit Ratio</t>
  </si>
  <si>
    <t>BTROI</t>
  </si>
  <si>
    <t>WCDebt</t>
  </si>
  <si>
    <t>BTROE</t>
  </si>
  <si>
    <t>ROE</t>
  </si>
  <si>
    <t>Equity</t>
  </si>
  <si>
    <t>Equity BFT</t>
  </si>
  <si>
    <t>Debt</t>
  </si>
  <si>
    <t>BTROR</t>
  </si>
  <si>
    <t>Operating Ratio</t>
  </si>
  <si>
    <t>Operating Revenue</t>
  </si>
  <si>
    <t>Operating Expenses</t>
  </si>
  <si>
    <t>Operating Income</t>
  </si>
  <si>
    <t>Interest Expense</t>
  </si>
  <si>
    <t>2nd Iteration</t>
  </si>
  <si>
    <t>Income Tax Expense</t>
  </si>
  <si>
    <t>Net Income</t>
  </si>
  <si>
    <t xml:space="preserve">Operating Ratio </t>
  </si>
  <si>
    <t>3rd Iteration</t>
  </si>
  <si>
    <t>Rev Sensitive Taxes</t>
  </si>
  <si>
    <t>Rate Increase</t>
  </si>
  <si>
    <t>4th Iteration</t>
  </si>
  <si>
    <t>Financing Cost</t>
  </si>
  <si>
    <t>Type</t>
  </si>
  <si>
    <t>Percent</t>
  </si>
  <si>
    <t>Amount</t>
  </si>
  <si>
    <t>Rate</t>
  </si>
  <si>
    <t>Weighted</t>
  </si>
  <si>
    <t>5th Iteration</t>
  </si>
  <si>
    <t>Operating Statistics</t>
  </si>
  <si>
    <t>Pre-tax</t>
  </si>
  <si>
    <t>6th Iteration</t>
  </si>
  <si>
    <t>Return on Investment</t>
  </si>
  <si>
    <t>Return on Equity</t>
  </si>
  <si>
    <t>Profit Margin</t>
  </si>
  <si>
    <t>Final turnover</t>
  </si>
  <si>
    <t>Tax Rate</t>
  </si>
  <si>
    <t>Curve</t>
  </si>
  <si>
    <t>Lookup Table</t>
  </si>
  <si>
    <t>Revenue Sensitive Taxes Charges</t>
  </si>
  <si>
    <t xml:space="preserve"> B &amp; O Tax</t>
  </si>
  <si>
    <t xml:space="preserve"> WUTC Fee</t>
  </si>
  <si>
    <t>Curve turnover</t>
  </si>
  <si>
    <t>@EXP(5.72260-(.68367*@LN(T)))</t>
  </si>
  <si>
    <t xml:space="preserve"> City Tax</t>
  </si>
  <si>
    <t>Curve No. used</t>
  </si>
  <si>
    <t>@EXP(5.70827-(.68367*@LN(T)))</t>
  </si>
  <si>
    <t xml:space="preserve"> Bad Debts</t>
  </si>
  <si>
    <t>@EXP(5.69850-(.68367*@LN(T)))</t>
  </si>
  <si>
    <t>Revenue Sensitive</t>
  </si>
  <si>
    <t>@EXP(5.69220-(.68367*@LN(T)))</t>
  </si>
  <si>
    <t>Conversion Factor</t>
  </si>
  <si>
    <t>Base Utility from LG Sample Study</t>
  </si>
  <si>
    <t>Regression Results</t>
  </si>
  <si>
    <t>Cost</t>
  </si>
  <si>
    <t>Y intercept (1)</t>
  </si>
  <si>
    <t>Y intercept (3)</t>
  </si>
  <si>
    <t>Y intercept (2)</t>
  </si>
  <si>
    <t>Y intercept (4)</t>
  </si>
  <si>
    <t>Pfd.</t>
  </si>
  <si>
    <t>Slope</t>
  </si>
  <si>
    <t>Revenue Requirement</t>
  </si>
  <si>
    <t>7th Iteration</t>
  </si>
  <si>
    <t>RevS Taxes</t>
  </si>
  <si>
    <t>Revenue Req</t>
  </si>
  <si>
    <t xml:space="preserve">Total </t>
  </si>
  <si>
    <t xml:space="preserve"> Increase Before</t>
  </si>
  <si>
    <t xml:space="preserve">Revenue </t>
  </si>
  <si>
    <t>Increase After</t>
  </si>
  <si>
    <t xml:space="preserve">RevS </t>
  </si>
  <si>
    <t>Revenue Senstive Taxes (RevS)</t>
  </si>
  <si>
    <t>Before RevS</t>
  </si>
  <si>
    <t>Before</t>
  </si>
  <si>
    <t>Income Tax</t>
  </si>
  <si>
    <t>After</t>
  </si>
  <si>
    <t>B&amp;O Tax Rate</t>
  </si>
  <si>
    <t>Federal Income Tax Rate</t>
  </si>
  <si>
    <t>WUTC Fee</t>
  </si>
  <si>
    <t>City Tax</t>
  </si>
  <si>
    <t>Bad Debts</t>
  </si>
  <si>
    <t>No</t>
  </si>
  <si>
    <t>Total</t>
  </si>
  <si>
    <t>Investment</t>
  </si>
  <si>
    <t>Captial Structure Financing Investment</t>
  </si>
  <si>
    <t>Non-Public Companies</t>
  </si>
  <si>
    <t>Percent Chg</t>
  </si>
  <si>
    <t>● Minimizes impact of changes in test-year revenue from</t>
  </si>
  <si>
    <t>● Allows Income Tax Rate Changes,</t>
  </si>
  <si>
    <t xml:space="preserve">   resulting revenue requirment,</t>
  </si>
  <si>
    <t>● Corrects interest rate transposition in LG.</t>
  </si>
  <si>
    <t>nonpubco</t>
  </si>
  <si>
    <t>Capital Structure - Debt Cost</t>
  </si>
  <si>
    <t>Capital Structure - Debt %</t>
  </si>
  <si>
    <t>INPUTS - Test Year</t>
  </si>
  <si>
    <t>Cost of Capital</t>
  </si>
  <si>
    <t>Change</t>
  </si>
  <si>
    <t>Add: Revenue</t>
  </si>
  <si>
    <t xml:space="preserve"> Sensitive Taxes</t>
  </si>
  <si>
    <t>(d) + (e)</t>
  </si>
  <si>
    <t>(b) + (c)</t>
  </si>
  <si>
    <t>Historical Revenue</t>
  </si>
  <si>
    <r>
      <t xml:space="preserve">LURITO - GALLAGHER FORMULA  MODEL 2018  </t>
    </r>
    <r>
      <rPr>
        <sz val="8"/>
        <color indexed="9"/>
        <rFont val="Calibri"/>
        <family val="2"/>
      </rPr>
      <t>V5.0a</t>
    </r>
  </si>
  <si>
    <t>Check when input is complete</t>
  </si>
  <si>
    <t>For Intial input: Uncheck Checkbox Until Completed</t>
  </si>
  <si>
    <t>Revenue Increase before taxes</t>
  </si>
  <si>
    <t>Percent Increase</t>
  </si>
  <si>
    <t>Carroll-Naslund Disposal Service, INC.</t>
  </si>
  <si>
    <t>Test Period 2020</t>
  </si>
  <si>
    <t>Jan 20</t>
  </si>
  <si>
    <t>Feb 20</t>
  </si>
  <si>
    <t>Mar 20</t>
  </si>
  <si>
    <t>Apr 20</t>
  </si>
  <si>
    <t>May 20</t>
  </si>
  <si>
    <t>Jun 20</t>
  </si>
  <si>
    <t>Jul 20</t>
  </si>
  <si>
    <t>Aug 20</t>
  </si>
  <si>
    <t>Sep 20</t>
  </si>
  <si>
    <t>Oct 20</t>
  </si>
  <si>
    <t>Nov 20</t>
  </si>
  <si>
    <t>Dec 20</t>
  </si>
  <si>
    <t>TOTAL</t>
  </si>
  <si>
    <t>Ordinary Income/Expense</t>
  </si>
  <si>
    <t>Income</t>
  </si>
  <si>
    <t>3100 · Residential Income Pomeroy(Non-Regulated)</t>
  </si>
  <si>
    <t>3150 · Garfield County Residential</t>
  </si>
  <si>
    <t>3200 · Commercial Income Clarkston &amp; Pomeroy(Non-Regulated)</t>
  </si>
  <si>
    <t>3250 · Garfield County Commercial</t>
  </si>
  <si>
    <t>3300 · Non Tax Income</t>
  </si>
  <si>
    <t>3400 · Roll-Off Container</t>
  </si>
  <si>
    <t>Disposal Pass-Thru Income</t>
  </si>
  <si>
    <t>3500 · Asotin Residential Income</t>
  </si>
  <si>
    <t>3550 · Asotin County Residential</t>
  </si>
  <si>
    <t>3600 · Asotin Commercial</t>
  </si>
  <si>
    <t>3650 · Asotin County Commercial</t>
  </si>
  <si>
    <t>3700 · Transfer station (Non-Regulated)</t>
  </si>
  <si>
    <t>Total Income</t>
  </si>
  <si>
    <t>Depreciation Expense</t>
  </si>
  <si>
    <t>5292 · Asotin City B &amp; O Tax</t>
  </si>
  <si>
    <t>Total Taxes</t>
  </si>
  <si>
    <t>Utilities</t>
  </si>
  <si>
    <t>4640 · Cell Phone</t>
  </si>
  <si>
    <t>4642 · Power</t>
  </si>
  <si>
    <t>4644 · Water, Sewer &amp; Garbage</t>
  </si>
  <si>
    <t>4651 · Internet</t>
  </si>
  <si>
    <t>Total Utilities</t>
  </si>
  <si>
    <t>4125 · Bank Charges</t>
  </si>
  <si>
    <t>4130 · Truck Repair</t>
  </si>
  <si>
    <t>4131 · Container Repair</t>
  </si>
  <si>
    <t>4160 · Tires for Truck Expense</t>
  </si>
  <si>
    <t>4180 · Maintenance Supplies</t>
  </si>
  <si>
    <t>4190 · Building Maintenance</t>
  </si>
  <si>
    <t>4240 · Fuel Expense</t>
  </si>
  <si>
    <t>4360 · Landfill</t>
  </si>
  <si>
    <t>4450 · Advertising</t>
  </si>
  <si>
    <t>4455 · Donations</t>
  </si>
  <si>
    <t>4530 · Business Insurance</t>
  </si>
  <si>
    <t>4580 · Other Insurance &amp; Safety Expense</t>
  </si>
  <si>
    <t>4620 · Office Supplies</t>
  </si>
  <si>
    <t>4625 · WRRA Dues</t>
  </si>
  <si>
    <t>4630 · Accounting</t>
  </si>
  <si>
    <t>4631 · Legal</t>
  </si>
  <si>
    <t>4635 · Dues</t>
  </si>
  <si>
    <t>4650 · Employee Benefits</t>
  </si>
  <si>
    <t>4690 · Other General Expense</t>
  </si>
  <si>
    <t>4690.01 · Meals &amp; entertainment</t>
  </si>
  <si>
    <t>4690.02 · Travel &amp; Lodging</t>
  </si>
  <si>
    <t>Total 4690 · Other General Expense</t>
  </si>
  <si>
    <t>5021 · Amortization</t>
  </si>
  <si>
    <t>5060 · NSF Checks</t>
  </si>
  <si>
    <t>5220 · Veh License &amp; Reg Fee</t>
  </si>
  <si>
    <t>5271 · Franchise Fee-Annual Report</t>
  </si>
  <si>
    <t>5291 · Hazardous Waste Fee</t>
  </si>
  <si>
    <t>5293 · Corporate Tax</t>
  </si>
  <si>
    <t>5296 · Garfield County Property Tax</t>
  </si>
  <si>
    <t>5297 · Asotin County Property Tax</t>
  </si>
  <si>
    <t>5298C · B &amp; O State Tax Clarkston</t>
  </si>
  <si>
    <t>5300 · Washington State Retail Tax</t>
  </si>
  <si>
    <t>6560 · Payroll Expenses</t>
  </si>
  <si>
    <t>66900 · Reconciliation Discrepancies</t>
  </si>
  <si>
    <t>7100 · Interest Expense</t>
  </si>
  <si>
    <t>Net Ordinary Income</t>
  </si>
  <si>
    <t>Other Income/Expense</t>
  </si>
  <si>
    <t>4132 · Customer Goodwill</t>
  </si>
  <si>
    <t>Net Other Income</t>
  </si>
  <si>
    <t>Pro Forma</t>
  </si>
  <si>
    <t>Per Books</t>
  </si>
  <si>
    <t xml:space="preserve">Restating </t>
  </si>
  <si>
    <t>Total B/4</t>
  </si>
  <si>
    <t>Non-Regulated</t>
  </si>
  <si>
    <t>Regulated</t>
  </si>
  <si>
    <t xml:space="preserve">Effect of </t>
  </si>
  <si>
    <t>Adjustments</t>
  </si>
  <si>
    <t>Restated</t>
  </si>
  <si>
    <t>Separations</t>
  </si>
  <si>
    <t>Separation</t>
  </si>
  <si>
    <t>B/4 Rates</t>
  </si>
  <si>
    <t>Rates</t>
  </si>
  <si>
    <t>After Rates</t>
  </si>
  <si>
    <t>WUTC - Residential</t>
  </si>
  <si>
    <t xml:space="preserve">WUTC - Commercial </t>
  </si>
  <si>
    <t>WUTC - Drop Box</t>
  </si>
  <si>
    <t>WUTC - Drop Box Pass Through</t>
  </si>
  <si>
    <t>Non-Regulated Residential</t>
  </si>
  <si>
    <t>Non-Regulated Commercial</t>
  </si>
  <si>
    <t>Non-Regulated Other</t>
  </si>
  <si>
    <t>Expenses</t>
  </si>
  <si>
    <t>Truck Repair</t>
  </si>
  <si>
    <t>Container Repair</t>
  </si>
  <si>
    <t>Tires</t>
  </si>
  <si>
    <t>Maintenance Supplies</t>
  </si>
  <si>
    <t>Building Maintenance</t>
  </si>
  <si>
    <t>Customer Damage</t>
  </si>
  <si>
    <t>Fuel Expenses</t>
  </si>
  <si>
    <t>Landfill</t>
  </si>
  <si>
    <t>Drop Box Disposal Through</t>
  </si>
  <si>
    <t>Advertising</t>
  </si>
  <si>
    <t>Donations</t>
  </si>
  <si>
    <t>Business Insurance</t>
  </si>
  <si>
    <t>Office Supplies</t>
  </si>
  <si>
    <t>WRRA Dues</t>
  </si>
  <si>
    <t>Accounting</t>
  </si>
  <si>
    <t>Legal</t>
  </si>
  <si>
    <t>Dues</t>
  </si>
  <si>
    <t>Employee Benefits</t>
  </si>
  <si>
    <t>Travel/Entertainment</t>
  </si>
  <si>
    <t>Amortization</t>
  </si>
  <si>
    <t>NSF Checks</t>
  </si>
  <si>
    <t>Vehicle Licenses</t>
  </si>
  <si>
    <t>UTC Annual Report Fees</t>
  </si>
  <si>
    <t>Hazardous Waste Fees</t>
  </si>
  <si>
    <t>Idaho Filing Fee</t>
  </si>
  <si>
    <t>Property Taxes</t>
  </si>
  <si>
    <t>B&amp;O Tax</t>
  </si>
  <si>
    <t>Sales Tax</t>
  </si>
  <si>
    <t>Payroll</t>
  </si>
  <si>
    <t>Payroll Taxes</t>
  </si>
  <si>
    <t>Reconciliation Discrepancies</t>
  </si>
  <si>
    <t>Bank Charges</t>
  </si>
  <si>
    <t>Depreciation</t>
  </si>
  <si>
    <t>Total Expenses</t>
  </si>
  <si>
    <t>Carroll-Naslund Disposal Service, Inc.</t>
  </si>
  <si>
    <t>Restating Entries</t>
  </si>
  <si>
    <t>Account</t>
  </si>
  <si>
    <t>Increase</t>
  </si>
  <si>
    <t>Number</t>
  </si>
  <si>
    <t>(Decrease)</t>
  </si>
  <si>
    <t>&lt;1&gt;</t>
  </si>
  <si>
    <t>Adjust book depreciation to regulatory depreciation</t>
  </si>
  <si>
    <t>&lt;2&gt;</t>
  </si>
  <si>
    <t>Remove employee bonuses</t>
  </si>
  <si>
    <t>&lt;3&gt;</t>
  </si>
  <si>
    <t>Capitalize item from mainteance supplies</t>
  </si>
  <si>
    <t>&lt;4&gt;</t>
  </si>
  <si>
    <t>Drop Box Disposal Pass-Through</t>
  </si>
  <si>
    <t>To reclassify disposal pass-through billed to directly to customers</t>
  </si>
  <si>
    <t>&lt;5&gt;</t>
  </si>
  <si>
    <t>To remove purchase cost of animals purchased at county fairs, country club dues and</t>
  </si>
  <si>
    <t>remove expenses from rate base not acceptable for rate making.</t>
  </si>
  <si>
    <t>&lt;6&gt;</t>
  </si>
  <si>
    <t>WRRA Dues-Political Lobbying Portion</t>
  </si>
  <si>
    <t xml:space="preserve">To remove expenses recorded on the company books not allowable for rate making </t>
  </si>
  <si>
    <t xml:space="preserve">purposes. </t>
  </si>
  <si>
    <t>&lt;7&gt;</t>
  </si>
  <si>
    <t>Fuel Cost</t>
  </si>
  <si>
    <t>Update fuel expense through June 30, 2021</t>
  </si>
  <si>
    <t>&lt;8&gt;</t>
  </si>
  <si>
    <t>Update recorded reg fees to actual</t>
  </si>
  <si>
    <t>&lt;9&gt;</t>
  </si>
  <si>
    <t>To remove and reclassify payroll taxes separated from payroll</t>
  </si>
  <si>
    <t>To annualize shop employee wages for entire year. Employee hired mid year 2020</t>
  </si>
  <si>
    <t xml:space="preserve">To record anticipated payroll increase following estimated COLA Increases </t>
  </si>
  <si>
    <t xml:space="preserve">for Social Security Purposes. </t>
  </si>
  <si>
    <t xml:space="preserve">Record additional payroll taxes as a result of labor cost increases and Labor &amp; </t>
  </si>
  <si>
    <t>Industries Rate Decrease</t>
  </si>
  <si>
    <t xml:space="preserve">To record 2021 employee medical insurance cost </t>
  </si>
  <si>
    <t>SCHEDULE 6</t>
  </si>
  <si>
    <t>Balance Sheet - Assets - Total Company</t>
  </si>
  <si>
    <t>Instructions</t>
  </si>
  <si>
    <r>
      <t xml:space="preserve">- </t>
    </r>
    <r>
      <rPr>
        <b/>
        <sz val="12"/>
        <color theme="1"/>
        <rFont val="Arial"/>
        <family val="2"/>
      </rPr>
      <t>Do not leave fields blank</t>
    </r>
    <r>
      <rPr>
        <sz val="12"/>
        <color theme="1"/>
        <rFont val="Arial"/>
        <family val="2"/>
      </rPr>
      <t xml:space="preserve"> - if not applicable, enter 0.
- Schedule 6, Line 27 must equal Schedule 7, Line 28</t>
    </r>
  </si>
  <si>
    <t>Account Name</t>
  </si>
  <si>
    <t>Balance End of Year</t>
  </si>
  <si>
    <t>(L)</t>
  </si>
  <si>
    <t>Current Assets:</t>
  </si>
  <si>
    <t>Cash and Working Funds</t>
  </si>
  <si>
    <t>Special Deposits</t>
  </si>
  <si>
    <t>Temporary Cash Investments</t>
  </si>
  <si>
    <t>Notes Receivable</t>
  </si>
  <si>
    <t>Receivables from Affiliated Companies</t>
  </si>
  <si>
    <t>Accounts Receivable</t>
  </si>
  <si>
    <t>Less: Allowance for Uncollectables</t>
  </si>
  <si>
    <t>Net Accounts Receivable</t>
  </si>
  <si>
    <t>Prepayments</t>
  </si>
  <si>
    <t>Materials and Supplies</t>
  </si>
  <si>
    <r>
      <t xml:space="preserve">Other Current Assets </t>
    </r>
    <r>
      <rPr>
        <sz val="9"/>
        <rFont val="Arial"/>
        <family val="2"/>
      </rPr>
      <t>(specify in Footnote)</t>
    </r>
  </si>
  <si>
    <t>Total Current Assets</t>
  </si>
  <si>
    <t>Tangible Property:</t>
  </si>
  <si>
    <t>Solid Waste Operating Property (Schedule 5, Line 12)</t>
  </si>
  <si>
    <t>Less: Accumulated Depreciation (Schedule 5, Line 22)</t>
  </si>
  <si>
    <t>Net Solid Waste Operating Property</t>
  </si>
  <si>
    <t>Total Net Tangible Property</t>
  </si>
  <si>
    <t>Intangible Property:</t>
  </si>
  <si>
    <t>Organization, Franchises, and Permits</t>
  </si>
  <si>
    <t>Less: Accumulated Amortization - Credit</t>
  </si>
  <si>
    <t>Other Intangible Property</t>
  </si>
  <si>
    <t>Total Net Intangible Property</t>
  </si>
  <si>
    <t>Other Assets and Deferred Items:</t>
  </si>
  <si>
    <t>Investment and Advances</t>
  </si>
  <si>
    <t>Undistributed Earnings from Subsidiaries</t>
  </si>
  <si>
    <t>Deferred Debits</t>
  </si>
  <si>
    <r>
      <t xml:space="preserve">Other Assets and Deferred Items: </t>
    </r>
    <r>
      <rPr>
        <sz val="9"/>
        <rFont val="Arial"/>
        <family val="2"/>
      </rPr>
      <t>(specify in Footnote)</t>
    </r>
  </si>
  <si>
    <t>Total Other Assets and Deferred Items</t>
  </si>
  <si>
    <r>
      <t xml:space="preserve">Total Assets </t>
    </r>
    <r>
      <rPr>
        <i/>
        <sz val="10"/>
        <rFont val="Arial"/>
        <family val="2"/>
      </rPr>
      <t>(add lines 12, 16, 21 and 26)</t>
    </r>
  </si>
  <si>
    <t>SCHEDULE 7</t>
  </si>
  <si>
    <t>Balance Sheet - Liabilities and Equity - Total Company</t>
  </si>
  <si>
    <r>
      <rPr>
        <b/>
        <sz val="12"/>
        <rFont val="Arial"/>
        <family val="2"/>
      </rPr>
      <t>- Do not leave fields blank</t>
    </r>
    <r>
      <rPr>
        <sz val="12"/>
        <rFont val="Arial"/>
        <family val="2"/>
      </rPr>
      <t xml:space="preserve"> - if not applicable, enter 0.</t>
    </r>
    <r>
      <rPr>
        <sz val="12"/>
        <color theme="1"/>
        <rFont val="Arial"/>
        <family val="2"/>
      </rPr>
      <t xml:space="preserve">
- Schedule 6, Line 27 must equal Schedule 7, Line 28.</t>
    </r>
  </si>
  <si>
    <t>Current Liabilities:</t>
  </si>
  <si>
    <t>Notes Payable</t>
  </si>
  <si>
    <t>Payables to Affiliated Companies</t>
  </si>
  <si>
    <t>Accounts Payable</t>
  </si>
  <si>
    <t>Salaries and Wages Payable</t>
  </si>
  <si>
    <t>Accrued Taxes</t>
  </si>
  <si>
    <t>Current Portion of Long Term Debt (Equipment and Other)</t>
  </si>
  <si>
    <r>
      <t xml:space="preserve">Other Current Liabilities </t>
    </r>
    <r>
      <rPr>
        <sz val="9"/>
        <rFont val="Arial"/>
        <family val="2"/>
      </rPr>
      <t>(specify in Footnote)</t>
    </r>
  </si>
  <si>
    <t>Total Current Liabilities</t>
  </si>
  <si>
    <t>Long Term Debt After 1 Year:</t>
  </si>
  <si>
    <t>Equipment Obligations</t>
  </si>
  <si>
    <r>
      <t xml:space="preserve">Other Long Term Debt </t>
    </r>
    <r>
      <rPr>
        <sz val="9"/>
        <rFont val="Arial"/>
        <family val="2"/>
      </rPr>
      <t>(specify in Footnote)</t>
    </r>
  </si>
  <si>
    <t>Unamortized Premium / Discount of Debt - (net)</t>
  </si>
  <si>
    <t>Total Long Term Debt After 1 Year</t>
  </si>
  <si>
    <t>Deferred Credits and Other Items:</t>
  </si>
  <si>
    <t>Deferred Credits</t>
  </si>
  <si>
    <r>
      <t xml:space="preserve">Other Credits </t>
    </r>
    <r>
      <rPr>
        <sz val="9"/>
        <rFont val="Arial"/>
        <family val="2"/>
      </rPr>
      <t>(specify in Footnote)</t>
    </r>
  </si>
  <si>
    <t>Total Deferred and Other Credits</t>
  </si>
  <si>
    <t>Total Liabilities (Add Lines 8, 12, and 15)</t>
  </si>
  <si>
    <t>Shareholder's and Proprietor's Equity:</t>
  </si>
  <si>
    <t>Capital Stock</t>
  </si>
  <si>
    <t>Paid in Capital in Excess of Par</t>
  </si>
  <si>
    <t>Other Capital (specify in Footnote)</t>
  </si>
  <si>
    <t>Total Capital Stock</t>
  </si>
  <si>
    <t>Proprietor's Equity</t>
  </si>
  <si>
    <t>Sole Proprietor's Capital</t>
  </si>
  <si>
    <t>Partnership Capital</t>
  </si>
  <si>
    <t>Total Proprietor's Capital</t>
  </si>
  <si>
    <t>Retained Earnings</t>
  </si>
  <si>
    <t>Total Equity (Add Lines 21 and 26 or 25)</t>
  </si>
  <si>
    <t>Total Liabilities and Equity (Line 16 plus Line 27)</t>
  </si>
  <si>
    <t>Schedule 7 Footnotes:</t>
  </si>
  <si>
    <t>Other Long Term Debt:</t>
  </si>
  <si>
    <t>Structure Loan $344,935</t>
  </si>
  <si>
    <t>PPP Loan  $91,836 - Forgiven - Added to retained earnings</t>
  </si>
  <si>
    <t>Adj Pro Forma</t>
  </si>
  <si>
    <t>Remove:      Non-Reg</t>
  </si>
  <si>
    <t>Regulated Before Rates</t>
  </si>
  <si>
    <t>Customer Count</t>
  </si>
  <si>
    <t>Truck Hours</t>
  </si>
  <si>
    <t>Consolidated</t>
  </si>
  <si>
    <t>Tonnage</t>
  </si>
  <si>
    <t>Customer</t>
  </si>
  <si>
    <t>Actual</t>
  </si>
  <si>
    <t xml:space="preserve">Truck </t>
  </si>
  <si>
    <t>Consoiidated</t>
  </si>
  <si>
    <t>Truck Usage</t>
  </si>
  <si>
    <t>Monday</t>
  </si>
  <si>
    <r>
      <t>·</t>
    </r>
    <r>
      <rPr>
        <sz val="7"/>
        <color rgb="FF1D1B11"/>
        <rFont val="Times New Roman"/>
        <family val="1"/>
      </rPr>
      <t xml:space="preserve">         </t>
    </r>
    <r>
      <rPr>
        <sz val="12"/>
        <color rgb="FF1D1B11"/>
        <rFont val="Times New Roman"/>
        <family val="1"/>
      </rPr>
      <t>2016 Peterbilt Automated - Pomeroy City 8 hours</t>
    </r>
  </si>
  <si>
    <t>Driver: Kevin Kreisher</t>
  </si>
  <si>
    <t xml:space="preserve">Asotin County </t>
  </si>
  <si>
    <t>Pomeroy City</t>
  </si>
  <si>
    <t>Garfield County</t>
  </si>
  <si>
    <r>
      <t>·</t>
    </r>
    <r>
      <rPr>
        <sz val="7"/>
        <color rgb="FF1D1B11"/>
        <rFont val="Times New Roman"/>
        <family val="1"/>
      </rPr>
      <t xml:space="preserve">         </t>
    </r>
    <r>
      <rPr>
        <sz val="12"/>
        <color rgb="FF1D1B11"/>
        <rFont val="Times New Roman"/>
        <family val="1"/>
      </rPr>
      <t>2010 Peterbilt Automated - Asotin County 8 hours</t>
    </r>
  </si>
  <si>
    <t>Driver: Mike Cone</t>
  </si>
  <si>
    <t>Tuesday</t>
  </si>
  <si>
    <r>
      <t>·</t>
    </r>
    <r>
      <rPr>
        <sz val="7"/>
        <color rgb="FF1D1B11"/>
        <rFont val="Times New Roman"/>
        <family val="1"/>
      </rPr>
      <t xml:space="preserve">         </t>
    </r>
    <r>
      <rPr>
        <sz val="12"/>
        <color rgb="FF1D1B11"/>
        <rFont val="Times New Roman"/>
        <family val="1"/>
      </rPr>
      <t>2019 Peterbilt Rear load - Asotin County 8 hours</t>
    </r>
  </si>
  <si>
    <t>Wednesday</t>
  </si>
  <si>
    <t>Driver: Kevin Pickett</t>
  </si>
  <si>
    <t>Thursday</t>
  </si>
  <si>
    <r>
      <t>·</t>
    </r>
    <r>
      <rPr>
        <sz val="7"/>
        <color rgb="FF1D1B11"/>
        <rFont val="Times New Roman"/>
        <family val="1"/>
      </rPr>
      <t xml:space="preserve">         </t>
    </r>
    <r>
      <rPr>
        <sz val="12"/>
        <color rgb="FF1D1B11"/>
        <rFont val="Times New Roman"/>
        <family val="1"/>
      </rPr>
      <t>2011 Freightliner Rear load - Asotin County 2 hours</t>
    </r>
  </si>
  <si>
    <t>Friday</t>
  </si>
  <si>
    <t>Driver: Brett Jurries</t>
  </si>
  <si>
    <t>Total Truck Hours per week</t>
  </si>
  <si>
    <t>Allocation %</t>
  </si>
  <si>
    <r>
      <t>·</t>
    </r>
    <r>
      <rPr>
        <sz val="7"/>
        <color rgb="FF1D1B11"/>
        <rFont val="Times New Roman"/>
        <family val="1"/>
      </rPr>
      <t xml:space="preserve">         </t>
    </r>
    <r>
      <rPr>
        <sz val="12"/>
        <color rgb="FF1D1B11"/>
        <rFont val="Times New Roman"/>
        <family val="1"/>
      </rPr>
      <t>2016 Peterbilt Automated - Asotin County 2 hours</t>
    </r>
  </si>
  <si>
    <t>Asotin County</t>
  </si>
  <si>
    <t>% Regulated</t>
  </si>
  <si>
    <t>2016 Peterbilt Automated</t>
  </si>
  <si>
    <t>2010 Peterbilt Automated</t>
  </si>
  <si>
    <r>
      <t>·</t>
    </r>
    <r>
      <rPr>
        <sz val="7"/>
        <color rgb="FF1D1B11"/>
        <rFont val="Times New Roman"/>
        <family val="1"/>
      </rPr>
      <t xml:space="preserve">         </t>
    </r>
    <r>
      <rPr>
        <sz val="12"/>
        <color rgb="FF1D1B11"/>
        <rFont val="Times New Roman"/>
        <family val="1"/>
      </rPr>
      <t>2011 Freightliner Rear load - Garfield County 4 hours</t>
    </r>
  </si>
  <si>
    <t>2009 Peterbilt Automated</t>
  </si>
  <si>
    <t>&amp; Asotin County 4 hours</t>
  </si>
  <si>
    <t>2019 Peterbilt rear load</t>
  </si>
  <si>
    <t>2015 Freightliner rear load</t>
  </si>
  <si>
    <t>2011 Freightliner rear load</t>
  </si>
  <si>
    <r>
      <t>·</t>
    </r>
    <r>
      <rPr>
        <sz val="7"/>
        <color rgb="FF1D1B11"/>
        <rFont val="Times New Roman"/>
        <family val="1"/>
      </rPr>
      <t xml:space="preserve">         </t>
    </r>
    <r>
      <rPr>
        <sz val="12"/>
        <color rgb="FF1D1B11"/>
        <rFont val="Times New Roman"/>
        <family val="1"/>
      </rPr>
      <t>2016 Peterbilt Automated -Not in Operation</t>
    </r>
  </si>
  <si>
    <r>
      <t>·</t>
    </r>
    <r>
      <rPr>
        <sz val="7"/>
        <rFont val="Times New Roman"/>
        <family val="1"/>
      </rPr>
      <t xml:space="preserve">         </t>
    </r>
    <r>
      <rPr>
        <sz val="12"/>
        <rFont val="Times New Roman"/>
        <family val="1"/>
      </rPr>
      <t>2010 Peterbilt Automated - Asotin County 8 hours</t>
    </r>
  </si>
  <si>
    <r>
      <t>·</t>
    </r>
    <r>
      <rPr>
        <sz val="7"/>
        <rFont val="Times New Roman"/>
        <family val="1"/>
      </rPr>
      <t xml:space="preserve">         </t>
    </r>
    <r>
      <rPr>
        <sz val="12"/>
        <rFont val="Times New Roman"/>
        <family val="1"/>
      </rPr>
      <t>2019 Peterbilt Rear load - Asotin County 8 hours</t>
    </r>
  </si>
  <si>
    <r>
      <t>·</t>
    </r>
    <r>
      <rPr>
        <sz val="7"/>
        <rFont val="Times New Roman"/>
        <family val="1"/>
      </rPr>
      <t xml:space="preserve">         </t>
    </r>
    <r>
      <rPr>
        <sz val="12"/>
        <rFont val="Times New Roman"/>
        <family val="1"/>
      </rPr>
      <t>2011 Freightliner Rear load - Garfield County 8 Hours</t>
    </r>
  </si>
  <si>
    <r>
      <t>·</t>
    </r>
    <r>
      <rPr>
        <sz val="7"/>
        <color rgb="FF1D1B11"/>
        <rFont val="Times New Roman"/>
        <family val="1"/>
      </rPr>
      <t xml:space="preserve">         </t>
    </r>
    <r>
      <rPr>
        <sz val="12"/>
        <color rgb="FF1D1B11"/>
        <rFont val="Times New Roman"/>
        <family val="1"/>
      </rPr>
      <t>2019 Peterbilt Rear load - Asotin County 5 hours</t>
    </r>
  </si>
  <si>
    <r>
      <t>·</t>
    </r>
    <r>
      <rPr>
        <sz val="7"/>
        <color rgb="FF1D1B11"/>
        <rFont val="Times New Roman"/>
        <family val="1"/>
      </rPr>
      <t xml:space="preserve">         </t>
    </r>
    <r>
      <rPr>
        <sz val="12"/>
        <color rgb="FF1D1B11"/>
        <rFont val="Times New Roman"/>
        <family val="1"/>
      </rPr>
      <t>2011 Freightliner Rear load - Not in operation</t>
    </r>
  </si>
  <si>
    <r>
      <t>·</t>
    </r>
    <r>
      <rPr>
        <sz val="7"/>
        <color rgb="FF1D1B11"/>
        <rFont val="Times New Roman"/>
        <family val="1"/>
      </rPr>
      <t xml:space="preserve">         </t>
    </r>
    <r>
      <rPr>
        <sz val="12"/>
        <color rgb="FF1D1B11"/>
        <rFont val="Times New Roman"/>
        <family val="1"/>
      </rPr>
      <t>2009 Peterbilt Automated - Asotin County 8 hours</t>
    </r>
  </si>
  <si>
    <t>Driver: Brett Jurries &amp; Kevin Pickett</t>
  </si>
  <si>
    <r>
      <t>·</t>
    </r>
    <r>
      <rPr>
        <sz val="7"/>
        <color rgb="FF1D1B11"/>
        <rFont val="Times New Roman"/>
        <family val="1"/>
      </rPr>
      <t xml:space="preserve">         </t>
    </r>
    <r>
      <rPr>
        <sz val="12"/>
        <color rgb="FF1D1B11"/>
        <rFont val="Times New Roman"/>
        <family val="1"/>
      </rPr>
      <t>2016 Peterbilt Automated - Not in Operation</t>
    </r>
  </si>
  <si>
    <r>
      <t>·</t>
    </r>
    <r>
      <rPr>
        <sz val="7"/>
        <color rgb="FF1D1B11"/>
        <rFont val="Times New Roman"/>
        <family val="1"/>
      </rPr>
      <t xml:space="preserve">         </t>
    </r>
    <r>
      <rPr>
        <sz val="12"/>
        <color rgb="FF1D1B11"/>
        <rFont val="Times New Roman"/>
        <family val="1"/>
      </rPr>
      <t>2019 Peterbilt Rear load- Asotin County 8 hours</t>
    </r>
  </si>
  <si>
    <r>
      <t>·</t>
    </r>
    <r>
      <rPr>
        <sz val="7"/>
        <color rgb="FF1D1B11"/>
        <rFont val="Times New Roman"/>
        <family val="1"/>
      </rPr>
      <t xml:space="preserve">         </t>
    </r>
    <r>
      <rPr>
        <sz val="12"/>
        <color rgb="FF1D1B11"/>
        <rFont val="Times New Roman"/>
        <family val="1"/>
      </rPr>
      <t>2011 Freightliner Rear load- Not in operation</t>
    </r>
  </si>
  <si>
    <t>Roll-Off Trucks</t>
  </si>
  <si>
    <r>
      <t>·</t>
    </r>
    <r>
      <rPr>
        <sz val="7"/>
        <color rgb="FF1D1B11"/>
        <rFont val="Times New Roman"/>
        <family val="1"/>
      </rPr>
      <t xml:space="preserve">         </t>
    </r>
    <r>
      <rPr>
        <sz val="12"/>
        <color rgb="FF1D1B11"/>
        <rFont val="Times New Roman"/>
        <family val="1"/>
      </rPr>
      <t>1998 Volvo &amp; 2006 Kenworth Roll-off Trucks are used on an as needed basis. This is determinate on when a roll-off is full or needs to be ran. For our regular customers this can be anywhere from every week to once per month. Collection frequency will vary for customer that do not have roll-offs on regular basis.</t>
    </r>
  </si>
  <si>
    <t>Back up Trucks</t>
  </si>
  <si>
    <r>
      <t>·</t>
    </r>
    <r>
      <rPr>
        <sz val="7"/>
        <color rgb="FF1D1B11"/>
        <rFont val="Times New Roman"/>
        <family val="1"/>
      </rPr>
      <t xml:space="preserve">         </t>
    </r>
    <r>
      <rPr>
        <sz val="12"/>
        <color rgb="FF1D1B11"/>
        <rFont val="Times New Roman"/>
        <family val="1"/>
      </rPr>
      <t>2009 Peterbilt Automated</t>
    </r>
  </si>
  <si>
    <r>
      <t>·</t>
    </r>
    <r>
      <rPr>
        <sz val="7"/>
        <color rgb="FF1D1B11"/>
        <rFont val="Times New Roman"/>
        <family val="1"/>
      </rPr>
      <t xml:space="preserve">         </t>
    </r>
    <r>
      <rPr>
        <sz val="12"/>
        <color rgb="FF1D1B11"/>
        <rFont val="Times New Roman"/>
        <family val="1"/>
      </rPr>
      <t xml:space="preserve">2015 Freightliner Rearload </t>
    </r>
  </si>
  <si>
    <t xml:space="preserve">Rate </t>
  </si>
  <si>
    <t>Customer Count - Test Year</t>
  </si>
  <si>
    <t>Increase %</t>
  </si>
  <si>
    <t>Current</t>
  </si>
  <si>
    <t xml:space="preserve">Proposed </t>
  </si>
  <si>
    <t>Rate x Average Count</t>
  </si>
  <si>
    <t>1st Quarter</t>
  </si>
  <si>
    <t>2nd Quarter</t>
  </si>
  <si>
    <t>3rd Quarter</t>
  </si>
  <si>
    <t>4th Quarter</t>
  </si>
  <si>
    <t>Average</t>
  </si>
  <si>
    <t>Tariff Item #</t>
  </si>
  <si>
    <t>RESIDENTIAL Asotin County</t>
  </si>
  <si>
    <t>Late fee</t>
  </si>
  <si>
    <t>Return Check Fee</t>
  </si>
  <si>
    <t>Delivery Charge-60 or 90 Gallon</t>
  </si>
  <si>
    <t xml:space="preserve">Over-sized or Over-weight </t>
  </si>
  <si>
    <t>Return Trips - Can/Mini-Can</t>
  </si>
  <si>
    <t>Carry-out charge 5 to 25 feet - Per pickup</t>
  </si>
  <si>
    <t>Carry-out charge over 25 feet - Per pickup</t>
  </si>
  <si>
    <t>Drive-in Charge - per month</t>
  </si>
  <si>
    <t>Mini Can - WG</t>
  </si>
  <si>
    <t>64 Gallon - MG</t>
  </si>
  <si>
    <t>64 Gallon - EOWG</t>
  </si>
  <si>
    <t>64 Gallon - WG</t>
  </si>
  <si>
    <t>96 Gallon - WG</t>
  </si>
  <si>
    <t>Extra Can/Unit</t>
  </si>
  <si>
    <t xml:space="preserve">TOTAL RESIDENTIAL </t>
  </si>
  <si>
    <t>CONTAINERS Asotin County</t>
  </si>
  <si>
    <t>1.5 Yard - Rent</t>
  </si>
  <si>
    <t>1.5 Yard - Pickups</t>
  </si>
  <si>
    <t>1.5 Yard - Special Pickups</t>
  </si>
  <si>
    <t>2 Yard - Rent</t>
  </si>
  <si>
    <t>2 Yard - Pickups</t>
  </si>
  <si>
    <t>2 Yard - Special Pickups</t>
  </si>
  <si>
    <t>3 Yard - Rent</t>
  </si>
  <si>
    <t>3 Yard - Pickups</t>
  </si>
  <si>
    <t>3 Yard - Special Pickups</t>
  </si>
  <si>
    <t>4 Yard - Rent</t>
  </si>
  <si>
    <t>4 Yard - Pickups</t>
  </si>
  <si>
    <t>4 Yard - Special Pickups</t>
  </si>
  <si>
    <t>6 Yard - Rent</t>
  </si>
  <si>
    <t>6 Yard - Pickups</t>
  </si>
  <si>
    <t>6 Yard - Special Pickups</t>
  </si>
  <si>
    <t>32 gal can or unit</t>
  </si>
  <si>
    <t>TOTAL CONTAINERS</t>
  </si>
  <si>
    <t>Tariff</t>
  </si>
  <si>
    <t>Item #</t>
  </si>
  <si>
    <t>RESIDENTIAL Garfield County</t>
  </si>
  <si>
    <t>2-64 Gallon-WG</t>
  </si>
  <si>
    <t>CONTAINERS Garfield County</t>
  </si>
  <si>
    <t>DROP BOX / COMPACTOR</t>
  </si>
  <si>
    <t>20 Yard Monthly Rent</t>
  </si>
  <si>
    <t>20 Yard - 1st pickup &amp; Additional Pickups</t>
  </si>
  <si>
    <t>30 Yard Monthly Rent</t>
  </si>
  <si>
    <t>30 Yard - 1st pickup &amp; Additional Pickups</t>
  </si>
  <si>
    <t>Mileage Charge per mile</t>
  </si>
  <si>
    <t xml:space="preserve">Total Calculated Income </t>
  </si>
  <si>
    <t>Regulated Income</t>
  </si>
  <si>
    <t>Garfield County Residential</t>
  </si>
  <si>
    <t>Garfield County Commercial</t>
  </si>
  <si>
    <t>Roll-off Hauls</t>
  </si>
  <si>
    <t>Asotin Residential</t>
  </si>
  <si>
    <t>Asotin County Residential</t>
  </si>
  <si>
    <t>Asotin Commercial</t>
  </si>
  <si>
    <t>Asotin County Commercial</t>
  </si>
  <si>
    <t>Difference</t>
  </si>
  <si>
    <t>Summary of Disposal Cost</t>
  </si>
  <si>
    <t>For the test period</t>
  </si>
  <si>
    <t xml:space="preserve">Monthly </t>
  </si>
  <si>
    <t>Asotin County Trucks</t>
  </si>
  <si>
    <t>Drop Box Trucks</t>
  </si>
  <si>
    <t>Total Tonnage</t>
  </si>
  <si>
    <t>Total Dollars</t>
  </si>
  <si>
    <t>City of Pomeroy</t>
  </si>
  <si>
    <t>Other</t>
  </si>
  <si>
    <t>Financials</t>
  </si>
  <si>
    <t>Disposal Rate</t>
  </si>
  <si>
    <t>Consolidate by month</t>
  </si>
  <si>
    <t>1st Month</t>
  </si>
  <si>
    <t>2nd Month</t>
  </si>
  <si>
    <t>3rd Month</t>
  </si>
  <si>
    <t>4th Month</t>
  </si>
  <si>
    <t>5th Month</t>
  </si>
  <si>
    <t>6th Month</t>
  </si>
  <si>
    <t>7th Month</t>
  </si>
  <si>
    <t>8th Month</t>
  </si>
  <si>
    <t>9th Month</t>
  </si>
  <si>
    <t>10th Month</t>
  </si>
  <si>
    <t>11th Month</t>
  </si>
  <si>
    <t>12th Month</t>
  </si>
  <si>
    <t xml:space="preserve">Fuel Cost   </t>
  </si>
  <si>
    <t>Diesel</t>
  </si>
  <si>
    <t>Price</t>
  </si>
  <si>
    <t>Gasoline</t>
  </si>
  <si>
    <t>Oil</t>
  </si>
  <si>
    <t>Fuel</t>
  </si>
  <si>
    <t xml:space="preserve">Wilcox </t>
  </si>
  <si>
    <t xml:space="preserve">Test Period ended </t>
  </si>
  <si>
    <t>Fed &amp; State</t>
  </si>
  <si>
    <t>Gallons</t>
  </si>
  <si>
    <t>Per gal</t>
  </si>
  <si>
    <t>Include Tax</t>
  </si>
  <si>
    <t>Surcharge</t>
  </si>
  <si>
    <t>Monthly total</t>
  </si>
  <si>
    <t>Total Cost Test Period</t>
  </si>
  <si>
    <t>Subsequent Periods</t>
  </si>
  <si>
    <t>13th Month</t>
  </si>
  <si>
    <t>14th Month</t>
  </si>
  <si>
    <t>March '15th Month</t>
  </si>
  <si>
    <t>April '16th Month</t>
  </si>
  <si>
    <t>May '17th Month</t>
  </si>
  <si>
    <t>June '18th Month</t>
  </si>
  <si>
    <t xml:space="preserve">Remove 1st 6 Months </t>
  </si>
  <si>
    <t>Add Subsequent  Months</t>
  </si>
  <si>
    <t>Updated Fuel Cost</t>
  </si>
  <si>
    <t>Fuel cost per books</t>
  </si>
  <si>
    <t xml:space="preserve">Adjustment </t>
  </si>
  <si>
    <t>Naslund Disposal Service, INC.</t>
  </si>
  <si>
    <t>Payroll Summary</t>
  </si>
  <si>
    <t>For the Test Period</t>
  </si>
  <si>
    <t>Month 1</t>
  </si>
  <si>
    <t>Month 2</t>
  </si>
  <si>
    <t>Month 3</t>
  </si>
  <si>
    <t>Month 4</t>
  </si>
  <si>
    <t>Month 5</t>
  </si>
  <si>
    <t>Month 6</t>
  </si>
  <si>
    <t>Month 7</t>
  </si>
  <si>
    <t>Month 8</t>
  </si>
  <si>
    <t>Month 9</t>
  </si>
  <si>
    <t>Month 10</t>
  </si>
  <si>
    <t>Month 11</t>
  </si>
  <si>
    <t>Month 12</t>
  </si>
  <si>
    <t>Employee Number</t>
  </si>
  <si>
    <t>Position</t>
  </si>
  <si>
    <t>Earnings</t>
  </si>
  <si>
    <t>Hours</t>
  </si>
  <si>
    <t>Bonuses</t>
  </si>
  <si>
    <t>Normalization</t>
  </si>
  <si>
    <t>Annual Earnings Before Bonuses</t>
  </si>
  <si>
    <t>Hourly Rate</t>
  </si>
  <si>
    <t>Cola Rate Increase</t>
  </si>
  <si>
    <t>Cola Increase</t>
  </si>
  <si>
    <t>Driver</t>
  </si>
  <si>
    <t>Office</t>
  </si>
  <si>
    <t>Management</t>
  </si>
  <si>
    <t>Officer</t>
  </si>
  <si>
    <t>Shop</t>
  </si>
  <si>
    <t>Bonus Removal</t>
  </si>
  <si>
    <t>Payroll by Month per financial statement</t>
  </si>
  <si>
    <t>Payroll Per Monthly P&amp;L</t>
  </si>
  <si>
    <t xml:space="preserve">Less: Payroll Taxes </t>
  </si>
  <si>
    <t>Master copy with employee names displayed available for "in-camera viewing" during site visit by staff</t>
  </si>
  <si>
    <t>https://www.cnbc.com/2021/06/16/social-security-cola-for-2022-could-be-higher-based-on-consumer-prices.html</t>
  </si>
  <si>
    <t>Quote from CNBC Article Noted Above - The 5.3% estimate was calculated by The Senior Citizens League, a non-partisan senior group, based on Consumer Price Index data from the Bureau of Labor Statistics through May</t>
  </si>
  <si>
    <t>Employee No. 6</t>
  </si>
  <si>
    <t>Employee No. 8</t>
  </si>
  <si>
    <t>Employee No. 1</t>
  </si>
  <si>
    <t>Employee No. 5</t>
  </si>
  <si>
    <t>Employee No. 11</t>
  </si>
  <si>
    <t>Employee No. 9</t>
  </si>
  <si>
    <t>Employee No. 12</t>
  </si>
  <si>
    <t>Employee No. 2</t>
  </si>
  <si>
    <t>Employee No. 10</t>
  </si>
  <si>
    <t>Employee No. 3</t>
  </si>
  <si>
    <t>Employee No. 4</t>
  </si>
  <si>
    <t>Employee No. 7</t>
  </si>
  <si>
    <t>Jan - Dec 20</t>
  </si>
  <si>
    <t>Employer Taxes and Contributions</t>
  </si>
  <si>
    <t>Federal Unemployment</t>
  </si>
  <si>
    <t>Medicare Company</t>
  </si>
  <si>
    <t>Social Security Company</t>
  </si>
  <si>
    <t>WA - Unemployment Company</t>
  </si>
  <si>
    <t>Simple IRA-Co</t>
  </si>
  <si>
    <t>Workers Compensation</t>
  </si>
  <si>
    <t>Workman Comp-Office</t>
  </si>
  <si>
    <t>Workmans Comp</t>
  </si>
  <si>
    <t>Workmans Comp CEO</t>
  </si>
  <si>
    <t>WA - Employment Admin. Fund</t>
  </si>
  <si>
    <t>WA - Paid Fam Med Leave Co.</t>
  </si>
  <si>
    <t>Total Employer Taxes and Contributions</t>
  </si>
  <si>
    <t xml:space="preserve">Labor &amp; Industries Adjustment </t>
  </si>
  <si>
    <t>2020 Rate</t>
  </si>
  <si>
    <t>2021 Rate</t>
  </si>
  <si>
    <t>Solid Waste - Employees # 1-5, 9, 11 &amp; 12</t>
  </si>
  <si>
    <t>Clerical - Employees # 6,7&amp;8</t>
  </si>
  <si>
    <t>Officer - Employee 10</t>
  </si>
  <si>
    <t xml:space="preserve">Social Security Increase </t>
  </si>
  <si>
    <t>COLA Increase</t>
  </si>
  <si>
    <t>Social Security &amp; Medicare Employer Rate</t>
  </si>
  <si>
    <t>Social Security &amp; Medicare Increase</t>
  </si>
  <si>
    <t xml:space="preserve">Carroll-Nasland Disposal </t>
  </si>
  <si>
    <t>Regulatory Depreciation Schedule</t>
  </si>
  <si>
    <t>Months in first year</t>
  </si>
  <si>
    <t>Months in second year</t>
  </si>
  <si>
    <t>A.</t>
  </si>
  <si>
    <t>Purchase date</t>
  </si>
  <si>
    <t>First year</t>
  </si>
  <si>
    <t>B.</t>
  </si>
  <si>
    <t>End of Test Period</t>
  </si>
  <si>
    <t>Second year</t>
  </si>
  <si>
    <t>C</t>
  </si>
  <si>
    <t>Date fully Depr</t>
  </si>
  <si>
    <t>D.</t>
  </si>
  <si>
    <t>Beg of Test Period</t>
  </si>
  <si>
    <t>Beginning</t>
  </si>
  <si>
    <t>Allocated</t>
  </si>
  <si>
    <t>Ending</t>
  </si>
  <si>
    <t>E.</t>
  </si>
  <si>
    <t>Disposition Date</t>
  </si>
  <si>
    <t>Date in Service</t>
  </si>
  <si>
    <t>Salvage</t>
  </si>
  <si>
    <t>Year</t>
  </si>
  <si>
    <t>Disposal</t>
  </si>
  <si>
    <t>Accumulated</t>
  </si>
  <si>
    <t>Branch</t>
  </si>
  <si>
    <t>Accum.</t>
  </si>
  <si>
    <t>Value</t>
  </si>
  <si>
    <t>Method</t>
  </si>
  <si>
    <t>Life</t>
  </si>
  <si>
    <t>Fully</t>
  </si>
  <si>
    <t>Asset</t>
  </si>
  <si>
    <t>Depreciable</t>
  </si>
  <si>
    <t>Monthly</t>
  </si>
  <si>
    <t>Test year</t>
  </si>
  <si>
    <t>Test yr.</t>
  </si>
  <si>
    <t>%</t>
  </si>
  <si>
    <t>Allo.</t>
  </si>
  <si>
    <t>Depr.</t>
  </si>
  <si>
    <t>DESCRIPTION</t>
  </si>
  <si>
    <t>Mo.</t>
  </si>
  <si>
    <t>Depreciated</t>
  </si>
  <si>
    <t xml:space="preserve">  Yr.</t>
  </si>
  <si>
    <t xml:space="preserve"> Mo.</t>
  </si>
  <si>
    <t>B</t>
  </si>
  <si>
    <t>C.</t>
  </si>
  <si>
    <t>Schedule No.</t>
  </si>
  <si>
    <t>GARBAGE COLLECTION EQUIPMENT</t>
  </si>
  <si>
    <t xml:space="preserve">1998 Volvo WX64                              </t>
  </si>
  <si>
    <t>SL</t>
  </si>
  <si>
    <t>5-SV</t>
  </si>
  <si>
    <t xml:space="preserve">09 Peterbuilt Automated                      </t>
  </si>
  <si>
    <t>178-SV</t>
  </si>
  <si>
    <t xml:space="preserve">2011 Freightliner                            </t>
  </si>
  <si>
    <t>184-SV</t>
  </si>
  <si>
    <t xml:space="preserve">2006 Kenworth Rolloff                             </t>
  </si>
  <si>
    <t>185-SV</t>
  </si>
  <si>
    <t xml:space="preserve">2015 Freightliner                            </t>
  </si>
  <si>
    <t>222-SV</t>
  </si>
  <si>
    <t xml:space="preserve">2016 peterbuilt                              </t>
  </si>
  <si>
    <t>223-SV</t>
  </si>
  <si>
    <t xml:space="preserve">Engine rebuild 2009 Peterbuilt               </t>
  </si>
  <si>
    <t xml:space="preserve">2010 Peterbuilt 320                          </t>
  </si>
  <si>
    <t xml:space="preserve">2019 Peterbuilt 348                          </t>
  </si>
  <si>
    <t xml:space="preserve">2011 Freightliner Engine Rebuild             </t>
  </si>
  <si>
    <t xml:space="preserve">2010 Peterbuilt Hydrolics                    </t>
  </si>
  <si>
    <t xml:space="preserve">1998 Volvo New Radiator                      </t>
  </si>
  <si>
    <t>UTC Capitalized Repairs</t>
  </si>
  <si>
    <t>Arm Repair</t>
  </si>
  <si>
    <t>Transmission</t>
  </si>
  <si>
    <t>Service Trucks</t>
  </si>
  <si>
    <t xml:space="preserve">2012 Ford                                    </t>
  </si>
  <si>
    <t>214-SV</t>
  </si>
  <si>
    <t xml:space="preserve">2015 Ford F150                               </t>
  </si>
  <si>
    <t>CONTAINERS AND DROP BOXES</t>
  </si>
  <si>
    <t xml:space="preserve">Containers                                   </t>
  </si>
  <si>
    <t xml:space="preserve">3 containers                                 </t>
  </si>
  <si>
    <t xml:space="preserve">2 Containers                                 </t>
  </si>
  <si>
    <t xml:space="preserve">7 containers                                 </t>
  </si>
  <si>
    <t xml:space="preserve">Container                                    </t>
  </si>
  <si>
    <t xml:space="preserve">2 1-12yd containers                          </t>
  </si>
  <si>
    <t xml:space="preserve">2 1-12yd Containers                          </t>
  </si>
  <si>
    <t xml:space="preserve">2 2yd &amp; 2 4yd Containers                     </t>
  </si>
  <si>
    <t xml:space="preserve">3 2yd containers                             </t>
  </si>
  <si>
    <t xml:space="preserve">4 2yd                                        </t>
  </si>
  <si>
    <t xml:space="preserve">containers                                   </t>
  </si>
  <si>
    <t xml:space="preserve">3 yrd container                              </t>
  </si>
  <si>
    <t xml:space="preserve">12 1-12 yd container                         </t>
  </si>
  <si>
    <t xml:space="preserve">5 ea 1-12yd container                        </t>
  </si>
  <si>
    <t xml:space="preserve">1 4yrd Container                             </t>
  </si>
  <si>
    <t xml:space="preserve">3 2yd 1 12yd 1 4yd containers                </t>
  </si>
  <si>
    <t xml:space="preserve">Three 1-12yd Container                       </t>
  </si>
  <si>
    <t xml:space="preserve">2 6yd Containers                             </t>
  </si>
  <si>
    <t xml:space="preserve">2 1-12 containers                            </t>
  </si>
  <si>
    <t xml:space="preserve">2 2yd &amp; 2 4yd containers                     </t>
  </si>
  <si>
    <t xml:space="preserve">carts                                        </t>
  </si>
  <si>
    <t xml:space="preserve">Carts                                        </t>
  </si>
  <si>
    <t xml:space="preserve">Toters                                       </t>
  </si>
  <si>
    <t xml:space="preserve">Carts &amp; Containers                           </t>
  </si>
  <si>
    <t xml:space="preserve">Containers &amp; Carts                           </t>
  </si>
  <si>
    <t xml:space="preserve">Containers From SDI                          </t>
  </si>
  <si>
    <t xml:space="preserve">Containers from SDI                          </t>
  </si>
  <si>
    <t xml:space="preserve">Roll Off                                     </t>
  </si>
  <si>
    <t xml:space="preserve">Roll OFF                                     </t>
  </si>
  <si>
    <t xml:space="preserve">Roll-off                                     </t>
  </si>
  <si>
    <t xml:space="preserve">Repairs to containers                        </t>
  </si>
  <si>
    <t xml:space="preserve">Western Systems                              </t>
  </si>
  <si>
    <t xml:space="preserve">Toters pomeroy                               </t>
  </si>
  <si>
    <t xml:space="preserve">Dumpsters                                    </t>
  </si>
  <si>
    <t xml:space="preserve">Containers 2 &amp; 1/2                           </t>
  </si>
  <si>
    <t xml:space="preserve">Carts &amp; Tubs pomeroy                         </t>
  </si>
  <si>
    <t xml:space="preserve">Solid Waste Systems 96 gallon                </t>
  </si>
  <si>
    <t xml:space="preserve">2 2 yrd Dumpsters                            </t>
  </si>
  <si>
    <t xml:space="preserve">2 4yrd &amp; 2 1 1/2 yard Dumpsters              </t>
  </si>
  <si>
    <t xml:space="preserve">Solid Waste 96 Gallon pomeroy                </t>
  </si>
  <si>
    <t xml:space="preserve">150-64gal Carts                              </t>
  </si>
  <si>
    <t>BUILDING</t>
  </si>
  <si>
    <t xml:space="preserve">Land Purchase                                </t>
  </si>
  <si>
    <t xml:space="preserve">Port of Clarkston Land                       </t>
  </si>
  <si>
    <t xml:space="preserve">Port of Clarkston Building                   </t>
  </si>
  <si>
    <t>SHOP EQUIPMENT</t>
  </si>
  <si>
    <t xml:space="preserve">air wrench                                   </t>
  </si>
  <si>
    <t xml:space="preserve">Comm Equip                                   </t>
  </si>
  <si>
    <t xml:space="preserve">Floor Jack                                   </t>
  </si>
  <si>
    <t xml:space="preserve">Hyd Jack                                     </t>
  </si>
  <si>
    <t xml:space="preserve">Sockets                                      </t>
  </si>
  <si>
    <t xml:space="preserve">Trailer                                      </t>
  </si>
  <si>
    <t xml:space="preserve">fork Lift                                    </t>
  </si>
  <si>
    <t>Sub-Total - Shop Equipment</t>
  </si>
  <si>
    <t>UTC Capitalized Items</t>
  </si>
  <si>
    <t>Truck Scan/Diganotic Tool</t>
  </si>
  <si>
    <t>OFFICE EQUIPMENT</t>
  </si>
  <si>
    <t xml:space="preserve">2 computers                                  </t>
  </si>
  <si>
    <t xml:space="preserve">Ceiling Fan office                           </t>
  </si>
  <si>
    <t xml:space="preserve">Computer                                     </t>
  </si>
  <si>
    <t xml:space="preserve">RC Computer                                  </t>
  </si>
  <si>
    <t xml:space="preserve">Computer RC                                  </t>
  </si>
  <si>
    <t xml:space="preserve">Comp Access                                  </t>
  </si>
  <si>
    <t xml:space="preserve">Computer Desks                               </t>
  </si>
  <si>
    <t xml:space="preserve">Computer Upgrade                             </t>
  </si>
  <si>
    <t xml:space="preserve">Counter                                      </t>
  </si>
  <si>
    <t xml:space="preserve">Fax machine                                  </t>
  </si>
  <si>
    <t xml:space="preserve">Fax Machine                                  </t>
  </si>
  <si>
    <t xml:space="preserve">Office Desk                                  </t>
  </si>
  <si>
    <t xml:space="preserve">Office Equip                                 </t>
  </si>
  <si>
    <t xml:space="preserve">Office Furniture                             </t>
  </si>
  <si>
    <t xml:space="preserve">Phone                                        </t>
  </si>
  <si>
    <t xml:space="preserve">Printer &amp; Stands                             </t>
  </si>
  <si>
    <t xml:space="preserve">Radio Equipment                              </t>
  </si>
  <si>
    <t xml:space="preserve">Radios                                       </t>
  </si>
  <si>
    <t xml:space="preserve">Typewriter                                   </t>
  </si>
  <si>
    <t xml:space="preserve">Zip Drive Computer                           </t>
  </si>
  <si>
    <t xml:space="preserve">Printer                                      </t>
  </si>
  <si>
    <t>Summary of Total Cost</t>
  </si>
  <si>
    <t>Trucks</t>
  </si>
  <si>
    <t>Containers</t>
  </si>
  <si>
    <t>Building</t>
  </si>
  <si>
    <t>Shop Equipment</t>
  </si>
  <si>
    <t>Office Equipment</t>
  </si>
  <si>
    <t>Allocation Regulated</t>
  </si>
  <si>
    <t>Allocated on Truck Hours</t>
  </si>
  <si>
    <t>Allocated on Customers</t>
  </si>
  <si>
    <t>Allocation Non-Regulated</t>
  </si>
  <si>
    <t>Date</t>
  </si>
  <si>
    <t>Num</t>
  </si>
  <si>
    <t>Name</t>
  </si>
  <si>
    <t>Memo</t>
  </si>
  <si>
    <t>Class</t>
  </si>
  <si>
    <t>Split</t>
  </si>
  <si>
    <t>Balance</t>
  </si>
  <si>
    <t>Deposit</t>
  </si>
  <si>
    <t>Dep</t>
  </si>
  <si>
    <t>1010 DEP</t>
  </si>
  <si>
    <t>REFUNS FROM SWS</t>
  </si>
  <si>
    <t>Clarkston</t>
  </si>
  <si>
    <t>1010C · Clarkston checking</t>
  </si>
  <si>
    <t>Credit Card Charge</t>
  </si>
  <si>
    <t>Transport Equipment</t>
  </si>
  <si>
    <t>2053C · Bank of America-Clarkston</t>
  </si>
  <si>
    <t>Bill</t>
  </si>
  <si>
    <t>Solid Waste Systems</t>
  </si>
  <si>
    <t>Arm parts</t>
  </si>
  <si>
    <t>2050C · Accounts Payable - Clk</t>
  </si>
  <si>
    <t>Cable</t>
  </si>
  <si>
    <t>Lewiston Chevrolet</t>
  </si>
  <si>
    <t>joystick</t>
  </si>
  <si>
    <t>hydraulic cylindar</t>
  </si>
  <si>
    <t>2016 repair</t>
  </si>
  <si>
    <t>Inv # 0121627-IN</t>
  </si>
  <si>
    <t>Farm &amp; Home Supply</t>
  </si>
  <si>
    <t>Pomeroy</t>
  </si>
  <si>
    <t>Inv # 0122500-IN</t>
  </si>
  <si>
    <t>Wholesale Radiator Warehouse &amp; Repair</t>
  </si>
  <si>
    <t>1998 Volvo</t>
  </si>
  <si>
    <t>Toter lift for 2019</t>
  </si>
  <si>
    <t>Inv # 0123127-IN</t>
  </si>
  <si>
    <t>Inv # 0123228-IN</t>
  </si>
  <si>
    <t>OEM Controlls</t>
  </si>
  <si>
    <t>Joystick Rebuild</t>
  </si>
  <si>
    <t>Check</t>
  </si>
  <si>
    <t>17422</t>
  </si>
  <si>
    <t>Kreisher, Kevin G</t>
  </si>
  <si>
    <t>Shoe Breaks for emergencey weekend job</t>
  </si>
  <si>
    <t>Inv # 0123592-IN</t>
  </si>
  <si>
    <t>Clearwater Hydraulics</t>
  </si>
  <si>
    <t>Hydraulic pump re-build</t>
  </si>
  <si>
    <t>Kaman</t>
  </si>
  <si>
    <t xml:space="preserve"> Hydraulic hose</t>
  </si>
  <si>
    <t>Randy Hanvey</t>
  </si>
  <si>
    <t>Connector for unit #5</t>
  </si>
  <si>
    <t>Hydraulic hose repair</t>
  </si>
  <si>
    <t>2016 Arm and head bolt</t>
  </si>
  <si>
    <t>2016 Cam for arm</t>
  </si>
  <si>
    <t>Inv # 0123724-IN/ 0124383-IN/0124622-IN</t>
  </si>
  <si>
    <t>17531</t>
  </si>
  <si>
    <t>Luper Automotive</t>
  </si>
  <si>
    <t>Starter Rebuild for Forklift</t>
  </si>
  <si>
    <t>AutoPro Tech</t>
  </si>
  <si>
    <t>Auto Pro Tech</t>
  </si>
  <si>
    <t>Kenworth</t>
  </si>
  <si>
    <t>Tailgate Valve</t>
  </si>
  <si>
    <t>Gripper pads</t>
  </si>
  <si>
    <t>Inv # 0125452-IN/ 0125446-IN</t>
  </si>
  <si>
    <t>Western Peterbuilt</t>
  </si>
  <si>
    <t>Repairs</t>
  </si>
  <si>
    <t>Ram Pin 2016</t>
  </si>
  <si>
    <t>Inv # 0182216?</t>
  </si>
  <si>
    <t>Ram Rebuild 2016</t>
  </si>
  <si>
    <t>Always Towing LLC</t>
  </si>
  <si>
    <t>Tow Bill</t>
  </si>
  <si>
    <t>Cust #09-NAS02</t>
  </si>
  <si>
    <t>Harbor Freight Tools</t>
  </si>
  <si>
    <t>Peterbilt</t>
  </si>
  <si>
    <t>Ram Rebuild</t>
  </si>
  <si>
    <t>Engine Deposit</t>
  </si>
  <si>
    <t>Holtz Industries Inc</t>
  </si>
  <si>
    <t>toter lift</t>
  </si>
  <si>
    <t>Heater core for unit 3</t>
  </si>
  <si>
    <t>two injectors unit 7</t>
  </si>
  <si>
    <t>Napa</t>
  </si>
  <si>
    <t>hydraulic line for unit 7</t>
  </si>
  <si>
    <t>mud flaps</t>
  </si>
  <si>
    <t>hydraulic pump 2010</t>
  </si>
  <si>
    <t>harness 2010</t>
  </si>
  <si>
    <t>module 2010</t>
  </si>
  <si>
    <t>camera</t>
  </si>
  <si>
    <t>bumper</t>
  </si>
  <si>
    <t>Freedom Truck Centers</t>
  </si>
  <si>
    <t>2015 steer column</t>
  </si>
  <si>
    <t>General Journal</t>
  </si>
  <si>
    <t>LJA</t>
  </si>
  <si>
    <t>2030C · Inter Company Clearing-Clk</t>
  </si>
  <si>
    <t>Total 4130 · Truck Repair</t>
  </si>
  <si>
    <t>Patriot Powerwash</t>
  </si>
  <si>
    <t>Truck Wash</t>
  </si>
  <si>
    <t>Acct# 65300</t>
  </si>
  <si>
    <t>Early Bird Supply, Inc</t>
  </si>
  <si>
    <t>Four Star Supply Co</t>
  </si>
  <si>
    <t>Amazon</t>
  </si>
  <si>
    <t>Hydraulic Hose</t>
  </si>
  <si>
    <t>Roll-Off Wench</t>
  </si>
  <si>
    <t>Bitterroot Bolt</t>
  </si>
  <si>
    <t>Bolts &amp; Nuts for Tub Lids</t>
  </si>
  <si>
    <t>A-L Compressed Gases</t>
  </si>
  <si>
    <t>propane for forklift</t>
  </si>
  <si>
    <t>Otc Ramps</t>
  </si>
  <si>
    <t>Copper State Bolts</t>
  </si>
  <si>
    <t>Bolts</t>
  </si>
  <si>
    <t>A/C Scale</t>
  </si>
  <si>
    <t>Torch supplies</t>
  </si>
  <si>
    <t>Snap-On</t>
  </si>
  <si>
    <t>Truck Scan/ Diagnostic Tool</t>
  </si>
  <si>
    <t>Gray Manufacturing</t>
  </si>
  <si>
    <t>Truck jack Stands/Lift</t>
  </si>
  <si>
    <t>Northern tool</t>
  </si>
  <si>
    <t>Torch</t>
  </si>
  <si>
    <t>A/C unit</t>
  </si>
  <si>
    <t>Def Fluid</t>
  </si>
  <si>
    <t>Acct # NAS50900</t>
  </si>
  <si>
    <t>E Z Rental</t>
  </si>
  <si>
    <t>forklift transport off load containters</t>
  </si>
  <si>
    <t>chain</t>
  </si>
  <si>
    <t>Hydraulic Fluid</t>
  </si>
  <si>
    <t>Transmission Jack</t>
  </si>
  <si>
    <t>Norco</t>
  </si>
  <si>
    <t>Twin Cedars, LLC</t>
  </si>
  <si>
    <t>Power washing</t>
  </si>
  <si>
    <t>Press</t>
  </si>
  <si>
    <t>Grinder</t>
  </si>
  <si>
    <t>Porta power press</t>
  </si>
  <si>
    <t>Bench Grinder</t>
  </si>
  <si>
    <t>extension cords</t>
  </si>
  <si>
    <t>A/C Machine</t>
  </si>
  <si>
    <t>Total 4180 · Maintenance Supplies</t>
  </si>
  <si>
    <t xml:space="preserve">Less: Capitalized </t>
  </si>
  <si>
    <t>Truck Scan - Diagnostic Tool</t>
  </si>
  <si>
    <t>Heartland</t>
  </si>
  <si>
    <t>December  2019 Online Fees</t>
  </si>
  <si>
    <t>Dec 2019 in house fee</t>
  </si>
  <si>
    <t>January ACH fees</t>
  </si>
  <si>
    <t>return fee on heartland item mess up</t>
  </si>
  <si>
    <t>Dec 2019 Online Fees</t>
  </si>
  <si>
    <t>December ACH fees</t>
  </si>
  <si>
    <t>Auto</t>
  </si>
  <si>
    <t>Twin River National Bank</t>
  </si>
  <si>
    <t>Service Charge</t>
  </si>
  <si>
    <t>Bank of America</t>
  </si>
  <si>
    <t>annual card fee</t>
  </si>
  <si>
    <t>February 2020 Online Fees</t>
  </si>
  <si>
    <t>February 2020 in house fee</t>
  </si>
  <si>
    <t>February ACH fees</t>
  </si>
  <si>
    <t>March ACH fees</t>
  </si>
  <si>
    <t>March 2020 Online Fees</t>
  </si>
  <si>
    <t>March 2020 in house fee</t>
  </si>
  <si>
    <t>April 2020 Online Fees</t>
  </si>
  <si>
    <t>April 2020 in house fee</t>
  </si>
  <si>
    <t>Return item</t>
  </si>
  <si>
    <t>May 2020 Online Fees</t>
  </si>
  <si>
    <t>May 2020 in house fee</t>
  </si>
  <si>
    <t>April ACH fees</t>
  </si>
  <si>
    <t>June 2020 Online Fees</t>
  </si>
  <si>
    <t>June 2020 in house fee</t>
  </si>
  <si>
    <t>return ACH</t>
  </si>
  <si>
    <t>July 2020 Online Fees</t>
  </si>
  <si>
    <t>July 2020 in house fee</t>
  </si>
  <si>
    <t>July ACH fees</t>
  </si>
  <si>
    <t>Finance Charge</t>
  </si>
  <si>
    <t>August 2020 Online Fees</t>
  </si>
  <si>
    <t>August 2020 in house fee</t>
  </si>
  <si>
    <t>August 2020 ACH fees</t>
  </si>
  <si>
    <t>Annual Card Fee</t>
  </si>
  <si>
    <t>Twin River National Bank.</t>
  </si>
  <si>
    <t>Line of Credit Renewal</t>
  </si>
  <si>
    <t>US Treasury</t>
  </si>
  <si>
    <t>Late fee's</t>
  </si>
  <si>
    <t>September 2020 ACH fees</t>
  </si>
  <si>
    <t>October 2020 ACH fees</t>
  </si>
  <si>
    <t>October  2020 Online Fees</t>
  </si>
  <si>
    <t>October 2020 in house fee</t>
  </si>
  <si>
    <t>November 2020 ACH Fees</t>
  </si>
  <si>
    <t>December 2020 Online Fees</t>
  </si>
  <si>
    <t>December 2020 in house fee</t>
  </si>
  <si>
    <t>December 2020 ACH fees</t>
  </si>
  <si>
    <t>Total 4125 · Bank Charges</t>
  </si>
  <si>
    <t>REGULATORY FEE CALCULATION SCHEDULE</t>
  </si>
  <si>
    <t>Company Name</t>
  </si>
  <si>
    <t>Annual Report Year</t>
  </si>
  <si>
    <t>In accordance with RCW 81.77.080 Regulatory Fees, the UTC requires solid waste companies to file reports of gross intrastate operating revenue and pay fees on that revenue. Every company subject to regulation shall file with the UTC a statement under oath showing its gross intrastate revenue for the preceding year and pay to the UTC a fee as instructed below.</t>
  </si>
  <si>
    <r>
      <t>**</t>
    </r>
    <r>
      <rPr>
        <b/>
        <u/>
        <sz val="9"/>
        <color indexed="8"/>
        <rFont val="Arial"/>
        <family val="2"/>
      </rPr>
      <t>Note</t>
    </r>
    <r>
      <rPr>
        <sz val="9"/>
        <color indexed="8"/>
        <rFont val="Arial"/>
        <family val="2"/>
      </rPr>
      <t>: Gross Washington intrastate operating revenue (regulated revenue) is defined as all revenue collected for the year from rates under tariffs, and contracts on file at the Commission. The revenues subject to the commission's regulatory fees are gross Washington intrastate operating revenues before deductions for uncollectibles, unbillables or the payment of state and federal taxes, i.e. "Gross Revenues" means before any deductions from Revenue Receipts.</t>
    </r>
  </si>
  <si>
    <t>Regulatory Fee Calculations</t>
  </si>
  <si>
    <t>Total Gross Intrastate Operating Revenue** (From Schedule 8, Line 13, Column b)</t>
  </si>
  <si>
    <t>If Line 1 is under $2,000 enter $0, otherwise amount from Line 1 x 0.51%</t>
  </si>
  <si>
    <t>x</t>
  </si>
  <si>
    <t>NOTE: The minimum regulatory fee is $20. The $20 regulatory fee is waived for any solid waste collection company with less than $2,000 in gross intrastate operating revenue.</t>
  </si>
  <si>
    <t>Agency Use Only</t>
  </si>
  <si>
    <t>001-111-0268-227-01</t>
  </si>
  <si>
    <t>Late Fees and Interest Calculations</t>
  </si>
  <si>
    <r>
      <t xml:space="preserve">Late Fees on Regulatory Fees being paid after </t>
    </r>
    <r>
      <rPr>
        <b/>
        <sz val="10"/>
        <color theme="1"/>
        <rFont val="Arial"/>
        <family val="2"/>
      </rPr>
      <t>May 1</t>
    </r>
  </si>
  <si>
    <t>3a</t>
  </si>
  <si>
    <t>Late fees on Regulatory Fees owed (Line 2 x 2%)</t>
  </si>
  <si>
    <t>Interest on Regulatory Fees being paid after May 31</t>
  </si>
  <si>
    <t>4a</t>
  </si>
  <si>
    <t>Number of months past May 31 x Amount from Line 2 x 1%</t>
  </si>
  <si>
    <t>Total Late Fees and Interest owed (Line 3a plus Line 4a)</t>
  </si>
  <si>
    <t>Total Regulatory, Late, and Interest Fees Due (Line 2 plus Line 5)</t>
  </si>
  <si>
    <t>001-111-0268-227-11</t>
  </si>
  <si>
    <t>COMMISSION USE ONLY</t>
  </si>
  <si>
    <t>Reception #:</t>
  </si>
  <si>
    <t>Reference:</t>
  </si>
  <si>
    <t>Payment ID:</t>
  </si>
  <si>
    <t>001-111-0268-032-20</t>
  </si>
  <si>
    <t>001R-111-0268-032-20</t>
  </si>
  <si>
    <t>(</t>
  </si>
  <si>
    <t>)</t>
  </si>
  <si>
    <t>Total Paid:</t>
  </si>
  <si>
    <t>Adjustment</t>
  </si>
  <si>
    <t>Remove</t>
  </si>
  <si>
    <t>Yellow Pages</t>
  </si>
  <si>
    <t>Employement</t>
  </si>
  <si>
    <t>Employee Uniforms</t>
  </si>
  <si>
    <t>Truck</t>
  </si>
  <si>
    <t>Holiday Hours</t>
  </si>
  <si>
    <t>Clarkston Golf &amp; Country Club-NPTE</t>
  </si>
  <si>
    <t>Dex</t>
  </si>
  <si>
    <t>Yellow pages</t>
  </si>
  <si>
    <t>Lewiston Morning Tribune</t>
  </si>
  <si>
    <t>New Hire Advertising</t>
  </si>
  <si>
    <t>Asotin County Fair &amp; Hells Canyon Rodeo</t>
  </si>
  <si>
    <t>Event Sponsor</t>
  </si>
  <si>
    <t>Spirit Stop</t>
  </si>
  <si>
    <t>Asotin T-shirts</t>
  </si>
  <si>
    <t>Boys and Girls Club</t>
  </si>
  <si>
    <t>Partnership for kids sponsor</t>
  </si>
  <si>
    <t>Asotin County Livestock</t>
  </si>
  <si>
    <t>E. Washingtonian</t>
  </si>
  <si>
    <t>annual subscription</t>
  </si>
  <si>
    <t>James H. Naslund #318</t>
  </si>
  <si>
    <t>Joanne Stevenson</t>
  </si>
  <si>
    <t>Number identification on trucks</t>
  </si>
  <si>
    <t>James H. Naslund #141</t>
  </si>
  <si>
    <t>Lions Club</t>
  </si>
  <si>
    <t>Lions Club Poker Run</t>
  </si>
  <si>
    <t>Civil Air Patrol Magazine</t>
  </si>
  <si>
    <t>Inv #1328597</t>
  </si>
  <si>
    <t>Names &amp; Numbers</t>
  </si>
  <si>
    <t>James H. Naslund #141 #318</t>
  </si>
  <si>
    <t>Quail Ridge Golf</t>
  </si>
  <si>
    <t>Scott Lynch Memorial</t>
  </si>
  <si>
    <t>Garfield Cnty Market Livestock Sale</t>
  </si>
  <si>
    <t xml:space="preserve"> Livestock 2020</t>
  </si>
  <si>
    <t>Heights Market</t>
  </si>
  <si>
    <t>Sirius Radio</t>
  </si>
  <si>
    <t>Radio</t>
  </si>
  <si>
    <t>Hagadon Directories</t>
  </si>
  <si>
    <t>Yellow Book</t>
  </si>
  <si>
    <t>Thanksgiving ad</t>
  </si>
  <si>
    <t>17852</t>
  </si>
  <si>
    <t>Cash</t>
  </si>
  <si>
    <t>Happy Day Corporation</t>
  </si>
  <si>
    <t>Christmas Ad</t>
  </si>
  <si>
    <t>Total 4450 · Advertising</t>
  </si>
  <si>
    <t>Clr</t>
  </si>
  <si>
    <t>Employee Insurance</t>
  </si>
  <si>
    <t>HSA</t>
  </si>
  <si>
    <t>Clarkston Heights Family Foods</t>
  </si>
  <si>
    <t>Turkeys</t>
  </si>
  <si>
    <t>17871</t>
  </si>
  <si>
    <t>Cone, Christopher M</t>
  </si>
  <si>
    <t>Boots Mike 2020</t>
  </si>
  <si>
    <t>Paycheck</t>
  </si>
  <si>
    <t>17497</t>
  </si>
  <si>
    <t>Hanvey, Randall R</t>
  </si>
  <si>
    <t>Insurance Payment</t>
  </si>
  <si>
    <t>17533</t>
  </si>
  <si>
    <t>17565</t>
  </si>
  <si>
    <t>17592</t>
  </si>
  <si>
    <t>17629</t>
  </si>
  <si>
    <t>17660</t>
  </si>
  <si>
    <t>17700</t>
  </si>
  <si>
    <t>17760</t>
  </si>
  <si>
    <t>17791</t>
  </si>
  <si>
    <t>17802</t>
  </si>
  <si>
    <t>Hi-Vis Jacket</t>
  </si>
  <si>
    <t>17815</t>
  </si>
  <si>
    <t>17860</t>
  </si>
  <si>
    <t>17900</t>
  </si>
  <si>
    <t>Birthday Gift Cards</t>
  </si>
  <si>
    <t>17717</t>
  </si>
  <si>
    <t>Jurries, Brett</t>
  </si>
  <si>
    <t>Boots</t>
  </si>
  <si>
    <t>17322</t>
  </si>
  <si>
    <t>Misc</t>
  </si>
  <si>
    <t>Aquatouch</t>
  </si>
  <si>
    <t>Gloves</t>
  </si>
  <si>
    <t>North West Design &amp; Advertising</t>
  </si>
  <si>
    <t>shirts</t>
  </si>
  <si>
    <t>Hats</t>
  </si>
  <si>
    <t>Optum</t>
  </si>
  <si>
    <t>4TH Qtr 2019 HSA</t>
  </si>
  <si>
    <t>1st Qtr 2020 HAS</t>
  </si>
  <si>
    <t>2050P · Accounts Payable - Pom</t>
  </si>
  <si>
    <t>1st Qtr 2020 HSA</t>
  </si>
  <si>
    <t>2nd Qtr 2020 HSA</t>
  </si>
  <si>
    <t>3rd Qtr 2020 HSA</t>
  </si>
  <si>
    <t>17772</t>
  </si>
  <si>
    <t>Pickett, Kevin L</t>
  </si>
  <si>
    <t>DOT Physical Reimbursement</t>
  </si>
  <si>
    <t>Premera Blue Cross</t>
  </si>
  <si>
    <t>February 2020</t>
  </si>
  <si>
    <t>March 2020</t>
  </si>
  <si>
    <t>April 2020</t>
  </si>
  <si>
    <t>May 2020</t>
  </si>
  <si>
    <t>June 2020</t>
  </si>
  <si>
    <t>July 2020</t>
  </si>
  <si>
    <t>August 2020</t>
  </si>
  <si>
    <t>September 2020(+Randy July/August)</t>
  </si>
  <si>
    <t>Ocober 2020</t>
  </si>
  <si>
    <t>November 2020</t>
  </si>
  <si>
    <t>December 2020</t>
  </si>
  <si>
    <t>coveralls</t>
  </si>
  <si>
    <t>Total 4650 · Employee Benefits</t>
  </si>
  <si>
    <t>2021 Employee Medical Coverage Cost -</t>
  </si>
  <si>
    <t>January 2021 $3,819.47</t>
  </si>
  <si>
    <t>February 2021 to December 2021 $4,113.46 Mo</t>
  </si>
  <si>
    <t>Less: Employee contributions - Harvey &amp; Kreisher</t>
  </si>
  <si>
    <t>Anticipated 2021 Cost</t>
  </si>
  <si>
    <t xml:space="preserve">Carroll-Naslund Disposal Serivce, Inc. </t>
  </si>
  <si>
    <t>Employee name   available during examination</t>
  </si>
  <si>
    <t>Return Trips - 60 or 90 Gal Toter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</si>
</sst>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8" formatCode="&quot;$&quot;#,##0.00_);[Red]\(&quot;$&quot;#,##0.00\)"/>
    <numFmt numFmtId="41" formatCode="_(* #,##0_);_(* \(#,##0\);_(* &quot;-&quot;_);_(@_)"/>
    <numFmt numFmtId="44" formatCode="_(&quot;$&quot;* #,##0.00_);_(&quot;$&quot;* \(#,##0.00\);_(&quot;$&quot;* &quot;-&quot;??_);_(@_)"/>
    <numFmt numFmtId="164" formatCode="#,##0.000_);\(#,##0.000\)"/>
    <numFmt numFmtId="165" formatCode="#,##0.0000_);\(#,##0.0000\)"/>
    <numFmt numFmtId="166" formatCode="#,##0.00000_);\(#,##0.00000\)"/>
    <numFmt numFmtId="167" formatCode="0.00000"/>
    <numFmt numFmtId="168" formatCode="0.000%"/>
    <numFmt numFmtId="169" formatCode="_(* #,##0_);_(* \(#,##0\);_(* &quot;-&quot;??_);_(@_)"/>
    <numFmt numFmtId="170" formatCode="General_)"/>
    <numFmt numFmtId="171" formatCode="#,##0.00;\-#,##0.00"/>
    <numFmt numFmtId="172" formatCode="&quot;$&quot;#,##0"/>
    <numFmt numFmtId="173" formatCode="&quot;$&quot;#,##0.00"/>
    <numFmt numFmtId="174" formatCode="[$-409]mmmm\-yy;@"/>
    <numFmt numFmtId="175" formatCode="mmmm"/>
    <numFmt numFmtId="176" formatCode="#,##0.00###;\-#,##0.00###"/>
    <numFmt numFmtId="177" formatCode="[$-409]mmmm\ d\,\ yyyy;@"/>
    <numFmt numFmtId="178" formatCode="mm/dd/yyyy"/>
    <numFmt numFmtId="179" formatCode="#,##0.0_);\(#,##0.0\)"/>
    <numFmt numFmtId="180" formatCode="0.0000"/>
  </numFmts>
  <fonts count="83">
    <font>
      <sz val="12"/>
      <name val="SWISS"/>
    </font>
    <font>
      <sz val="10"/>
      <name val="Times New Roman"/>
      <family val="1"/>
    </font>
    <font>
      <sz val="10"/>
      <color indexed="39"/>
      <name val="Times New Roman"/>
      <family val="1"/>
    </font>
    <font>
      <sz val="12"/>
      <color indexed="39"/>
      <name val="SWISS"/>
    </font>
    <font>
      <sz val="12"/>
      <color indexed="10"/>
      <name val="SWISS"/>
    </font>
    <font>
      <sz val="12"/>
      <color indexed="8"/>
      <name val="SWISS"/>
    </font>
    <font>
      <sz val="10"/>
      <color indexed="18"/>
      <name val="Times New Roman"/>
      <family val="1"/>
    </font>
    <font>
      <sz val="12"/>
      <color indexed="18"/>
      <name val="SWISS"/>
    </font>
    <font>
      <sz val="12"/>
      <color indexed="32"/>
      <name val="SWISS"/>
    </font>
    <font>
      <b/>
      <sz val="14"/>
      <name val="SWISS"/>
    </font>
    <font>
      <sz val="12"/>
      <color indexed="12"/>
      <name val="SWISS"/>
    </font>
    <font>
      <i/>
      <sz val="12"/>
      <name val="SWISS"/>
    </font>
    <font>
      <sz val="12"/>
      <color indexed="56"/>
      <name val="SWISS"/>
    </font>
    <font>
      <b/>
      <sz val="12"/>
      <name val="SWISS"/>
    </font>
    <font>
      <sz val="11"/>
      <color indexed="8"/>
      <name val="Calibri"/>
      <family val="2"/>
    </font>
    <font>
      <sz val="12"/>
      <name val="Times New Roman"/>
      <family val="1"/>
    </font>
    <font>
      <sz val="12"/>
      <color indexed="18"/>
      <name val="Times New Roman"/>
      <family val="1"/>
    </font>
    <font>
      <sz val="12"/>
      <color indexed="8"/>
      <name val="Times New Roman"/>
      <family val="1"/>
    </font>
    <font>
      <sz val="12"/>
      <color indexed="39"/>
      <name val="Times New Roman"/>
      <family val="1"/>
    </font>
    <font>
      <b/>
      <sz val="12"/>
      <color indexed="12"/>
      <name val="Times New Roman"/>
      <family val="1"/>
    </font>
    <font>
      <b/>
      <sz val="12"/>
      <color indexed="39"/>
      <name val="Times New Roman"/>
      <family val="1"/>
    </font>
    <font>
      <u/>
      <sz val="12"/>
      <color indexed="12"/>
      <name val="Times New Roman"/>
      <family val="1"/>
    </font>
    <font>
      <u/>
      <sz val="12"/>
      <color indexed="8"/>
      <name val="Times New Roman"/>
      <family val="1"/>
    </font>
    <font>
      <sz val="14"/>
      <color indexed="9"/>
      <name val="Calibri"/>
      <family val="2"/>
    </font>
    <font>
      <b/>
      <u/>
      <sz val="12"/>
      <color indexed="39"/>
      <name val="Times New Roman"/>
      <family val="1"/>
    </font>
    <font>
      <sz val="9"/>
      <color indexed="39"/>
      <name val="Times New Roman"/>
      <family val="1"/>
    </font>
    <font>
      <sz val="11"/>
      <color theme="0"/>
      <name val="Calibri"/>
      <family val="2"/>
      <scheme val="minor"/>
    </font>
    <font>
      <sz val="11"/>
      <name val="Times New Roman"/>
      <family val="1"/>
    </font>
    <font>
      <sz val="12"/>
      <name val="SWISS"/>
    </font>
    <font>
      <sz val="8"/>
      <color indexed="9"/>
      <name val="Calibri"/>
      <family val="2"/>
    </font>
    <font>
      <b/>
      <sz val="10"/>
      <name val="SWISS"/>
    </font>
    <font>
      <sz val="9"/>
      <color rgb="FF0070C0"/>
      <name val="SWISS"/>
    </font>
    <font>
      <sz val="12"/>
      <name val="Helv"/>
    </font>
    <font>
      <b/>
      <sz val="14"/>
      <name val="Times New Roman"/>
      <family val="1"/>
    </font>
    <font>
      <sz val="18"/>
      <name val="Helv"/>
    </font>
    <font>
      <sz val="18"/>
      <name val="Times New Roman"/>
      <family val="1"/>
    </font>
    <font>
      <b/>
      <sz val="10"/>
      <color rgb="FF000000"/>
      <name val="Times New Roman"/>
      <family val="1"/>
    </font>
    <font>
      <b/>
      <u/>
      <sz val="10"/>
      <color rgb="FF000000"/>
      <name val="Times New Roman"/>
      <family val="1"/>
    </font>
    <font>
      <sz val="10"/>
      <color rgb="FF000000"/>
      <name val="Times New Roman"/>
      <family val="1"/>
    </font>
    <font>
      <b/>
      <sz val="12"/>
      <name val="Times New Roman"/>
      <family val="1"/>
    </font>
    <font>
      <b/>
      <u/>
      <sz val="12"/>
      <name val="Times New Roman"/>
      <family val="1"/>
    </font>
    <font>
      <b/>
      <sz val="11"/>
      <color theme="1"/>
      <name val="Calibri"/>
      <family val="2"/>
      <scheme val="minor"/>
    </font>
    <font>
      <sz val="11"/>
      <color theme="1"/>
      <name val="Arial"/>
      <family val="2"/>
    </font>
    <font>
      <sz val="10"/>
      <name val="Arial"/>
      <family val="2"/>
    </font>
    <font>
      <b/>
      <sz val="16"/>
      <color theme="1"/>
      <name val="Arial"/>
      <family val="2"/>
    </font>
    <font>
      <b/>
      <sz val="10"/>
      <color theme="1"/>
      <name val="Arial"/>
      <family val="2"/>
    </font>
    <font>
      <sz val="12"/>
      <color theme="1"/>
      <name val="Arial"/>
      <family val="2"/>
    </font>
    <font>
      <b/>
      <sz val="12"/>
      <color theme="1"/>
      <name val="Arial"/>
      <family val="2"/>
    </font>
    <font>
      <b/>
      <sz val="10"/>
      <name val="Arial"/>
      <family val="2"/>
    </font>
    <font>
      <sz val="9"/>
      <name val="Arial"/>
      <family val="2"/>
    </font>
    <font>
      <i/>
      <sz val="10"/>
      <name val="Arial"/>
      <family val="2"/>
    </font>
    <font>
      <b/>
      <sz val="12"/>
      <name val="Arial"/>
      <family val="2"/>
    </font>
    <font>
      <sz val="12"/>
      <name val="Arial"/>
      <family val="2"/>
    </font>
    <font>
      <sz val="10"/>
      <color theme="1"/>
      <name val="Arial"/>
      <family val="2"/>
    </font>
    <font>
      <sz val="12"/>
      <name val="Calibri"/>
      <family val="2"/>
      <scheme val="minor"/>
    </font>
    <font>
      <u/>
      <sz val="12"/>
      <color rgb="FF1D1B11"/>
      <name val="Times New Roman"/>
      <family val="1"/>
    </font>
    <font>
      <sz val="7"/>
      <color rgb="FF1D1B11"/>
      <name val="Times New Roman"/>
      <family val="1"/>
    </font>
    <font>
      <sz val="12"/>
      <color rgb="FF1D1B11"/>
      <name val="Times New Roman"/>
      <family val="1"/>
    </font>
    <font>
      <sz val="12"/>
      <color theme="1"/>
      <name val="Times New Roman"/>
      <family val="1"/>
    </font>
    <font>
      <sz val="7"/>
      <name val="Times New Roman"/>
      <family val="1"/>
    </font>
    <font>
      <u/>
      <sz val="12"/>
      <name val="Times New Roman"/>
      <family val="1"/>
    </font>
    <font>
      <u/>
      <sz val="12"/>
      <color theme="1"/>
      <name val="Times New Roman"/>
      <family val="1"/>
    </font>
    <font>
      <b/>
      <sz val="12"/>
      <color theme="1"/>
      <name val="Times New Roman"/>
      <family val="1"/>
    </font>
    <font>
      <sz val="12"/>
      <color indexed="62"/>
      <name val="Times New Roman"/>
      <family val="1"/>
    </font>
    <font>
      <sz val="12"/>
      <color theme="1"/>
      <name val="Calibri"/>
      <family val="2"/>
      <scheme val="minor"/>
    </font>
    <font>
      <sz val="12"/>
      <color rgb="FF000000"/>
      <name val="Times New Roman"/>
      <family val="1"/>
    </font>
    <font>
      <b/>
      <sz val="11"/>
      <color theme="1"/>
      <name val="Times New Roman"/>
      <family val="1"/>
    </font>
    <font>
      <b/>
      <sz val="9"/>
      <color indexed="81"/>
      <name val="Tahoma"/>
      <family val="2"/>
    </font>
    <font>
      <sz val="9"/>
      <color indexed="81"/>
      <name val="Tahoma"/>
      <family val="2"/>
    </font>
    <font>
      <b/>
      <sz val="11"/>
      <name val="Times New Roman"/>
      <family val="1"/>
    </font>
    <font>
      <b/>
      <u/>
      <sz val="11"/>
      <name val="Times New Roman"/>
      <family val="1"/>
    </font>
    <font>
      <b/>
      <u/>
      <sz val="11"/>
      <color theme="1"/>
      <name val="Times New Roman"/>
      <family val="1"/>
    </font>
    <font>
      <b/>
      <sz val="11"/>
      <color theme="1"/>
      <name val="Arial"/>
      <family val="2"/>
    </font>
    <font>
      <sz val="9"/>
      <color theme="1"/>
      <name val="Arial"/>
      <family val="2"/>
    </font>
    <font>
      <b/>
      <u/>
      <sz val="9"/>
      <color indexed="8"/>
      <name val="Arial"/>
      <family val="2"/>
    </font>
    <font>
      <sz val="9"/>
      <color indexed="8"/>
      <name val="Arial"/>
      <family val="2"/>
    </font>
    <font>
      <i/>
      <sz val="9"/>
      <color theme="1"/>
      <name val="Arial"/>
      <family val="2"/>
    </font>
    <font>
      <b/>
      <sz val="9"/>
      <color theme="1"/>
      <name val="Arial"/>
      <family val="2"/>
    </font>
    <font>
      <b/>
      <i/>
      <sz val="11"/>
      <color theme="1"/>
      <name val="Arial"/>
      <family val="2"/>
    </font>
    <font>
      <sz val="9"/>
      <color theme="1"/>
      <name val="Calibri"/>
      <family val="2"/>
      <scheme val="minor"/>
    </font>
    <font>
      <b/>
      <sz val="9"/>
      <color theme="1"/>
      <name val="Calibri"/>
      <family val="2"/>
      <scheme val="minor"/>
    </font>
    <font>
      <b/>
      <sz val="12"/>
      <color rgb="FF000000"/>
      <name val="Times New Roman"/>
      <family val="1"/>
    </font>
    <font>
      <b/>
      <i/>
      <sz val="14"/>
      <name val="Times New Roman"/>
      <family val="1"/>
    </font>
  </fonts>
  <fills count="8">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5"/>
        <bgColor indexed="64"/>
      </patternFill>
    </fill>
    <fill>
      <patternFill patternType="solid">
        <fgColor indexed="9"/>
        <bgColor indexed="8"/>
      </patternFill>
    </fill>
    <fill>
      <patternFill patternType="solid">
        <fgColor theme="8"/>
      </patternFill>
    </fill>
    <fill>
      <patternFill patternType="solid">
        <fgColor rgb="FFFFFF00"/>
        <bgColor indexed="64"/>
      </patternFill>
    </fill>
  </fills>
  <borders count="53">
    <border>
      <left/>
      <right/>
      <top/>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right/>
      <top style="thin">
        <color theme="4" tint="-0.24994659260841701"/>
      </top>
      <bottom style="double">
        <color theme="4" tint="-0.24994659260841701"/>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ck">
        <color indexed="64"/>
      </bottom>
      <diagonal/>
    </border>
    <border>
      <left/>
      <right/>
      <top style="medium">
        <color indexed="64"/>
      </top>
      <bottom/>
      <diagonal/>
    </border>
    <border>
      <left/>
      <right/>
      <top style="medium">
        <color indexed="64"/>
      </top>
      <bottom style="double">
        <color indexed="64"/>
      </bottom>
      <diagonal/>
    </border>
    <border>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auto="1"/>
      </right>
      <top style="thin">
        <color auto="1"/>
      </top>
      <bottom style="thin">
        <color auto="1"/>
      </bottom>
      <diagonal/>
    </border>
    <border>
      <left/>
      <right/>
      <top style="thick">
        <color indexed="64"/>
      </top>
      <bottom style="thick">
        <color indexed="64"/>
      </bottom>
      <diagonal/>
    </border>
  </borders>
  <cellStyleXfs count="13">
    <xf numFmtId="0" fontId="0" fillId="2" borderId="0"/>
    <xf numFmtId="0" fontId="26" fillId="6" borderId="0" applyNumberFormat="0" applyBorder="0" applyAlignment="0" applyProtection="0"/>
    <xf numFmtId="41" fontId="1" fillId="3" borderId="0">
      <alignment horizontal="left"/>
    </xf>
    <xf numFmtId="10" fontId="1" fillId="3" borderId="0"/>
    <xf numFmtId="9" fontId="14" fillId="0" borderId="0" applyFont="0" applyFill="0" applyBorder="0" applyAlignment="0" applyProtection="0"/>
    <xf numFmtId="0" fontId="28" fillId="2" borderId="0"/>
    <xf numFmtId="170" fontId="32" fillId="0" borderId="0"/>
    <xf numFmtId="41" fontId="1" fillId="3" borderId="0">
      <alignment horizontal="left"/>
    </xf>
    <xf numFmtId="44" fontId="28" fillId="0" borderId="0" applyFont="0" applyFill="0" applyBorder="0" applyAlignment="0" applyProtection="0"/>
    <xf numFmtId="0" fontId="15" fillId="0" borderId="0"/>
    <xf numFmtId="0" fontId="52" fillId="0" borderId="0"/>
    <xf numFmtId="0" fontId="43" fillId="0" borderId="0"/>
    <xf numFmtId="0" fontId="15" fillId="0" borderId="0"/>
  </cellStyleXfs>
  <cellXfs count="569">
    <xf numFmtId="0" fontId="0" fillId="2" borderId="0" xfId="0" applyNumberFormat="1"/>
    <xf numFmtId="0" fontId="0" fillId="2" borderId="0" xfId="0" applyNumberFormat="1" applyAlignment="1">
      <alignment horizontal="center"/>
    </xf>
    <xf numFmtId="0" fontId="1" fillId="2" borderId="0" xfId="0" applyNumberFormat="1" applyFont="1"/>
    <xf numFmtId="0" fontId="0" fillId="2" borderId="2" xfId="0" applyNumberFormat="1" applyBorder="1" applyAlignment="1">
      <alignment horizontal="center"/>
    </xf>
    <xf numFmtId="10" fontId="4" fillId="2" borderId="0" xfId="0" applyNumberFormat="1" applyFont="1" applyBorder="1"/>
    <xf numFmtId="0" fontId="0" fillId="2" borderId="5" xfId="0" applyNumberFormat="1" applyBorder="1" applyAlignment="1">
      <alignment horizontal="center"/>
    </xf>
    <xf numFmtId="165" fontId="0" fillId="2" borderId="0" xfId="0" applyNumberFormat="1" applyBorder="1"/>
    <xf numFmtId="0" fontId="0" fillId="2" borderId="8" xfId="0" applyNumberFormat="1" applyBorder="1" applyAlignment="1">
      <alignment horizontal="center"/>
    </xf>
    <xf numFmtId="165" fontId="0" fillId="2" borderId="9" xfId="0" applyNumberFormat="1" applyBorder="1"/>
    <xf numFmtId="37" fontId="0" fillId="2" borderId="0" xfId="0" applyNumberFormat="1"/>
    <xf numFmtId="165" fontId="0" fillId="2" borderId="0" xfId="0" applyNumberFormat="1"/>
    <xf numFmtId="41" fontId="0" fillId="2" borderId="0" xfId="0" applyNumberFormat="1"/>
    <xf numFmtId="10" fontId="1" fillId="3" borderId="0" xfId="3"/>
    <xf numFmtId="39" fontId="0" fillId="2" borderId="0" xfId="0" applyNumberFormat="1"/>
    <xf numFmtId="164" fontId="0" fillId="2" borderId="0" xfId="0" applyNumberFormat="1"/>
    <xf numFmtId="0" fontId="0" fillId="2" borderId="3" xfId="0" applyNumberFormat="1" applyBorder="1"/>
    <xf numFmtId="0" fontId="0" fillId="2" borderId="4" xfId="0" applyNumberFormat="1" applyBorder="1"/>
    <xf numFmtId="0" fontId="0" fillId="2" borderId="0" xfId="0" applyNumberFormat="1" applyBorder="1"/>
    <xf numFmtId="0" fontId="0" fillId="2" borderId="6" xfId="0" applyNumberFormat="1" applyBorder="1"/>
    <xf numFmtId="0" fontId="0" fillId="2" borderId="0" xfId="0" quotePrefix="1" applyNumberFormat="1" applyBorder="1" applyAlignment="1">
      <alignment horizontal="right"/>
    </xf>
    <xf numFmtId="10" fontId="0" fillId="2" borderId="6" xfId="0" applyNumberFormat="1" applyBorder="1"/>
    <xf numFmtId="0" fontId="0" fillId="2" borderId="9" xfId="0" applyNumberFormat="1" applyBorder="1"/>
    <xf numFmtId="0" fontId="0" fillId="2" borderId="10" xfId="0" applyNumberFormat="1" applyBorder="1"/>
    <xf numFmtId="166" fontId="0" fillId="2" borderId="0" xfId="0" applyNumberFormat="1"/>
    <xf numFmtId="0" fontId="0" fillId="2" borderId="2" xfId="0" applyNumberFormat="1" applyBorder="1"/>
    <xf numFmtId="0" fontId="0" fillId="2" borderId="5" xfId="0" applyNumberFormat="1" applyBorder="1"/>
    <xf numFmtId="0" fontId="7" fillId="2" borderId="10" xfId="0" applyNumberFormat="1" applyFont="1" applyBorder="1"/>
    <xf numFmtId="0" fontId="0" fillId="2" borderId="8" xfId="0" applyNumberFormat="1" applyBorder="1"/>
    <xf numFmtId="0" fontId="0" fillId="2" borderId="2" xfId="0" applyNumberFormat="1" applyBorder="1" applyAlignment="1">
      <alignment horizontal="centerContinuous"/>
    </xf>
    <xf numFmtId="0" fontId="0" fillId="2" borderId="4" xfId="0" applyNumberFormat="1" applyBorder="1" applyAlignment="1">
      <alignment horizontal="centerContinuous"/>
    </xf>
    <xf numFmtId="0" fontId="0" fillId="2" borderId="5" xfId="0" applyNumberFormat="1" applyBorder="1" applyAlignment="1">
      <alignment horizontal="centerContinuous"/>
    </xf>
    <xf numFmtId="0" fontId="0" fillId="2" borderId="6" xfId="0" applyNumberFormat="1" applyBorder="1" applyAlignment="1">
      <alignment horizontal="centerContinuous"/>
    </xf>
    <xf numFmtId="0" fontId="0" fillId="2" borderId="6" xfId="0" applyNumberFormat="1" applyBorder="1" applyAlignment="1">
      <alignment horizontal="center"/>
    </xf>
    <xf numFmtId="0" fontId="0" fillId="2" borderId="10" xfId="0" applyNumberFormat="1" applyBorder="1" applyAlignment="1">
      <alignment horizontal="center"/>
    </xf>
    <xf numFmtId="165" fontId="5" fillId="2" borderId="0" xfId="0" applyNumberFormat="1" applyFont="1" applyBorder="1"/>
    <xf numFmtId="0" fontId="5" fillId="2" borderId="5" xfId="0" applyNumberFormat="1" applyFont="1" applyBorder="1" applyAlignment="1">
      <alignment horizontal="center"/>
    </xf>
    <xf numFmtId="0" fontId="9" fillId="2" borderId="11" xfId="0" applyNumberFormat="1" applyFont="1" applyBorder="1" applyAlignment="1">
      <alignment horizontal="centerContinuous"/>
    </xf>
    <xf numFmtId="0" fontId="9" fillId="2" borderId="12" xfId="0" applyNumberFormat="1" applyFont="1" applyBorder="1" applyAlignment="1">
      <alignment horizontal="centerContinuous"/>
    </xf>
    <xf numFmtId="0" fontId="0" fillId="2" borderId="12" xfId="0" applyNumberFormat="1" applyBorder="1" applyAlignment="1">
      <alignment horizontal="centerContinuous"/>
    </xf>
    <xf numFmtId="0" fontId="10" fillId="0" borderId="0" xfId="0" applyNumberFormat="1" applyFont="1" applyFill="1"/>
    <xf numFmtId="0" fontId="10" fillId="0" borderId="0" xfId="0" applyNumberFormat="1" applyFont="1" applyFill="1" applyAlignment="1">
      <alignment horizontal="center"/>
    </xf>
    <xf numFmtId="0" fontId="10" fillId="4" borderId="0" xfId="0" applyNumberFormat="1" applyFont="1" applyFill="1"/>
    <xf numFmtId="0" fontId="10" fillId="4" borderId="13" xfId="0" applyNumberFormat="1" applyFont="1" applyFill="1" applyBorder="1"/>
    <xf numFmtId="0" fontId="0" fillId="4" borderId="0" xfId="0" applyNumberFormat="1" applyFill="1"/>
    <xf numFmtId="0" fontId="7" fillId="4" borderId="0" xfId="0" applyNumberFormat="1" applyFont="1" applyFill="1"/>
    <xf numFmtId="0" fontId="3" fillId="4" borderId="0" xfId="0" applyNumberFormat="1" applyFont="1" applyFill="1"/>
    <xf numFmtId="10" fontId="0" fillId="4" borderId="0" xfId="0" applyNumberFormat="1" applyFill="1"/>
    <xf numFmtId="0" fontId="8" fillId="4" borderId="0" xfId="0" applyNumberFormat="1" applyFont="1" applyFill="1"/>
    <xf numFmtId="2" fontId="8" fillId="4" borderId="0" xfId="0" applyNumberFormat="1" applyFont="1" applyFill="1"/>
    <xf numFmtId="41" fontId="0" fillId="4" borderId="0" xfId="0" applyNumberFormat="1" applyFill="1"/>
    <xf numFmtId="0" fontId="0" fillId="4" borderId="0" xfId="0" applyNumberFormat="1" applyFill="1" applyAlignment="1">
      <alignment horizontal="right"/>
    </xf>
    <xf numFmtId="0" fontId="7" fillId="4" borderId="0" xfId="0" applyNumberFormat="1" applyFont="1" applyFill="1" applyAlignment="1">
      <alignment horizontal="fill"/>
    </xf>
    <xf numFmtId="0" fontId="0" fillId="3" borderId="0" xfId="0" applyNumberFormat="1" applyFill="1"/>
    <xf numFmtId="167" fontId="0" fillId="2" borderId="0" xfId="0" applyNumberFormat="1"/>
    <xf numFmtId="0" fontId="0" fillId="2" borderId="2" xfId="0" applyNumberFormat="1" applyBorder="1" applyAlignment="1">
      <alignment horizontal="left"/>
    </xf>
    <xf numFmtId="0" fontId="0" fillId="2" borderId="5" xfId="0" applyNumberFormat="1" applyBorder="1" applyAlignment="1">
      <alignment horizontal="left"/>
    </xf>
    <xf numFmtId="167" fontId="0" fillId="2" borderId="6" xfId="0" applyNumberFormat="1" applyBorder="1" applyAlignment="1">
      <alignment horizontal="center"/>
    </xf>
    <xf numFmtId="0" fontId="0" fillId="2" borderId="9" xfId="0" applyNumberFormat="1" applyBorder="1" applyAlignment="1">
      <alignment horizontal="right"/>
    </xf>
    <xf numFmtId="167" fontId="0" fillId="2" borderId="10" xfId="0" applyNumberFormat="1" applyBorder="1" applyAlignment="1">
      <alignment horizontal="center"/>
    </xf>
    <xf numFmtId="0" fontId="0" fillId="2" borderId="0" xfId="0" applyNumberFormat="1" applyAlignment="1">
      <alignment horizontal="centerContinuous"/>
    </xf>
    <xf numFmtId="0" fontId="11" fillId="2" borderId="0" xfId="0" applyNumberFormat="1" applyFont="1" applyBorder="1" applyAlignment="1">
      <alignment horizontal="centerContinuous"/>
    </xf>
    <xf numFmtId="0" fontId="0" fillId="2" borderId="0" xfId="0" applyNumberFormat="1" applyBorder="1" applyAlignment="1">
      <alignment horizontal="left"/>
    </xf>
    <xf numFmtId="0" fontId="0" fillId="2" borderId="3" xfId="0" applyNumberFormat="1" applyBorder="1" applyAlignment="1">
      <alignment horizontal="left"/>
    </xf>
    <xf numFmtId="167" fontId="12" fillId="2" borderId="3" xfId="0" applyNumberFormat="1" applyFont="1" applyBorder="1" applyAlignment="1">
      <alignment horizontal="center"/>
    </xf>
    <xf numFmtId="167" fontId="12" fillId="2" borderId="0" xfId="0" applyNumberFormat="1" applyFont="1" applyBorder="1" applyAlignment="1">
      <alignment horizontal="center"/>
    </xf>
    <xf numFmtId="167" fontId="12" fillId="2" borderId="4" xfId="0" applyNumberFormat="1" applyFont="1" applyBorder="1" applyAlignment="1">
      <alignment horizontal="center"/>
    </xf>
    <xf numFmtId="10" fontId="0" fillId="2" borderId="0" xfId="0" applyNumberFormat="1" applyAlignment="1">
      <alignment horizontal="center"/>
    </xf>
    <xf numFmtId="167" fontId="12" fillId="2" borderId="6" xfId="0" applyNumberFormat="1" applyFont="1" applyBorder="1" applyAlignment="1">
      <alignment horizontal="center"/>
    </xf>
    <xf numFmtId="0" fontId="13" fillId="2" borderId="0" xfId="0" applyNumberFormat="1" applyFont="1" applyBorder="1" applyAlignment="1">
      <alignment horizontal="centerContinuous"/>
    </xf>
    <xf numFmtId="167" fontId="12" fillId="2" borderId="9" xfId="0" applyNumberFormat="1" applyFont="1" applyBorder="1" applyAlignment="1">
      <alignment horizontal="left"/>
    </xf>
    <xf numFmtId="0" fontId="10" fillId="0" borderId="5" xfId="0" applyNumberFormat="1" applyFont="1" applyFill="1" applyBorder="1"/>
    <xf numFmtId="0" fontId="0" fillId="2" borderId="14" xfId="0" applyNumberFormat="1" applyBorder="1"/>
    <xf numFmtId="0" fontId="15" fillId="2" borderId="0" xfId="0" applyNumberFormat="1" applyFont="1"/>
    <xf numFmtId="41" fontId="15" fillId="2" borderId="0" xfId="0" applyNumberFormat="1" applyFont="1"/>
    <xf numFmtId="0" fontId="16" fillId="2" borderId="0" xfId="0" applyNumberFormat="1" applyFont="1"/>
    <xf numFmtId="0" fontId="17" fillId="2" borderId="0" xfId="0" applyNumberFormat="1" applyFont="1"/>
    <xf numFmtId="0" fontId="18" fillId="2" borderId="0" xfId="0" applyNumberFormat="1" applyFont="1"/>
    <xf numFmtId="0" fontId="19" fillId="5" borderId="0" xfId="0" applyNumberFormat="1" applyFont="1" applyFill="1" applyAlignment="1">
      <alignment horizontal="center"/>
    </xf>
    <xf numFmtId="0" fontId="20" fillId="5" borderId="0" xfId="0" applyNumberFormat="1" applyFont="1" applyFill="1" applyAlignment="1">
      <alignment horizontal="center"/>
    </xf>
    <xf numFmtId="0" fontId="18" fillId="2" borderId="0" xfId="0" applyNumberFormat="1" applyFont="1" applyAlignment="1">
      <alignment horizontal="right"/>
    </xf>
    <xf numFmtId="41" fontId="18" fillId="2" borderId="0" xfId="0" applyNumberFormat="1" applyFont="1"/>
    <xf numFmtId="41" fontId="18" fillId="2" borderId="7" xfId="0" applyNumberFormat="1" applyFont="1" applyBorder="1"/>
    <xf numFmtId="5" fontId="18" fillId="2" borderId="7" xfId="0" applyNumberFormat="1" applyFont="1" applyBorder="1"/>
    <xf numFmtId="10" fontId="18" fillId="2" borderId="0" xfId="0" applyNumberFormat="1" applyFont="1" applyAlignment="1">
      <alignment horizontal="right"/>
    </xf>
    <xf numFmtId="0" fontId="21" fillId="2" borderId="0" xfId="0" applyNumberFormat="1" applyFont="1" applyAlignment="1">
      <alignment horizontal="right"/>
    </xf>
    <xf numFmtId="41" fontId="21" fillId="2" borderId="0" xfId="0" applyNumberFormat="1" applyFont="1" applyAlignment="1">
      <alignment horizontal="center"/>
    </xf>
    <xf numFmtId="0" fontId="21" fillId="2" borderId="0" xfId="0" applyNumberFormat="1" applyFont="1" applyAlignment="1">
      <alignment horizontal="center"/>
    </xf>
    <xf numFmtId="41" fontId="18" fillId="2" borderId="0" xfId="0" applyNumberFormat="1" applyFont="1" applyBorder="1" applyProtection="1">
      <protection locked="0"/>
    </xf>
    <xf numFmtId="10" fontId="18" fillId="2" borderId="0" xfId="0" applyNumberFormat="1" applyFont="1" applyAlignment="1">
      <alignment horizontal="center"/>
    </xf>
    <xf numFmtId="10" fontId="18" fillId="2" borderId="0" xfId="0" applyNumberFormat="1" applyFont="1"/>
    <xf numFmtId="41" fontId="18" fillId="2" borderId="9" xfId="0" applyNumberFormat="1" applyFont="1" applyBorder="1" applyProtection="1">
      <protection locked="0"/>
    </xf>
    <xf numFmtId="9" fontId="18" fillId="2" borderId="0" xfId="0" applyNumberFormat="1" applyFont="1" applyAlignment="1">
      <alignment horizontal="center"/>
    </xf>
    <xf numFmtId="0" fontId="18" fillId="2" borderId="0" xfId="0" quotePrefix="1" applyNumberFormat="1" applyFont="1" applyAlignment="1">
      <alignment horizontal="left"/>
    </xf>
    <xf numFmtId="39" fontId="18" fillId="2" borderId="0" xfId="0" applyNumberFormat="1" applyFont="1"/>
    <xf numFmtId="0" fontId="22" fillId="2" borderId="0" xfId="0" applyNumberFormat="1" applyFont="1"/>
    <xf numFmtId="0" fontId="19" fillId="5" borderId="9" xfId="0" applyNumberFormat="1" applyFont="1" applyFill="1" applyBorder="1"/>
    <xf numFmtId="0" fontId="20" fillId="5" borderId="9" xfId="0" applyNumberFormat="1" applyFont="1" applyFill="1" applyBorder="1"/>
    <xf numFmtId="0" fontId="20" fillId="5" borderId="9" xfId="0" applyNumberFormat="1" applyFont="1" applyFill="1" applyBorder="1" applyAlignment="1">
      <alignment horizontal="center"/>
    </xf>
    <xf numFmtId="0" fontId="23" fillId="6" borderId="16" xfId="1" applyNumberFormat="1" applyFont="1" applyBorder="1" applyAlignment="1">
      <alignment horizontal="centerContinuous"/>
    </xf>
    <xf numFmtId="0" fontId="23" fillId="6" borderId="16" xfId="1" applyNumberFormat="1" applyFont="1" applyBorder="1" applyAlignment="1">
      <alignment horizontal="left"/>
    </xf>
    <xf numFmtId="0" fontId="15" fillId="2" borderId="0" xfId="0" applyNumberFormat="1" applyFont="1" applyBorder="1"/>
    <xf numFmtId="0" fontId="19" fillId="3" borderId="0" xfId="0" applyNumberFormat="1" applyFont="1" applyFill="1" applyBorder="1" applyAlignment="1">
      <alignment horizontal="centerContinuous"/>
    </xf>
    <xf numFmtId="0" fontId="24" fillId="2" borderId="0" xfId="0" applyNumberFormat="1" applyFont="1"/>
    <xf numFmtId="0" fontId="20" fillId="2" borderId="0" xfId="0" applyNumberFormat="1" applyFont="1"/>
    <xf numFmtId="0" fontId="24" fillId="2" borderId="0" xfId="0" applyNumberFormat="1" applyFont="1" applyAlignment="1">
      <alignment horizontal="right"/>
    </xf>
    <xf numFmtId="41" fontId="18" fillId="2" borderId="0" xfId="0" applyNumberFormat="1" applyFont="1" applyBorder="1"/>
    <xf numFmtId="41" fontId="18" fillId="2" borderId="1" xfId="0" applyNumberFormat="1" applyFont="1" applyBorder="1"/>
    <xf numFmtId="0" fontId="20" fillId="2" borderId="0" xfId="0" applyNumberFormat="1" applyFont="1" applyAlignment="1">
      <alignment horizontal="center"/>
    </xf>
    <xf numFmtId="0" fontId="20" fillId="2" borderId="9" xfId="0" applyNumberFormat="1" applyFont="1" applyBorder="1" applyAlignment="1">
      <alignment horizontal="right"/>
    </xf>
    <xf numFmtId="0" fontId="2" fillId="2" borderId="0" xfId="0" applyNumberFormat="1" applyFont="1" applyBorder="1"/>
    <xf numFmtId="0" fontId="1" fillId="2" borderId="0" xfId="0" applyNumberFormat="1" applyFont="1" applyBorder="1"/>
    <xf numFmtId="10" fontId="27" fillId="3" borderId="0" xfId="3" applyFont="1" applyBorder="1"/>
    <xf numFmtId="168" fontId="27" fillId="3" borderId="6" xfId="3" applyNumberFormat="1" applyFont="1" applyBorder="1"/>
    <xf numFmtId="10" fontId="27" fillId="3" borderId="9" xfId="3" applyFont="1" applyBorder="1"/>
    <xf numFmtId="10" fontId="27" fillId="3" borderId="10" xfId="3" applyFont="1" applyBorder="1"/>
    <xf numFmtId="0" fontId="13" fillId="4" borderId="0" xfId="0" applyNumberFormat="1" applyFont="1" applyFill="1"/>
    <xf numFmtId="0" fontId="0" fillId="7" borderId="0" xfId="0" applyNumberFormat="1" applyFill="1" applyBorder="1"/>
    <xf numFmtId="2" fontId="0" fillId="2" borderId="19" xfId="0" applyNumberFormat="1" applyBorder="1" applyAlignment="1">
      <alignment horizontal="center"/>
    </xf>
    <xf numFmtId="165" fontId="0" fillId="2" borderId="20" xfId="0" applyNumberFormat="1" applyBorder="1"/>
    <xf numFmtId="10" fontId="4" fillId="2" borderId="20" xfId="0" applyNumberFormat="1" applyFont="1" applyBorder="1"/>
    <xf numFmtId="41" fontId="0" fillId="2" borderId="21" xfId="0" applyNumberFormat="1" applyBorder="1"/>
    <xf numFmtId="41" fontId="0" fillId="2" borderId="19" xfId="0" applyNumberFormat="1" applyBorder="1"/>
    <xf numFmtId="41" fontId="0" fillId="2" borderId="20" xfId="0" applyNumberFormat="1" applyBorder="1"/>
    <xf numFmtId="2" fontId="0" fillId="2" borderId="5" xfId="0" applyNumberFormat="1" applyBorder="1" applyAlignment="1">
      <alignment horizontal="center"/>
    </xf>
    <xf numFmtId="41" fontId="0" fillId="2" borderId="6" xfId="0" applyNumberFormat="1" applyBorder="1"/>
    <xf numFmtId="41" fontId="0" fillId="2" borderId="5" xfId="0" applyNumberFormat="1" applyBorder="1"/>
    <xf numFmtId="41" fontId="0" fillId="2" borderId="0" xfId="0" applyNumberFormat="1" applyBorder="1"/>
    <xf numFmtId="168" fontId="18" fillId="2" borderId="0" xfId="0" applyNumberFormat="1" applyFont="1"/>
    <xf numFmtId="169" fontId="18" fillId="2" borderId="0" xfId="0" applyNumberFormat="1" applyFont="1" applyBorder="1" applyProtection="1">
      <protection locked="0"/>
    </xf>
    <xf numFmtId="41" fontId="15" fillId="0" borderId="10" xfId="2" applyFont="1" applyFill="1" applyBorder="1">
      <alignment horizontal="left"/>
    </xf>
    <xf numFmtId="41" fontId="15" fillId="0" borderId="22" xfId="2" applyFont="1" applyFill="1" applyBorder="1">
      <alignment horizontal="left"/>
    </xf>
    <xf numFmtId="10" fontId="15" fillId="0" borderId="22" xfId="3" applyFont="1" applyFill="1" applyBorder="1"/>
    <xf numFmtId="168" fontId="15" fillId="0" borderId="22" xfId="3" applyNumberFormat="1" applyFont="1" applyFill="1" applyBorder="1"/>
    <xf numFmtId="0" fontId="23" fillId="6" borderId="23" xfId="1" applyNumberFormat="1" applyFont="1" applyBorder="1" applyAlignment="1">
      <alignment horizontal="left"/>
    </xf>
    <xf numFmtId="0" fontId="18" fillId="2" borderId="14" xfId="0" applyNumberFormat="1" applyFont="1" applyBorder="1" applyAlignment="1">
      <alignment horizontal="right"/>
    </xf>
    <xf numFmtId="0" fontId="18" fillId="2" borderId="18" xfId="0" applyNumberFormat="1" applyFont="1" applyBorder="1" applyAlignment="1">
      <alignment horizontal="right"/>
    </xf>
    <xf numFmtId="41" fontId="18" fillId="2" borderId="24" xfId="0" applyNumberFormat="1" applyFont="1" applyBorder="1"/>
    <xf numFmtId="168" fontId="18" fillId="2" borderId="24" xfId="0" applyNumberFormat="1" applyFont="1" applyBorder="1"/>
    <xf numFmtId="0" fontId="15" fillId="2" borderId="25" xfId="0" applyNumberFormat="1" applyFont="1" applyBorder="1"/>
    <xf numFmtId="0" fontId="18" fillId="2" borderId="5" xfId="0" applyNumberFormat="1" applyFont="1" applyBorder="1"/>
    <xf numFmtId="0" fontId="18" fillId="2" borderId="8" xfId="0" applyNumberFormat="1" applyFont="1" applyBorder="1"/>
    <xf numFmtId="0" fontId="18" fillId="2" borderId="26" xfId="0" applyNumberFormat="1" applyFont="1" applyBorder="1" applyAlignment="1">
      <alignment horizontal="center"/>
    </xf>
    <xf numFmtId="0" fontId="18" fillId="2" borderId="14" xfId="0" applyNumberFormat="1" applyFont="1" applyBorder="1" applyAlignment="1">
      <alignment horizontal="center"/>
    </xf>
    <xf numFmtId="10" fontId="18" fillId="2" borderId="24" xfId="0" applyNumberFormat="1" applyFont="1" applyBorder="1" applyAlignment="1">
      <alignment horizontal="center"/>
    </xf>
    <xf numFmtId="0" fontId="15" fillId="2" borderId="0" xfId="0" applyNumberFormat="1" applyFont="1" applyAlignment="1">
      <alignment horizontal="right"/>
    </xf>
    <xf numFmtId="0" fontId="19" fillId="5" borderId="0" xfId="0" applyNumberFormat="1" applyFont="1" applyFill="1" applyBorder="1" applyAlignment="1">
      <alignment horizontal="right"/>
    </xf>
    <xf numFmtId="0" fontId="0" fillId="2" borderId="9" xfId="0" applyNumberFormat="1" applyFont="1" applyBorder="1"/>
    <xf numFmtId="39" fontId="0" fillId="2" borderId="2" xfId="0" applyNumberFormat="1" applyFont="1" applyBorder="1" applyAlignment="1">
      <alignment horizontal="center"/>
    </xf>
    <xf numFmtId="0" fontId="0" fillId="2" borderId="3" xfId="0" quotePrefix="1" applyNumberFormat="1" applyFont="1" applyBorder="1" applyAlignment="1">
      <alignment horizontal="left"/>
    </xf>
    <xf numFmtId="0" fontId="0" fillId="2" borderId="5" xfId="0" applyNumberFormat="1" applyFont="1" applyBorder="1" applyAlignment="1">
      <alignment horizontal="center"/>
    </xf>
    <xf numFmtId="0" fontId="0" fillId="2" borderId="0" xfId="0" quotePrefix="1" applyNumberFormat="1" applyFont="1" applyBorder="1" applyAlignment="1">
      <alignment horizontal="left"/>
    </xf>
    <xf numFmtId="0" fontId="0" fillId="2" borderId="0" xfId="0" applyNumberFormat="1" applyFont="1" applyBorder="1"/>
    <xf numFmtId="10" fontId="0" fillId="2" borderId="8" xfId="0" applyNumberFormat="1" applyFont="1" applyBorder="1" applyAlignment="1">
      <alignment horizontal="center"/>
    </xf>
    <xf numFmtId="0" fontId="0" fillId="2" borderId="21" xfId="0" applyNumberFormat="1" applyBorder="1"/>
    <xf numFmtId="0" fontId="0" fillId="2" borderId="19" xfId="0" applyNumberFormat="1" applyBorder="1"/>
    <xf numFmtId="0" fontId="2" fillId="2" borderId="20" xfId="0" applyNumberFormat="1" applyFont="1" applyBorder="1"/>
    <xf numFmtId="0" fontId="2" fillId="2" borderId="5" xfId="0" applyNumberFormat="1" applyFont="1" applyBorder="1"/>
    <xf numFmtId="0" fontId="2" fillId="2" borderId="6" xfId="0" applyNumberFormat="1" applyFont="1" applyBorder="1"/>
    <xf numFmtId="10" fontId="27" fillId="3" borderId="6" xfId="3" applyFont="1" applyBorder="1"/>
    <xf numFmtId="0" fontId="6" fillId="2" borderId="0" xfId="0" applyNumberFormat="1" applyFont="1" applyBorder="1"/>
    <xf numFmtId="39" fontId="0" fillId="2" borderId="9" xfId="0" applyNumberFormat="1" applyBorder="1"/>
    <xf numFmtId="164" fontId="0" fillId="2" borderId="9" xfId="0" applyNumberFormat="1" applyBorder="1"/>
    <xf numFmtId="165" fontId="0" fillId="2" borderId="10" xfId="0" applyNumberFormat="1" applyBorder="1"/>
    <xf numFmtId="0" fontId="0" fillId="2" borderId="20" xfId="0" applyNumberFormat="1" applyBorder="1"/>
    <xf numFmtId="10" fontId="0" fillId="2" borderId="0" xfId="0" applyNumberFormat="1" applyBorder="1"/>
    <xf numFmtId="10" fontId="0" fillId="2" borderId="9" xfId="0" applyNumberFormat="1" applyBorder="1"/>
    <xf numFmtId="0" fontId="30" fillId="2" borderId="3" xfId="0" applyNumberFormat="1" applyFont="1" applyBorder="1" applyAlignment="1">
      <alignment horizontal="center"/>
    </xf>
    <xf numFmtId="0" fontId="30" fillId="2" borderId="4" xfId="0" applyNumberFormat="1" applyFont="1" applyBorder="1" applyAlignment="1">
      <alignment horizontal="center"/>
    </xf>
    <xf numFmtId="10" fontId="0" fillId="2" borderId="6" xfId="0" applyNumberFormat="1" applyBorder="1" applyAlignment="1">
      <alignment horizontal="right"/>
    </xf>
    <xf numFmtId="0" fontId="29" fillId="6" borderId="17" xfId="1" applyNumberFormat="1" applyFont="1" applyBorder="1" applyAlignment="1">
      <alignment horizontal="centerContinuous"/>
    </xf>
    <xf numFmtId="0" fontId="23" fillId="6" borderId="11" xfId="1" applyNumberFormat="1" applyFont="1" applyBorder="1" applyAlignment="1">
      <alignment horizontal="left"/>
    </xf>
    <xf numFmtId="168" fontId="18" fillId="2" borderId="0" xfId="0" applyNumberFormat="1" applyFont="1" applyBorder="1"/>
    <xf numFmtId="0" fontId="0" fillId="2" borderId="0" xfId="0" applyNumberFormat="1" applyBorder="1" applyAlignment="1">
      <alignment horizontal="center"/>
    </xf>
    <xf numFmtId="0" fontId="28" fillId="2" borderId="0" xfId="5" applyNumberFormat="1"/>
    <xf numFmtId="0" fontId="18" fillId="2" borderId="0" xfId="5" applyNumberFormat="1" applyFont="1" applyBorder="1" applyAlignment="1">
      <alignment horizontal="right"/>
    </xf>
    <xf numFmtId="41" fontId="18" fillId="2" borderId="0" xfId="5" applyNumberFormat="1" applyFont="1" applyBorder="1"/>
    <xf numFmtId="0" fontId="25" fillId="2" borderId="0" xfId="5" applyNumberFormat="1" applyFont="1" applyBorder="1" applyAlignment="1">
      <alignment horizontal="left"/>
    </xf>
    <xf numFmtId="0" fontId="28" fillId="2" borderId="0" xfId="5" applyNumberFormat="1" applyBorder="1"/>
    <xf numFmtId="0" fontId="15" fillId="2" borderId="5" xfId="0" applyNumberFormat="1" applyFont="1" applyBorder="1"/>
    <xf numFmtId="0" fontId="31" fillId="2" borderId="0" xfId="0" applyNumberFormat="1" applyFont="1" applyAlignment="1">
      <alignment horizontal="center"/>
    </xf>
    <xf numFmtId="0" fontId="18" fillId="2" borderId="0" xfId="5" applyNumberFormat="1" applyFont="1" applyAlignment="1">
      <alignment horizontal="right"/>
    </xf>
    <xf numFmtId="10" fontId="18" fillId="2" borderId="0" xfId="5" applyNumberFormat="1" applyFont="1" applyAlignment="1">
      <alignment horizontal="right"/>
    </xf>
    <xf numFmtId="41" fontId="15" fillId="3" borderId="0" xfId="7" applyFont="1" applyAlignment="1">
      <alignment horizontal="right"/>
    </xf>
    <xf numFmtId="0" fontId="28" fillId="2" borderId="0" xfId="5" applyNumberFormat="1" applyAlignment="1">
      <alignment horizontal="right"/>
    </xf>
    <xf numFmtId="0" fontId="15" fillId="2" borderId="0" xfId="5" applyNumberFormat="1" applyFont="1"/>
    <xf numFmtId="0" fontId="19" fillId="5" borderId="19" xfId="5" applyNumberFormat="1" applyFont="1" applyFill="1" applyBorder="1" applyAlignment="1">
      <alignment horizontal="left"/>
    </xf>
    <xf numFmtId="0" fontId="28" fillId="2" borderId="20" xfId="5" applyNumberFormat="1" applyBorder="1"/>
    <xf numFmtId="0" fontId="28" fillId="2" borderId="21" xfId="5" applyNumberFormat="1" applyBorder="1"/>
    <xf numFmtId="0" fontId="15" fillId="2" borderId="5" xfId="5" applyNumberFormat="1" applyFont="1" applyBorder="1"/>
    <xf numFmtId="41" fontId="18" fillId="2" borderId="6" xfId="5" applyNumberFormat="1" applyFont="1" applyBorder="1"/>
    <xf numFmtId="0" fontId="20" fillId="2" borderId="0" xfId="5" applyNumberFormat="1" applyFont="1" applyBorder="1" applyAlignment="1">
      <alignment horizontal="right"/>
    </xf>
    <xf numFmtId="41" fontId="20" fillId="2" borderId="27" xfId="5" applyNumberFormat="1" applyFont="1" applyBorder="1"/>
    <xf numFmtId="41" fontId="20" fillId="2" borderId="28" xfId="5" applyNumberFormat="1" applyFont="1" applyBorder="1"/>
    <xf numFmtId="0" fontId="28" fillId="2" borderId="8" xfId="5" applyNumberFormat="1" applyBorder="1"/>
    <xf numFmtId="0" fontId="28" fillId="2" borderId="9" xfId="5" applyNumberFormat="1" applyBorder="1"/>
    <xf numFmtId="0" fontId="28" fillId="2" borderId="10" xfId="5" applyNumberFormat="1" applyBorder="1"/>
    <xf numFmtId="0" fontId="20" fillId="2" borderId="9" xfId="0" applyNumberFormat="1" applyFont="1" applyBorder="1" applyAlignment="1">
      <alignment horizontal="center"/>
    </xf>
    <xf numFmtId="0" fontId="18" fillId="2" borderId="0" xfId="0" applyNumberFormat="1" applyFont="1" applyBorder="1"/>
    <xf numFmtId="10" fontId="18" fillId="2" borderId="0" xfId="0" applyNumberFormat="1" applyFont="1" applyBorder="1"/>
    <xf numFmtId="0" fontId="20" fillId="2" borderId="14" xfId="0" applyNumberFormat="1" applyFont="1" applyBorder="1" applyAlignment="1">
      <alignment horizontal="right"/>
    </xf>
    <xf numFmtId="0" fontId="18" fillId="2" borderId="29" xfId="5" applyNumberFormat="1" applyFont="1" applyBorder="1" applyAlignment="1">
      <alignment horizontal="right"/>
    </xf>
    <xf numFmtId="0" fontId="18" fillId="2" borderId="9" xfId="5" applyNumberFormat="1" applyFont="1" applyBorder="1" applyAlignment="1">
      <alignment horizontal="right" vertical="center"/>
    </xf>
    <xf numFmtId="10" fontId="20" fillId="2" borderId="9" xfId="5" applyNumberFormat="1" applyFont="1" applyBorder="1" applyAlignment="1">
      <alignment horizontal="center" vertical="center"/>
    </xf>
    <xf numFmtId="0" fontId="0" fillId="0" borderId="0" xfId="0" applyNumberFormat="1" applyFill="1"/>
    <xf numFmtId="0" fontId="34" fillId="2" borderId="0" xfId="0" applyFont="1" applyAlignment="1">
      <alignment horizontal="centerContinuous"/>
    </xf>
    <xf numFmtId="0" fontId="35" fillId="2" borderId="0" xfId="0" applyFont="1" applyAlignment="1">
      <alignment horizontal="centerContinuous"/>
    </xf>
    <xf numFmtId="0" fontId="0" fillId="2" borderId="0" xfId="0"/>
    <xf numFmtId="0" fontId="0" fillId="2" borderId="0" xfId="0" applyAlignment="1">
      <alignment horizontal="centerContinuous"/>
    </xf>
    <xf numFmtId="0" fontId="15" fillId="2" borderId="0" xfId="0" applyFont="1" applyAlignment="1">
      <alignment horizontal="centerContinuous"/>
    </xf>
    <xf numFmtId="49" fontId="36" fillId="2" borderId="0" xfId="0" applyNumberFormat="1" applyFont="1" applyAlignment="1">
      <alignment horizontal="center"/>
    </xf>
    <xf numFmtId="49" fontId="36" fillId="2" borderId="31" xfId="0" applyNumberFormat="1" applyFont="1" applyBorder="1" applyAlignment="1">
      <alignment horizontal="center"/>
    </xf>
    <xf numFmtId="49" fontId="0" fillId="2" borderId="0" xfId="0" applyNumberFormat="1" applyAlignment="1">
      <alignment horizontal="center"/>
    </xf>
    <xf numFmtId="49" fontId="37" fillId="2" borderId="0" xfId="0" applyNumberFormat="1" applyFont="1"/>
    <xf numFmtId="171" fontId="38" fillId="2" borderId="0" xfId="0" applyNumberFormat="1" applyFont="1"/>
    <xf numFmtId="49" fontId="38" fillId="2" borderId="0" xfId="0" applyNumberFormat="1" applyFont="1"/>
    <xf numFmtId="49" fontId="36" fillId="2" borderId="0" xfId="0" applyNumberFormat="1" applyFont="1"/>
    <xf numFmtId="171" fontId="38" fillId="2" borderId="13" xfId="0" applyNumberFormat="1" applyFont="1" applyBorder="1"/>
    <xf numFmtId="171" fontId="38" fillId="2" borderId="16" xfId="0" applyNumberFormat="1" applyFont="1" applyBorder="1"/>
    <xf numFmtId="171" fontId="38" fillId="2" borderId="32" xfId="0" applyNumberFormat="1" applyFont="1" applyBorder="1"/>
    <xf numFmtId="171" fontId="36" fillId="2" borderId="33" xfId="0" applyNumberFormat="1" applyFont="1" applyBorder="1"/>
    <xf numFmtId="4" fontId="15" fillId="2" borderId="0" xfId="0" applyNumberFormat="1" applyFont="1"/>
    <xf numFmtId="0" fontId="15" fillId="2" borderId="0" xfId="0" applyFont="1"/>
    <xf numFmtId="0" fontId="39" fillId="0" borderId="0" xfId="0" applyFont="1" applyFill="1" applyAlignment="1">
      <alignment horizontal="centerContinuous"/>
    </xf>
    <xf numFmtId="4" fontId="39" fillId="0" borderId="0" xfId="0" applyNumberFormat="1" applyFont="1" applyFill="1" applyAlignment="1">
      <alignment horizontal="centerContinuous"/>
    </xf>
    <xf numFmtId="4" fontId="15" fillId="0" borderId="0" xfId="0" applyNumberFormat="1" applyFont="1" applyFill="1"/>
    <xf numFmtId="0" fontId="15" fillId="0" borderId="0" xfId="0" applyFont="1" applyFill="1"/>
    <xf numFmtId="4" fontId="15" fillId="0" borderId="0" xfId="0" applyNumberFormat="1" applyFont="1" applyFill="1" applyAlignment="1">
      <alignment horizontal="center"/>
    </xf>
    <xf numFmtId="0" fontId="40" fillId="0" borderId="0" xfId="0" applyFont="1" applyFill="1"/>
    <xf numFmtId="0" fontId="0" fillId="0" borderId="0" xfId="0" applyFill="1"/>
    <xf numFmtId="3" fontId="15" fillId="0" borderId="0" xfId="0" applyNumberFormat="1" applyFont="1" applyFill="1"/>
    <xf numFmtId="3" fontId="15" fillId="0" borderId="9" xfId="0" applyNumberFormat="1" applyFont="1" applyFill="1" applyBorder="1"/>
    <xf numFmtId="3" fontId="0" fillId="0" borderId="0" xfId="0" applyNumberFormat="1" applyFill="1"/>
    <xf numFmtId="3" fontId="15" fillId="0" borderId="34" xfId="0" applyNumberFormat="1" applyFont="1" applyFill="1" applyBorder="1"/>
    <xf numFmtId="10" fontId="15" fillId="0" borderId="0" xfId="0" applyNumberFormat="1" applyFont="1" applyFill="1"/>
    <xf numFmtId="10" fontId="27" fillId="0" borderId="0" xfId="0" applyNumberFormat="1" applyFont="1" applyFill="1"/>
    <xf numFmtId="3" fontId="27" fillId="0" borderId="0" xfId="0" applyNumberFormat="1" applyFont="1" applyFill="1"/>
    <xf numFmtId="0" fontId="41" fillId="0" borderId="0" xfId="0" applyFont="1" applyFill="1" applyAlignment="1">
      <alignment horizontal="centerContinuous"/>
    </xf>
    <xf numFmtId="0" fontId="15" fillId="0" borderId="0" xfId="0" applyFont="1" applyFill="1" applyAlignment="1">
      <alignment horizontal="centerContinuous"/>
    </xf>
    <xf numFmtId="3" fontId="15" fillId="0" borderId="0" xfId="0" applyNumberFormat="1" applyFont="1" applyFill="1" applyAlignment="1">
      <alignment horizontal="centerContinuous"/>
    </xf>
    <xf numFmtId="4" fontId="0" fillId="0" borderId="0" xfId="0" applyNumberFormat="1" applyFill="1"/>
    <xf numFmtId="0" fontId="43" fillId="0" borderId="0" xfId="5" applyFont="1" applyFill="1" applyAlignment="1">
      <alignment vertical="center"/>
    </xf>
    <xf numFmtId="0" fontId="43" fillId="0" borderId="0" xfId="5" applyFont="1" applyFill="1" applyAlignment="1">
      <alignment horizontal="left" vertical="center" indent="2"/>
    </xf>
    <xf numFmtId="0" fontId="42" fillId="0" borderId="0" xfId="0" applyFont="1" applyFill="1"/>
    <xf numFmtId="172" fontId="43" fillId="0" borderId="0" xfId="0" applyNumberFormat="1" applyFont="1" applyFill="1"/>
    <xf numFmtId="0" fontId="45" fillId="0" borderId="35" xfId="0" applyFont="1" applyFill="1" applyBorder="1" applyAlignment="1">
      <alignment horizontal="center" vertical="center"/>
    </xf>
    <xf numFmtId="0" fontId="45" fillId="0" borderId="32" xfId="0" applyFont="1" applyFill="1" applyBorder="1" applyAlignment="1">
      <alignment horizontal="center" vertical="center"/>
    </xf>
    <xf numFmtId="0" fontId="45" fillId="0" borderId="36" xfId="0" applyFont="1" applyFill="1" applyBorder="1" applyAlignment="1">
      <alignment horizontal="center" vertical="center"/>
    </xf>
    <xf numFmtId="0" fontId="45" fillId="0" borderId="37" xfId="0" applyFont="1" applyFill="1" applyBorder="1" applyAlignment="1">
      <alignment horizontal="center" vertical="center"/>
    </xf>
    <xf numFmtId="0" fontId="45" fillId="0" borderId="13" xfId="0" applyFont="1" applyFill="1" applyBorder="1" applyAlignment="1">
      <alignment horizontal="center" vertical="center"/>
    </xf>
    <xf numFmtId="0" fontId="45" fillId="0" borderId="38" xfId="0" applyFont="1" applyFill="1" applyBorder="1" applyAlignment="1">
      <alignment horizontal="center" vertical="center"/>
    </xf>
    <xf numFmtId="0" fontId="43" fillId="0" borderId="35" xfId="5" applyFont="1" applyFill="1" applyBorder="1" applyAlignment="1">
      <alignment horizontal="center"/>
    </xf>
    <xf numFmtId="0" fontId="48" fillId="0" borderId="32" xfId="5" applyFont="1" applyFill="1" applyBorder="1" applyAlignment="1">
      <alignment horizontal="left" vertical="center"/>
    </xf>
    <xf numFmtId="173" fontId="43" fillId="0" borderId="36" xfId="5" applyNumberFormat="1" applyFont="1" applyFill="1" applyBorder="1" applyAlignment="1">
      <alignment horizontal="right"/>
    </xf>
    <xf numFmtId="0" fontId="43" fillId="0" borderId="39" xfId="5" applyFont="1" applyFill="1" applyBorder="1" applyAlignment="1">
      <alignment horizontal="center"/>
    </xf>
    <xf numFmtId="5" fontId="49" fillId="0" borderId="40" xfId="5" applyNumberFormat="1" applyFont="1" applyFill="1" applyBorder="1" applyAlignment="1" applyProtection="1">
      <alignment horizontal="right" vertical="center"/>
      <protection locked="0"/>
    </xf>
    <xf numFmtId="5" fontId="49" fillId="0" borderId="40" xfId="5" applyNumberFormat="1" applyFont="1" applyFill="1" applyBorder="1" applyAlignment="1">
      <alignment horizontal="right" vertical="center"/>
    </xf>
    <xf numFmtId="0" fontId="43" fillId="0" borderId="0" xfId="5" applyFont="1" applyFill="1" applyAlignment="1">
      <alignment horizontal="left" vertical="center"/>
    </xf>
    <xf numFmtId="0" fontId="48" fillId="0" borderId="0" xfId="5" applyFont="1" applyFill="1" applyAlignment="1">
      <alignment vertical="center"/>
    </xf>
    <xf numFmtId="5" fontId="43" fillId="0" borderId="41" xfId="5" applyNumberFormat="1" applyFont="1" applyFill="1" applyBorder="1"/>
    <xf numFmtId="0" fontId="43" fillId="0" borderId="0" xfId="5" applyFont="1" applyFill="1" applyAlignment="1">
      <alignment horizontal="left" vertical="center" indent="3"/>
    </xf>
    <xf numFmtId="0" fontId="43" fillId="0" borderId="0" xfId="5" applyFont="1" applyFill="1" applyAlignment="1">
      <alignment horizontal="left" vertical="center" indent="1"/>
    </xf>
    <xf numFmtId="0" fontId="43" fillId="0" borderId="37" xfId="5" applyFont="1" applyFill="1" applyBorder="1" applyAlignment="1">
      <alignment horizontal="center"/>
    </xf>
    <xf numFmtId="0" fontId="48" fillId="0" borderId="13" xfId="5" applyFont="1" applyFill="1" applyBorder="1" applyAlignment="1">
      <alignment horizontal="left" vertical="center"/>
    </xf>
    <xf numFmtId="5" fontId="49" fillId="0" borderId="42" xfId="5" applyNumberFormat="1" applyFont="1" applyFill="1" applyBorder="1" applyAlignment="1">
      <alignment horizontal="right" vertical="center"/>
    </xf>
    <xf numFmtId="0" fontId="45" fillId="0" borderId="35" xfId="0" applyFont="1" applyFill="1" applyBorder="1" applyAlignment="1">
      <alignment horizontal="center"/>
    </xf>
    <xf numFmtId="0" fontId="45" fillId="0" borderId="32" xfId="0" applyFont="1" applyFill="1" applyBorder="1" applyAlignment="1">
      <alignment horizontal="center"/>
    </xf>
    <xf numFmtId="0" fontId="45" fillId="0" borderId="36" xfId="0" applyFont="1" applyFill="1" applyBorder="1" applyAlignment="1">
      <alignment horizontal="center"/>
    </xf>
    <xf numFmtId="0" fontId="45" fillId="0" borderId="37" xfId="0" applyFont="1" applyFill="1" applyBorder="1" applyAlignment="1">
      <alignment horizontal="center"/>
    </xf>
    <xf numFmtId="0" fontId="45" fillId="0" borderId="13" xfId="0" applyFont="1" applyFill="1" applyBorder="1" applyAlignment="1">
      <alignment horizontal="center"/>
    </xf>
    <xf numFmtId="0" fontId="45" fillId="0" borderId="38" xfId="0" applyFont="1" applyFill="1" applyBorder="1" applyAlignment="1">
      <alignment horizontal="center"/>
    </xf>
    <xf numFmtId="0" fontId="48" fillId="0" borderId="32" xfId="5" applyFont="1" applyFill="1" applyBorder="1" applyAlignment="1">
      <alignment horizontal="left"/>
    </xf>
    <xf numFmtId="0" fontId="43" fillId="0" borderId="0" xfId="5" applyFont="1" applyFill="1"/>
    <xf numFmtId="172" fontId="49" fillId="0" borderId="0" xfId="0" applyNumberFormat="1" applyFont="1" applyFill="1"/>
    <xf numFmtId="0" fontId="43" fillId="0" borderId="0" xfId="5" applyFont="1" applyFill="1" applyAlignment="1">
      <alignment horizontal="left"/>
    </xf>
    <xf numFmtId="0" fontId="43" fillId="0" borderId="0" xfId="5" applyFont="1" applyFill="1" applyAlignment="1">
      <alignment horizontal="left" indent="2"/>
    </xf>
    <xf numFmtId="0" fontId="49" fillId="0" borderId="0" xfId="0" applyFont="1" applyFill="1"/>
    <xf numFmtId="0" fontId="48" fillId="0" borderId="0" xfId="5" applyFont="1" applyFill="1" applyAlignment="1">
      <alignment horizontal="left"/>
    </xf>
    <xf numFmtId="10" fontId="49" fillId="0" borderId="0" xfId="0" applyNumberFormat="1" applyFont="1" applyFill="1"/>
    <xf numFmtId="172" fontId="49" fillId="0" borderId="43" xfId="0" applyNumberFormat="1" applyFont="1" applyFill="1" applyBorder="1"/>
    <xf numFmtId="172" fontId="49" fillId="0" borderId="9" xfId="0" applyNumberFormat="1" applyFont="1" applyFill="1" applyBorder="1"/>
    <xf numFmtId="10" fontId="49" fillId="0" borderId="9" xfId="0" applyNumberFormat="1" applyFont="1" applyFill="1" applyBorder="1"/>
    <xf numFmtId="0" fontId="48" fillId="0" borderId="0" xfId="5" applyFont="1" applyFill="1"/>
    <xf numFmtId="0" fontId="43" fillId="0" borderId="0" xfId="5" applyFont="1" applyFill="1" applyAlignment="1">
      <alignment horizontal="left" indent="3"/>
    </xf>
    <xf numFmtId="5" fontId="49" fillId="0" borderId="41" xfId="5" applyNumberFormat="1" applyFont="1" applyFill="1" applyBorder="1" applyProtection="1">
      <protection locked="0"/>
    </xf>
    <xf numFmtId="172" fontId="49" fillId="0" borderId="34" xfId="0" applyNumberFormat="1" applyFont="1" applyFill="1" applyBorder="1"/>
    <xf numFmtId="0" fontId="48" fillId="0" borderId="13" xfId="5" applyFont="1" applyFill="1" applyBorder="1"/>
    <xf numFmtId="173" fontId="42" fillId="0" borderId="0" xfId="0" applyNumberFormat="1" applyFont="1" applyFill="1" applyAlignment="1">
      <alignment horizontal="right"/>
    </xf>
    <xf numFmtId="0" fontId="54" fillId="0" borderId="0" xfId="0" applyFont="1" applyFill="1"/>
    <xf numFmtId="0" fontId="54" fillId="0" borderId="0" xfId="0" applyFont="1" applyFill="1" applyAlignment="1">
      <alignment horizontal="center" wrapText="1"/>
    </xf>
    <xf numFmtId="0" fontId="54" fillId="0" borderId="0" xfId="0" applyFont="1" applyFill="1" applyAlignment="1">
      <alignment wrapText="1"/>
    </xf>
    <xf numFmtId="3" fontId="54" fillId="0" borderId="0" xfId="0" applyNumberFormat="1" applyFont="1" applyFill="1"/>
    <xf numFmtId="0" fontId="54" fillId="0" borderId="0" xfId="0" applyFont="1" applyFill="1" applyAlignment="1">
      <alignment horizontal="center"/>
    </xf>
    <xf numFmtId="10" fontId="54" fillId="0" borderId="0" xfId="0" applyNumberFormat="1" applyFont="1" applyFill="1"/>
    <xf numFmtId="3" fontId="54" fillId="0" borderId="9" xfId="0" applyNumberFormat="1" applyFont="1" applyFill="1" applyBorder="1"/>
    <xf numFmtId="3" fontId="54" fillId="0" borderId="34" xfId="0" applyNumberFormat="1" applyFont="1" applyFill="1" applyBorder="1"/>
    <xf numFmtId="0" fontId="55" fillId="0" borderId="0" xfId="0" applyFont="1" applyFill="1" applyAlignment="1">
      <alignment vertical="center"/>
    </xf>
    <xf numFmtId="0" fontId="57" fillId="0" borderId="0" xfId="0" applyFont="1" applyFill="1" applyAlignment="1">
      <alignment horizontal="left" vertical="center" indent="4"/>
    </xf>
    <xf numFmtId="0" fontId="15" fillId="0" borderId="9" xfId="0" applyFont="1" applyFill="1" applyBorder="1"/>
    <xf numFmtId="0" fontId="15" fillId="0" borderId="50" xfId="0" applyFont="1" applyFill="1" applyBorder="1"/>
    <xf numFmtId="0" fontId="15" fillId="0" borderId="34" xfId="0" applyFont="1" applyFill="1" applyBorder="1"/>
    <xf numFmtId="0" fontId="60" fillId="0" borderId="0" xfId="0" applyFont="1" applyFill="1"/>
    <xf numFmtId="9" fontId="15" fillId="0" borderId="0" xfId="4" applyFont="1" applyFill="1"/>
    <xf numFmtId="0" fontId="57" fillId="0" borderId="0" xfId="0" applyFont="1" applyFill="1" applyAlignment="1">
      <alignment vertical="center"/>
    </xf>
    <xf numFmtId="0" fontId="15" fillId="0" borderId="5" xfId="0" applyFont="1" applyFill="1" applyBorder="1"/>
    <xf numFmtId="0" fontId="58" fillId="0" borderId="0" xfId="0" applyFont="1" applyFill="1"/>
    <xf numFmtId="0" fontId="15" fillId="0" borderId="8" xfId="0" applyFont="1" applyFill="1" applyBorder="1"/>
    <xf numFmtId="0" fontId="15" fillId="0" borderId="0" xfId="0" applyFont="1" applyFill="1" applyAlignment="1">
      <alignment horizontal="left" vertical="center" indent="4"/>
    </xf>
    <xf numFmtId="0" fontId="27" fillId="0" borderId="0" xfId="0" applyFont="1" applyFill="1"/>
    <xf numFmtId="9" fontId="15" fillId="0" borderId="0" xfId="0" applyNumberFormat="1" applyFont="1" applyFill="1"/>
    <xf numFmtId="0" fontId="57" fillId="0" borderId="0" xfId="0" applyFont="1" applyFill="1" applyAlignment="1">
      <alignment horizontal="center" vertical="center" wrapText="1"/>
    </xf>
    <xf numFmtId="0" fontId="62" fillId="0" borderId="0" xfId="0" applyFont="1" applyFill="1" applyAlignment="1">
      <alignment horizontal="centerContinuous"/>
    </xf>
    <xf numFmtId="0" fontId="15" fillId="0" borderId="0" xfId="0" applyFont="1" applyFill="1" applyAlignment="1">
      <alignment horizontal="center"/>
    </xf>
    <xf numFmtId="0" fontId="39" fillId="0" borderId="0" xfId="0" applyFont="1" applyFill="1" applyAlignment="1">
      <alignment horizontal="center"/>
    </xf>
    <xf numFmtId="0" fontId="15" fillId="0" borderId="9" xfId="0" applyFont="1" applyFill="1" applyBorder="1" applyAlignment="1">
      <alignment horizontal="center"/>
    </xf>
    <xf numFmtId="0" fontId="15" fillId="0" borderId="0" xfId="0" quotePrefix="1" applyFont="1" applyFill="1" applyAlignment="1">
      <alignment horizontal="center"/>
    </xf>
    <xf numFmtId="164" fontId="15" fillId="0" borderId="0" xfId="0" applyNumberFormat="1" applyFont="1" applyFill="1"/>
    <xf numFmtId="8" fontId="15" fillId="0" borderId="0" xfId="0" applyNumberFormat="1" applyFont="1" applyFill="1"/>
    <xf numFmtId="39" fontId="15" fillId="0" borderId="0" xfId="0" applyNumberFormat="1" applyFont="1" applyFill="1"/>
    <xf numFmtId="173" fontId="15" fillId="0" borderId="0" xfId="0" applyNumberFormat="1" applyFont="1" applyFill="1"/>
    <xf numFmtId="1" fontId="15" fillId="0" borderId="0" xfId="0" applyNumberFormat="1" applyFont="1" applyFill="1"/>
    <xf numFmtId="1" fontId="15" fillId="0" borderId="9" xfId="0" applyNumberFormat="1" applyFont="1" applyFill="1" applyBorder="1"/>
    <xf numFmtId="173" fontId="15" fillId="0" borderId="9" xfId="0" applyNumberFormat="1" applyFont="1" applyFill="1" applyBorder="1"/>
    <xf numFmtId="4" fontId="15" fillId="0" borderId="9" xfId="0" applyNumberFormat="1" applyFont="1" applyFill="1" applyBorder="1"/>
    <xf numFmtId="173" fontId="15" fillId="0" borderId="0" xfId="0" applyNumberFormat="1" applyFont="1" applyFill="1" applyAlignment="1">
      <alignment horizontal="center"/>
    </xf>
    <xf numFmtId="4" fontId="58" fillId="0" borderId="0" xfId="0" applyNumberFormat="1" applyFont="1" applyFill="1"/>
    <xf numFmtId="4" fontId="58" fillId="0" borderId="34" xfId="0" applyNumberFormat="1" applyFont="1" applyFill="1" applyBorder="1"/>
    <xf numFmtId="41" fontId="15" fillId="0" borderId="0" xfId="0" applyNumberFormat="1" applyFont="1" applyFill="1"/>
    <xf numFmtId="4" fontId="61" fillId="0" borderId="0" xfId="0" applyNumberFormat="1" applyFont="1" applyFill="1"/>
    <xf numFmtId="4" fontId="58" fillId="0" borderId="9" xfId="0" applyNumberFormat="1" applyFont="1" applyFill="1" applyBorder="1"/>
    <xf numFmtId="10" fontId="58" fillId="0" borderId="0" xfId="0" applyNumberFormat="1" applyFont="1" applyFill="1"/>
    <xf numFmtId="0" fontId="15" fillId="0" borderId="0" xfId="9" applyFill="1" applyAlignment="1">
      <alignment horizontal="left" vertical="top"/>
    </xf>
    <xf numFmtId="0" fontId="1" fillId="0" borderId="0" xfId="9" applyFont="1" applyFill="1" applyAlignment="1">
      <alignment horizontal="left" vertical="top"/>
    </xf>
    <xf numFmtId="0" fontId="1" fillId="0" borderId="0" xfId="0" applyFont="1" applyFill="1" applyAlignment="1">
      <alignment horizontal="left" vertical="top"/>
    </xf>
    <xf numFmtId="0" fontId="15" fillId="0" borderId="0" xfId="9" applyFill="1" applyAlignment="1">
      <alignment horizontal="centerContinuous"/>
    </xf>
    <xf numFmtId="0" fontId="1" fillId="0" borderId="0" xfId="9" applyFont="1" applyFill="1" applyAlignment="1">
      <alignment horizontal="centerContinuous"/>
    </xf>
    <xf numFmtId="0" fontId="1" fillId="0" borderId="0" xfId="0" applyFont="1" applyFill="1"/>
    <xf numFmtId="0" fontId="15" fillId="0" borderId="0" xfId="9" applyFill="1"/>
    <xf numFmtId="0" fontId="1" fillId="0" borderId="0" xfId="9" applyFont="1" applyFill="1"/>
    <xf numFmtId="4" fontId="15" fillId="0" borderId="0" xfId="0" applyNumberFormat="1" applyFont="1" applyFill="1" applyAlignment="1">
      <alignment horizontal="center" wrapText="1"/>
    </xf>
    <xf numFmtId="4" fontId="63" fillId="0" borderId="0" xfId="0" applyNumberFormat="1" applyFont="1" applyFill="1"/>
    <xf numFmtId="4" fontId="63" fillId="0" borderId="0" xfId="8" applyNumberFormat="1" applyFont="1" applyFill="1"/>
    <xf numFmtId="174" fontId="15" fillId="0" borderId="0" xfId="9" quotePrefix="1" applyNumberFormat="1" applyFill="1" applyAlignment="1">
      <alignment horizontal="right"/>
    </xf>
    <xf numFmtId="173" fontId="15" fillId="0" borderId="0" xfId="7" applyNumberFormat="1" applyFont="1" applyFill="1" applyAlignment="1"/>
    <xf numFmtId="4" fontId="15" fillId="0" borderId="0" xfId="7" applyNumberFormat="1" applyFont="1" applyFill="1" applyAlignment="1"/>
    <xf numFmtId="173" fontId="15" fillId="0" borderId="9" xfId="7" applyNumberFormat="1" applyFont="1" applyFill="1" applyBorder="1" applyAlignment="1"/>
    <xf numFmtId="4" fontId="15" fillId="0" borderId="9" xfId="7" applyNumberFormat="1" applyFont="1" applyFill="1" applyBorder="1" applyAlignment="1"/>
    <xf numFmtId="0" fontId="33" fillId="0" borderId="0" xfId="0" applyFont="1" applyFill="1" applyAlignment="1">
      <alignment horizontal="centerContinuous"/>
    </xf>
    <xf numFmtId="0" fontId="39" fillId="0" borderId="0" xfId="0" applyFont="1" applyFill="1" applyAlignment="1" applyProtection="1">
      <alignment horizontal="centerContinuous"/>
      <protection locked="0"/>
    </xf>
    <xf numFmtId="0" fontId="15" fillId="0" borderId="0" xfId="0" applyFont="1" applyFill="1" applyProtection="1">
      <protection locked="0"/>
    </xf>
    <xf numFmtId="0" fontId="39" fillId="0" borderId="0" xfId="0" applyFont="1" applyFill="1" applyAlignment="1" applyProtection="1">
      <alignment horizontal="center"/>
      <protection locked="0"/>
    </xf>
    <xf numFmtId="0" fontId="15" fillId="0" borderId="0" xfId="0" applyFont="1" applyFill="1" applyAlignment="1" applyProtection="1">
      <alignment horizontal="center"/>
      <protection locked="0"/>
    </xf>
    <xf numFmtId="0" fontId="39" fillId="0" borderId="0" xfId="0" applyFont="1" applyFill="1" applyAlignment="1">
      <alignment horizontal="center" wrapText="1"/>
    </xf>
    <xf numFmtId="39" fontId="15" fillId="0" borderId="0" xfId="0" applyNumberFormat="1" applyFont="1" applyFill="1" applyProtection="1">
      <protection locked="0"/>
    </xf>
    <xf numFmtId="39" fontId="15" fillId="0" borderId="9" xfId="0" applyNumberFormat="1" applyFont="1" applyFill="1" applyBorder="1" applyProtection="1">
      <protection locked="0"/>
    </xf>
    <xf numFmtId="0" fontId="39" fillId="0" borderId="0" xfId="0" applyFont="1" applyFill="1" applyAlignment="1" applyProtection="1">
      <alignment horizontal="right" wrapText="1"/>
      <protection locked="0"/>
    </xf>
    <xf numFmtId="174" fontId="15" fillId="0" borderId="0" xfId="9" quotePrefix="1" applyNumberFormat="1" applyFill="1" applyAlignment="1">
      <alignment horizontal="right" wrapText="1"/>
    </xf>
    <xf numFmtId="175" fontId="15" fillId="0" borderId="0" xfId="0" applyNumberFormat="1" applyFont="1" applyFill="1" applyProtection="1">
      <protection locked="0"/>
    </xf>
    <xf numFmtId="174" fontId="15" fillId="0" borderId="0" xfId="9" applyNumberFormat="1" applyFill="1" applyAlignment="1">
      <alignment horizontal="right"/>
    </xf>
    <xf numFmtId="0" fontId="1" fillId="0" borderId="0" xfId="0" applyFont="1" applyFill="1" applyProtection="1">
      <protection locked="0"/>
    </xf>
    <xf numFmtId="4" fontId="58" fillId="0" borderId="0" xfId="0" applyNumberFormat="1" applyFont="1" applyFill="1" applyAlignment="1">
      <alignment horizontal="center"/>
    </xf>
    <xf numFmtId="4" fontId="58" fillId="0" borderId="0" xfId="0" applyNumberFormat="1" applyFont="1" applyFill="1" applyAlignment="1">
      <alignment horizontal="center" wrapText="1"/>
    </xf>
    <xf numFmtId="0" fontId="39" fillId="0" borderId="0" xfId="0" applyFont="1" applyFill="1" applyAlignment="1">
      <alignment horizontal="centerContinuous" readingOrder="1"/>
    </xf>
    <xf numFmtId="0" fontId="58" fillId="0" borderId="0" xfId="0" applyFont="1" applyFill="1" applyAlignment="1">
      <alignment horizontal="centerContinuous"/>
    </xf>
    <xf numFmtId="4" fontId="58" fillId="0" borderId="0" xfId="0" applyNumberFormat="1" applyFont="1" applyFill="1" applyAlignment="1">
      <alignment horizontal="centerContinuous"/>
    </xf>
    <xf numFmtId="0" fontId="39" fillId="0" borderId="0" xfId="0" applyFont="1" applyFill="1" applyAlignment="1" applyProtection="1">
      <alignment horizontal="centerContinuous" readingOrder="1"/>
      <protection locked="0"/>
    </xf>
    <xf numFmtId="0" fontId="39" fillId="0" borderId="0" xfId="0" applyFont="1" applyFill="1" applyAlignment="1" applyProtection="1">
      <alignment horizontal="center" readingOrder="1"/>
      <protection locked="0"/>
    </xf>
    <xf numFmtId="4" fontId="15" fillId="0" borderId="0" xfId="0" applyNumberFormat="1" applyFont="1" applyFill="1" applyAlignment="1">
      <alignment readingOrder="1"/>
    </xf>
    <xf numFmtId="4" fontId="15" fillId="0" borderId="9" xfId="0" applyNumberFormat="1" applyFont="1" applyFill="1" applyBorder="1" applyAlignment="1">
      <alignment horizontal="center" wrapText="1"/>
    </xf>
    <xf numFmtId="4" fontId="15" fillId="0" borderId="9" xfId="0" applyNumberFormat="1" applyFont="1" applyFill="1" applyBorder="1" applyAlignment="1">
      <alignment horizontal="center"/>
    </xf>
    <xf numFmtId="4" fontId="58" fillId="0" borderId="9" xfId="0" applyNumberFormat="1" applyFont="1" applyFill="1" applyBorder="1" applyAlignment="1">
      <alignment horizontal="center"/>
    </xf>
    <xf numFmtId="0" fontId="15" fillId="0" borderId="0" xfId="0" applyFont="1" applyFill="1" applyAlignment="1">
      <alignment horizontal="center" wrapText="1"/>
    </xf>
    <xf numFmtId="4" fontId="65" fillId="0" borderId="0" xfId="0" applyNumberFormat="1" applyFont="1" applyFill="1" applyAlignment="1" applyProtection="1">
      <alignment readingOrder="1"/>
      <protection hidden="1"/>
    </xf>
    <xf numFmtId="0" fontId="65" fillId="0" borderId="0" xfId="0" applyFont="1" applyFill="1"/>
    <xf numFmtId="4" fontId="58" fillId="0" borderId="0" xfId="0" applyNumberFormat="1" applyFont="1" applyFill="1" applyAlignment="1">
      <alignment readingOrder="1"/>
    </xf>
    <xf numFmtId="49" fontId="36" fillId="0" borderId="0" xfId="0" applyNumberFormat="1" applyFont="1" applyFill="1"/>
    <xf numFmtId="49" fontId="36" fillId="0" borderId="0" xfId="0" applyNumberFormat="1" applyFont="1" applyFill="1" applyAlignment="1">
      <alignment horizontal="centerContinuous"/>
    </xf>
    <xf numFmtId="49" fontId="15" fillId="0" borderId="31" xfId="0" applyNumberFormat="1" applyFont="1" applyFill="1" applyBorder="1" applyAlignment="1">
      <alignment horizontal="centerContinuous"/>
    </xf>
    <xf numFmtId="49" fontId="15" fillId="0" borderId="0" xfId="0" applyNumberFormat="1" applyFont="1" applyFill="1" applyAlignment="1">
      <alignment horizontal="centerContinuous"/>
    </xf>
    <xf numFmtId="49" fontId="15" fillId="0" borderId="0" xfId="0" applyNumberFormat="1" applyFont="1" applyFill="1"/>
    <xf numFmtId="49" fontId="66" fillId="0" borderId="0" xfId="0" applyNumberFormat="1" applyFont="1" applyFill="1" applyAlignment="1">
      <alignment horizontal="centerContinuous"/>
    </xf>
    <xf numFmtId="49" fontId="36" fillId="0" borderId="0" xfId="0" applyNumberFormat="1" applyFont="1" applyFill="1" applyAlignment="1">
      <alignment horizontal="center"/>
    </xf>
    <xf numFmtId="49" fontId="36" fillId="0" borderId="52" xfId="0" applyNumberFormat="1" applyFont="1" applyFill="1" applyBorder="1" applyAlignment="1">
      <alignment horizontal="center"/>
    </xf>
    <xf numFmtId="49" fontId="15" fillId="0" borderId="0" xfId="0" applyNumberFormat="1" applyFont="1" applyFill="1" applyAlignment="1">
      <alignment horizontal="center"/>
    </xf>
    <xf numFmtId="49" fontId="37" fillId="0" borderId="0" xfId="0" applyNumberFormat="1" applyFont="1" applyFill="1"/>
    <xf numFmtId="176" fontId="38" fillId="0" borderId="0" xfId="0" applyNumberFormat="1" applyFont="1" applyFill="1"/>
    <xf numFmtId="49" fontId="38" fillId="0" borderId="0" xfId="0" applyNumberFormat="1" applyFont="1" applyFill="1"/>
    <xf numFmtId="171" fontId="38" fillId="0" borderId="0" xfId="0" applyNumberFormat="1" applyFont="1" applyFill="1"/>
    <xf numFmtId="176" fontId="36" fillId="0" borderId="0" xfId="0" applyNumberFormat="1" applyFont="1" applyFill="1"/>
    <xf numFmtId="171" fontId="36" fillId="0" borderId="0" xfId="0" applyNumberFormat="1" applyFont="1" applyFill="1"/>
    <xf numFmtId="171" fontId="36" fillId="0" borderId="33" xfId="0" applyNumberFormat="1" applyFont="1" applyFill="1" applyBorder="1"/>
    <xf numFmtId="0" fontId="36" fillId="0" borderId="0" xfId="0" applyFont="1" applyFill="1"/>
    <xf numFmtId="0" fontId="69" fillId="0" borderId="0" xfId="0" applyFont="1" applyFill="1" applyAlignment="1">
      <alignment horizontal="centerContinuous"/>
    </xf>
    <xf numFmtId="3" fontId="27" fillId="0" borderId="0" xfId="10" applyNumberFormat="1" applyFont="1" applyFill="1" applyAlignment="1">
      <alignment horizontal="centerContinuous"/>
    </xf>
    <xf numFmtId="3" fontId="27" fillId="0" borderId="0" xfId="10" applyNumberFormat="1" applyFont="1" applyFill="1"/>
    <xf numFmtId="3" fontId="69" fillId="0" borderId="0" xfId="10" applyNumberFormat="1" applyFont="1" applyFill="1" applyAlignment="1">
      <alignment horizontal="centerContinuous"/>
    </xf>
    <xf numFmtId="3" fontId="27" fillId="0" borderId="0" xfId="10" applyNumberFormat="1" applyFont="1" applyFill="1" applyAlignment="1">
      <alignment horizontal="left"/>
    </xf>
    <xf numFmtId="177" fontId="69" fillId="0" borderId="0" xfId="10" quotePrefix="1" applyNumberFormat="1" applyFont="1" applyFill="1" applyAlignment="1">
      <alignment horizontal="centerContinuous"/>
    </xf>
    <xf numFmtId="3" fontId="27" fillId="0" borderId="0" xfId="10" applyNumberFormat="1" applyFont="1" applyFill="1" applyAlignment="1">
      <alignment horizontal="center"/>
    </xf>
    <xf numFmtId="1" fontId="27" fillId="0" borderId="0" xfId="10" applyNumberFormat="1" applyFont="1" applyFill="1"/>
    <xf numFmtId="3" fontId="69" fillId="0" borderId="0" xfId="10" applyNumberFormat="1" applyFont="1" applyFill="1" applyAlignment="1">
      <alignment horizontal="center"/>
    </xf>
    <xf numFmtId="3" fontId="69" fillId="0" borderId="0" xfId="10" applyNumberFormat="1" applyFont="1" applyFill="1"/>
    <xf numFmtId="0" fontId="69" fillId="0" borderId="0" xfId="0" applyFont="1" applyFill="1"/>
    <xf numFmtId="3" fontId="70" fillId="0" borderId="0" xfId="10" applyNumberFormat="1" applyFont="1" applyFill="1" applyAlignment="1">
      <alignment horizontal="center"/>
    </xf>
    <xf numFmtId="3" fontId="70" fillId="0" borderId="0" xfId="10" applyNumberFormat="1" applyFont="1" applyFill="1"/>
    <xf numFmtId="14" fontId="70" fillId="0" borderId="0" xfId="10" quotePrefix="1" applyNumberFormat="1" applyFont="1" applyFill="1" applyAlignment="1">
      <alignment horizontal="center"/>
    </xf>
    <xf numFmtId="14" fontId="70" fillId="0" borderId="0" xfId="10" applyNumberFormat="1" applyFont="1" applyFill="1" applyAlignment="1">
      <alignment horizontal="center"/>
    </xf>
    <xf numFmtId="3" fontId="70" fillId="0" borderId="0" xfId="10" applyNumberFormat="1" applyFont="1" applyFill="1" applyAlignment="1">
      <alignment horizontal="left"/>
    </xf>
    <xf numFmtId="1" fontId="27" fillId="0" borderId="0" xfId="10" applyNumberFormat="1" applyFont="1" applyFill="1" applyAlignment="1">
      <alignment horizontal="center"/>
    </xf>
    <xf numFmtId="4" fontId="27" fillId="0" borderId="0" xfId="10" applyNumberFormat="1" applyFont="1" applyFill="1"/>
    <xf numFmtId="3" fontId="69" fillId="0" borderId="0" xfId="10" applyNumberFormat="1" applyFont="1" applyFill="1" applyAlignment="1">
      <alignment horizontal="left"/>
    </xf>
    <xf numFmtId="1" fontId="27" fillId="0" borderId="0" xfId="11" applyNumberFormat="1" applyFont="1" applyFill="1" applyAlignment="1">
      <alignment horizontal="center"/>
    </xf>
    <xf numFmtId="9" fontId="27" fillId="0" borderId="0" xfId="10" applyNumberFormat="1" applyFont="1" applyFill="1"/>
    <xf numFmtId="3" fontId="27" fillId="0" borderId="0" xfId="11" applyNumberFormat="1" applyFont="1" applyFill="1" applyAlignment="1">
      <alignment horizontal="right"/>
    </xf>
    <xf numFmtId="4" fontId="27" fillId="0" borderId="0" xfId="0" applyNumberFormat="1" applyFont="1" applyFill="1"/>
    <xf numFmtId="0" fontId="27" fillId="0" borderId="0" xfId="0" applyFont="1" applyFill="1" applyAlignment="1">
      <alignment horizontal="right"/>
    </xf>
    <xf numFmtId="49" fontId="27" fillId="0" borderId="0" xfId="0" applyNumberFormat="1" applyFont="1" applyFill="1" applyAlignment="1">
      <alignment horizontal="left"/>
    </xf>
    <xf numFmtId="9" fontId="27" fillId="0" borderId="0" xfId="10" applyNumberFormat="1" applyFont="1" applyFill="1" applyAlignment="1">
      <alignment horizontal="center"/>
    </xf>
    <xf numFmtId="3" fontId="27" fillId="0" borderId="0" xfId="0" applyNumberFormat="1" applyFont="1" applyFill="1" applyAlignment="1">
      <alignment horizontal="right"/>
    </xf>
    <xf numFmtId="3" fontId="27" fillId="0" borderId="9" xfId="0" applyNumberFormat="1" applyFont="1" applyFill="1" applyBorder="1" applyAlignment="1">
      <alignment horizontal="right"/>
    </xf>
    <xf numFmtId="3" fontId="27" fillId="0" borderId="9" xfId="0" applyNumberFormat="1" applyFont="1" applyFill="1" applyBorder="1"/>
    <xf numFmtId="3" fontId="27" fillId="0" borderId="9" xfId="10" applyNumberFormat="1" applyFont="1" applyFill="1" applyBorder="1"/>
    <xf numFmtId="0" fontId="27" fillId="0" borderId="0" xfId="10" applyFont="1" applyFill="1" applyProtection="1">
      <protection locked="0"/>
    </xf>
    <xf numFmtId="49" fontId="70" fillId="0" borderId="0" xfId="11" applyNumberFormat="1" applyFont="1" applyFill="1" applyAlignment="1">
      <alignment horizontal="left"/>
    </xf>
    <xf numFmtId="0" fontId="71" fillId="0" borderId="0" xfId="0" applyFont="1" applyFill="1"/>
    <xf numFmtId="49" fontId="70" fillId="0" borderId="0" xfId="0" applyNumberFormat="1" applyFont="1" applyFill="1" applyAlignment="1">
      <alignment horizontal="left"/>
    </xf>
    <xf numFmtId="0" fontId="27" fillId="0" borderId="0" xfId="10" applyFont="1" applyFill="1" applyAlignment="1">
      <alignment horizontal="center"/>
    </xf>
    <xf numFmtId="1" fontId="27" fillId="0" borderId="0" xfId="12" applyNumberFormat="1" applyFont="1" applyFill="1"/>
    <xf numFmtId="4" fontId="27" fillId="0" borderId="0" xfId="0" applyNumberFormat="1" applyFont="1" applyFill="1" applyAlignment="1">
      <alignment horizontal="right"/>
    </xf>
    <xf numFmtId="4" fontId="27" fillId="0" borderId="9" xfId="0" applyNumberFormat="1" applyFont="1" applyFill="1" applyBorder="1" applyAlignment="1">
      <alignment horizontal="right"/>
    </xf>
    <xf numFmtId="3" fontId="27" fillId="0" borderId="0" xfId="12" applyNumberFormat="1" applyFont="1" applyFill="1"/>
    <xf numFmtId="1" fontId="27" fillId="0" borderId="0" xfId="10" applyNumberFormat="1" applyFont="1" applyFill="1" applyAlignment="1">
      <alignment horizontal="right"/>
    </xf>
    <xf numFmtId="0" fontId="27" fillId="0" borderId="9" xfId="0" applyFont="1" applyFill="1" applyBorder="1"/>
    <xf numFmtId="49" fontId="36" fillId="0" borderId="31" xfId="0" applyNumberFormat="1" applyFont="1" applyFill="1" applyBorder="1" applyAlignment="1">
      <alignment horizontal="center"/>
    </xf>
    <xf numFmtId="178" fontId="36" fillId="0" borderId="0" xfId="0" applyNumberFormat="1" applyFont="1" applyFill="1"/>
    <xf numFmtId="178" fontId="38" fillId="0" borderId="0" xfId="0" applyNumberFormat="1" applyFont="1" applyFill="1"/>
    <xf numFmtId="171" fontId="38" fillId="0" borderId="32" xfId="0" applyNumberFormat="1" applyFont="1" applyFill="1" applyBorder="1"/>
    <xf numFmtId="179" fontId="15" fillId="0" borderId="9" xfId="0" applyNumberFormat="1" applyFont="1" applyFill="1" applyBorder="1"/>
    <xf numFmtId="171" fontId="15" fillId="0" borderId="0" xfId="0" applyNumberFormat="1" applyFont="1" applyFill="1"/>
    <xf numFmtId="173" fontId="0" fillId="0" borderId="0" xfId="0" applyNumberFormat="1" applyFill="1"/>
    <xf numFmtId="0" fontId="53" fillId="0" borderId="0" xfId="0" applyFont="1" applyFill="1"/>
    <xf numFmtId="0" fontId="42" fillId="0" borderId="0" xfId="0" applyFont="1" applyFill="1" applyAlignment="1">
      <alignment horizontal="center"/>
    </xf>
    <xf numFmtId="173" fontId="42" fillId="0" borderId="0" xfId="0" applyNumberFormat="1" applyFont="1" applyFill="1"/>
    <xf numFmtId="0" fontId="73" fillId="0" borderId="0" xfId="0" applyFont="1" applyFill="1" applyAlignment="1">
      <alignment horizontal="center"/>
    </xf>
    <xf numFmtId="173" fontId="53" fillId="0" borderId="29" xfId="0" applyNumberFormat="1" applyFont="1" applyFill="1" applyBorder="1" applyAlignment="1">
      <alignment horizontal="center"/>
    </xf>
    <xf numFmtId="180" fontId="73" fillId="0" borderId="0" xfId="0" quotePrefix="1" applyNumberFormat="1" applyFont="1" applyFill="1" applyAlignment="1">
      <alignment horizontal="center"/>
    </xf>
    <xf numFmtId="173" fontId="73" fillId="0" borderId="18" xfId="0" applyNumberFormat="1" applyFont="1" applyFill="1" applyBorder="1" applyAlignment="1">
      <alignment horizontal="right"/>
    </xf>
    <xf numFmtId="0" fontId="53" fillId="0" borderId="0" xfId="0" applyFont="1" applyFill="1" applyAlignment="1">
      <alignment horizontal="left"/>
    </xf>
    <xf numFmtId="173" fontId="53" fillId="0" borderId="0" xfId="0" applyNumberFormat="1" applyFont="1" applyFill="1" applyAlignment="1">
      <alignment horizontal="center"/>
    </xf>
    <xf numFmtId="173" fontId="73" fillId="0" borderId="0" xfId="0" applyNumberFormat="1" applyFont="1" applyFill="1" applyAlignment="1">
      <alignment horizontal="right"/>
    </xf>
    <xf numFmtId="0" fontId="53" fillId="0" borderId="0" xfId="0" applyFont="1" applyFill="1" applyAlignment="1">
      <alignment horizontal="center"/>
    </xf>
    <xf numFmtId="0" fontId="73" fillId="0" borderId="0" xfId="0" applyFont="1" applyFill="1" applyAlignment="1">
      <alignment horizontal="left"/>
    </xf>
    <xf numFmtId="173" fontId="73" fillId="0" borderId="0" xfId="0" applyNumberFormat="1" applyFont="1" applyFill="1" applyAlignment="1">
      <alignment horizontal="left"/>
    </xf>
    <xf numFmtId="0" fontId="72" fillId="0" borderId="0" xfId="0" applyFont="1" applyFill="1" applyAlignment="1">
      <alignment horizontal="center"/>
    </xf>
    <xf numFmtId="0" fontId="73" fillId="0" borderId="0" xfId="0" applyFont="1" applyFill="1"/>
    <xf numFmtId="0" fontId="77" fillId="0" borderId="0" xfId="0" applyFont="1" applyFill="1"/>
    <xf numFmtId="173" fontId="53" fillId="0" borderId="0" xfId="0" applyNumberFormat="1" applyFont="1" applyFill="1"/>
    <xf numFmtId="173" fontId="53" fillId="0" borderId="29" xfId="0" applyNumberFormat="1" applyFont="1" applyFill="1" applyBorder="1"/>
    <xf numFmtId="173" fontId="73" fillId="0" borderId="29" xfId="0" applyNumberFormat="1" applyFont="1" applyFill="1" applyBorder="1" applyAlignment="1">
      <alignment horizontal="right"/>
    </xf>
    <xf numFmtId="37" fontId="53" fillId="0" borderId="29" xfId="0" applyNumberFormat="1" applyFont="1" applyFill="1" applyBorder="1"/>
    <xf numFmtId="173" fontId="73" fillId="0" borderId="0" xfId="0" applyNumberFormat="1" applyFont="1" applyFill="1" applyAlignment="1">
      <alignment horizontal="center"/>
    </xf>
    <xf numFmtId="0" fontId="42" fillId="0" borderId="35" xfId="0" applyFont="1" applyFill="1" applyBorder="1"/>
    <xf numFmtId="0" fontId="42" fillId="0" borderId="32" xfId="0" applyFont="1" applyFill="1" applyBorder="1"/>
    <xf numFmtId="173" fontId="42" fillId="0" borderId="36" xfId="0" applyNumberFormat="1" applyFont="1" applyFill="1" applyBorder="1"/>
    <xf numFmtId="0" fontId="0" fillId="0" borderId="39" xfId="0" applyFill="1" applyBorder="1"/>
    <xf numFmtId="0" fontId="79" fillId="0" borderId="0" xfId="0" applyFont="1" applyFill="1" applyAlignment="1">
      <alignment horizontal="left"/>
    </xf>
    <xf numFmtId="0" fontId="0" fillId="0" borderId="9" xfId="0" applyFill="1" applyBorder="1" applyAlignment="1">
      <alignment horizontal="center"/>
    </xf>
    <xf numFmtId="0" fontId="0" fillId="0" borderId="41" xfId="0" applyFill="1" applyBorder="1"/>
    <xf numFmtId="0" fontId="79" fillId="0" borderId="0" xfId="0" applyFont="1" applyFill="1"/>
    <xf numFmtId="0" fontId="0" fillId="0" borderId="34" xfId="0" applyFill="1" applyBorder="1" applyAlignment="1">
      <alignment horizontal="center"/>
    </xf>
    <xf numFmtId="0" fontId="0" fillId="0" borderId="0" xfId="0" applyFill="1" applyAlignment="1">
      <alignment horizontal="center"/>
    </xf>
    <xf numFmtId="0" fontId="0" fillId="0" borderId="0" xfId="0" applyFill="1" applyProtection="1">
      <protection locked="0"/>
    </xf>
    <xf numFmtId="173" fontId="0" fillId="0" borderId="41" xfId="0" applyNumberFormat="1" applyFill="1" applyBorder="1"/>
    <xf numFmtId="0" fontId="0" fillId="0" borderId="37" xfId="0" applyFill="1" applyBorder="1"/>
    <xf numFmtId="0" fontId="0" fillId="0" borderId="13" xfId="0" applyFill="1" applyBorder="1"/>
    <xf numFmtId="173" fontId="0" fillId="0" borderId="38" xfId="0" applyNumberFormat="1" applyFill="1" applyBorder="1"/>
    <xf numFmtId="0" fontId="15" fillId="0" borderId="0" xfId="0" applyNumberFormat="1" applyFont="1" applyFill="1"/>
    <xf numFmtId="49" fontId="64" fillId="0" borderId="0" xfId="0" applyNumberFormat="1" applyFont="1" applyFill="1" applyAlignment="1">
      <alignment horizontal="center"/>
    </xf>
    <xf numFmtId="49" fontId="81" fillId="0" borderId="31" xfId="0" applyNumberFormat="1" applyFont="1" applyFill="1" applyBorder="1" applyAlignment="1">
      <alignment horizontal="center"/>
    </xf>
    <xf numFmtId="0" fontId="64" fillId="0" borderId="0" xfId="0" applyFont="1" applyFill="1" applyAlignment="1">
      <alignment horizontal="center"/>
    </xf>
    <xf numFmtId="0" fontId="64" fillId="0" borderId="0" xfId="0" applyFont="1" applyFill="1" applyAlignment="1">
      <alignment horizontal="center" wrapText="1"/>
    </xf>
    <xf numFmtId="49" fontId="81" fillId="0" borderId="0" xfId="0" applyNumberFormat="1" applyFont="1" applyFill="1"/>
    <xf numFmtId="178" fontId="81" fillId="0" borderId="0" xfId="0" applyNumberFormat="1" applyFont="1" applyFill="1"/>
    <xf numFmtId="171" fontId="81" fillId="0" borderId="0" xfId="0" applyNumberFormat="1" applyFont="1" applyFill="1"/>
    <xf numFmtId="0" fontId="64" fillId="0" borderId="0" xfId="0" applyFont="1" applyFill="1"/>
    <xf numFmtId="4" fontId="64" fillId="0" borderId="0" xfId="0" applyNumberFormat="1" applyFont="1" applyFill="1"/>
    <xf numFmtId="49" fontId="65" fillId="0" borderId="0" xfId="0" applyNumberFormat="1" applyFont="1" applyFill="1"/>
    <xf numFmtId="178" fontId="65" fillId="0" borderId="0" xfId="0" applyNumberFormat="1" applyFont="1" applyFill="1"/>
    <xf numFmtId="171" fontId="65" fillId="0" borderId="0" xfId="0" applyNumberFormat="1" applyFont="1" applyFill="1"/>
    <xf numFmtId="49" fontId="65" fillId="0" borderId="0" xfId="0" applyNumberFormat="1" applyFont="1" applyFill="1" applyAlignment="1">
      <alignment wrapText="1"/>
    </xf>
    <xf numFmtId="4" fontId="64" fillId="0" borderId="9" xfId="0" applyNumberFormat="1" applyFont="1" applyFill="1" applyBorder="1"/>
    <xf numFmtId="171" fontId="65" fillId="0" borderId="32" xfId="0" applyNumberFormat="1" applyFont="1" applyFill="1" applyBorder="1"/>
    <xf numFmtId="171" fontId="81" fillId="0" borderId="33" xfId="0" applyNumberFormat="1" applyFont="1" applyFill="1" applyBorder="1"/>
    <xf numFmtId="0" fontId="81" fillId="0" borderId="0" xfId="0" applyFont="1" applyFill="1"/>
    <xf numFmtId="171" fontId="64" fillId="0" borderId="0" xfId="0" applyNumberFormat="1" applyFont="1" applyFill="1"/>
    <xf numFmtId="0" fontId="15" fillId="0" borderId="0" xfId="0" applyFont="1" applyFill="1" applyAlignment="1">
      <alignment wrapText="1"/>
    </xf>
    <xf numFmtId="49" fontId="38" fillId="0" borderId="0" xfId="0" applyNumberFormat="1" applyFont="1" applyFill="1" applyAlignment="1">
      <alignment horizontal="centerContinuous"/>
    </xf>
    <xf numFmtId="49" fontId="38" fillId="0" borderId="0" xfId="0" applyNumberFormat="1" applyFont="1" applyFill="1" applyAlignment="1">
      <alignment wrapText="1"/>
    </xf>
    <xf numFmtId="171" fontId="15" fillId="0" borderId="9" xfId="0" applyNumberFormat="1" applyFont="1" applyFill="1" applyBorder="1"/>
    <xf numFmtId="179" fontId="15" fillId="0" borderId="0" xfId="0" applyNumberFormat="1" applyFont="1" applyFill="1"/>
    <xf numFmtId="0" fontId="82" fillId="4" borderId="0" xfId="0" applyNumberFormat="1" applyFont="1" applyFill="1" applyAlignment="1">
      <alignment horizontal="centerContinuous"/>
    </xf>
    <xf numFmtId="0" fontId="82" fillId="4" borderId="13" xfId="0" applyNumberFormat="1" applyFont="1" applyFill="1" applyBorder="1" applyAlignment="1">
      <alignment horizontal="centerContinuous"/>
    </xf>
    <xf numFmtId="4" fontId="15" fillId="0" borderId="9" xfId="0" applyNumberFormat="1" applyFont="1" applyFill="1" applyBorder="1" applyAlignment="1">
      <alignment horizontal="center" wrapText="1" readingOrder="1"/>
    </xf>
    <xf numFmtId="0" fontId="0" fillId="2" borderId="15" xfId="0" applyNumberFormat="1" applyBorder="1" applyAlignment="1">
      <alignment horizontal="center"/>
    </xf>
    <xf numFmtId="0" fontId="0" fillId="2" borderId="16" xfId="0" applyNumberFormat="1" applyBorder="1" applyAlignment="1">
      <alignment horizontal="center"/>
    </xf>
    <xf numFmtId="0" fontId="0" fillId="2" borderId="17" xfId="0" applyNumberFormat="1" applyBorder="1" applyAlignment="1">
      <alignment horizontal="center"/>
    </xf>
    <xf numFmtId="0" fontId="13" fillId="4" borderId="0" xfId="0" applyNumberFormat="1" applyFont="1" applyFill="1" applyAlignment="1">
      <alignment horizontal="center"/>
    </xf>
    <xf numFmtId="0" fontId="15" fillId="4" borderId="20" xfId="0" applyNumberFormat="1" applyFont="1" applyFill="1" applyBorder="1" applyAlignment="1">
      <alignment horizontal="center"/>
    </xf>
    <xf numFmtId="0" fontId="15" fillId="4" borderId="0" xfId="0" applyNumberFormat="1" applyFont="1" applyFill="1" applyBorder="1" applyAlignment="1">
      <alignment horizontal="center"/>
    </xf>
    <xf numFmtId="0" fontId="15" fillId="4" borderId="30" xfId="0" applyNumberFormat="1" applyFont="1" applyFill="1" applyBorder="1" applyAlignment="1">
      <alignment horizontal="center"/>
    </xf>
    <xf numFmtId="0" fontId="15" fillId="4" borderId="0" xfId="0" applyNumberFormat="1" applyFont="1" applyFill="1" applyAlignment="1">
      <alignment horizontal="center"/>
    </xf>
    <xf numFmtId="0" fontId="44" fillId="0" borderId="35" xfId="0" applyFont="1" applyFill="1" applyBorder="1" applyAlignment="1">
      <alignment horizontal="center"/>
    </xf>
    <xf numFmtId="0" fontId="44" fillId="0" borderId="32" xfId="0" applyFont="1" applyFill="1" applyBorder="1" applyAlignment="1">
      <alignment horizontal="center"/>
    </xf>
    <xf numFmtId="0" fontId="44" fillId="0" borderId="36" xfId="0" applyFont="1" applyFill="1" applyBorder="1" applyAlignment="1">
      <alignment horizontal="center"/>
    </xf>
    <xf numFmtId="0" fontId="44" fillId="0" borderId="35" xfId="0" applyFont="1" applyFill="1" applyBorder="1" applyAlignment="1">
      <alignment horizontal="center" vertical="center"/>
    </xf>
    <xf numFmtId="0" fontId="44" fillId="0" borderId="32" xfId="0" applyFont="1" applyFill="1" applyBorder="1" applyAlignment="1">
      <alignment horizontal="center" vertical="center"/>
    </xf>
    <xf numFmtId="0" fontId="44" fillId="0" borderId="36" xfId="0" applyFont="1" applyFill="1" applyBorder="1" applyAlignment="1">
      <alignment horizontal="center" vertical="center"/>
    </xf>
    <xf numFmtId="0" fontId="44" fillId="0" borderId="37"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38" xfId="0" applyFont="1" applyFill="1" applyBorder="1" applyAlignment="1">
      <alignment horizontal="center" vertical="center"/>
    </xf>
    <xf numFmtId="14" fontId="45" fillId="0" borderId="0" xfId="0" applyNumberFormat="1" applyFont="1" applyFill="1" applyAlignment="1">
      <alignment horizontal="center" vertical="center"/>
    </xf>
    <xf numFmtId="0" fontId="45" fillId="0" borderId="0" xfId="0" applyFont="1" applyFill="1" applyAlignment="1">
      <alignment horizontal="center" vertical="center"/>
    </xf>
    <xf numFmtId="0" fontId="45" fillId="0" borderId="35" xfId="0" quotePrefix="1" applyFont="1" applyFill="1" applyBorder="1" applyAlignment="1">
      <alignment horizontal="center" vertical="center"/>
    </xf>
    <xf numFmtId="0" fontId="45" fillId="0" borderId="32" xfId="0" applyFont="1" applyFill="1" applyBorder="1" applyAlignment="1">
      <alignment horizontal="center" vertical="center"/>
    </xf>
    <xf numFmtId="0" fontId="45" fillId="0" borderId="36" xfId="0" applyFont="1" applyFill="1" applyBorder="1" applyAlignment="1">
      <alignment horizontal="center" vertical="center"/>
    </xf>
    <xf numFmtId="0" fontId="46" fillId="0" borderId="37" xfId="0" quotePrefix="1" applyFont="1" applyFill="1" applyBorder="1" applyAlignment="1">
      <alignment vertical="center" wrapText="1"/>
    </xf>
    <xf numFmtId="0" fontId="46" fillId="0" borderId="13" xfId="0" applyFont="1" applyFill="1" applyBorder="1" applyAlignment="1">
      <alignment vertical="center"/>
    </xf>
    <xf numFmtId="0" fontId="46" fillId="0" borderId="38" xfId="0" applyFont="1" applyFill="1" applyBorder="1" applyAlignment="1">
      <alignment vertical="center"/>
    </xf>
    <xf numFmtId="0" fontId="53" fillId="0" borderId="47" xfId="0" applyFont="1" applyFill="1" applyBorder="1" applyAlignment="1">
      <alignment horizontal="left" vertical="center" wrapText="1"/>
    </xf>
    <xf numFmtId="0" fontId="53" fillId="0" borderId="48" xfId="0" applyFont="1" applyFill="1" applyBorder="1" applyAlignment="1">
      <alignment horizontal="left" vertical="center" wrapText="1"/>
    </xf>
    <xf numFmtId="0" fontId="53" fillId="0" borderId="49" xfId="0" applyFont="1" applyFill="1" applyBorder="1" applyAlignment="1">
      <alignment horizontal="left" vertical="center" wrapText="1"/>
    </xf>
    <xf numFmtId="0" fontId="44" fillId="0" borderId="37" xfId="0" applyFont="1" applyFill="1" applyBorder="1" applyAlignment="1">
      <alignment horizontal="center"/>
    </xf>
    <xf numFmtId="0" fontId="44" fillId="0" borderId="13" xfId="0" applyFont="1" applyFill="1" applyBorder="1" applyAlignment="1">
      <alignment horizontal="center"/>
    </xf>
    <xf numFmtId="0" fontId="44" fillId="0" borderId="38" xfId="0" applyFont="1" applyFill="1" applyBorder="1" applyAlignment="1">
      <alignment horizontal="center"/>
    </xf>
    <xf numFmtId="0" fontId="45" fillId="0" borderId="15" xfId="0" applyFont="1" applyFill="1" applyBorder="1" applyAlignment="1">
      <alignment horizontal="center" vertical="center"/>
    </xf>
    <xf numFmtId="0" fontId="45" fillId="0" borderId="16" xfId="0" applyFont="1" applyFill="1" applyBorder="1" applyAlignment="1">
      <alignment horizontal="center" vertical="center"/>
    </xf>
    <xf numFmtId="0" fontId="45" fillId="0" borderId="17" xfId="0" applyFont="1" applyFill="1" applyBorder="1" applyAlignment="1">
      <alignment horizontal="center" vertical="center"/>
    </xf>
    <xf numFmtId="0" fontId="53" fillId="0" borderId="43" xfId="0" applyFont="1" applyFill="1" applyBorder="1" applyAlignment="1">
      <alignment horizontal="left" vertical="center" wrapText="1"/>
    </xf>
    <xf numFmtId="0" fontId="53" fillId="0" borderId="9" xfId="0" applyFont="1" applyFill="1" applyBorder="1" applyAlignment="1">
      <alignment horizontal="left" vertical="center" wrapText="1"/>
    </xf>
    <xf numFmtId="0" fontId="53" fillId="0" borderId="44" xfId="0" applyFont="1" applyFill="1" applyBorder="1" applyAlignment="1">
      <alignment horizontal="left" vertical="center" wrapText="1"/>
    </xf>
    <xf numFmtId="0" fontId="53" fillId="0" borderId="45" xfId="0" applyFont="1" applyFill="1" applyBorder="1" applyAlignment="1">
      <alignment horizontal="left" vertical="center" wrapText="1"/>
    </xf>
    <xf numFmtId="0" fontId="53" fillId="0" borderId="34" xfId="0" applyFont="1" applyFill="1" applyBorder="1" applyAlignment="1">
      <alignment horizontal="left" vertical="center" wrapText="1"/>
    </xf>
    <xf numFmtId="0" fontId="53" fillId="0" borderId="46" xfId="0" applyFont="1" applyFill="1" applyBorder="1" applyAlignment="1">
      <alignment horizontal="left" vertical="center" wrapText="1"/>
    </xf>
    <xf numFmtId="0" fontId="57" fillId="0" borderId="0" xfId="0" applyFont="1" applyFill="1" applyAlignment="1">
      <alignment horizontal="center" vertical="center" wrapText="1"/>
    </xf>
    <xf numFmtId="4" fontId="58" fillId="0" borderId="11" xfId="0" quotePrefix="1" applyNumberFormat="1" applyFont="1" applyFill="1" applyBorder="1" applyAlignment="1">
      <alignment horizontal="center"/>
    </xf>
    <xf numFmtId="4" fontId="58" fillId="0" borderId="51" xfId="0" quotePrefix="1" applyNumberFormat="1" applyFont="1" applyFill="1" applyBorder="1" applyAlignment="1">
      <alignment horizontal="center"/>
    </xf>
    <xf numFmtId="4" fontId="58" fillId="0" borderId="11" xfId="0" applyNumberFormat="1" applyFont="1" applyFill="1" applyBorder="1" applyAlignment="1">
      <alignment horizontal="center"/>
    </xf>
    <xf numFmtId="4" fontId="58" fillId="0" borderId="51" xfId="0" applyNumberFormat="1" applyFont="1" applyFill="1" applyBorder="1" applyAlignment="1">
      <alignment horizontal="center"/>
    </xf>
    <xf numFmtId="0" fontId="73" fillId="0" borderId="0" xfId="0" applyFont="1" applyFill="1" applyAlignment="1">
      <alignment horizontal="left" vertical="center" wrapText="1"/>
    </xf>
    <xf numFmtId="0" fontId="42" fillId="0" borderId="32" xfId="0" applyFont="1" applyFill="1" applyBorder="1" applyAlignment="1">
      <alignment horizontal="center"/>
    </xf>
    <xf numFmtId="0" fontId="42" fillId="0" borderId="9" xfId="0" applyFont="1" applyFill="1" applyBorder="1" applyAlignment="1" applyProtection="1">
      <alignment horizontal="left" vertical="center" wrapText="1"/>
      <protection locked="0"/>
    </xf>
    <xf numFmtId="0" fontId="72" fillId="0" borderId="0" xfId="0" applyFont="1" applyFill="1" applyAlignment="1">
      <alignment horizontal="center"/>
    </xf>
    <xf numFmtId="0" fontId="79" fillId="0" borderId="0" xfId="0" applyFont="1" applyFill="1" applyAlignment="1">
      <alignment horizontal="right"/>
    </xf>
    <xf numFmtId="0" fontId="0" fillId="0" borderId="34" xfId="0" applyFill="1" applyBorder="1" applyAlignment="1">
      <alignment horizontal="center"/>
    </xf>
    <xf numFmtId="0" fontId="73" fillId="0" borderId="13" xfId="0" applyFont="1" applyFill="1" applyBorder="1" applyAlignment="1">
      <alignment horizontal="left" wrapText="1"/>
    </xf>
    <xf numFmtId="0" fontId="72" fillId="0" borderId="15" xfId="0" applyFont="1" applyFill="1" applyBorder="1" applyAlignment="1">
      <alignment horizontal="center"/>
    </xf>
    <xf numFmtId="0" fontId="72" fillId="0" borderId="16" xfId="0" applyFont="1" applyFill="1" applyBorder="1" applyAlignment="1">
      <alignment horizontal="center"/>
    </xf>
    <xf numFmtId="0" fontId="72" fillId="0" borderId="17" xfId="0" applyFont="1" applyFill="1" applyBorder="1" applyAlignment="1">
      <alignment horizontal="center"/>
    </xf>
    <xf numFmtId="173" fontId="53" fillId="0" borderId="8" xfId="0" applyNumberFormat="1" applyFont="1" applyFill="1" applyBorder="1" applyAlignment="1">
      <alignment horizontal="center"/>
    </xf>
    <xf numFmtId="173" fontId="53" fillId="0" borderId="10" xfId="0" applyNumberFormat="1" applyFont="1" applyFill="1" applyBorder="1" applyAlignment="1">
      <alignment horizontal="center"/>
    </xf>
    <xf numFmtId="0" fontId="53" fillId="0" borderId="0" xfId="0" applyFont="1" applyFill="1" applyAlignment="1">
      <alignment horizontal="left"/>
    </xf>
    <xf numFmtId="0" fontId="45" fillId="0" borderId="0" xfId="0" applyFont="1" applyFill="1" applyAlignment="1">
      <alignment horizontal="left" wrapText="1"/>
    </xf>
    <xf numFmtId="0" fontId="76" fillId="0" borderId="0" xfId="0" applyFont="1" applyFill="1" applyAlignment="1">
      <alignment horizontal="left"/>
    </xf>
    <xf numFmtId="0" fontId="78" fillId="0" borderId="15" xfId="0" applyFont="1" applyFill="1" applyBorder="1" applyAlignment="1">
      <alignment horizontal="center"/>
    </xf>
    <xf numFmtId="0" fontId="78" fillId="0" borderId="16" xfId="0" applyFont="1" applyFill="1" applyBorder="1" applyAlignment="1">
      <alignment horizontal="center"/>
    </xf>
    <xf numFmtId="0" fontId="78" fillId="0" borderId="17" xfId="0" applyFont="1" applyFill="1" applyBorder="1" applyAlignment="1">
      <alignment horizontal="center"/>
    </xf>
    <xf numFmtId="0" fontId="0" fillId="0" borderId="9" xfId="0" applyFill="1" applyBorder="1" applyAlignment="1">
      <alignment horizontal="center"/>
    </xf>
    <xf numFmtId="0" fontId="0" fillId="0" borderId="0" xfId="0" applyFill="1" applyAlignment="1">
      <alignment horizontal="center"/>
    </xf>
    <xf numFmtId="0" fontId="80" fillId="0" borderId="0" xfId="0" applyFont="1" applyFill="1" applyAlignment="1">
      <alignment horizontal="right"/>
    </xf>
    <xf numFmtId="0" fontId="0" fillId="0" borderId="27" xfId="0" applyFill="1" applyBorder="1" applyAlignment="1">
      <alignment horizontal="center"/>
    </xf>
  </cellXfs>
  <cellStyles count="13">
    <cellStyle name="Accent5" xfId="1" builtinId="45"/>
    <cellStyle name="Comma" xfId="2" builtinId="3"/>
    <cellStyle name="Comma 2" xfId="7" xr:uid="{00000000-0005-0000-0000-000002000000}"/>
    <cellStyle name="Currency" xfId="8" builtinId="4"/>
    <cellStyle name="Normal" xfId="0" builtinId="0"/>
    <cellStyle name="Normal 2" xfId="5" xr:uid="{00000000-0005-0000-0000-000004000000}"/>
    <cellStyle name="Normal 3" xfId="6" xr:uid="{00000000-0005-0000-0000-000005000000}"/>
    <cellStyle name="Normal_Depr Sch" xfId="11" xr:uid="{9F921EBA-74F5-4992-B528-DEEFFAFF08E2}"/>
    <cellStyle name="Normal_Depreciation Schedule" xfId="12" xr:uid="{711D4322-3951-4F23-B566-731895AFA732}"/>
    <cellStyle name="Normal_Sheet2" xfId="10" xr:uid="{7A9744BB-2230-495F-AE0C-D1B3B59979F7}"/>
    <cellStyle name="Normal_Sheet6" xfId="9" xr:uid="{B1A7EEE4-C2AE-49C4-8FFD-3D7CE828AFD1}"/>
    <cellStyle name="Percent" xfId="3" builtinId="5"/>
    <cellStyle name="Percent 2" xfId="4"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 Id="rId30"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14</xdr:row>
          <xdr:rowOff>171450</xdr:rowOff>
        </xdr:from>
        <xdr:to>
          <xdr:col>2</xdr:col>
          <xdr:colOff>352425</xdr:colOff>
          <xdr:row>16</xdr:row>
          <xdr:rowOff>19050</xdr:rowOff>
        </xdr:to>
        <xdr:sp macro="" textlink="">
          <xdr:nvSpPr>
            <xdr:cNvPr id="2051" name="CheckBox1"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208%20Non-Public-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20Forma%20Work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Weldon/AppData/Local/Microsoft/Windows/INetCache/Content.Outlook/HYK4VGZ8/WUTC%20Repor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8-NonPublic"/>
      <sheetName val="Monthly P&amp;L"/>
      <sheetName val="Pro Forma"/>
      <sheetName val="Restating Adjustments"/>
      <sheetName val="Pro Forma Adjustments"/>
      <sheetName val="Balance Sheet"/>
      <sheetName val="Allocation Matrix"/>
      <sheetName val="Truck Hours"/>
      <sheetName val="Price Out"/>
      <sheetName val="Disposal Cost"/>
      <sheetName val="Fuel Cost "/>
      <sheetName val="Payroll"/>
      <sheetName val="Payroll Tax Summary"/>
      <sheetName val="Regulatory Depreciation"/>
      <sheetName val="Truck Repair"/>
      <sheetName val="Maintenance Supplies"/>
      <sheetName val="Bank Charges"/>
      <sheetName val="UTC Reg Fee"/>
      <sheetName val="Advertising "/>
      <sheetName val="Employee Benefits"/>
    </sheetNames>
    <sheetDataSet>
      <sheetData sheetId="0"/>
      <sheetData sheetId="1">
        <row r="7">
          <cell r="Q7">
            <v>114558.11</v>
          </cell>
        </row>
        <row r="8">
          <cell r="Q8">
            <v>24784.75</v>
          </cell>
        </row>
        <row r="9">
          <cell r="Q9">
            <v>73661.240000000005</v>
          </cell>
        </row>
        <row r="10">
          <cell r="Q10">
            <v>69324.06</v>
          </cell>
        </row>
        <row r="11">
          <cell r="Q11">
            <v>12822.45</v>
          </cell>
        </row>
        <row r="12">
          <cell r="Q12">
            <v>48474.81</v>
          </cell>
        </row>
        <row r="13">
          <cell r="Q13">
            <v>46621.96</v>
          </cell>
        </row>
        <row r="14">
          <cell r="Q14">
            <v>82376.240000000005</v>
          </cell>
        </row>
        <row r="15">
          <cell r="Q15">
            <v>804612.59</v>
          </cell>
        </row>
        <row r="16">
          <cell r="Q16">
            <v>27337.73</v>
          </cell>
        </row>
        <row r="17">
          <cell r="Q17">
            <v>223846.5</v>
          </cell>
        </row>
        <row r="18">
          <cell r="Q18">
            <v>3038.84</v>
          </cell>
        </row>
        <row r="21">
          <cell r="Q21">
            <v>135479.88</v>
          </cell>
        </row>
        <row r="23">
          <cell r="Q23">
            <v>6877.39</v>
          </cell>
        </row>
        <row r="30">
          <cell r="Q30">
            <v>19565.349999999999</v>
          </cell>
        </row>
        <row r="32">
          <cell r="Q32">
            <v>20895.810000000001</v>
          </cell>
        </row>
        <row r="33">
          <cell r="Q33">
            <v>46984.19</v>
          </cell>
        </row>
        <row r="34">
          <cell r="Q34">
            <v>13115.05</v>
          </cell>
        </row>
        <row r="35">
          <cell r="Q35">
            <v>23850.19</v>
          </cell>
        </row>
        <row r="36">
          <cell r="Q36">
            <v>39275.160000000003</v>
          </cell>
        </row>
        <row r="37">
          <cell r="Q37">
            <v>3231.64</v>
          </cell>
        </row>
        <row r="38">
          <cell r="Q38">
            <v>57612.99</v>
          </cell>
        </row>
        <row r="39">
          <cell r="Q39">
            <v>385304.38</v>
          </cell>
        </row>
        <row r="40">
          <cell r="Q40">
            <v>24566.639999999999</v>
          </cell>
        </row>
        <row r="41">
          <cell r="Q41">
            <v>4282.78</v>
          </cell>
        </row>
        <row r="42">
          <cell r="Q42">
            <v>35418.199999999997</v>
          </cell>
        </row>
        <row r="43">
          <cell r="Q43">
            <v>770.48</v>
          </cell>
        </row>
        <row r="44">
          <cell r="Q44">
            <v>31751.37</v>
          </cell>
        </row>
        <row r="45">
          <cell r="Q45">
            <v>4680</v>
          </cell>
        </row>
        <row r="46">
          <cell r="Q46">
            <v>6010</v>
          </cell>
        </row>
        <row r="47">
          <cell r="Q47">
            <v>4662.3500000000004</v>
          </cell>
        </row>
        <row r="48">
          <cell r="Q48">
            <v>987.5</v>
          </cell>
        </row>
        <row r="49">
          <cell r="Q49">
            <v>38788.879999999997</v>
          </cell>
        </row>
        <row r="53">
          <cell r="Q53">
            <v>8910.74</v>
          </cell>
        </row>
        <row r="54">
          <cell r="Q54">
            <v>67.13</v>
          </cell>
        </row>
        <row r="55">
          <cell r="Q55">
            <v>1112.8599999999999</v>
          </cell>
        </row>
        <row r="56">
          <cell r="Q56">
            <v>7003.49</v>
          </cell>
        </row>
        <row r="57">
          <cell r="Q57">
            <v>6120.05</v>
          </cell>
        </row>
        <row r="58">
          <cell r="Q58">
            <v>171.61</v>
          </cell>
        </row>
        <row r="59">
          <cell r="Q59">
            <v>30</v>
          </cell>
        </row>
        <row r="60">
          <cell r="Q60">
            <v>167.42</v>
          </cell>
        </row>
        <row r="61">
          <cell r="Q61">
            <v>4617.95</v>
          </cell>
        </row>
        <row r="62">
          <cell r="Q62">
            <v>24262.25</v>
          </cell>
        </row>
        <row r="63">
          <cell r="Q63">
            <v>302.89999999999998</v>
          </cell>
        </row>
        <row r="64">
          <cell r="D64">
            <v>52417.71</v>
          </cell>
          <cell r="E64">
            <v>36214.78</v>
          </cell>
          <cell r="F64">
            <v>34443.03</v>
          </cell>
          <cell r="G64">
            <v>38907.629999999997</v>
          </cell>
          <cell r="H64">
            <v>50858.61</v>
          </cell>
          <cell r="I64">
            <v>42343.87</v>
          </cell>
          <cell r="J64">
            <v>62214.94</v>
          </cell>
          <cell r="K64">
            <v>40528.839999999997</v>
          </cell>
          <cell r="L64">
            <v>40800.620000000003</v>
          </cell>
          <cell r="M64">
            <v>40102.43</v>
          </cell>
          <cell r="N64">
            <v>40640.57</v>
          </cell>
          <cell r="O64">
            <v>73140.08</v>
          </cell>
          <cell r="Q64">
            <v>552613.11</v>
          </cell>
        </row>
        <row r="65">
          <cell r="Q65">
            <v>-1864.37</v>
          </cell>
        </row>
        <row r="66">
          <cell r="Q66">
            <v>47928.19</v>
          </cell>
        </row>
        <row r="71">
          <cell r="Q71">
            <v>8777.41</v>
          </cell>
        </row>
      </sheetData>
      <sheetData sheetId="2">
        <row r="7">
          <cell r="F7">
            <v>911773.58</v>
          </cell>
        </row>
        <row r="8">
          <cell r="F8">
            <v>320508.28999999998</v>
          </cell>
        </row>
        <row r="9">
          <cell r="F9">
            <v>48474.81</v>
          </cell>
        </row>
        <row r="10">
          <cell r="F10">
            <v>46621.96</v>
          </cell>
        </row>
        <row r="11">
          <cell r="F11">
            <v>114558.11</v>
          </cell>
        </row>
        <row r="12">
          <cell r="F12">
            <v>73661.240000000005</v>
          </cell>
        </row>
        <row r="13">
          <cell r="F13">
            <v>15861.29</v>
          </cell>
        </row>
        <row r="17">
          <cell r="F17">
            <v>46984.19</v>
          </cell>
        </row>
        <row r="18">
          <cell r="F18">
            <v>13115.05</v>
          </cell>
        </row>
        <row r="19">
          <cell r="F19">
            <v>23850.19</v>
          </cell>
        </row>
        <row r="20">
          <cell r="F20">
            <v>30895.860000000004</v>
          </cell>
        </row>
        <row r="21">
          <cell r="F21">
            <v>3231.64</v>
          </cell>
        </row>
        <row r="22">
          <cell r="F22">
            <v>8777.41</v>
          </cell>
        </row>
        <row r="23">
          <cell r="F23">
            <v>66764.249999999985</v>
          </cell>
        </row>
        <row r="24">
          <cell r="F24">
            <v>338682.38</v>
          </cell>
        </row>
        <row r="25">
          <cell r="F25">
            <v>46622</v>
          </cell>
        </row>
        <row r="26">
          <cell r="F26">
            <v>6650.739999999998</v>
          </cell>
        </row>
        <row r="27">
          <cell r="B27">
            <v>4282.78</v>
          </cell>
          <cell r="F27">
            <v>0</v>
          </cell>
        </row>
        <row r="28">
          <cell r="F28">
            <v>36188.68</v>
          </cell>
        </row>
        <row r="29">
          <cell r="F29">
            <v>31751.37</v>
          </cell>
        </row>
        <row r="30">
          <cell r="B30">
            <v>4680</v>
          </cell>
          <cell r="F30">
            <v>4135.7160000000003</v>
          </cell>
        </row>
        <row r="31">
          <cell r="F31">
            <v>6010</v>
          </cell>
        </row>
        <row r="32">
          <cell r="F32">
            <v>4662.3500000000004</v>
          </cell>
        </row>
        <row r="33">
          <cell r="F33">
            <v>987.5</v>
          </cell>
        </row>
        <row r="34">
          <cell r="F34">
            <v>49444.409999999996</v>
          </cell>
        </row>
        <row r="35">
          <cell r="B35">
            <v>8910.74</v>
          </cell>
          <cell r="F35">
            <v>0</v>
          </cell>
        </row>
        <row r="36">
          <cell r="B36">
            <v>67.13</v>
          </cell>
          <cell r="F36">
            <v>0</v>
          </cell>
        </row>
        <row r="37">
          <cell r="F37">
            <v>1112.8599999999999</v>
          </cell>
        </row>
        <row r="38">
          <cell r="F38">
            <v>7003.49</v>
          </cell>
        </row>
        <row r="39">
          <cell r="F39">
            <v>6632.5245000000004</v>
          </cell>
        </row>
        <row r="40">
          <cell r="F40">
            <v>171.61</v>
          </cell>
        </row>
        <row r="41">
          <cell r="F41">
            <v>30</v>
          </cell>
        </row>
        <row r="42">
          <cell r="F42">
            <v>4785.37</v>
          </cell>
        </row>
        <row r="43">
          <cell r="F43">
            <v>31139.64</v>
          </cell>
        </row>
        <row r="44">
          <cell r="F44">
            <v>302.89999999999998</v>
          </cell>
        </row>
        <row r="45">
          <cell r="F45">
            <v>496852.21399999998</v>
          </cell>
        </row>
        <row r="46">
          <cell r="F46">
            <v>68688.709450000009</v>
          </cell>
        </row>
        <row r="47">
          <cell r="F47">
            <v>-1864.37</v>
          </cell>
        </row>
        <row r="48">
          <cell r="F48">
            <v>20895.810000000001</v>
          </cell>
        </row>
        <row r="49">
          <cell r="B49">
            <v>47928.19</v>
          </cell>
          <cell r="F49">
            <v>0</v>
          </cell>
        </row>
        <row r="50">
          <cell r="B50">
            <v>135479.88</v>
          </cell>
          <cell r="F50">
            <v>276232.14695238043</v>
          </cell>
        </row>
        <row r="51">
          <cell r="F51">
            <v>19565.349999999999</v>
          </cell>
        </row>
      </sheetData>
      <sheetData sheetId="3">
        <row r="1">
          <cell r="A1" t="str">
            <v>Carroll-Naslund Disposal Service, Inc.</v>
          </cell>
        </row>
        <row r="9">
          <cell r="K9">
            <v>140752.26695238042</v>
          </cell>
        </row>
        <row r="12">
          <cell r="K12">
            <v>-17471.579999999998</v>
          </cell>
        </row>
        <row r="15">
          <cell r="K15">
            <v>-8379.2999999999993</v>
          </cell>
        </row>
        <row r="18">
          <cell r="K18">
            <v>-46622</v>
          </cell>
        </row>
        <row r="19">
          <cell r="K19">
            <v>46622</v>
          </cell>
        </row>
        <row r="23">
          <cell r="K23">
            <v>-17915.900000000001</v>
          </cell>
        </row>
        <row r="28">
          <cell r="K28">
            <v>-4282.78</v>
          </cell>
        </row>
        <row r="29">
          <cell r="K29">
            <v>-544.28399999999999</v>
          </cell>
        </row>
        <row r="30">
          <cell r="K30">
            <v>-8910.74</v>
          </cell>
        </row>
        <row r="31">
          <cell r="K31">
            <v>-67.13</v>
          </cell>
        </row>
        <row r="32">
          <cell r="K32">
            <v>-47928.19</v>
          </cell>
        </row>
        <row r="37">
          <cell r="K37">
            <v>9151.2599999999875</v>
          </cell>
        </row>
        <row r="45">
          <cell r="K45">
            <v>66673.88</v>
          </cell>
        </row>
        <row r="46">
          <cell r="K46">
            <v>-66673.88</v>
          </cell>
        </row>
      </sheetData>
      <sheetData sheetId="4">
        <row r="9">
          <cell r="K9">
            <v>25000</v>
          </cell>
        </row>
        <row r="14">
          <cell r="K14">
            <v>3384.5639999999999</v>
          </cell>
        </row>
        <row r="19">
          <cell r="K19">
            <v>2014.8294500000002</v>
          </cell>
        </row>
        <row r="24">
          <cell r="K24">
            <v>10655.529999999999</v>
          </cell>
        </row>
      </sheetData>
      <sheetData sheetId="5"/>
      <sheetData sheetId="6">
        <row r="7">
          <cell r="C7"/>
        </row>
        <row r="8">
          <cell r="C8"/>
          <cell r="H8">
            <v>0.85881652104845119</v>
          </cell>
        </row>
        <row r="9">
          <cell r="C9"/>
          <cell r="H9">
            <v>0.86776859504132231</v>
          </cell>
        </row>
        <row r="10">
          <cell r="C10"/>
        </row>
        <row r="11">
          <cell r="C11">
            <v>114558.11</v>
          </cell>
        </row>
        <row r="12">
          <cell r="C12">
            <v>73661.240000000005</v>
          </cell>
        </row>
        <row r="13">
          <cell r="C13">
            <v>15861.29</v>
          </cell>
        </row>
        <row r="17">
          <cell r="C17">
            <v>6212.7854545454547</v>
          </cell>
        </row>
        <row r="18">
          <cell r="C18">
            <v>1851.6283856235102</v>
          </cell>
        </row>
        <row r="19">
          <cell r="C19">
            <v>3153.7441322314048</v>
          </cell>
        </row>
        <row r="20">
          <cell r="C20">
            <v>4085.4029752066122</v>
          </cell>
        </row>
        <row r="21">
          <cell r="C21">
            <v>456.2541779189832</v>
          </cell>
        </row>
        <row r="22">
          <cell r="C22">
            <v>1239.225279984114</v>
          </cell>
        </row>
        <row r="23">
          <cell r="C23">
            <v>8828.3305785123957</v>
          </cell>
        </row>
        <row r="24">
          <cell r="C24">
            <v>33837.529408533585</v>
          </cell>
        </row>
        <row r="25">
          <cell r="C25"/>
        </row>
        <row r="26">
          <cell r="C26">
            <v>938.97461080222342</v>
          </cell>
        </row>
        <row r="27">
          <cell r="C27"/>
        </row>
        <row r="28">
          <cell r="C28">
            <v>4947.2618705321674</v>
          </cell>
        </row>
        <row r="29">
          <cell r="C29">
            <v>4482.7688780778381</v>
          </cell>
        </row>
        <row r="30">
          <cell r="C30"/>
        </row>
        <row r="31">
          <cell r="C31">
            <v>821.61172615023065</v>
          </cell>
        </row>
        <row r="32">
          <cell r="C32">
            <v>637.37794199942232</v>
          </cell>
        </row>
        <row r="33">
          <cell r="C33">
            <v>134.99859893067435</v>
          </cell>
        </row>
        <row r="34">
          <cell r="C34">
            <v>6538.1038016528919</v>
          </cell>
        </row>
        <row r="35">
          <cell r="C35"/>
        </row>
        <row r="36">
          <cell r="C36"/>
        </row>
        <row r="37">
          <cell r="C37">
            <v>152.13624385416733</v>
          </cell>
        </row>
        <row r="38">
          <cell r="C38">
            <v>926.08132231404954</v>
          </cell>
        </row>
        <row r="39">
          <cell r="C39"/>
        </row>
        <row r="40">
          <cell r="C40">
            <v>23.460364113916988</v>
          </cell>
        </row>
        <row r="41">
          <cell r="C41">
            <v>4.1012232586533974</v>
          </cell>
        </row>
        <row r="42">
          <cell r="C42">
            <v>654.19569150874031</v>
          </cell>
        </row>
        <row r="43">
          <cell r="C43">
            <v>4149.6354121603545</v>
          </cell>
        </row>
        <row r="44">
          <cell r="C44">
            <v>40.364132865485004</v>
          </cell>
        </row>
        <row r="45">
          <cell r="C45">
            <v>67923.395205674504</v>
          </cell>
        </row>
        <row r="46">
          <cell r="C46">
            <v>9390.2577601075154</v>
          </cell>
        </row>
        <row r="47">
          <cell r="C47">
            <v>-254.87325355785447</v>
          </cell>
        </row>
        <row r="48">
          <cell r="C48">
            <v>2950.1431513105636</v>
          </cell>
        </row>
        <row r="49">
          <cell r="C49"/>
        </row>
        <row r="50">
          <cell r="C50">
            <v>36526.56488626518</v>
          </cell>
        </row>
        <row r="51">
          <cell r="C51">
            <v>2674.7289494564748</v>
          </cell>
        </row>
      </sheetData>
      <sheetData sheetId="7"/>
      <sheetData sheetId="8"/>
      <sheetData sheetId="9"/>
      <sheetData sheetId="10">
        <row r="36">
          <cell r="N36">
            <v>9151.2599999999875</v>
          </cell>
        </row>
      </sheetData>
      <sheetData sheetId="11">
        <row r="7">
          <cell r="AD7">
            <v>2221.5</v>
          </cell>
        </row>
        <row r="8">
          <cell r="AD8">
            <v>2211.5</v>
          </cell>
        </row>
        <row r="9">
          <cell r="AD9">
            <v>200</v>
          </cell>
        </row>
        <row r="10">
          <cell r="AD10">
            <v>1961.8</v>
          </cell>
        </row>
        <row r="11">
          <cell r="AD11">
            <v>64</v>
          </cell>
        </row>
        <row r="12">
          <cell r="AD12">
            <v>698.5</v>
          </cell>
        </row>
        <row r="13">
          <cell r="AD13">
            <v>220</v>
          </cell>
        </row>
        <row r="14">
          <cell r="AD14">
            <v>2187</v>
          </cell>
        </row>
        <row r="15">
          <cell r="AD15">
            <v>2186</v>
          </cell>
        </row>
        <row r="16">
          <cell r="AD16">
            <v>2180</v>
          </cell>
        </row>
        <row r="17">
          <cell r="AD17">
            <v>1080</v>
          </cell>
        </row>
        <row r="18">
          <cell r="AD18">
            <v>419.5</v>
          </cell>
        </row>
        <row r="19">
          <cell r="AF19">
            <v>-17471.579999999998</v>
          </cell>
          <cell r="AG19">
            <v>25000</v>
          </cell>
          <cell r="AK19">
            <v>3384.5639999999999</v>
          </cell>
        </row>
        <row r="48">
          <cell r="AC48">
            <v>-66673.88</v>
          </cell>
        </row>
      </sheetData>
      <sheetData sheetId="12">
        <row r="15">
          <cell r="BZ15">
            <v>66673.88</v>
          </cell>
        </row>
        <row r="23">
          <cell r="AA23">
            <v>-156.59054999999995</v>
          </cell>
        </row>
        <row r="31">
          <cell r="O31">
            <v>2171.42</v>
          </cell>
        </row>
      </sheetData>
      <sheetData sheetId="13">
        <row r="298">
          <cell r="O298">
            <v>276232.14695238043</v>
          </cell>
        </row>
      </sheetData>
      <sheetData sheetId="14"/>
      <sheetData sheetId="15">
        <row r="75">
          <cell r="Q75">
            <v>-8379.2999999999993</v>
          </cell>
        </row>
      </sheetData>
      <sheetData sheetId="16"/>
      <sheetData sheetId="17">
        <row r="38">
          <cell r="M38">
            <v>512.47450000000026</v>
          </cell>
        </row>
      </sheetData>
      <sheetData sheetId="18">
        <row r="46">
          <cell r="S46">
            <v>17915.900000000001</v>
          </cell>
        </row>
      </sheetData>
      <sheetData sheetId="19">
        <row r="70">
          <cell r="V70">
            <v>10655.529999999999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P&amp;L"/>
      <sheetName val="Pro Forma"/>
      <sheetName val="Restating Adjustments"/>
      <sheetName val="Pro Forma Adjustments"/>
      <sheetName val="Balance Sheet"/>
      <sheetName val="Allocation Matrix"/>
      <sheetName val="Truck Hours"/>
      <sheetName val="Price Out"/>
      <sheetName val="Disposal Cost"/>
      <sheetName val="Fuel Cost"/>
      <sheetName val="Payroll"/>
      <sheetName val="Regulatory Depreciation"/>
      <sheetName val="Truck Repair"/>
      <sheetName val="Maintenance Supplies"/>
      <sheetName val="Bank Charges"/>
      <sheetName val="UTC Reg Fee"/>
      <sheetName val="Advertising"/>
      <sheetName val="Employee Benefits"/>
      <sheetName val="Sheet1"/>
    </sheetNames>
    <sheetDataSet>
      <sheetData sheetId="0" refreshError="1"/>
      <sheetData sheetId="1" refreshError="1">
        <row r="7">
          <cell r="F7">
            <v>911773.58</v>
          </cell>
        </row>
        <row r="39">
          <cell r="A39" t="str">
            <v>UTC Annual Report Fees</v>
          </cell>
        </row>
      </sheetData>
      <sheetData sheetId="2" refreshError="1">
        <row r="9">
          <cell r="K9">
            <v>140752.26695238042</v>
          </cell>
        </row>
        <row r="44">
          <cell r="K44">
            <v>512.47450000000026</v>
          </cell>
        </row>
      </sheetData>
      <sheetData sheetId="3" refreshError="1"/>
      <sheetData sheetId="4" refreshError="1"/>
      <sheetData sheetId="5" refreshError="1"/>
      <sheetData sheetId="6" refreshError="1">
        <row r="25">
          <cell r="I25">
            <v>0.76859504132231404</v>
          </cell>
          <cell r="J25">
            <v>0.13223140495867769</v>
          </cell>
          <cell r="K25">
            <v>9.9173553719008267E-2</v>
          </cell>
        </row>
      </sheetData>
      <sheetData sheetId="7" refreshError="1"/>
      <sheetData sheetId="8" refreshError="1">
        <row r="25">
          <cell r="D25">
            <v>0.7512261898350584</v>
          </cell>
          <cell r="F25">
            <v>0.12106217177028816</v>
          </cell>
          <cell r="H25">
            <v>2.7802309162546217E-2</v>
          </cell>
          <cell r="L25">
            <v>9.9909329232107047E-2</v>
          </cell>
        </row>
      </sheetData>
      <sheetData sheetId="9" refreshError="1"/>
      <sheetData sheetId="10" refreshError="1"/>
      <sheetData sheetId="11" refreshError="1"/>
      <sheetData sheetId="12" refreshError="1"/>
      <sheetData sheetId="13" refreshError="1">
        <row r="75">
          <cell r="Q75">
            <v>-8379.2999999999993</v>
          </cell>
        </row>
      </sheetData>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AQs-Instructions-Information"/>
      <sheetName val="Affiliated Interest Rules"/>
      <sheetName val="Cover Sheet"/>
      <sheetName val="Ownership- Industry Info"/>
      <sheetName val="Complaint Contact Information"/>
      <sheetName val="Sch 1 Veh-Mileage-Accident Info"/>
      <sheetName val="Sch 2 Vehicle Listings"/>
      <sheetName val="Sch 3 Fuel Consumption Stats"/>
      <sheetName val="Sch 4 Employee Class-Compen"/>
      <sheetName val="Sch 5 Operating Property"/>
      <sheetName val="Sch 6 Bal Sheet Assests -Total"/>
      <sheetName val="Sch 7 Bal Sheet Liab-Equity"/>
      <sheetName val="Sch 8 Revenues"/>
      <sheetName val="Sch 9 Customers"/>
      <sheetName val="Sch 10 Income Statement"/>
      <sheetName val="Sch 11 Reg Recycle Program"/>
      <sheetName val="Sch 12 Yard Waste-Organics Prog"/>
      <sheetName val="Sch 13 Garbage Disposal Fees"/>
      <sheetName val="Sch 14 Medical Waste "/>
      <sheetName val="Sch 15 Other Disp-Process Exp"/>
      <sheetName val="Sch 16 Contracted Cities"/>
      <sheetName val="Reg Fee Calc Schedule"/>
      <sheetName val="Company Info-Certification Page"/>
      <sheetName val="Payment and Filing"/>
    </sheetNames>
    <sheetDataSet>
      <sheetData sheetId="0" refreshError="1"/>
      <sheetData sheetId="1" refreshError="1"/>
      <sheetData sheetId="2" refreshError="1"/>
      <sheetData sheetId="3" refreshError="1">
        <row r="6">
          <cell r="B6">
            <v>2020</v>
          </cell>
        </row>
        <row r="56">
          <cell r="I56">
            <v>44317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3">
          <cell r="D23">
            <v>1300495</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113"/>
  <sheetViews>
    <sheetView showGridLines="0" showOutlineSymbols="0" zoomScale="120" zoomScaleNormal="120" workbookViewId="0">
      <selection sqref="A1:M49"/>
    </sheetView>
  </sheetViews>
  <sheetFormatPr defaultColWidth="13" defaultRowHeight="15"/>
  <cols>
    <col min="1" max="1" width="3.77734375" customWidth="1"/>
    <col min="2" max="2" width="26.109375" style="52" bestFit="1" customWidth="1"/>
    <col min="3" max="3" width="16.5546875" style="52" customWidth="1"/>
    <col min="4" max="4" width="16.5546875" style="52" hidden="1" customWidth="1"/>
    <col min="5" max="5" width="5.6640625" style="52" customWidth="1"/>
    <col min="6" max="6" width="4.44140625" customWidth="1"/>
    <col min="7" max="7" width="6.6640625" customWidth="1"/>
    <col min="8" max="8" width="11.6640625" customWidth="1"/>
    <col min="9" max="9" width="13.77734375" customWidth="1"/>
    <col min="10" max="10" width="10.33203125" customWidth="1"/>
    <col min="11" max="11" width="11.77734375" bestFit="1" customWidth="1"/>
    <col min="12" max="13" width="14.33203125" customWidth="1"/>
    <col min="14" max="14" width="4.77734375" customWidth="1"/>
    <col min="15" max="15" width="4.88671875" style="52" customWidth="1"/>
    <col min="16" max="16" width="31.44140625" style="52" customWidth="1"/>
    <col min="17" max="17" width="13" style="25"/>
    <col min="18" max="18" width="10.77734375" style="1" customWidth="1"/>
    <col min="20" max="20" width="10.44140625" customWidth="1"/>
    <col min="21" max="21" width="12.21875" customWidth="1"/>
    <col min="23" max="24" width="13.77734375" customWidth="1"/>
    <col min="25" max="25" width="12.44140625" customWidth="1"/>
    <col min="27" max="27" width="12.33203125" customWidth="1"/>
    <col min="30" max="30" width="12.77734375" customWidth="1"/>
    <col min="31" max="31" width="13.44140625" customWidth="1"/>
    <col min="32" max="32" width="16.109375" customWidth="1"/>
    <col min="33" max="33" width="14.109375" customWidth="1"/>
    <col min="34" max="34" width="12.77734375" customWidth="1"/>
    <col min="36" max="36" width="10.77734375" customWidth="1"/>
    <col min="37" max="37" width="12.77734375" customWidth="1"/>
    <col min="38" max="49" width="11.77734375" customWidth="1"/>
  </cols>
  <sheetData>
    <row r="1" spans="1:35" s="39" customFormat="1" ht="20.25" thickBot="1">
      <c r="A1" s="43"/>
      <c r="B1" s="499" t="s">
        <v>1105</v>
      </c>
      <c r="C1" s="499"/>
      <c r="D1" s="499"/>
      <c r="E1" s="499"/>
      <c r="F1" s="499"/>
      <c r="G1" s="499"/>
      <c r="H1" s="499"/>
      <c r="I1" s="500"/>
      <c r="J1" s="500"/>
      <c r="K1" s="500"/>
      <c r="L1" s="500"/>
      <c r="M1" s="500"/>
      <c r="N1" s="42"/>
      <c r="O1" s="41"/>
      <c r="P1" s="41"/>
      <c r="Q1" s="70"/>
      <c r="R1" s="40"/>
    </row>
    <row r="2" spans="1:35" ht="19.5" thickBot="1">
      <c r="A2" s="43"/>
      <c r="B2" s="505" t="s">
        <v>106</v>
      </c>
      <c r="C2" s="505"/>
      <c r="D2" s="43"/>
      <c r="E2" s="43"/>
      <c r="F2" s="169" t="s">
        <v>112</v>
      </c>
      <c r="G2" s="98"/>
      <c r="H2" s="98"/>
      <c r="I2" s="99" t="s">
        <v>123</v>
      </c>
      <c r="J2" s="98"/>
      <c r="K2" s="98"/>
      <c r="L2" s="98"/>
      <c r="M2" s="169" t="s">
        <v>112</v>
      </c>
      <c r="O2" s="43"/>
      <c r="P2" s="43"/>
      <c r="R2" s="36" t="s">
        <v>1</v>
      </c>
      <c r="S2" s="37"/>
      <c r="T2" s="38"/>
      <c r="AF2" s="502" t="s">
        <v>92</v>
      </c>
      <c r="AG2" s="503"/>
      <c r="AH2" s="503"/>
      <c r="AI2" s="504"/>
    </row>
    <row r="3" spans="1:35" ht="15.75">
      <c r="A3" s="43"/>
      <c r="B3" s="43"/>
      <c r="C3" s="43"/>
      <c r="D3" s="43"/>
      <c r="E3" s="43"/>
      <c r="F3" s="138"/>
      <c r="G3" s="72"/>
      <c r="K3" s="179" t="s">
        <v>121</v>
      </c>
      <c r="M3" s="179" t="s">
        <v>120</v>
      </c>
      <c r="O3" s="43"/>
      <c r="P3" s="43"/>
      <c r="R3"/>
      <c r="T3" t="s">
        <v>8</v>
      </c>
      <c r="V3" s="1" t="s">
        <v>8</v>
      </c>
      <c r="W3" s="1" t="s">
        <v>8</v>
      </c>
      <c r="X3" s="1" t="s">
        <v>8</v>
      </c>
      <c r="Y3" s="1" t="s">
        <v>9</v>
      </c>
      <c r="Z3" s="1" t="s">
        <v>9</v>
      </c>
      <c r="AA3" s="1" t="s">
        <v>9</v>
      </c>
      <c r="AB3" s="1" t="s">
        <v>9</v>
      </c>
      <c r="AC3" s="1" t="s">
        <v>9</v>
      </c>
      <c r="AD3" s="1" t="s">
        <v>9</v>
      </c>
      <c r="AE3" s="1" t="s">
        <v>86</v>
      </c>
      <c r="AF3" s="1" t="s">
        <v>12</v>
      </c>
      <c r="AG3" s="1" t="s">
        <v>89</v>
      </c>
      <c r="AH3" s="1"/>
    </row>
    <row r="4" spans="1:35" ht="19.5" thickBot="1">
      <c r="A4" s="43"/>
      <c r="B4" s="133" t="s">
        <v>115</v>
      </c>
      <c r="C4" s="170"/>
      <c r="D4" s="116"/>
      <c r="E4" s="43"/>
      <c r="F4" s="178"/>
      <c r="G4" s="72"/>
      <c r="H4" s="77" t="s">
        <v>2</v>
      </c>
      <c r="I4" s="77" t="s">
        <v>3</v>
      </c>
      <c r="J4" s="77" t="s">
        <v>4</v>
      </c>
      <c r="K4" s="77" t="s">
        <v>5</v>
      </c>
      <c r="L4" s="77" t="s">
        <v>6</v>
      </c>
      <c r="M4" s="77" t="s">
        <v>7</v>
      </c>
      <c r="O4" s="45"/>
      <c r="P4" s="43"/>
      <c r="R4"/>
      <c r="T4" s="1" t="s">
        <v>14</v>
      </c>
      <c r="V4" s="1" t="s">
        <v>15</v>
      </c>
      <c r="W4" s="1" t="s">
        <v>16</v>
      </c>
      <c r="X4" s="1" t="s">
        <v>17</v>
      </c>
      <c r="Y4" s="1" t="s">
        <v>18</v>
      </c>
      <c r="Z4" s="1" t="s">
        <v>18</v>
      </c>
      <c r="AA4" s="1" t="s">
        <v>18</v>
      </c>
      <c r="AB4" s="1" t="s">
        <v>16</v>
      </c>
      <c r="AC4" s="1" t="s">
        <v>14</v>
      </c>
      <c r="AD4" s="1" t="s">
        <v>14</v>
      </c>
      <c r="AE4" s="1" t="s">
        <v>93</v>
      </c>
      <c r="AF4" s="1" t="s">
        <v>88</v>
      </c>
      <c r="AG4" s="1" t="s">
        <v>90</v>
      </c>
      <c r="AH4" s="1" t="s">
        <v>91</v>
      </c>
      <c r="AI4" s="1" t="s">
        <v>87</v>
      </c>
    </row>
    <row r="5" spans="1:35" ht="15.75">
      <c r="A5" s="43"/>
      <c r="B5" s="134" t="s">
        <v>32</v>
      </c>
      <c r="C5" s="129">
        <f>+'Allocation Matrix'!D14</f>
        <v>1327378.6399999999</v>
      </c>
      <c r="D5" s="116"/>
      <c r="E5" s="43"/>
      <c r="F5" s="139" t="s">
        <v>10</v>
      </c>
      <c r="G5" s="76"/>
      <c r="H5" s="76"/>
      <c r="I5" s="77" t="s">
        <v>11</v>
      </c>
      <c r="J5" s="77" t="s">
        <v>12</v>
      </c>
      <c r="K5" s="78" t="s">
        <v>13</v>
      </c>
      <c r="L5" s="78" t="s">
        <v>118</v>
      </c>
      <c r="M5" s="78" t="s">
        <v>12</v>
      </c>
      <c r="O5" s="49"/>
      <c r="P5" s="43"/>
      <c r="R5" s="2"/>
      <c r="T5" s="1" t="s">
        <v>22</v>
      </c>
      <c r="U5" s="1" t="s">
        <v>23</v>
      </c>
      <c r="V5" s="1" t="s">
        <v>24</v>
      </c>
      <c r="W5" s="1" t="s">
        <v>25</v>
      </c>
      <c r="X5" s="1" t="s">
        <v>26</v>
      </c>
      <c r="Y5" s="1" t="s">
        <v>27</v>
      </c>
      <c r="Z5" s="1" t="s">
        <v>28</v>
      </c>
      <c r="AA5" s="1" t="s">
        <v>29</v>
      </c>
      <c r="AB5" s="1" t="s">
        <v>30</v>
      </c>
      <c r="AC5" s="1" t="s">
        <v>22</v>
      </c>
      <c r="AD5" s="1" t="s">
        <v>31</v>
      </c>
      <c r="AE5" s="1" t="s">
        <v>20</v>
      </c>
      <c r="AF5" s="1" t="s">
        <v>85</v>
      </c>
      <c r="AG5" s="1" t="s">
        <v>85</v>
      </c>
      <c r="AH5" s="1" t="s">
        <v>20</v>
      </c>
      <c r="AI5" s="1" t="s">
        <v>86</v>
      </c>
    </row>
    <row r="6" spans="1:35" ht="15.75">
      <c r="A6" s="43"/>
      <c r="B6" s="134" t="s">
        <v>33</v>
      </c>
      <c r="C6" s="130">
        <f>+'Allocation Matrix'!D52</f>
        <v>1446975.8019923475</v>
      </c>
      <c r="D6" s="116"/>
      <c r="E6" s="43"/>
      <c r="F6" s="140" t="s">
        <v>19</v>
      </c>
      <c r="G6" s="76"/>
      <c r="H6" s="76"/>
      <c r="I6" s="95"/>
      <c r="J6" s="97" t="s">
        <v>117</v>
      </c>
      <c r="K6" s="96"/>
      <c r="L6" s="97" t="s">
        <v>119</v>
      </c>
      <c r="M6" s="97" t="s">
        <v>21</v>
      </c>
      <c r="O6" s="49"/>
      <c r="P6" s="43"/>
      <c r="R6" s="3">
        <v>1</v>
      </c>
      <c r="S6" s="117">
        <f>Revenue/Investment*100</f>
        <v>138.59444853785789</v>
      </c>
      <c r="T6" s="118">
        <f>EXP(y_inter1-(slope*LN(+S6)))</f>
        <v>10.496541502636697</v>
      </c>
      <c r="U6" s="119">
        <f>(+S6*T6/100)/100</f>
        <v>0.14547623811126711</v>
      </c>
      <c r="V6" s="119">
        <f>regDebt_weighted</f>
        <v>3.5860000000000003E-2</v>
      </c>
      <c r="W6" s="119">
        <f>+U6-V6</f>
        <v>0.10961623811126711</v>
      </c>
      <c r="X6" s="119">
        <f>+((W6*(1-0.34))-Pfd_weighted)/Equity_percent</f>
        <v>0.19231603823673338</v>
      </c>
      <c r="Y6" s="119">
        <f>X6*equityP</f>
        <v>4.1252668137754286E-2</v>
      </c>
      <c r="Z6" s="119">
        <f>+Y6/(1-taxrate)</f>
        <v>5.221856726298011E-2</v>
      </c>
      <c r="AA6" s="119">
        <f>debtP*Debt_Rate</f>
        <v>3.8096528594155868E-2</v>
      </c>
      <c r="AB6" s="119">
        <f>AA6+Z6</f>
        <v>9.0315095857135985E-2</v>
      </c>
      <c r="AC6" s="119">
        <f>AB6/(S6/100)</f>
        <v>6.5165016932453745E-2</v>
      </c>
      <c r="AD6" s="119">
        <f>1-AC6</f>
        <v>0.9348349830675462</v>
      </c>
      <c r="AE6" s="120">
        <f>expenses/(AD6)</f>
        <v>1547840.8790867818</v>
      </c>
      <c r="AF6" s="121">
        <f>+AE6-Revenue</f>
        <v>220462.23908678186</v>
      </c>
      <c r="AG6" s="122">
        <f ca="1">+AF6/$J$49</f>
        <v>239547.08767663449</v>
      </c>
      <c r="AH6" s="122">
        <f ca="1">+AG6*$J$47</f>
        <v>5413.7641814919398</v>
      </c>
      <c r="AI6" s="120">
        <f ca="1">ROUND(+AH6+AE6,5)</f>
        <v>1553254.6432699999</v>
      </c>
    </row>
    <row r="7" spans="1:35" ht="15.75">
      <c r="A7" s="43"/>
      <c r="B7" s="134" t="s">
        <v>104</v>
      </c>
      <c r="C7" s="130">
        <f>+'Regulatory Depreciation'!Z308</f>
        <v>957743.00774927402</v>
      </c>
      <c r="D7" s="116"/>
      <c r="E7" s="43"/>
      <c r="F7" s="141">
        <v>1</v>
      </c>
      <c r="G7" s="76"/>
      <c r="H7" s="79" t="s">
        <v>32</v>
      </c>
      <c r="I7" s="80">
        <f>IF(A65=TRUE,C5,0)</f>
        <v>1327378.6399999999</v>
      </c>
      <c r="J7" s="80">
        <f ca="1">(+$I8/($R51))-I7</f>
        <v>207483.36011917121</v>
      </c>
      <c r="K7" s="80">
        <f ca="1">+I7+J7</f>
        <v>1534862.0001191711</v>
      </c>
      <c r="L7" s="80">
        <f ca="1">((+J7/J49*K35)-J7)</f>
        <v>5095.0493287270074</v>
      </c>
      <c r="M7" s="80">
        <f ca="1">IFERROR(+K7+L7,0.00001)</f>
        <v>1539957.0494478981</v>
      </c>
      <c r="O7" s="49"/>
      <c r="P7" s="43"/>
      <c r="R7" s="35">
        <v>2</v>
      </c>
      <c r="S7" s="123">
        <f>Revenue/Investment*100</f>
        <v>138.59444853785789</v>
      </c>
      <c r="T7" s="6">
        <f>EXP(y_inter1-(slope*LN(+S7)))</f>
        <v>10.496541502636697</v>
      </c>
      <c r="U7" s="4">
        <f t="shared" ref="U7:U9" si="0">(+S7*T7/100)/100</f>
        <v>0.14547623811126711</v>
      </c>
      <c r="V7" s="4">
        <f>regDebt_weighted</f>
        <v>3.5860000000000003E-2</v>
      </c>
      <c r="W7" s="4">
        <f t="shared" ref="W7:W9" si="1">+U7-V7</f>
        <v>0.10961623811126711</v>
      </c>
      <c r="X7" s="4">
        <f>+((W7*(1-0.34))-Pfd_weighted)/Equity_percent</f>
        <v>0.19231603823673338</v>
      </c>
      <c r="Y7" s="4">
        <f>X7*equityP</f>
        <v>4.1252668137754286E-2</v>
      </c>
      <c r="Z7" s="4">
        <f>+Y7/(1-taxrate)</f>
        <v>5.221856726298011E-2</v>
      </c>
      <c r="AA7" s="4">
        <f>debtP*Debt_Rate</f>
        <v>3.8096528594155868E-2</v>
      </c>
      <c r="AB7" s="4">
        <f t="shared" ref="AB7:AB9" si="2">AA7+Z7</f>
        <v>9.0315095857135985E-2</v>
      </c>
      <c r="AC7" s="4">
        <f t="shared" ref="AC7:AC9" si="3">AB7/(S7/100)</f>
        <v>6.5165016932453745E-2</v>
      </c>
      <c r="AD7" s="4">
        <f t="shared" ref="AD7:AD9" si="4">1-AC7</f>
        <v>0.9348349830675462</v>
      </c>
      <c r="AE7" s="124">
        <f>expenses/(AD7)</f>
        <v>1547840.8790867818</v>
      </c>
      <c r="AF7" s="125">
        <f>+AE7-Revenue</f>
        <v>220462.23908678186</v>
      </c>
      <c r="AG7" s="126">
        <f ca="1">+AF7/$J$49</f>
        <v>239547.08767663449</v>
      </c>
      <c r="AH7" s="126">
        <f ca="1">+AG7*$J$47</f>
        <v>5413.7641814919398</v>
      </c>
      <c r="AI7" s="124">
        <f t="shared" ref="AI7:AI9" ca="1" si="5">ROUND(+AH7+AE7,5)</f>
        <v>1553254.6432699999</v>
      </c>
    </row>
    <row r="8" spans="1:35" ht="15.75">
      <c r="A8" s="43"/>
      <c r="B8" s="134" t="s">
        <v>114</v>
      </c>
      <c r="C8" s="131">
        <f>+'Balance Sheet'!G62</f>
        <v>0.78549543493104879</v>
      </c>
      <c r="D8" s="116"/>
      <c r="E8" s="43"/>
      <c r="F8" s="142">
        <f>+F7+1</f>
        <v>2</v>
      </c>
      <c r="G8" s="76"/>
      <c r="H8" s="79" t="s">
        <v>33</v>
      </c>
      <c r="I8" s="80">
        <f>IF(A65=TRUE,C6,0)</f>
        <v>1446975.8019923475</v>
      </c>
      <c r="J8" s="72"/>
      <c r="K8" s="80">
        <f>+I8</f>
        <v>1446975.8019923475</v>
      </c>
      <c r="L8" s="80">
        <f ca="1">+L7</f>
        <v>5095.0493287270074</v>
      </c>
      <c r="M8" s="80">
        <f ca="1">IFERROR(+K8+L8,0.00001)</f>
        <v>1452070.8513210744</v>
      </c>
      <c r="O8" s="49"/>
      <c r="P8" s="43"/>
      <c r="R8" s="5">
        <v>3</v>
      </c>
      <c r="S8" s="123">
        <f>Revenue/Investment*100</f>
        <v>138.59444853785789</v>
      </c>
      <c r="T8" s="6">
        <f>EXP(y_inter1-(slope*LN(+S8)))</f>
        <v>10.496541502636697</v>
      </c>
      <c r="U8" s="4">
        <f t="shared" si="0"/>
        <v>0.14547623811126711</v>
      </c>
      <c r="V8" s="4">
        <f>regDebt_weighted</f>
        <v>3.5860000000000003E-2</v>
      </c>
      <c r="W8" s="4">
        <f t="shared" si="1"/>
        <v>0.10961623811126711</v>
      </c>
      <c r="X8" s="4">
        <f>+((W8*(1-0.34))-Pfd_weighted)/Equity_percent</f>
        <v>0.19231603823673338</v>
      </c>
      <c r="Y8" s="4">
        <f>X8*equityP</f>
        <v>4.1252668137754286E-2</v>
      </c>
      <c r="Z8" s="4">
        <f>+Y8/(1-taxrate)</f>
        <v>5.221856726298011E-2</v>
      </c>
      <c r="AA8" s="4">
        <f>debtP*Debt_Rate</f>
        <v>3.8096528594155868E-2</v>
      </c>
      <c r="AB8" s="4">
        <f t="shared" si="2"/>
        <v>9.0315095857135985E-2</v>
      </c>
      <c r="AC8" s="4">
        <f t="shared" si="3"/>
        <v>6.5165016932453745E-2</v>
      </c>
      <c r="AD8" s="4">
        <f t="shared" si="4"/>
        <v>0.9348349830675462</v>
      </c>
      <c r="AE8" s="124">
        <f>expenses/(AD8)</f>
        <v>1547840.8790867818</v>
      </c>
      <c r="AF8" s="125">
        <f>+AE8-Revenue</f>
        <v>220462.23908678186</v>
      </c>
      <c r="AG8" s="126">
        <f ca="1">+AF8/$J$49</f>
        <v>239547.08767663449</v>
      </c>
      <c r="AH8" s="126">
        <f ca="1">+AG8*$J$47</f>
        <v>5413.7641814919398</v>
      </c>
      <c r="AI8" s="124">
        <f t="shared" ca="1" si="5"/>
        <v>1553254.6432699999</v>
      </c>
    </row>
    <row r="9" spans="1:35" ht="15.75">
      <c r="A9" s="43"/>
      <c r="B9" s="134" t="s">
        <v>113</v>
      </c>
      <c r="C9" s="131">
        <f>+'Balance Sheet'!I62</f>
        <v>4.8500000000000001E-2</v>
      </c>
      <c r="D9" s="116"/>
      <c r="E9" s="43"/>
      <c r="F9" s="142">
        <f t="shared" ref="F9:F49" si="6">+F8+1</f>
        <v>3</v>
      </c>
      <c r="G9" s="76"/>
      <c r="H9" s="79" t="s">
        <v>34</v>
      </c>
      <c r="I9" s="81">
        <f>+I7-I8</f>
        <v>-119597.16199234757</v>
      </c>
      <c r="J9" s="72"/>
      <c r="K9" s="81">
        <f ca="1">+K7-K8</f>
        <v>87886.198126823641</v>
      </c>
      <c r="L9" s="76"/>
      <c r="M9" s="82">
        <f ca="1">+M7-M8</f>
        <v>87886.198126823641</v>
      </c>
      <c r="O9" s="49"/>
      <c r="P9" s="43"/>
      <c r="R9" s="7">
        <v>4</v>
      </c>
      <c r="S9" s="123">
        <f>Revenue/Investment*100</f>
        <v>138.59444853785789</v>
      </c>
      <c r="T9" s="6">
        <f>EXP(y_inter1-(slope*LN(+S9)))</f>
        <v>10.496541502636697</v>
      </c>
      <c r="U9" s="4">
        <f t="shared" si="0"/>
        <v>0.14547623811126711</v>
      </c>
      <c r="V9" s="4">
        <f>regDebt_weighted</f>
        <v>3.5860000000000003E-2</v>
      </c>
      <c r="W9" s="4">
        <f t="shared" si="1"/>
        <v>0.10961623811126711</v>
      </c>
      <c r="X9" s="4">
        <f>+((W9*(1-0.34))-Pfd_weighted)/Equity_percent</f>
        <v>0.19231603823673338</v>
      </c>
      <c r="Y9" s="4">
        <f>X9*equityP</f>
        <v>4.1252668137754286E-2</v>
      </c>
      <c r="Z9" s="4">
        <f>+Y9/(1-taxrate)</f>
        <v>5.221856726298011E-2</v>
      </c>
      <c r="AA9" s="4">
        <f>debtP*Debt_Rate</f>
        <v>3.8096528594155868E-2</v>
      </c>
      <c r="AB9" s="4">
        <f t="shared" si="2"/>
        <v>9.0315095857135985E-2</v>
      </c>
      <c r="AC9" s="4">
        <f t="shared" si="3"/>
        <v>6.5165016932453745E-2</v>
      </c>
      <c r="AD9" s="4">
        <f t="shared" si="4"/>
        <v>0.9348349830675462</v>
      </c>
      <c r="AE9" s="124">
        <f>expenses/(AD9)</f>
        <v>1547840.8790867818</v>
      </c>
      <c r="AF9" s="125">
        <f>+AE9-Revenue</f>
        <v>220462.23908678186</v>
      </c>
      <c r="AG9" s="126">
        <f ca="1">+AF9/$J$49</f>
        <v>239547.08767663449</v>
      </c>
      <c r="AH9" s="126">
        <f ca="1">+AG9*$J$47</f>
        <v>5413.7641814919398</v>
      </c>
      <c r="AI9" s="124">
        <f t="shared" ca="1" si="5"/>
        <v>1553254.6432699999</v>
      </c>
    </row>
    <row r="10" spans="1:35" ht="15.75">
      <c r="A10" s="43"/>
      <c r="B10" s="199" t="s">
        <v>98</v>
      </c>
      <c r="C10" s="131">
        <v>0.21</v>
      </c>
      <c r="D10" s="116"/>
      <c r="E10" s="43"/>
      <c r="F10" s="142">
        <f t="shared" si="6"/>
        <v>4</v>
      </c>
      <c r="G10" s="76"/>
      <c r="H10" s="76"/>
      <c r="I10" s="72"/>
      <c r="J10" s="72"/>
      <c r="K10" s="80"/>
      <c r="L10" s="76"/>
      <c r="M10" s="76"/>
      <c r="N10" s="76"/>
      <c r="O10" s="49"/>
      <c r="P10" s="43"/>
      <c r="R10" s="1" t="s">
        <v>36</v>
      </c>
    </row>
    <row r="11" spans="1:35" ht="15.75">
      <c r="A11" s="43"/>
      <c r="B11" s="134" t="s">
        <v>97</v>
      </c>
      <c r="C11" s="132">
        <v>1.7500000000000002E-2</v>
      </c>
      <c r="D11" s="116"/>
      <c r="E11" s="43"/>
      <c r="F11" s="142">
        <f t="shared" si="6"/>
        <v>5</v>
      </c>
      <c r="G11" s="76"/>
      <c r="H11" s="79" t="s">
        <v>35</v>
      </c>
      <c r="I11" s="80">
        <f>+K11</f>
        <v>36486.683880573059</v>
      </c>
      <c r="J11" s="72"/>
      <c r="K11" s="80">
        <f>+M27</f>
        <v>36486.683880573059</v>
      </c>
      <c r="L11" s="76"/>
      <c r="M11" s="80">
        <f>+K11</f>
        <v>36486.683880573059</v>
      </c>
      <c r="O11" s="49"/>
      <c r="P11" s="43"/>
      <c r="R11" s="3">
        <v>1</v>
      </c>
      <c r="S11" s="117">
        <f ca="1">IF((AI6/Investment*100)&gt;0,(AI6/Investment*100),0)</f>
        <v>162.17864611929633</v>
      </c>
      <c r="T11" s="118">
        <f ca="1">EXP(y_inter1-(slope*LN(S11)))</f>
        <v>9.4272978673640466</v>
      </c>
      <c r="U11" s="119">
        <f ca="1">(+S11*T11/100)/100</f>
        <v>0.15289064046924306</v>
      </c>
      <c r="V11" s="119">
        <f>regDebt_weighted</f>
        <v>3.5860000000000003E-2</v>
      </c>
      <c r="W11" s="119">
        <f ca="1">+U11-V11</f>
        <v>0.11703064046924305</v>
      </c>
      <c r="X11" s="119">
        <f ca="1">+((W11*(1-0.34))-Pfd_weighted)/Equity_percent</f>
        <v>0.2065413450863384</v>
      </c>
      <c r="Y11" s="119">
        <f ca="1">+X11*equityP</f>
        <v>4.4304061396501185E-2</v>
      </c>
      <c r="Z11" s="119">
        <f ca="1">+Y11/(1-taxrate)</f>
        <v>5.608109037531795E-2</v>
      </c>
      <c r="AA11" s="119">
        <f>debtP*Debt_Rate</f>
        <v>3.8096528594155868E-2</v>
      </c>
      <c r="AB11" s="119">
        <f ca="1">+AA11+Z11</f>
        <v>9.4177618969473825E-2</v>
      </c>
      <c r="AC11" s="119">
        <f ca="1">+AB11/(S11/100)</f>
        <v>5.8070295456898867E-2</v>
      </c>
      <c r="AD11" s="119">
        <f ca="1">1-AC11</f>
        <v>0.9419297045431011</v>
      </c>
      <c r="AE11" s="120">
        <f ca="1">expenses/(AD11)</f>
        <v>1536182.3658531159</v>
      </c>
      <c r="AF11" s="121">
        <f ca="1">+AE11-Revenue</f>
        <v>208803.72585311602</v>
      </c>
      <c r="AG11" s="122">
        <f ca="1">+AF11/$J$49</f>
        <v>226879.32696018444</v>
      </c>
      <c r="AH11" s="122">
        <f ca="1">+AG11*$J$47</f>
        <v>5127.4727893001691</v>
      </c>
      <c r="AI11" s="120">
        <f ca="1">ROUND(+AH11+AE11,5)</f>
        <v>1541309.83864</v>
      </c>
    </row>
    <row r="12" spans="1:35" ht="15.75">
      <c r="A12" s="43"/>
      <c r="B12" s="134" t="s">
        <v>99</v>
      </c>
      <c r="C12" s="132">
        <v>5.1000000000000004E-3</v>
      </c>
      <c r="D12" s="116"/>
      <c r="E12" s="43"/>
      <c r="F12" s="142">
        <f t="shared" si="6"/>
        <v>6</v>
      </c>
      <c r="G12" s="76"/>
      <c r="H12" s="79" t="s">
        <v>37</v>
      </c>
      <c r="I12" s="80">
        <f ca="1">IF(I14&lt;0,0,+J38*I14)</f>
        <v>0</v>
      </c>
      <c r="J12" s="80">
        <f ca="1">+K12-I12</f>
        <v>10793.897991712622</v>
      </c>
      <c r="K12" s="80">
        <f ca="1">+(K9-K11)*taxrate</f>
        <v>10793.897991712622</v>
      </c>
      <c r="L12" s="76"/>
      <c r="M12" s="80">
        <f ca="1">+K12</f>
        <v>10793.897991712622</v>
      </c>
      <c r="O12" s="49"/>
      <c r="P12" s="43"/>
      <c r="R12" s="35">
        <v>2</v>
      </c>
      <c r="S12" s="123">
        <f ca="1">IF((AI7/Investment*100)&gt;0,(AI7/Investment*100),0)</f>
        <v>162.17864611929633</v>
      </c>
      <c r="T12" s="34">
        <f ca="1">EXP(y_inter2-(slope*LN(+S12)))</f>
        <v>9.2931680245254427</v>
      </c>
      <c r="U12" s="4">
        <f ca="1">(+S12*T12/100)/100</f>
        <v>0.15071534083766719</v>
      </c>
      <c r="V12" s="4">
        <f>regDebt_weighted</f>
        <v>3.5860000000000003E-2</v>
      </c>
      <c r="W12" s="4">
        <f ca="1">+U12-V12</f>
        <v>0.11485534083766719</v>
      </c>
      <c r="X12" s="4">
        <f ca="1">+((W12*(1-0.34))-Pfd_weighted)/Equity_percent</f>
        <v>0.20236780509552424</v>
      </c>
      <c r="Y12" s="4">
        <f ca="1">+X12*equityP</f>
        <v>4.3408818015973717E-2</v>
      </c>
      <c r="Z12" s="4">
        <f ca="1">+Y12/(1-taxrate)</f>
        <v>5.494787090629584E-2</v>
      </c>
      <c r="AA12" s="4">
        <f>debtP*Debt_Rate</f>
        <v>3.8096528594155868E-2</v>
      </c>
      <c r="AB12" s="4">
        <f ca="1">+AA12+Z12</f>
        <v>9.3044399500451708E-2</v>
      </c>
      <c r="AC12" s="4">
        <f ca="1">+AB12/(S12/100)</f>
        <v>5.7371547812780206E-2</v>
      </c>
      <c r="AD12" s="4">
        <f ca="1">1-AC12</f>
        <v>0.9426284521872198</v>
      </c>
      <c r="AE12" s="124">
        <f ca="1">expenses/(AD12)</f>
        <v>1535043.6310668001</v>
      </c>
      <c r="AF12" s="125">
        <f ca="1">+AE12-Revenue</f>
        <v>207664.9910668002</v>
      </c>
      <c r="AG12" s="126">
        <f ca="1">+AF12/$J$49</f>
        <v>225642.0148344074</v>
      </c>
      <c r="AH12" s="126">
        <f ca="1">+AG12*$J$47</f>
        <v>5099.5095352576072</v>
      </c>
      <c r="AI12" s="124">
        <f t="shared" ref="AI12:AI14" ca="1" si="7">ROUND(+AH12+AE12,5)</f>
        <v>1540143.1406</v>
      </c>
    </row>
    <row r="13" spans="1:35" ht="15.75">
      <c r="A13" s="43"/>
      <c r="B13" s="134" t="s">
        <v>100</v>
      </c>
      <c r="C13" s="132">
        <v>0</v>
      </c>
      <c r="D13" s="116"/>
      <c r="E13" s="43"/>
      <c r="F13" s="142">
        <f t="shared" si="6"/>
        <v>7</v>
      </c>
      <c r="G13" s="76"/>
      <c r="H13" s="76"/>
      <c r="I13" s="72"/>
      <c r="J13" s="72"/>
      <c r="K13" s="80"/>
      <c r="L13" s="76"/>
      <c r="M13" s="76"/>
      <c r="O13" s="49"/>
      <c r="P13" s="43"/>
      <c r="R13" s="5">
        <v>3</v>
      </c>
      <c r="S13" s="123">
        <f ca="1">IF((AI8/Investment*100)&gt;0,(AI8/Investment*100),0)</f>
        <v>162.17864611929633</v>
      </c>
      <c r="T13" s="6">
        <f ca="1">EXP(y_inter3-(slope*LN(S13)))</f>
        <v>9.2028158619369282</v>
      </c>
      <c r="U13" s="4">
        <f ca="1">(+S13*T13/100)/100</f>
        <v>0.14925002169741161</v>
      </c>
      <c r="V13" s="4">
        <f>regDebt_weighted</f>
        <v>3.5860000000000003E-2</v>
      </c>
      <c r="W13" s="4">
        <f ca="1">+U13-V13</f>
        <v>0.11339002169741161</v>
      </c>
      <c r="X13" s="4">
        <f ca="1">+((W13*(1-0.34))-Pfd_weighted)/Equity_percent</f>
        <v>0.19955643697759204</v>
      </c>
      <c r="Y13" s="4">
        <f ca="1">+X13*equityP</f>
        <v>4.2805766720587952E-2</v>
      </c>
      <c r="Z13" s="4">
        <f ca="1">+Y13/(1-taxrate)</f>
        <v>5.4184514836187282E-2</v>
      </c>
      <c r="AA13" s="4">
        <f>debtP*Debt_Rate</f>
        <v>3.8096528594155868E-2</v>
      </c>
      <c r="AB13" s="4">
        <f ca="1">+AA13+Z13</f>
        <v>9.2281043430343157E-2</v>
      </c>
      <c r="AC13" s="4">
        <f ca="1">+AB13/(S13/100)</f>
        <v>5.6900859415525348E-2</v>
      </c>
      <c r="AD13" s="4">
        <f ca="1">1-AC13</f>
        <v>0.94309914058447464</v>
      </c>
      <c r="AE13" s="124">
        <f ca="1">expenses/(AD13)</f>
        <v>1534277.5109471537</v>
      </c>
      <c r="AF13" s="125">
        <f ca="1">+AE13-Revenue</f>
        <v>206898.87094715377</v>
      </c>
      <c r="AG13" s="126">
        <f ca="1">+AF13/$J$49</f>
        <v>224809.57366792022</v>
      </c>
      <c r="AH13" s="126">
        <f ca="1">+AG13*$J$47</f>
        <v>5080.6963648949977</v>
      </c>
      <c r="AI13" s="124">
        <f t="shared" ca="1" si="7"/>
        <v>1539358.20731</v>
      </c>
    </row>
    <row r="14" spans="1:35" ht="16.5" thickBot="1">
      <c r="A14" s="43"/>
      <c r="B14" s="135" t="s">
        <v>101</v>
      </c>
      <c r="C14" s="132">
        <v>0</v>
      </c>
      <c r="D14" s="116"/>
      <c r="E14" s="43"/>
      <c r="F14" s="142">
        <f t="shared" si="6"/>
        <v>8</v>
      </c>
      <c r="G14" s="76"/>
      <c r="H14" s="76" t="s">
        <v>38</v>
      </c>
      <c r="I14" s="106">
        <f ca="1">+I9-SUM(I11:I13)</f>
        <v>-156083.84587292062</v>
      </c>
      <c r="J14" s="72"/>
      <c r="K14" s="106">
        <f ca="1">+K9-SUM(K11:K13)</f>
        <v>40605.616254537963</v>
      </c>
      <c r="L14" s="76"/>
      <c r="M14" s="106">
        <f ca="1">+M9-SUM(M11:M13)</f>
        <v>40605.616254537963</v>
      </c>
      <c r="O14" s="49"/>
      <c r="P14" s="43"/>
      <c r="R14" s="7">
        <v>4</v>
      </c>
      <c r="S14" s="123">
        <f ca="1">IF((AI9/Investment*100)&gt;0,(AI9/Investment*100),0)</f>
        <v>162.17864611929633</v>
      </c>
      <c r="T14" s="8">
        <f ca="1">EXP(y_inter4-(slope*LN(S14)))</f>
        <v>9.1450203689680407</v>
      </c>
      <c r="U14" s="4">
        <f ca="1">(+S14*T14/100)/100</f>
        <v>0.14831270221726248</v>
      </c>
      <c r="V14" s="4">
        <f>regDebt_weighted</f>
        <v>3.5860000000000003E-2</v>
      </c>
      <c r="W14" s="4">
        <f ca="1">+U14-V14</f>
        <v>0.11245270221726247</v>
      </c>
      <c r="X14" s="4">
        <f ca="1">+((W14*(1-0.34))-Pfd_weighted)/Equity_percent</f>
        <v>0.19775809146335241</v>
      </c>
      <c r="Y14" s="4">
        <f ca="1">+X14*equityP</f>
        <v>4.2420013398212282E-2</v>
      </c>
      <c r="Z14" s="4">
        <f ca="1">+Y14/(1-taxrate)</f>
        <v>5.3696219491407952E-2</v>
      </c>
      <c r="AA14" s="4">
        <f>debtP*Debt_Rate</f>
        <v>3.8096528594155868E-2</v>
      </c>
      <c r="AB14" s="4">
        <f ca="1">+AA14+Z14</f>
        <v>9.1792748085563813E-2</v>
      </c>
      <c r="AC14" s="4">
        <f ca="1">+AB14/(S14/100)</f>
        <v>5.6599774558508988E-2</v>
      </c>
      <c r="AD14" s="4">
        <f ca="1">1-AC14</f>
        <v>0.94340022544149105</v>
      </c>
      <c r="AE14" s="124">
        <f ca="1">expenses/(AD14)</f>
        <v>1533787.8484343099</v>
      </c>
      <c r="AF14" s="125">
        <f ca="1">+AE14-Revenue</f>
        <v>206409.20843431004</v>
      </c>
      <c r="AG14" s="126">
        <f ca="1">+AF14/$J$49</f>
        <v>224277.52233168224</v>
      </c>
      <c r="AH14" s="126">
        <f ca="1">+AG14*$J$47</f>
        <v>5068.672004696019</v>
      </c>
      <c r="AI14" s="124">
        <f t="shared" ca="1" si="7"/>
        <v>1538856.5204400001</v>
      </c>
    </row>
    <row r="15" spans="1:35" ht="16.5" thickTop="1">
      <c r="A15" s="43"/>
      <c r="B15" s="509"/>
      <c r="C15" s="509"/>
      <c r="D15" s="43"/>
      <c r="E15" s="43"/>
      <c r="F15" s="142">
        <f t="shared" si="6"/>
        <v>9</v>
      </c>
      <c r="G15" s="72"/>
      <c r="H15" s="72"/>
      <c r="I15" s="72"/>
      <c r="J15" s="72"/>
      <c r="K15" s="73"/>
      <c r="L15" s="72"/>
      <c r="M15" s="72"/>
      <c r="O15" s="49"/>
      <c r="P15" s="43"/>
      <c r="R15" s="1" t="s">
        <v>40</v>
      </c>
    </row>
    <row r="16" spans="1:35" ht="15.75">
      <c r="A16" s="43"/>
      <c r="B16" s="200" t="s">
        <v>124</v>
      </c>
      <c r="C16" s="507"/>
      <c r="D16" s="507"/>
      <c r="E16" s="43"/>
      <c r="F16" s="142">
        <f t="shared" si="6"/>
        <v>10</v>
      </c>
      <c r="G16" s="72"/>
      <c r="H16" s="180" t="s">
        <v>39</v>
      </c>
      <c r="I16" s="181">
        <f>+I8/I7</f>
        <v>1.0901002610621695</v>
      </c>
      <c r="J16" s="182"/>
      <c r="K16" s="181">
        <f ca="1">+K8/K7</f>
        <v>0.94274000000000002</v>
      </c>
      <c r="L16" s="183"/>
      <c r="M16" s="181">
        <f ca="1">+M8/M7</f>
        <v>0.94292944848148041</v>
      </c>
      <c r="O16" s="49"/>
      <c r="P16" s="43"/>
      <c r="R16" s="3">
        <v>1</v>
      </c>
      <c r="S16" s="117">
        <f ca="1">AI11/Investment*100</f>
        <v>160.93146346869463</v>
      </c>
      <c r="T16" s="118">
        <f ca="1">EXP(y_inter1-(slope*LN(+S16)))</f>
        <v>9.4771853967844937</v>
      </c>
      <c r="U16" s="119">
        <f ca="1">(+S16*T16/100)/100</f>
        <v>0.15251773154686701</v>
      </c>
      <c r="V16" s="119">
        <f>regDebt_weighted</f>
        <v>3.5860000000000003E-2</v>
      </c>
      <c r="W16" s="119">
        <f ca="1">+U16-V16</f>
        <v>0.11665773154686701</v>
      </c>
      <c r="X16" s="119">
        <f ca="1">+((W16*(1-0.34))-Pfd_weighted)/Equity_percent</f>
        <v>0.20582588029340762</v>
      </c>
      <c r="Y16" s="119">
        <f ca="1">+X16*equityP</f>
        <v>4.4150590932271416E-2</v>
      </c>
      <c r="Z16" s="119">
        <f ca="1">+Y16/(1-taxrate)</f>
        <v>5.5886823964900523E-2</v>
      </c>
      <c r="AA16" s="119">
        <f>debtP*Debt_Rate</f>
        <v>3.8096528594155868E-2</v>
      </c>
      <c r="AB16" s="119">
        <f ca="1">+AA16+Z16</f>
        <v>9.3983352559056391E-2</v>
      </c>
      <c r="AC16" s="119">
        <f ca="1">+AB16/(S16/100)</f>
        <v>5.8399613433788605E-2</v>
      </c>
      <c r="AD16" s="119">
        <f ca="1">1-AC16</f>
        <v>0.94160038656621137</v>
      </c>
      <c r="AE16" s="120">
        <f ca="1">expenses/(AD16)</f>
        <v>1536719.6346096648</v>
      </c>
      <c r="AF16" s="121">
        <f ca="1">+AE16-Revenue</f>
        <v>209340.99460966489</v>
      </c>
      <c r="AG16" s="122">
        <f ca="1">+AF16/$J$49</f>
        <v>227463.10569011138</v>
      </c>
      <c r="AH16" s="122">
        <f ca="1">+AG16*$J$47</f>
        <v>5140.6661885965177</v>
      </c>
      <c r="AI16" s="120">
        <f ca="1">ROUND(+AH16+AE16,5)</f>
        <v>1541860.3008000001</v>
      </c>
    </row>
    <row r="17" spans="1:35" ht="15.75">
      <c r="A17" s="43"/>
      <c r="B17" s="506"/>
      <c r="C17" s="507"/>
      <c r="D17" s="43" t="s">
        <v>102</v>
      </c>
      <c r="E17" s="43"/>
      <c r="F17" s="142">
        <f t="shared" si="6"/>
        <v>11</v>
      </c>
      <c r="G17" s="72"/>
      <c r="H17" s="184"/>
      <c r="I17" s="184"/>
      <c r="J17" s="173"/>
      <c r="K17" s="184"/>
      <c r="L17" s="180"/>
      <c r="M17" s="180"/>
      <c r="N17" s="83"/>
      <c r="O17" s="43"/>
      <c r="P17" s="43"/>
      <c r="R17" s="35">
        <v>2</v>
      </c>
      <c r="S17" s="123">
        <f ca="1">AI12/Investment*100</f>
        <v>160.80964602596103</v>
      </c>
      <c r="T17" s="34">
        <f ca="1">EXP(y_inter2-(slope*LN(+S17)))</f>
        <v>9.3471835624583726</v>
      </c>
      <c r="U17" s="4">
        <f ca="1">(+S17*T17/100)/100</f>
        <v>0.15031172800186124</v>
      </c>
      <c r="V17" s="4">
        <f>regDebt_weighted</f>
        <v>3.5860000000000003E-2</v>
      </c>
      <c r="W17" s="4">
        <f ca="1">+U17-V17</f>
        <v>0.11445172800186124</v>
      </c>
      <c r="X17" s="4">
        <f ca="1">+((W17*(1-0.34))-Pfd_weighted)/Equity_percent</f>
        <v>0.20159343163147794</v>
      </c>
      <c r="Y17" s="4">
        <f ca="1">+X17*equityP</f>
        <v>4.3242711372867532E-2</v>
      </c>
      <c r="Z17" s="4">
        <f ca="1">+Y17/(1-taxrate)</f>
        <v>5.4737609332743707E-2</v>
      </c>
      <c r="AA17" s="4">
        <f>debtP*Debt_Rate</f>
        <v>3.8096528594155868E-2</v>
      </c>
      <c r="AB17" s="4">
        <f ca="1">+AA17+Z17</f>
        <v>9.2834137926899568E-2</v>
      </c>
      <c r="AC17" s="4">
        <f ca="1">+AB17/(S17/100)</f>
        <v>5.7729209796228559E-2</v>
      </c>
      <c r="AD17" s="4">
        <f ca="1">1-AC17</f>
        <v>0.94227079020377147</v>
      </c>
      <c r="AE17" s="124">
        <f ca="1">expenses/(AD17)</f>
        <v>1535626.294517132</v>
      </c>
      <c r="AF17" s="125">
        <f ca="1">+AE17-Revenue</f>
        <v>208247.65451713209</v>
      </c>
      <c r="AG17" s="126">
        <f ca="1">+AF17/$J$49</f>
        <v>226275.11795991671</v>
      </c>
      <c r="AH17" s="126">
        <f ca="1">+AG17*$J$47</f>
        <v>5113.8176658941184</v>
      </c>
      <c r="AI17" s="124">
        <f t="shared" ref="AI17:AI19" ca="1" si="8">ROUND(+AH17+AE17,5)</f>
        <v>1540740.1121799999</v>
      </c>
    </row>
    <row r="18" spans="1:35" ht="15.75">
      <c r="A18" s="43"/>
      <c r="B18" s="508" t="s">
        <v>125</v>
      </c>
      <c r="C18" s="508"/>
      <c r="D18" s="43"/>
      <c r="E18" s="43"/>
      <c r="F18" s="142">
        <f t="shared" si="6"/>
        <v>12</v>
      </c>
      <c r="G18" s="72"/>
      <c r="H18" s="185" t="s">
        <v>83</v>
      </c>
      <c r="I18" s="186"/>
      <c r="J18" s="186"/>
      <c r="K18" s="186"/>
      <c r="L18" s="186"/>
      <c r="M18" s="187"/>
      <c r="N18" s="173"/>
      <c r="O18" s="43"/>
      <c r="P18" s="43"/>
      <c r="R18" s="5">
        <v>3</v>
      </c>
      <c r="S18" s="123">
        <f ca="1">AI13/Investment*100</f>
        <v>160.72768945894367</v>
      </c>
      <c r="T18" s="6">
        <f ca="1">EXP(y_inter3-(slope*LN(S18)))</f>
        <v>9.2595328164528397</v>
      </c>
      <c r="U18" s="4">
        <f ca="1">(+S18*T18/100)/100</f>
        <v>0.14882633150577301</v>
      </c>
      <c r="V18" s="4">
        <f>regDebt_weighted</f>
        <v>3.5860000000000003E-2</v>
      </c>
      <c r="W18" s="4">
        <f ca="1">+U18-V18</f>
        <v>0.11296633150577301</v>
      </c>
      <c r="X18" s="4">
        <f ca="1">+((W18*(1-0.34))-Pfd_weighted)/Equity_percent</f>
        <v>0.19874354300526215</v>
      </c>
      <c r="Y18" s="4">
        <f ca="1">+X18*equityP</f>
        <v>4.263139725260616E-2</v>
      </c>
      <c r="Z18" s="4">
        <f ca="1">+Y18/(1-taxrate)</f>
        <v>5.3963793990640704E-2</v>
      </c>
      <c r="AA18" s="4">
        <f>debtP*Debt_Rate</f>
        <v>3.8096528594155868E-2</v>
      </c>
      <c r="AB18" s="4">
        <f ca="1">+AA18+Z18</f>
        <v>9.2060322584796572E-2</v>
      </c>
      <c r="AC18" s="4">
        <f ca="1">+AB18/(S18/100)</f>
        <v>5.7277201516862775E-2</v>
      </c>
      <c r="AD18" s="4">
        <f ca="1">1-AC18</f>
        <v>0.94272279848313723</v>
      </c>
      <c r="AE18" s="124">
        <f ca="1">expenses/(AD18)</f>
        <v>1534890.0061826922</v>
      </c>
      <c r="AF18" s="125">
        <f ca="1">+AE18-Revenue</f>
        <v>207511.36618269235</v>
      </c>
      <c r="AG18" s="126">
        <f ca="1">+AF18/$J$49</f>
        <v>225475.09103949752</v>
      </c>
      <c r="AH18" s="126">
        <f ca="1">+AG18*$J$47</f>
        <v>5095.7370574926445</v>
      </c>
      <c r="AI18" s="124">
        <f t="shared" ca="1" si="8"/>
        <v>1539985.74324</v>
      </c>
    </row>
    <row r="19" spans="1:35" ht="15.75">
      <c r="A19" s="43"/>
      <c r="B19" s="43"/>
      <c r="C19" s="43"/>
      <c r="D19" s="43"/>
      <c r="E19" s="43"/>
      <c r="F19" s="142">
        <f t="shared" si="6"/>
        <v>13</v>
      </c>
      <c r="G19" s="72"/>
      <c r="H19" s="188"/>
      <c r="I19" s="174" t="s">
        <v>122</v>
      </c>
      <c r="J19" s="175">
        <f>+Revenue</f>
        <v>1327378.6399999999</v>
      </c>
      <c r="K19" s="176"/>
      <c r="L19" s="174" t="s">
        <v>126</v>
      </c>
      <c r="M19" s="189">
        <f ca="1">+J7</f>
        <v>207483.36011917121</v>
      </c>
      <c r="O19" s="43"/>
      <c r="P19" s="43"/>
      <c r="R19" s="7">
        <v>4</v>
      </c>
      <c r="S19" s="123">
        <f ca="1">AI14/Investment*100</f>
        <v>160.6753072576704</v>
      </c>
      <c r="T19" s="8">
        <f ca="1">EXP(y_inter4-(slope*LN(S19)))</f>
        <v>9.2034318753135302</v>
      </c>
      <c r="U19" s="4">
        <f ca="1">(+S19*T19/100)/100</f>
        <v>0.1478764244391039</v>
      </c>
      <c r="V19" s="4">
        <f>regDebt_weighted</f>
        <v>3.5860000000000003E-2</v>
      </c>
      <c r="W19" s="4">
        <f ca="1">+U19-V19</f>
        <v>0.1120164244391039</v>
      </c>
      <c r="X19" s="4">
        <f ca="1">+((W19*(1-0.34))-Pfd_weighted)/Equity_percent</f>
        <v>0.19692104688897841</v>
      </c>
      <c r="Y19" s="4">
        <f ca="1">+X19*equityP</f>
        <v>4.224046351584286E-2</v>
      </c>
      <c r="Z19" s="4">
        <f ca="1">+Y19/(1-taxrate)</f>
        <v>5.3468941159294757E-2</v>
      </c>
      <c r="AA19" s="4">
        <f>debtP*Debt_Rate</f>
        <v>3.8096528594155868E-2</v>
      </c>
      <c r="AB19" s="4">
        <f ca="1">+AA19+Z19</f>
        <v>9.1565469753450618E-2</v>
      </c>
      <c r="AC19" s="4">
        <f ca="1">+AB19/(S19/100)</f>
        <v>5.6987891491384973E-2</v>
      </c>
      <c r="AD19" s="4">
        <f ca="1">1-AC19</f>
        <v>0.94301210850861505</v>
      </c>
      <c r="AE19" s="124">
        <f ca="1">expenses/(AD19)</f>
        <v>1534419.1118402043</v>
      </c>
      <c r="AF19" s="125">
        <f ca="1">+AE19-Revenue</f>
        <v>207040.47184020444</v>
      </c>
      <c r="AG19" s="126">
        <f ca="1">+AF19/$J$49</f>
        <v>224963.43258581567</v>
      </c>
      <c r="AH19" s="126">
        <f ca="1">+AG19*$J$47</f>
        <v>5084.1735764394343</v>
      </c>
      <c r="AI19" s="124">
        <f t="shared" ca="1" si="8"/>
        <v>1539503.2854200001</v>
      </c>
    </row>
    <row r="20" spans="1:35" ht="15.75">
      <c r="A20" s="43"/>
      <c r="B20" s="115"/>
      <c r="C20" s="43"/>
      <c r="D20" s="43"/>
      <c r="E20" s="43"/>
      <c r="F20" s="142">
        <f t="shared" si="6"/>
        <v>14</v>
      </c>
      <c r="G20" s="72"/>
      <c r="H20" s="188"/>
      <c r="I20" s="174" t="s">
        <v>42</v>
      </c>
      <c r="J20" s="175">
        <f ca="1">+J21-J19</f>
        <v>212578.40944789816</v>
      </c>
      <c r="K20" s="176"/>
      <c r="L20" s="174" t="s">
        <v>41</v>
      </c>
      <c r="M20" s="189">
        <f ca="1">+L8</f>
        <v>5095.0493287270074</v>
      </c>
      <c r="O20" s="43"/>
      <c r="P20" s="43"/>
      <c r="R20" s="1" t="s">
        <v>43</v>
      </c>
    </row>
    <row r="21" spans="1:35" ht="16.5" thickBot="1">
      <c r="A21" s="43"/>
      <c r="B21" s="115" t="s">
        <v>0</v>
      </c>
      <c r="C21" s="43"/>
      <c r="D21" s="43"/>
      <c r="E21" s="43"/>
      <c r="F21" s="142">
        <f t="shared" si="6"/>
        <v>15</v>
      </c>
      <c r="G21" s="72"/>
      <c r="H21" s="188"/>
      <c r="I21" s="190" t="s">
        <v>83</v>
      </c>
      <c r="J21" s="191">
        <f ca="1">+M7</f>
        <v>1539957.0494478981</v>
      </c>
      <c r="K21" s="177"/>
      <c r="L21" s="190" t="s">
        <v>42</v>
      </c>
      <c r="M21" s="192">
        <f ca="1">+M19+M20</f>
        <v>212578.40944789822</v>
      </c>
      <c r="O21" s="43"/>
      <c r="P21" s="43"/>
      <c r="R21" s="3">
        <v>1</v>
      </c>
      <c r="S21" s="117">
        <f ca="1">AI16/Investment*100</f>
        <v>160.98893840252825</v>
      </c>
      <c r="T21" s="118">
        <f ca="1">EXP(y_inter1-(slope*LN(+S21)))</f>
        <v>9.4748720919287468</v>
      </c>
      <c r="U21" s="119">
        <f ca="1">(+S21*T21/100)/100</f>
        <v>0.15253495995793509</v>
      </c>
      <c r="V21" s="119">
        <f>regDebt_weighted</f>
        <v>3.5860000000000003E-2</v>
      </c>
      <c r="W21" s="119">
        <f ca="1">+U21-V21</f>
        <v>0.11667495995793509</v>
      </c>
      <c r="X21" s="119">
        <f ca="1">+((W21*(1-0.34))-Pfd_weighted)/Equity_percent</f>
        <v>0.20585893480301498</v>
      </c>
      <c r="Y21" s="119">
        <f ca="1">+X21*equityP</f>
        <v>4.4157681275478311E-2</v>
      </c>
      <c r="Z21" s="119">
        <f ca="1">+Y21/(1-taxrate)</f>
        <v>5.5895799082883939E-2</v>
      </c>
      <c r="AA21" s="119">
        <f>debtP*Debt_Rate</f>
        <v>3.8096528594155868E-2</v>
      </c>
      <c r="AB21" s="119">
        <f ca="1">+AA21+Z21</f>
        <v>9.39923276770398E-2</v>
      </c>
      <c r="AC21" s="119">
        <f ca="1">+AB21/(S21/100)</f>
        <v>5.8384339079264151E-2</v>
      </c>
      <c r="AD21" s="119">
        <f ca="1">1-AC21</f>
        <v>0.9416156609207359</v>
      </c>
      <c r="AE21" s="120">
        <f ca="1">expenses/(AD21)</f>
        <v>1536694.7068164281</v>
      </c>
      <c r="AF21" s="121">
        <f ca="1">+AE21-Revenue</f>
        <v>209316.06681642821</v>
      </c>
      <c r="AG21" s="122">
        <f ca="1">+AF21/$J$49</f>
        <v>227436.01996197584</v>
      </c>
      <c r="AH21" s="122">
        <f ca="1">+AG21*$J$47</f>
        <v>5140.0540511406543</v>
      </c>
      <c r="AI21" s="120">
        <f ca="1">ROUND(+AH21+AE21,5)</f>
        <v>1541834.7608700001</v>
      </c>
    </row>
    <row r="22" spans="1:35" ht="16.5" thickTop="1">
      <c r="A22" s="43"/>
      <c r="B22" s="43" t="s">
        <v>109</v>
      </c>
      <c r="C22" s="43"/>
      <c r="D22" s="43"/>
      <c r="E22" s="43"/>
      <c r="F22" s="142">
        <f t="shared" si="6"/>
        <v>16</v>
      </c>
      <c r="G22" s="72"/>
      <c r="H22" s="193"/>
      <c r="I22" s="194"/>
      <c r="J22" s="201" t="s">
        <v>127</v>
      </c>
      <c r="K22" s="202">
        <f ca="1">+(J21/J19)-1</f>
        <v>0.16014903588315854</v>
      </c>
      <c r="L22" s="194"/>
      <c r="M22" s="195"/>
      <c r="O22" s="43"/>
      <c r="P22" s="43"/>
      <c r="R22" s="35">
        <v>2</v>
      </c>
      <c r="S22" s="123">
        <f ca="1">AI17/Investment*100</f>
        <v>160.87197710801223</v>
      </c>
      <c r="T22" s="34">
        <f ca="1">EXP(y_inter2-(slope*LN(+S22)))</f>
        <v>9.3447074054453196</v>
      </c>
      <c r="U22" s="4">
        <f ca="1">(+S22*T22/100)/100</f>
        <v>0.15033015558098717</v>
      </c>
      <c r="V22" s="4">
        <f>regDebt_weighted</f>
        <v>3.5860000000000003E-2</v>
      </c>
      <c r="W22" s="4">
        <f ca="1">+U22-V22</f>
        <v>0.11447015558098717</v>
      </c>
      <c r="X22" s="4">
        <f ca="1">+((W22*(1-0.34))-Pfd_weighted)/Equity_percent</f>
        <v>0.20162878687049862</v>
      </c>
      <c r="Y22" s="4">
        <f ca="1">+X22*equityP</f>
        <v>4.325029523303657E-2</v>
      </c>
      <c r="Z22" s="4">
        <f ca="1">+Y22/(1-taxrate)</f>
        <v>5.4747209155742493E-2</v>
      </c>
      <c r="AA22" s="4">
        <f>debtP*Debt_Rate</f>
        <v>3.8096528594155868E-2</v>
      </c>
      <c r="AB22" s="4">
        <f ca="1">+AA22+Z22</f>
        <v>9.2843737749898361E-2</v>
      </c>
      <c r="AC22" s="4">
        <f ca="1">+AB22/(S22/100)</f>
        <v>5.7712809538954989E-2</v>
      </c>
      <c r="AD22" s="4">
        <f ca="1">1-AC22</f>
        <v>0.94228719046104503</v>
      </c>
      <c r="AE22" s="124">
        <f ca="1">expenses/(AD22)</f>
        <v>1535599.5673509759</v>
      </c>
      <c r="AF22" s="125">
        <f ca="1">+AE22-Revenue</f>
        <v>208220.92735097604</v>
      </c>
      <c r="AG22" s="126">
        <f ca="1">+AF22/$J$49</f>
        <v>226246.07709177962</v>
      </c>
      <c r="AH22" s="126">
        <f ca="1">+AG22*$J$47</f>
        <v>5113.1613422742203</v>
      </c>
      <c r="AI22" s="124">
        <f t="shared" ref="AI22:AI24" ca="1" si="9">ROUND(+AH22+AE22,5)</f>
        <v>1540712.72869</v>
      </c>
    </row>
    <row r="23" spans="1:35" ht="15.75">
      <c r="A23" s="43"/>
      <c r="B23" s="43" t="s">
        <v>108</v>
      </c>
      <c r="C23" s="43"/>
      <c r="D23" s="43"/>
      <c r="E23" s="43"/>
      <c r="F23" s="142">
        <f t="shared" si="6"/>
        <v>17</v>
      </c>
      <c r="H23" s="72"/>
      <c r="I23" s="72"/>
      <c r="J23" s="72"/>
      <c r="K23" s="72"/>
      <c r="L23" s="72"/>
      <c r="M23" s="72"/>
      <c r="N23" s="72"/>
      <c r="O23" s="43"/>
      <c r="P23" s="43"/>
      <c r="R23" s="5">
        <v>3</v>
      </c>
      <c r="S23" s="123">
        <f ca="1">AI18/Investment*100</f>
        <v>160.79321183028154</v>
      </c>
      <c r="T23" s="6">
        <f ca="1">EXP(y_inter3-(slope*LN(S23)))</f>
        <v>9.2569530197122347</v>
      </c>
      <c r="U23" s="4">
        <f ca="1">(+S23*T23/100)/100</f>
        <v>0.14884552078015537</v>
      </c>
      <c r="V23" s="4">
        <f>regDebt_weighted</f>
        <v>3.5860000000000003E-2</v>
      </c>
      <c r="W23" s="4">
        <f ca="1">+U23-V23</f>
        <v>0.11298552078015536</v>
      </c>
      <c r="X23" s="4">
        <f ca="1">+((W23*(1-0.34))-Pfd_weighted)/Equity_percent</f>
        <v>0.19878035963634458</v>
      </c>
      <c r="Y23" s="4">
        <f ca="1">+X23*equityP</f>
        <v>4.2639294588043802E-2</v>
      </c>
      <c r="Z23" s="4">
        <f ca="1">+Y23/(1-taxrate)</f>
        <v>5.3973790617776962E-2</v>
      </c>
      <c r="AA23" s="4">
        <f>debtP*Debt_Rate</f>
        <v>3.8096528594155868E-2</v>
      </c>
      <c r="AB23" s="4">
        <f ca="1">+AA23+Z23</f>
        <v>9.207031921193283E-2</v>
      </c>
      <c r="AC23" s="4">
        <f ca="1">+AB23/(S23/100)</f>
        <v>5.7260078434849447E-2</v>
      </c>
      <c r="AD23" s="4">
        <f ca="1">1-AC23</f>
        <v>0.94273992156515052</v>
      </c>
      <c r="AE23" s="124">
        <f ca="1">expenses/(AD23)</f>
        <v>1534862.1278178792</v>
      </c>
      <c r="AF23" s="125">
        <f ca="1">+AE23-Revenue</f>
        <v>207483.4878178793</v>
      </c>
      <c r="AG23" s="126">
        <f ca="1">+AF23/$J$49</f>
        <v>225444.79931639874</v>
      </c>
      <c r="AH23" s="126">
        <f ca="1">+AG23*$J$47</f>
        <v>5095.0524645506121</v>
      </c>
      <c r="AI23" s="124">
        <f t="shared" ca="1" si="9"/>
        <v>1539957.18028</v>
      </c>
    </row>
    <row r="24" spans="1:35" ht="15.75">
      <c r="A24" s="43"/>
      <c r="B24" s="43" t="s">
        <v>110</v>
      </c>
      <c r="C24" s="43"/>
      <c r="D24" s="43"/>
      <c r="E24" s="43"/>
      <c r="F24" s="142">
        <f t="shared" si="6"/>
        <v>18</v>
      </c>
      <c r="H24" s="100"/>
      <c r="J24" s="145" t="s">
        <v>105</v>
      </c>
      <c r="K24" s="101" t="s">
        <v>44</v>
      </c>
      <c r="L24" s="101"/>
      <c r="M24" s="101"/>
      <c r="N24" s="101"/>
      <c r="O24" s="43"/>
      <c r="P24" s="43"/>
      <c r="R24" s="7">
        <v>4</v>
      </c>
      <c r="S24" s="123">
        <f ca="1">AI19/Investment*100</f>
        <v>160.742837375329</v>
      </c>
      <c r="T24" s="8">
        <f ca="1">EXP(y_inter4-(slope*LN(S24)))</f>
        <v>9.2007883037997971</v>
      </c>
      <c r="U24" s="4">
        <f ca="1">(+S24*T24/100)/100</f>
        <v>0.14789608180425198</v>
      </c>
      <c r="V24" s="4">
        <f>regDebt_weighted</f>
        <v>3.5860000000000003E-2</v>
      </c>
      <c r="W24" s="4">
        <f ca="1">+U24-V24</f>
        <v>0.11203608180425198</v>
      </c>
      <c r="X24" s="4">
        <f ca="1">+((W24*(1-0.34))-Pfd_weighted)/Equity_percent</f>
        <v>0.19695876160118111</v>
      </c>
      <c r="Y24" s="4">
        <f ca="1">+X24*equityP</f>
        <v>4.2248553493780601E-2</v>
      </c>
      <c r="Z24" s="4">
        <f ca="1">+Y24/(1-taxrate)</f>
        <v>5.3479181637696958E-2</v>
      </c>
      <c r="AA24" s="4">
        <f>debtP*Debt_Rate</f>
        <v>3.8096528594155868E-2</v>
      </c>
      <c r="AB24" s="4">
        <f ca="1">+AA24+Z24</f>
        <v>9.1575710231852819E-2</v>
      </c>
      <c r="AC24" s="4">
        <f ca="1">+AB24/(S24/100)</f>
        <v>5.6970320872230647E-2</v>
      </c>
      <c r="AD24" s="4">
        <f ca="1">1-AC24</f>
        <v>0.94302967912776936</v>
      </c>
      <c r="AE24" s="124">
        <f ca="1">expenses/(AD24)</f>
        <v>1534390.5223965908</v>
      </c>
      <c r="AF24" s="125">
        <f ca="1">+AE24-Revenue</f>
        <v>207011.8823965909</v>
      </c>
      <c r="AG24" s="126">
        <f ca="1">+AF24/$J$49</f>
        <v>224932.36822765489</v>
      </c>
      <c r="AH24" s="126">
        <f ca="1">+AG24*$J$47</f>
        <v>5083.4715219450009</v>
      </c>
      <c r="AI24" s="124">
        <f t="shared" ca="1" si="9"/>
        <v>1539473.99392</v>
      </c>
    </row>
    <row r="25" spans="1:35" ht="15.75">
      <c r="A25" s="43"/>
      <c r="B25" s="43" t="s">
        <v>111</v>
      </c>
      <c r="C25" s="43"/>
      <c r="D25" s="43"/>
      <c r="E25" s="43"/>
      <c r="F25" s="142">
        <f t="shared" si="6"/>
        <v>19</v>
      </c>
      <c r="H25" s="84" t="s">
        <v>45</v>
      </c>
      <c r="I25" s="85" t="s">
        <v>46</v>
      </c>
      <c r="J25" s="86" t="s">
        <v>47</v>
      </c>
      <c r="K25" s="84" t="s">
        <v>116</v>
      </c>
      <c r="L25" s="86" t="s">
        <v>49</v>
      </c>
      <c r="M25" s="86" t="s">
        <v>47</v>
      </c>
      <c r="O25" s="43"/>
      <c r="P25" s="43"/>
      <c r="R25" s="1" t="s">
        <v>50</v>
      </c>
      <c r="W25" s="9"/>
      <c r="X25" s="13"/>
      <c r="Y25" s="10"/>
      <c r="Z25" s="10"/>
      <c r="AA25" s="13"/>
      <c r="AC25" s="13"/>
      <c r="AD25" s="13"/>
      <c r="AE25" s="10"/>
      <c r="AF25" s="9"/>
    </row>
    <row r="26" spans="1:35" ht="15.75">
      <c r="A26" s="43"/>
      <c r="B26" s="43"/>
      <c r="C26" s="43"/>
      <c r="D26" s="43"/>
      <c r="E26" s="43"/>
      <c r="F26" s="142">
        <f t="shared" si="6"/>
        <v>20</v>
      </c>
      <c r="H26" s="79" t="s">
        <v>27</v>
      </c>
      <c r="I26" s="88">
        <f>1-I27</f>
        <v>0.21450456506895121</v>
      </c>
      <c r="J26" s="87">
        <f>+I26*J28</f>
        <v>205440.2473250872</v>
      </c>
      <c r="K26" s="83">
        <f ca="1">+K34</f>
        <v>0.19765171033056597</v>
      </c>
      <c r="L26" s="88">
        <f ca="1">+K26*I26</f>
        <v>4.2397194159592387E-2</v>
      </c>
      <c r="M26" s="80">
        <f ca="1">+J26*K26</f>
        <v>40605.616254537963</v>
      </c>
      <c r="O26" s="43"/>
      <c r="P26" s="43"/>
      <c r="R26" s="3">
        <v>1</v>
      </c>
      <c r="S26" s="117">
        <f ca="1">AI21/Investment*100</f>
        <v>160.98627172370175</v>
      </c>
      <c r="T26" s="118">
        <f ca="1">EXP(y_inter1-(slope*LN(+S26)))</f>
        <v>9.474979392148418</v>
      </c>
      <c r="U26" s="119">
        <f ca="1">(+S26*T26/100)/100</f>
        <v>0.15253416070008796</v>
      </c>
      <c r="V26" s="119">
        <f>regDebt_weighted</f>
        <v>3.5860000000000003E-2</v>
      </c>
      <c r="W26" s="119">
        <f ca="1">+U26-V26</f>
        <v>0.11667416070008796</v>
      </c>
      <c r="X26" s="119">
        <f ca="1">+((W26*(1-0.34))-Pfd_weighted)/Equity_percent</f>
        <v>0.205857401343192</v>
      </c>
      <c r="Y26" s="119">
        <f ca="1">+X26*equityP</f>
        <v>4.4157352341345935E-2</v>
      </c>
      <c r="Z26" s="119">
        <f ca="1">+Y26/(1-taxrate)</f>
        <v>5.5895382710564469E-2</v>
      </c>
      <c r="AA26" s="119">
        <f>debtP*Debt_Rate</f>
        <v>3.8096528594155868E-2</v>
      </c>
      <c r="AB26" s="119">
        <f ca="1">+AA26+Z26</f>
        <v>9.3991911304720344E-2</v>
      </c>
      <c r="AC26" s="119">
        <f ca="1">+AB26/(S26/100)</f>
        <v>5.8385047556127771E-2</v>
      </c>
      <c r="AD26" s="119">
        <f ca="1">1-AC26</f>
        <v>0.94161495244387228</v>
      </c>
      <c r="AE26" s="120">
        <f ca="1">expenses/(AD26)</f>
        <v>1536695.8630349475</v>
      </c>
      <c r="AF26" s="121">
        <f ca="1">+AE26-Revenue</f>
        <v>209317.22303494764</v>
      </c>
      <c r="AG26" s="122">
        <f ca="1">+AF26/$J$49</f>
        <v>227437.2762713565</v>
      </c>
      <c r="AH26" s="122">
        <f ca="1">+AG26*$J$47</f>
        <v>5140.0824437326573</v>
      </c>
      <c r="AI26" s="120">
        <f ca="1">ROUND(+AH26+AE26,5)</f>
        <v>1541835.94548</v>
      </c>
    </row>
    <row r="27" spans="1:35" ht="15.75">
      <c r="A27" s="43"/>
      <c r="B27" s="43"/>
      <c r="C27" s="43"/>
      <c r="D27" s="43"/>
      <c r="E27" s="43"/>
      <c r="F27" s="142">
        <f t="shared" si="6"/>
        <v>21</v>
      </c>
      <c r="H27" s="79" t="s">
        <v>29</v>
      </c>
      <c r="I27" s="88">
        <f>IF(A65=TRUE,C8,0)</f>
        <v>0.78549543493104879</v>
      </c>
      <c r="J27" s="90">
        <f>+I27*J28</f>
        <v>752302.76042418682</v>
      </c>
      <c r="K27" s="83">
        <f>IF(A65=TRUE,C9,0)</f>
        <v>4.8500000000000001E-2</v>
      </c>
      <c r="L27" s="88">
        <f>+K27*I27</f>
        <v>3.8096528594155868E-2</v>
      </c>
      <c r="M27" s="105">
        <f>+K27*J27</f>
        <v>36486.683880573059</v>
      </c>
      <c r="O27" s="43"/>
      <c r="P27" s="43"/>
      <c r="R27" s="35">
        <v>2</v>
      </c>
      <c r="S27" s="123">
        <f ca="1">AI22/Investment*100</f>
        <v>160.86911793913515</v>
      </c>
      <c r="T27" s="34">
        <f ca="1">EXP(y_inter2-(slope*LN(+S27)))</f>
        <v>9.3448209530918405</v>
      </c>
      <c r="U27" s="4">
        <f ca="1">(+S27*T27/100)/100</f>
        <v>0.15032931040230324</v>
      </c>
      <c r="V27" s="4">
        <f>regDebt_weighted</f>
        <v>3.5860000000000003E-2</v>
      </c>
      <c r="W27" s="4">
        <f ca="1">+U27-V27</f>
        <v>0.11446931040230324</v>
      </c>
      <c r="X27" s="4">
        <f ca="1">+((W27*(1-0.34))-Pfd_weighted)/Equity_percent</f>
        <v>0.20162716530674457</v>
      </c>
      <c r="Y27" s="4">
        <f ca="1">+X27*equityP</f>
        <v>4.3249947400208773E-2</v>
      </c>
      <c r="Z27" s="4">
        <f ca="1">+Y27/(1-taxrate)</f>
        <v>5.474676886102376E-2</v>
      </c>
      <c r="AA27" s="4">
        <f>debtP*Debt_Rate</f>
        <v>3.8096528594155868E-2</v>
      </c>
      <c r="AB27" s="4">
        <f ca="1">+AA27+Z27</f>
        <v>9.2843297455179635E-2</v>
      </c>
      <c r="AC27" s="4">
        <f ca="1">+AB27/(S27/100)</f>
        <v>5.7713561586324423E-2</v>
      </c>
      <c r="AD27" s="4">
        <f ca="1">1-AC27</f>
        <v>0.94228643841367554</v>
      </c>
      <c r="AE27" s="124">
        <f ca="1">expenses/(AD27)</f>
        <v>1535600.7929269455</v>
      </c>
      <c r="AF27" s="125">
        <f ca="1">+AE27-Revenue</f>
        <v>208222.15292694559</v>
      </c>
      <c r="AG27" s="126">
        <f ca="1">+AF27/$J$49</f>
        <v>226247.40876270633</v>
      </c>
      <c r="AH27" s="126">
        <f ca="1">+AG27*$J$47</f>
        <v>5113.1914380371636</v>
      </c>
      <c r="AI27" s="124">
        <f t="shared" ref="AI27:AI29" ca="1" si="10">ROUND(+AH27+AE27,5)</f>
        <v>1540713.9843599999</v>
      </c>
    </row>
    <row r="28" spans="1:35" ht="16.5" thickBot="1">
      <c r="A28" s="43"/>
      <c r="B28" s="43"/>
      <c r="C28" s="43"/>
      <c r="D28" s="43"/>
      <c r="E28" s="43"/>
      <c r="F28" s="142">
        <f t="shared" si="6"/>
        <v>22</v>
      </c>
      <c r="H28" s="79" t="s">
        <v>103</v>
      </c>
      <c r="I28" s="91">
        <f>SUM(I26:I27)</f>
        <v>1</v>
      </c>
      <c r="J28" s="136">
        <f>IF(A65=TRUE,C7,0)</f>
        <v>957743.00774927402</v>
      </c>
      <c r="K28" s="144"/>
      <c r="L28" s="143">
        <f ca="1">SUM(L26:L27)</f>
        <v>8.0493722753748248E-2</v>
      </c>
      <c r="M28" s="136">
        <f ca="1">SUM(M26:M27)</f>
        <v>77092.300135111029</v>
      </c>
      <c r="O28" s="43"/>
      <c r="P28" s="43"/>
      <c r="R28" s="5">
        <v>3</v>
      </c>
      <c r="S28" s="123">
        <f ca="1">AI23/Investment*100</f>
        <v>160.79022951041401</v>
      </c>
      <c r="T28" s="6">
        <f ca="1">EXP(y_inter3-(slope*LN(S28)))</f>
        <v>9.2570704034340423</v>
      </c>
      <c r="U28" s="4">
        <f ca="1">(+S28*T28/100)/100</f>
        <v>0.14884464747622206</v>
      </c>
      <c r="V28" s="4">
        <f>regDebt_weighted</f>
        <v>3.5860000000000003E-2</v>
      </c>
      <c r="W28" s="4">
        <f ca="1">+U28-V28</f>
        <v>0.11298464747622206</v>
      </c>
      <c r="X28" s="4">
        <f ca="1">+((W28*(1-0.34))-Pfd_weighted)/Equity_percent</f>
        <v>0.19877868411135627</v>
      </c>
      <c r="Y28" s="4">
        <f ca="1">+X28*equityP</f>
        <v>4.2638935180284922E-2</v>
      </c>
      <c r="Z28" s="4">
        <f ca="1">+Y28/(1-taxrate)</f>
        <v>5.3973335671246736E-2</v>
      </c>
      <c r="AA28" s="4">
        <f>debtP*Debt_Rate</f>
        <v>3.8096528594155868E-2</v>
      </c>
      <c r="AB28" s="4">
        <f ca="1">+AA28+Z28</f>
        <v>9.2069864265402604E-2</v>
      </c>
      <c r="AC28" s="4">
        <f ca="1">+AB28/(S28/100)</f>
        <v>5.7260857544481236E-2</v>
      </c>
      <c r="AD28" s="4">
        <f ca="1">1-AC28</f>
        <v>0.94273914245551871</v>
      </c>
      <c r="AE28" s="124">
        <f ca="1">expenses/(AD28)</f>
        <v>1534863.3962767916</v>
      </c>
      <c r="AF28" s="125">
        <f ca="1">+AE28-Revenue</f>
        <v>207484.75627679168</v>
      </c>
      <c r="AG28" s="126">
        <f ca="1">+AF28/$J$49</f>
        <v>225446.17758253429</v>
      </c>
      <c r="AH28" s="126">
        <f ca="1">+AG28*$J$47</f>
        <v>5095.0836133652756</v>
      </c>
      <c r="AI28" s="124">
        <f t="shared" ca="1" si="10"/>
        <v>1539958.4798900001</v>
      </c>
    </row>
    <row r="29" spans="1:35" ht="16.5" thickTop="1">
      <c r="A29" s="43"/>
      <c r="B29" s="43"/>
      <c r="C29" s="43"/>
      <c r="D29" s="43"/>
      <c r="E29" s="43"/>
      <c r="F29" s="142">
        <f t="shared" si="6"/>
        <v>23</v>
      </c>
      <c r="G29" s="72"/>
      <c r="H29" s="72"/>
      <c r="I29" s="72"/>
      <c r="J29" s="72"/>
      <c r="K29" s="72"/>
      <c r="L29" s="72"/>
      <c r="M29" s="72"/>
      <c r="N29" s="72"/>
      <c r="O29" s="43"/>
      <c r="P29" s="43"/>
      <c r="R29" s="7">
        <v>4</v>
      </c>
      <c r="S29" s="123">
        <f ca="1">AI24/Investment*100</f>
        <v>160.7397789870387</v>
      </c>
      <c r="T29" s="8">
        <f ca="1">EXP(y_inter4-(slope*LN(S29)))</f>
        <v>9.2009079887407577</v>
      </c>
      <c r="U29" s="4">
        <f ca="1">(+S29*T29/100)/100</f>
        <v>0.14789519165902681</v>
      </c>
      <c r="V29" s="4">
        <f>regDebt_weighted</f>
        <v>3.5860000000000003E-2</v>
      </c>
      <c r="W29" s="4">
        <f ca="1">+U29-V29</f>
        <v>0.11203519165902681</v>
      </c>
      <c r="X29" s="4">
        <f ca="1">+((W29*(1-0.34))-Pfd_weighted)/Equity_percent</f>
        <v>0.19695705376441189</v>
      </c>
      <c r="Y29" s="4">
        <f ca="1">+X29*equityP</f>
        <v>4.2248187154997209E-2</v>
      </c>
      <c r="Z29" s="4">
        <f ca="1">+Y29/(1-taxrate)</f>
        <v>5.3478717917717987E-2</v>
      </c>
      <c r="AA29" s="4">
        <f>debtP*Debt_Rate</f>
        <v>3.8096528594155868E-2</v>
      </c>
      <c r="AB29" s="4">
        <f ca="1">+AA29+Z29</f>
        <v>9.1575246511873848E-2</v>
      </c>
      <c r="AC29" s="4">
        <f ca="1">+AB29/(S29/100)</f>
        <v>5.6971116352759227E-2</v>
      </c>
      <c r="AD29" s="4">
        <f ca="1">1-AC29</f>
        <v>0.9430288836472408</v>
      </c>
      <c r="AE29" s="124">
        <f ca="1">expenses/(AD29)</f>
        <v>1534391.816713027</v>
      </c>
      <c r="AF29" s="125">
        <f ca="1">+AE29-Revenue</f>
        <v>207013.17671302706</v>
      </c>
      <c r="AG29" s="126">
        <f ca="1">+AF29/$J$49</f>
        <v>224933.77458973348</v>
      </c>
      <c r="AH29" s="126">
        <f ca="1">+AG29*$J$47</f>
        <v>5083.503305727977</v>
      </c>
      <c r="AI29" s="124">
        <f t="shared" ca="1" si="10"/>
        <v>1539475.32002</v>
      </c>
    </row>
    <row r="30" spans="1:35" ht="15.75">
      <c r="A30" s="43"/>
      <c r="B30" s="43"/>
      <c r="C30" s="43"/>
      <c r="D30" s="43"/>
      <c r="E30" s="43"/>
      <c r="F30" s="142">
        <f t="shared" si="6"/>
        <v>24</v>
      </c>
      <c r="G30" s="72"/>
      <c r="H30" s="72"/>
      <c r="I30" s="72"/>
      <c r="J30" s="107" t="s">
        <v>94</v>
      </c>
      <c r="K30" s="107" t="s">
        <v>96</v>
      </c>
      <c r="L30" s="72"/>
      <c r="M30" s="72"/>
      <c r="N30" s="72"/>
      <c r="O30" s="43"/>
      <c r="P30" s="43"/>
      <c r="R30" s="1" t="s">
        <v>53</v>
      </c>
      <c r="W30" s="9"/>
      <c r="X30" s="13"/>
      <c r="Y30" s="10"/>
      <c r="Z30" s="10"/>
      <c r="AA30" s="13"/>
      <c r="AC30" s="13"/>
      <c r="AD30" s="13"/>
      <c r="AE30" s="10"/>
      <c r="AF30" s="9"/>
      <c r="AH30" s="10"/>
    </row>
    <row r="31" spans="1:35" ht="15.75">
      <c r="A31" s="43"/>
      <c r="B31" s="43"/>
      <c r="C31" s="43"/>
      <c r="D31" s="43"/>
      <c r="E31" s="43"/>
      <c r="F31" s="142">
        <f t="shared" si="6"/>
        <v>25</v>
      </c>
      <c r="G31" s="72"/>
      <c r="H31" s="102" t="s">
        <v>51</v>
      </c>
      <c r="I31" s="103"/>
      <c r="J31" s="104" t="s">
        <v>95</v>
      </c>
      <c r="K31" s="104" t="s">
        <v>95</v>
      </c>
      <c r="L31" s="72"/>
      <c r="M31" s="72"/>
      <c r="N31" s="72"/>
      <c r="O31" s="43"/>
      <c r="P31" s="43"/>
      <c r="R31" s="3">
        <v>1</v>
      </c>
      <c r="S31" s="117">
        <f ca="1">AI26/Investment*100</f>
        <v>160.98639541137058</v>
      </c>
      <c r="T31" s="118">
        <f ca="1">EXP(y_inter1-(slope*LN(+S31)))</f>
        <v>9.47497441521217</v>
      </c>
      <c r="U31" s="119">
        <f ca="1">(+S31*T31/100)/100</f>
        <v>0.15253419777199662</v>
      </c>
      <c r="V31" s="119">
        <f>regDebt_weighted</f>
        <v>3.5860000000000003E-2</v>
      </c>
      <c r="W31" s="119">
        <f ca="1">+U31-V31</f>
        <v>0.11667419777199661</v>
      </c>
      <c r="X31" s="119">
        <f ca="1">+((W31*(1-0.34))-Pfd_weighted)/Equity_percent</f>
        <v>0.20585747246952837</v>
      </c>
      <c r="Y31" s="119">
        <f ca="1">+X31*equityP</f>
        <v>4.4157367598269784E-2</v>
      </c>
      <c r="Z31" s="119">
        <f ca="1">+Y31/(1-taxrate)</f>
        <v>5.5895402023126303E-2</v>
      </c>
      <c r="AA31" s="119">
        <f>debtP*Debt_Rate</f>
        <v>3.8096528594155868E-2</v>
      </c>
      <c r="AB31" s="119">
        <f ca="1">+AA31+Z31</f>
        <v>9.3991930617282171E-2</v>
      </c>
      <c r="AC31" s="119">
        <f ca="1">+AB31/(S31/100)</f>
        <v>5.8385014694628944E-2</v>
      </c>
      <c r="AD31" s="119">
        <f ca="1">1-AC31</f>
        <v>0.94161498530537102</v>
      </c>
      <c r="AE31" s="120">
        <f ca="1">expenses/(AD31)</f>
        <v>1536695.8094056724</v>
      </c>
      <c r="AF31" s="121">
        <f ca="1">+AE31-Revenue</f>
        <v>209317.16940567247</v>
      </c>
      <c r="AG31" s="122">
        <f ca="1">+AF31/$J$49</f>
        <v>227437.21799953302</v>
      </c>
      <c r="AH31" s="122">
        <f ca="1">+AG31*$J$47</f>
        <v>5140.0811267894469</v>
      </c>
      <c r="AI31" s="120">
        <f ca="1">ROUND(+AH31+AE31,5)</f>
        <v>1541835.89053</v>
      </c>
    </row>
    <row r="32" spans="1:35" ht="15.75">
      <c r="A32" s="43"/>
      <c r="B32" s="43"/>
      <c r="C32" s="43"/>
      <c r="D32" s="43"/>
      <c r="E32" s="43"/>
      <c r="F32" s="142">
        <f t="shared" si="6"/>
        <v>26</v>
      </c>
      <c r="G32" s="72"/>
      <c r="H32" s="76"/>
      <c r="I32" s="76"/>
      <c r="J32" s="76"/>
      <c r="K32" s="76"/>
      <c r="L32" s="72"/>
      <c r="M32" s="72"/>
      <c r="N32" s="72"/>
      <c r="O32" s="43"/>
      <c r="P32" s="43"/>
      <c r="R32" s="35">
        <v>2</v>
      </c>
      <c r="S32" s="123">
        <f ca="1">AI27/Investment*100</f>
        <v>160.86924904633091</v>
      </c>
      <c r="T32" s="34">
        <f ca="1">EXP(y_inter2-(slope*LN(+S32)))</f>
        <v>9.3448157462899033</v>
      </c>
      <c r="U32" s="4">
        <f ca="1">(+S32*T32/100)/100</f>
        <v>0.15032934915819851</v>
      </c>
      <c r="V32" s="4">
        <f>regDebt_weighted</f>
        <v>3.5860000000000003E-2</v>
      </c>
      <c r="W32" s="4">
        <f ca="1">+U32-V32</f>
        <v>0.11446934915819851</v>
      </c>
      <c r="X32" s="4">
        <f ca="1">+((W32*(1-0.34))-Pfd_weighted)/Equity_percent</f>
        <v>0.20162723966398552</v>
      </c>
      <c r="Y32" s="4">
        <f ca="1">+X32*equityP</f>
        <v>4.3249963350176404E-2</v>
      </c>
      <c r="Z32" s="4">
        <f ca="1">+Y32/(1-taxrate)</f>
        <v>5.4746789050856205E-2</v>
      </c>
      <c r="AA32" s="4">
        <f>debtP*Debt_Rate</f>
        <v>3.8096528594155868E-2</v>
      </c>
      <c r="AB32" s="4">
        <f ca="1">+AA32+Z32</f>
        <v>9.284331764501208E-2</v>
      </c>
      <c r="AC32" s="4">
        <f ca="1">+AB32/(S32/100)</f>
        <v>5.7713527100678438E-2</v>
      </c>
      <c r="AD32" s="4">
        <f ca="1">1-AC32</f>
        <v>0.94228647289932155</v>
      </c>
      <c r="AE32" s="124">
        <f ca="1">expenses/(AD32)</f>
        <v>1535600.7367272791</v>
      </c>
      <c r="AF32" s="125">
        <f ca="1">+AE32-Revenue</f>
        <v>208222.09672727925</v>
      </c>
      <c r="AG32" s="126">
        <f ca="1">+AF32/$J$49</f>
        <v>226247.34769797954</v>
      </c>
      <c r="AH32" s="126">
        <f ca="1">+AG32*$J$47</f>
        <v>5113.1900579743378</v>
      </c>
      <c r="AI32" s="124">
        <f t="shared" ref="AI32:AI34" ca="1" si="11">ROUND(+AH32+AE32,5)</f>
        <v>1540713.9267899999</v>
      </c>
    </row>
    <row r="33" spans="1:46" ht="15.75">
      <c r="A33" s="43"/>
      <c r="B33" s="43"/>
      <c r="C33" s="43"/>
      <c r="D33" s="43"/>
      <c r="E33" s="43"/>
      <c r="F33" s="142">
        <f t="shared" si="6"/>
        <v>27</v>
      </c>
      <c r="G33" s="72"/>
      <c r="H33" s="76" t="s">
        <v>54</v>
      </c>
      <c r="I33" s="76"/>
      <c r="J33" s="89">
        <f ca="1">+K9/J28</f>
        <v>9.176386297338672E-2</v>
      </c>
      <c r="K33" s="89">
        <f ca="1">+(M14+M11)/J28</f>
        <v>8.0493722753748248E-2</v>
      </c>
      <c r="L33" s="72"/>
      <c r="M33" s="72"/>
      <c r="N33" s="72"/>
      <c r="O33" s="43"/>
      <c r="P33" s="43"/>
      <c r="R33" s="5">
        <v>3</v>
      </c>
      <c r="S33" s="123">
        <f ca="1">AI28/Investment*100</f>
        <v>160.79036520547936</v>
      </c>
      <c r="T33" s="6">
        <f ca="1">EXP(y_inter3-(slope*LN(S33)))</f>
        <v>9.2570650624143305</v>
      </c>
      <c r="U33" s="4">
        <f ca="1">(+S33*T33/100)/100</f>
        <v>0.14884468721164837</v>
      </c>
      <c r="V33" s="4">
        <f>regDebt_weighted</f>
        <v>3.5860000000000003E-2</v>
      </c>
      <c r="W33" s="4">
        <f ca="1">+U33-V33</f>
        <v>0.11298468721164837</v>
      </c>
      <c r="X33" s="4">
        <f ca="1">+((W33*(1-0.34))-Pfd_weighted)/Equity_percent</f>
        <v>0.19877876034793002</v>
      </c>
      <c r="Y33" s="4">
        <f ca="1">+X33*equityP</f>
        <v>4.2638951533378017E-2</v>
      </c>
      <c r="Z33" s="4">
        <f ca="1">+Y33/(1-taxrate)</f>
        <v>5.3973356371364578E-2</v>
      </c>
      <c r="AA33" s="4">
        <f>debtP*Debt_Rate</f>
        <v>3.8096528594155868E-2</v>
      </c>
      <c r="AB33" s="4">
        <f ca="1">+AA33+Z33</f>
        <v>9.2069884965520446E-2</v>
      </c>
      <c r="AC33" s="4">
        <f ca="1">+AB33/(S33/100)</f>
        <v>5.7260822094570951E-2</v>
      </c>
      <c r="AD33" s="4">
        <f ca="1">1-AC33</f>
        <v>0.94273917790542905</v>
      </c>
      <c r="AE33" s="124">
        <f ca="1">expenses/(AD33)</f>
        <v>1534863.3385611784</v>
      </c>
      <c r="AF33" s="125">
        <f ca="1">+AE33-Revenue</f>
        <v>207484.69856117852</v>
      </c>
      <c r="AG33" s="126">
        <f ca="1">+AF33/$J$49</f>
        <v>225446.11487062904</v>
      </c>
      <c r="AH33" s="126">
        <f ca="1">+AG33*$J$47</f>
        <v>5095.0821960762169</v>
      </c>
      <c r="AI33" s="124">
        <f t="shared" ca="1" si="11"/>
        <v>1539958.4207599999</v>
      </c>
    </row>
    <row r="34" spans="1:46" ht="15.75">
      <c r="A34" s="43"/>
      <c r="B34" s="43"/>
      <c r="C34" s="43"/>
      <c r="D34" s="43"/>
      <c r="E34" s="43"/>
      <c r="F34" s="142">
        <f t="shared" si="6"/>
        <v>28</v>
      </c>
      <c r="G34" s="72"/>
      <c r="H34" s="76" t="s">
        <v>55</v>
      </c>
      <c r="I34" s="76"/>
      <c r="J34" s="89">
        <f ca="1">+(M9-M11)/J26</f>
        <v>0.25019203839312143</v>
      </c>
      <c r="K34" s="89">
        <f ca="1">+M14/J26</f>
        <v>0.19765171033056597</v>
      </c>
      <c r="L34" s="72"/>
      <c r="M34" s="72"/>
      <c r="N34" s="72"/>
      <c r="O34" s="46"/>
      <c r="P34" s="43"/>
      <c r="R34" s="7">
        <v>4</v>
      </c>
      <c r="S34" s="123">
        <f ca="1">AI29/Investment*100</f>
        <v>160.7399174479817</v>
      </c>
      <c r="T34" s="8">
        <f ca="1">EXP(y_inter4-(slope*LN(S34)))</f>
        <v>9.2009025702190943</v>
      </c>
      <c r="U34" s="4">
        <f ca="1">(+S34*T34/100)/100</f>
        <v>0.14789523195839399</v>
      </c>
      <c r="V34" s="4">
        <f>regDebt_weighted</f>
        <v>3.5860000000000003E-2</v>
      </c>
      <c r="W34" s="4">
        <f ca="1">+U34-V34</f>
        <v>0.11203523195839399</v>
      </c>
      <c r="X34" s="4">
        <f ca="1">+((W34*(1-0.34))-Pfd_weighted)/Equity_percent</f>
        <v>0.19695713108296517</v>
      </c>
      <c r="Y34" s="4">
        <f ca="1">+X34*equityP</f>
        <v>4.2248203740179853E-2</v>
      </c>
      <c r="Z34" s="4">
        <f ca="1">+Y34/(1-taxrate)</f>
        <v>5.3478738911620062E-2</v>
      </c>
      <c r="AA34" s="4">
        <f>debtP*Debt_Rate</f>
        <v>3.8096528594155868E-2</v>
      </c>
      <c r="AB34" s="4">
        <f ca="1">+AA34+Z34</f>
        <v>9.1575267505775937E-2</v>
      </c>
      <c r="AC34" s="4">
        <f ca="1">+AB34/(S34/100)</f>
        <v>5.6971080338778526E-2</v>
      </c>
      <c r="AD34" s="4">
        <f ca="1">1-AC34</f>
        <v>0.94302891966122149</v>
      </c>
      <c r="AE34" s="124">
        <f ca="1">expenses/(AD34)</f>
        <v>1534391.7581150813</v>
      </c>
      <c r="AF34" s="125">
        <f ca="1">+AE34-Revenue</f>
        <v>207013.11811508145</v>
      </c>
      <c r="AG34" s="126">
        <f ca="1">+AF34/$J$49</f>
        <v>224933.71091911456</v>
      </c>
      <c r="AH34" s="126">
        <f ca="1">+AG34*$J$47</f>
        <v>5083.5018667719896</v>
      </c>
      <c r="AI34" s="124">
        <f t="shared" ca="1" si="11"/>
        <v>1539475.2599800001</v>
      </c>
    </row>
    <row r="35" spans="1:46" ht="15.75">
      <c r="A35" s="43"/>
      <c r="B35" s="43"/>
      <c r="C35" s="43"/>
      <c r="D35" s="43"/>
      <c r="E35" s="43"/>
      <c r="F35" s="142">
        <f t="shared" si="6"/>
        <v>29</v>
      </c>
      <c r="G35" s="72"/>
      <c r="H35" s="92" t="s">
        <v>31</v>
      </c>
      <c r="I35" s="76"/>
      <c r="J35" s="89">
        <f ca="1">+K8/K7</f>
        <v>0.94274000000000002</v>
      </c>
      <c r="K35" s="89">
        <f ca="1">+M8/M7</f>
        <v>0.94292944848148041</v>
      </c>
      <c r="L35" s="72"/>
      <c r="M35" s="72"/>
      <c r="N35" s="72"/>
      <c r="O35" s="43"/>
      <c r="P35" s="43"/>
      <c r="R35" s="1" t="s">
        <v>84</v>
      </c>
      <c r="X35" s="13"/>
      <c r="Y35" s="14"/>
      <c r="Z35" s="10"/>
      <c r="AA35" s="13"/>
      <c r="AC35" s="13"/>
      <c r="AD35" s="13"/>
      <c r="AE35" s="10"/>
      <c r="AF35" s="9"/>
      <c r="AH35" s="10"/>
    </row>
    <row r="36" spans="1:46" ht="15.75">
      <c r="A36" s="43"/>
      <c r="B36" s="43"/>
      <c r="C36" s="43"/>
      <c r="D36" s="43"/>
      <c r="E36" s="43"/>
      <c r="F36" s="142">
        <f t="shared" si="6"/>
        <v>30</v>
      </c>
      <c r="G36" s="72"/>
      <c r="H36" s="76" t="s">
        <v>56</v>
      </c>
      <c r="I36" s="76"/>
      <c r="J36" s="89">
        <f ca="1">+K9/K7</f>
        <v>5.7259999999999936E-2</v>
      </c>
      <c r="K36" s="89">
        <f ca="1">+J36</f>
        <v>5.7259999999999936E-2</v>
      </c>
      <c r="L36" s="72"/>
      <c r="M36" s="72"/>
      <c r="N36" s="72"/>
      <c r="O36" s="43"/>
      <c r="P36" s="43"/>
      <c r="R36" s="3">
        <v>1</v>
      </c>
      <c r="S36" s="117">
        <f ca="1">AI31/Investment*100</f>
        <v>160.98638967392333</v>
      </c>
      <c r="T36" s="118">
        <f ca="1">EXP(y_inter1-(slope*LN(+S36)))</f>
        <v>9.4749746460750526</v>
      </c>
      <c r="U36" s="119">
        <f ca="1">(+S36*T36/100)/100</f>
        <v>0.15253419605235821</v>
      </c>
      <c r="V36" s="119">
        <f>regDebt_weighted</f>
        <v>3.5860000000000003E-2</v>
      </c>
      <c r="W36" s="119">
        <f ca="1">+U36-V36</f>
        <v>0.11667419605235821</v>
      </c>
      <c r="X36" s="119">
        <f ca="1">+((W36*(1-0.34))-Pfd_weighted)/Equity_percent</f>
        <v>0.20585746917022213</v>
      </c>
      <c r="Y36" s="119">
        <f ca="1">+X36*equityP</f>
        <v>4.415736689055353E-2</v>
      </c>
      <c r="Z36" s="119">
        <f ca="1">+Y36/(1-taxrate)</f>
        <v>5.5895401127282945E-2</v>
      </c>
      <c r="AA36" s="119">
        <f>debtP*Debt_Rate</f>
        <v>3.8096528594155868E-2</v>
      </c>
      <c r="AB36" s="119">
        <f ca="1">+AA36+Z36</f>
        <v>9.3991929721438813E-2</v>
      </c>
      <c r="AC36" s="119">
        <f ca="1">+AB36/(S36/100)</f>
        <v>5.8385016218960327E-2</v>
      </c>
      <c r="AD36" s="119">
        <f ca="1">1-AC36</f>
        <v>0.94161498378103969</v>
      </c>
      <c r="AE36" s="120">
        <f ca="1">expenses/(AD36)</f>
        <v>1536695.811893349</v>
      </c>
      <c r="AF36" s="121">
        <f ca="1">+AE36-Revenue</f>
        <v>209317.17189334915</v>
      </c>
      <c r="AG36" s="122">
        <f ca="1">+AF36/$J$49</f>
        <v>227437.22070256146</v>
      </c>
      <c r="AH36" s="122">
        <f ca="1">+AG36*$J$47</f>
        <v>5140.0811878778895</v>
      </c>
      <c r="AI36" s="120">
        <f ca="1">ROUND(+AH36+AE36,5)</f>
        <v>1541835.8930800001</v>
      </c>
    </row>
    <row r="37" spans="1:46" ht="15.75">
      <c r="A37" s="43"/>
      <c r="B37" s="43"/>
      <c r="C37" s="43"/>
      <c r="D37" s="43"/>
      <c r="E37" s="43"/>
      <c r="F37" s="142">
        <f t="shared" si="6"/>
        <v>31</v>
      </c>
      <c r="G37" s="72"/>
      <c r="H37" s="76" t="s">
        <v>57</v>
      </c>
      <c r="I37" s="74"/>
      <c r="J37" s="93">
        <f ca="1">+S39/100</f>
        <v>1.6073991117907662</v>
      </c>
      <c r="K37" s="93">
        <f ca="1">+J37</f>
        <v>1.6073991117907662</v>
      </c>
      <c r="L37" s="72"/>
      <c r="M37" s="72"/>
      <c r="N37" s="72"/>
      <c r="O37" s="43"/>
      <c r="P37" s="43"/>
      <c r="R37" s="35">
        <v>2</v>
      </c>
      <c r="S37" s="123">
        <f ca="1">AI32/Investment*100</f>
        <v>160.86924303532382</v>
      </c>
      <c r="T37" s="34">
        <f ca="1">EXP(y_inter2-(slope*LN(+S37)))</f>
        <v>9.3448159850113779</v>
      </c>
      <c r="U37" s="4">
        <f ca="1">(+S37*T37/100)/100</f>
        <v>0.15032934738131742</v>
      </c>
      <c r="V37" s="4">
        <f>regDebt_weighted</f>
        <v>3.5860000000000003E-2</v>
      </c>
      <c r="W37" s="4">
        <f ca="1">+U37-V37</f>
        <v>0.11446934738131742</v>
      </c>
      <c r="X37" s="4">
        <f ca="1">+((W37*(1-0.34))-Pfd_weighted)/Equity_percent</f>
        <v>0.20162723625485321</v>
      </c>
      <c r="Y37" s="4">
        <f ca="1">+X37*equityP</f>
        <v>4.324996261890196E-2</v>
      </c>
      <c r="Z37" s="4">
        <f ca="1">+Y37/(1-taxrate)</f>
        <v>5.4746788125192354E-2</v>
      </c>
      <c r="AA37" s="4">
        <f>debtP*Debt_Rate</f>
        <v>3.8096528594155868E-2</v>
      </c>
      <c r="AB37" s="4">
        <f ca="1">+AA37+Z37</f>
        <v>9.2843316719348229E-2</v>
      </c>
      <c r="AC37" s="4">
        <f ca="1">+AB37/(S37/100)</f>
        <v>5.771352868177642E-2</v>
      </c>
      <c r="AD37" s="4">
        <f ca="1">1-AC37</f>
        <v>0.94228647131822363</v>
      </c>
      <c r="AE37" s="124">
        <f ca="1">expenses/(AD37)</f>
        <v>1535600.7393039213</v>
      </c>
      <c r="AF37" s="125">
        <f ca="1">+AE37-Revenue</f>
        <v>208222.09930392145</v>
      </c>
      <c r="AG37" s="126">
        <f ca="1">+AF37/$J$49</f>
        <v>226247.35049767501</v>
      </c>
      <c r="AH37" s="126">
        <f ca="1">+AG37*$J$47</f>
        <v>5113.1901212474559</v>
      </c>
      <c r="AI37" s="124">
        <f t="shared" ref="AI37:AI39" ca="1" si="12">ROUND(+AH37+AE37,5)</f>
        <v>1540713.92943</v>
      </c>
    </row>
    <row r="38" spans="1:46" ht="15.75">
      <c r="A38" s="43"/>
      <c r="B38" s="43"/>
      <c r="C38" s="43"/>
      <c r="D38" s="43"/>
      <c r="E38" s="43"/>
      <c r="F38" s="142">
        <f t="shared" si="6"/>
        <v>32</v>
      </c>
      <c r="G38" s="72"/>
      <c r="H38" s="76" t="s">
        <v>58</v>
      </c>
      <c r="I38" s="72"/>
      <c r="J38" s="89">
        <f>+C10</f>
        <v>0.21</v>
      </c>
      <c r="K38" s="89">
        <f>+J38</f>
        <v>0.21</v>
      </c>
      <c r="L38" s="72"/>
      <c r="M38" s="72"/>
      <c r="N38" s="72"/>
      <c r="O38" s="43"/>
      <c r="P38" s="43"/>
      <c r="Q38" s="71"/>
      <c r="R38" s="5">
        <v>3</v>
      </c>
      <c r="S38" s="123">
        <f ca="1">AI33/Investment*100</f>
        <v>160.7903590315893</v>
      </c>
      <c r="T38" s="6">
        <f ca="1">EXP(y_inter3-(slope*LN(S38)))</f>
        <v>9.2570653054212979</v>
      </c>
      <c r="U38" s="4">
        <f ca="1">(+S38*T38/100)/100</f>
        <v>0.14884468540375595</v>
      </c>
      <c r="V38" s="4">
        <f>regDebt_weighted</f>
        <v>3.5860000000000003E-2</v>
      </c>
      <c r="W38" s="4">
        <f ca="1">+U38-V38</f>
        <v>0.11298468540375595</v>
      </c>
      <c r="X38" s="4">
        <f ca="1">+((W38*(1-0.34))-Pfd_weighted)/Equity_percent</f>
        <v>0.19877875687929919</v>
      </c>
      <c r="Y38" s="4">
        <f ca="1">+X38*equityP</f>
        <v>4.2638950789340865E-2</v>
      </c>
      <c r="Z38" s="4">
        <f ca="1">+Y38/(1-taxrate)</f>
        <v>5.39733554295454E-2</v>
      </c>
      <c r="AA38" s="4">
        <f>debtP*Debt_Rate</f>
        <v>3.8096528594155868E-2</v>
      </c>
      <c r="AB38" s="4">
        <f ca="1">+AA38+Z38</f>
        <v>9.2069884023701268E-2</v>
      </c>
      <c r="AC38" s="4">
        <f ca="1">+AB38/(S38/100)</f>
        <v>5.726082370747923E-2</v>
      </c>
      <c r="AD38" s="4">
        <f ca="1">1-AC38</f>
        <v>0.9427391762925208</v>
      </c>
      <c r="AE38" s="124">
        <f ca="1">expenses/(AD38)</f>
        <v>1534863.3411871365</v>
      </c>
      <c r="AF38" s="125">
        <f ca="1">+AE38-Revenue</f>
        <v>207484.70118713658</v>
      </c>
      <c r="AG38" s="126">
        <f ca="1">+AF38/$J$49</f>
        <v>225446.11772390953</v>
      </c>
      <c r="AH38" s="126">
        <f ca="1">+AG38*$J$47</f>
        <v>5095.0822605603562</v>
      </c>
      <c r="AI38" s="124">
        <f t="shared" ca="1" si="12"/>
        <v>1539958.4234499999</v>
      </c>
    </row>
    <row r="39" spans="1:46" ht="15.75">
      <c r="A39" s="43"/>
      <c r="B39" s="43"/>
      <c r="C39" s="43"/>
      <c r="D39" s="43"/>
      <c r="E39" s="43"/>
      <c r="F39" s="142">
        <f t="shared" si="6"/>
        <v>33</v>
      </c>
      <c r="G39" s="72"/>
      <c r="H39" s="72"/>
      <c r="I39" s="72"/>
      <c r="J39" s="72"/>
      <c r="K39" s="72"/>
      <c r="L39" s="72"/>
      <c r="M39" s="72"/>
      <c r="N39" s="72"/>
      <c r="O39" s="43"/>
      <c r="P39" s="43"/>
      <c r="R39" s="7">
        <v>4</v>
      </c>
      <c r="S39" s="123">
        <f ca="1">AI34/Investment*100</f>
        <v>160.73991117907661</v>
      </c>
      <c r="T39" s="8">
        <f ca="1">EXP(y_inter4-(slope*LN(S39)))</f>
        <v>9.2009028155458505</v>
      </c>
      <c r="U39" s="4">
        <f ca="1">(+S39*T39/100)/100</f>
        <v>0.14789523013381559</v>
      </c>
      <c r="V39" s="4">
        <f>regDebt_weighted</f>
        <v>3.5860000000000003E-2</v>
      </c>
      <c r="W39" s="4">
        <f ca="1">+U39-V39</f>
        <v>0.11203523013381558</v>
      </c>
      <c r="X39" s="4">
        <f ca="1">+((W39*(1-0.34))-Pfd_weighted)/Equity_percent</f>
        <v>0.19695712758232059</v>
      </c>
      <c r="Y39" s="4">
        <f ca="1">+X39*equityP</f>
        <v>4.2248202989275611E-2</v>
      </c>
      <c r="Z39" s="4">
        <f ca="1">+Y39/(1-taxrate)</f>
        <v>5.3478737961108365E-2</v>
      </c>
      <c r="AA39" s="4">
        <f>debtP*Debt_Rate</f>
        <v>3.8096528594155868E-2</v>
      </c>
      <c r="AB39" s="4">
        <f ca="1">+AA39+Z39</f>
        <v>9.157526655526424E-2</v>
      </c>
      <c r="AC39" s="4">
        <f ca="1">+AB39/(S39/100)</f>
        <v>5.6971081969332649E-2</v>
      </c>
      <c r="AD39" s="4">
        <f ca="1">1-AC39</f>
        <v>0.94302891803066735</v>
      </c>
      <c r="AE39" s="124">
        <f ca="1">expenses/(AD39)</f>
        <v>1534391.7607681376</v>
      </c>
      <c r="AF39" s="125">
        <f ca="1">+AE39-Revenue</f>
        <v>207013.12076813774</v>
      </c>
      <c r="AG39" s="126">
        <f ca="1">+AF39/$J$49</f>
        <v>224933.7138018391</v>
      </c>
      <c r="AH39" s="126">
        <f ca="1">+AG39*$J$47</f>
        <v>5083.5019319215644</v>
      </c>
      <c r="AI39" s="124">
        <f t="shared" ca="1" si="12"/>
        <v>1539475.2627000001</v>
      </c>
    </row>
    <row r="40" spans="1:46" ht="15.75">
      <c r="A40" s="43"/>
      <c r="B40" s="43"/>
      <c r="C40" s="43"/>
      <c r="D40" s="43"/>
      <c r="E40" s="43"/>
      <c r="F40" s="142">
        <f t="shared" si="6"/>
        <v>34</v>
      </c>
      <c r="G40" s="74"/>
      <c r="H40" s="72"/>
      <c r="I40" s="72"/>
      <c r="J40" s="72"/>
      <c r="K40" s="72"/>
      <c r="L40" s="72"/>
      <c r="M40" s="72"/>
      <c r="N40" s="72"/>
      <c r="O40" s="43"/>
      <c r="P40" s="43"/>
      <c r="X40" s="13"/>
      <c r="Y40" s="14"/>
      <c r="Z40" s="10"/>
      <c r="AA40" s="13"/>
      <c r="AC40" s="13"/>
      <c r="AD40" s="13"/>
      <c r="AE40" s="10"/>
      <c r="AF40" s="9"/>
      <c r="AH40" s="10"/>
    </row>
    <row r="41" spans="1:46" ht="15.75">
      <c r="A41" s="43"/>
      <c r="B41" s="43"/>
      <c r="C41" s="43"/>
      <c r="D41" s="43"/>
      <c r="E41" s="43"/>
      <c r="F41" s="142">
        <f t="shared" si="6"/>
        <v>35</v>
      </c>
      <c r="G41" s="72"/>
      <c r="H41" s="102" t="s">
        <v>61</v>
      </c>
      <c r="I41" s="94"/>
      <c r="J41" s="72"/>
      <c r="K41" s="72"/>
      <c r="L41" s="72"/>
      <c r="M41" s="72"/>
      <c r="N41" s="72"/>
      <c r="O41" s="43"/>
      <c r="P41" s="43"/>
      <c r="R41" s="28" t="s">
        <v>59</v>
      </c>
      <c r="S41" s="29"/>
      <c r="T41" s="15"/>
      <c r="U41" s="15"/>
      <c r="V41" s="16"/>
      <c r="X41" s="12"/>
      <c r="Y41" s="14"/>
      <c r="Z41" s="10"/>
      <c r="AA41" s="13"/>
      <c r="AC41" s="13"/>
      <c r="AD41" s="13"/>
      <c r="AE41" s="10"/>
      <c r="AF41" s="9"/>
      <c r="AH41" s="10"/>
    </row>
    <row r="42" spans="1:46" ht="15.75">
      <c r="A42" s="43"/>
      <c r="B42" s="43"/>
      <c r="C42" s="43"/>
      <c r="D42" s="43"/>
      <c r="E42" s="43"/>
      <c r="F42" s="142">
        <f t="shared" si="6"/>
        <v>36</v>
      </c>
      <c r="G42" s="72"/>
      <c r="H42" s="72"/>
      <c r="I42" s="72"/>
      <c r="J42" s="108" t="s">
        <v>48</v>
      </c>
      <c r="K42" s="196" t="s">
        <v>20</v>
      </c>
      <c r="L42" s="72"/>
      <c r="M42" s="72"/>
      <c r="N42" s="72"/>
      <c r="O42" s="43"/>
      <c r="P42" s="43"/>
      <c r="R42" s="30" t="s">
        <v>60</v>
      </c>
      <c r="S42" s="31"/>
      <c r="T42" s="17"/>
      <c r="U42" s="17"/>
      <c r="V42" s="18"/>
      <c r="X42" s="13"/>
      <c r="Y42" s="14"/>
      <c r="Z42" s="10"/>
      <c r="AA42" s="13"/>
      <c r="AC42" s="13"/>
      <c r="AD42" s="13"/>
      <c r="AE42" s="10"/>
      <c r="AH42" s="10"/>
    </row>
    <row r="43" spans="1:46" ht="15.75">
      <c r="A43" s="43"/>
      <c r="B43" s="43"/>
      <c r="C43" s="43"/>
      <c r="D43" s="43"/>
      <c r="E43" s="43"/>
      <c r="F43" s="142">
        <f t="shared" si="6"/>
        <v>37</v>
      </c>
      <c r="G43" s="72"/>
      <c r="H43" s="76" t="s">
        <v>62</v>
      </c>
      <c r="I43" s="75"/>
      <c r="J43" s="127">
        <f>IF($A$65=TRUE,C11,0)</f>
        <v>1.7500000000000002E-2</v>
      </c>
      <c r="K43" s="128">
        <f ca="1">+J43*($J$7/$J$49)</f>
        <v>3945.2815598549887</v>
      </c>
      <c r="L43" s="72"/>
      <c r="M43" s="72"/>
      <c r="N43" s="72"/>
      <c r="O43" s="43"/>
      <c r="P43" s="43"/>
      <c r="R43" s="5">
        <v>0</v>
      </c>
      <c r="S43" s="32">
        <v>1</v>
      </c>
      <c r="T43" s="17"/>
      <c r="U43" s="19" t="s">
        <v>56</v>
      </c>
      <c r="V43" s="20">
        <f ca="1">VLOOKUP(R49,R36:AE39,12)</f>
        <v>5.726082370747923E-2</v>
      </c>
      <c r="AA43" s="13"/>
      <c r="AC43" s="13"/>
      <c r="AH43" s="10"/>
      <c r="AL43" s="13"/>
      <c r="AM43" s="13"/>
      <c r="AN43" s="13"/>
      <c r="AO43" s="13"/>
      <c r="AP43" s="13"/>
      <c r="AQ43" s="13"/>
      <c r="AR43" s="13"/>
      <c r="AS43" s="13"/>
      <c r="AT43" s="13"/>
    </row>
    <row r="44" spans="1:46" ht="15.75">
      <c r="A44" s="43"/>
      <c r="B44" s="43"/>
      <c r="C44" s="43"/>
      <c r="D44" s="43"/>
      <c r="E44" s="43"/>
      <c r="F44" s="142">
        <f t="shared" si="6"/>
        <v>38</v>
      </c>
      <c r="G44" s="72"/>
      <c r="H44" s="76" t="s">
        <v>63</v>
      </c>
      <c r="I44" s="75"/>
      <c r="J44" s="127">
        <f t="shared" ref="J44:J46" si="13">IF($A$65=TRUE,C12,0)</f>
        <v>5.1000000000000004E-3</v>
      </c>
      <c r="K44" s="128">
        <f ca="1">+J44*($J$7/$J$49)</f>
        <v>1149.7677688720253</v>
      </c>
      <c r="L44" s="72"/>
      <c r="M44" s="72"/>
      <c r="N44" s="72"/>
      <c r="O44" s="43"/>
      <c r="P44" s="43"/>
      <c r="R44" s="5">
        <v>50</v>
      </c>
      <c r="S44" s="32">
        <v>2</v>
      </c>
      <c r="T44" s="17"/>
      <c r="U44" s="19" t="s">
        <v>31</v>
      </c>
      <c r="V44" s="20">
        <f ca="1">ROUND(1-V43,5)</f>
        <v>0.94274000000000002</v>
      </c>
      <c r="Y44" s="66"/>
      <c r="Z44" s="1"/>
      <c r="AA44" s="1"/>
      <c r="AC44" s="13"/>
      <c r="AF44" s="9"/>
      <c r="AH44" s="10"/>
      <c r="AL44" s="13"/>
      <c r="AM44" s="13"/>
      <c r="AN44" s="13"/>
      <c r="AO44" s="13"/>
      <c r="AP44" s="13"/>
      <c r="AQ44" s="13"/>
      <c r="AR44" s="13"/>
      <c r="AS44" s="13"/>
      <c r="AT44" s="13"/>
    </row>
    <row r="45" spans="1:46" ht="15.75">
      <c r="A45" s="43"/>
      <c r="B45" s="43"/>
      <c r="C45" s="43"/>
      <c r="D45" s="43"/>
      <c r="E45" s="43"/>
      <c r="F45" s="142">
        <f t="shared" si="6"/>
        <v>39</v>
      </c>
      <c r="G45" s="72"/>
      <c r="H45" s="76" t="s">
        <v>66</v>
      </c>
      <c r="I45" s="75"/>
      <c r="J45" s="127">
        <f t="shared" si="13"/>
        <v>0</v>
      </c>
      <c r="K45" s="128">
        <f ca="1">+J45*($J$7/$J$49)</f>
        <v>0</v>
      </c>
      <c r="L45" s="72"/>
      <c r="M45" s="72"/>
      <c r="N45" s="72"/>
      <c r="O45" s="43"/>
      <c r="P45" s="43"/>
      <c r="R45" s="5">
        <v>125</v>
      </c>
      <c r="S45" s="32">
        <v>3</v>
      </c>
      <c r="T45" s="17"/>
      <c r="U45" s="151" t="s">
        <v>107</v>
      </c>
      <c r="V45" s="168">
        <f ca="1">+M7/Revenue-1</f>
        <v>0.16014903588315854</v>
      </c>
      <c r="W45" s="11"/>
      <c r="X45" s="13"/>
      <c r="Y45" s="66"/>
      <c r="Z45" s="10"/>
      <c r="AA45" s="13"/>
      <c r="AC45" s="13"/>
      <c r="AD45" s="13"/>
      <c r="AE45" s="10"/>
      <c r="AF45" s="9"/>
      <c r="AH45" s="10"/>
      <c r="AL45" s="13"/>
      <c r="AM45" s="13"/>
      <c r="AN45" s="13"/>
      <c r="AO45" s="13"/>
      <c r="AP45" s="13"/>
      <c r="AQ45" s="13"/>
      <c r="AR45" s="13"/>
      <c r="AS45" s="13"/>
      <c r="AT45" s="13"/>
    </row>
    <row r="46" spans="1:46" ht="15.75">
      <c r="A46" s="43"/>
      <c r="B46" s="43"/>
      <c r="C46" s="43"/>
      <c r="D46" s="43"/>
      <c r="E46" s="43"/>
      <c r="F46" s="142">
        <f t="shared" si="6"/>
        <v>40</v>
      </c>
      <c r="G46" s="72"/>
      <c r="H46" s="76" t="s">
        <v>69</v>
      </c>
      <c r="I46" s="75"/>
      <c r="J46" s="127">
        <f t="shared" si="13"/>
        <v>0</v>
      </c>
      <c r="K46" s="128">
        <f ca="1">+J46*($J$7/$J$49)</f>
        <v>0</v>
      </c>
      <c r="L46" s="72"/>
      <c r="M46" s="72"/>
      <c r="N46" s="72"/>
      <c r="O46" s="43"/>
      <c r="P46" s="43"/>
      <c r="R46" s="7">
        <v>401</v>
      </c>
      <c r="S46" s="33">
        <v>4</v>
      </c>
      <c r="T46" s="21"/>
      <c r="U46" s="21"/>
      <c r="V46" s="22"/>
      <c r="X46" s="13"/>
      <c r="Y46" s="14"/>
      <c r="Z46" s="10"/>
      <c r="AA46" s="13"/>
      <c r="AC46" s="13"/>
      <c r="AD46" s="13"/>
      <c r="AE46" s="10"/>
      <c r="AF46" s="9"/>
      <c r="AH46" s="10"/>
      <c r="AL46" s="13"/>
      <c r="AM46" s="13"/>
      <c r="AN46" s="13"/>
      <c r="AO46" s="13"/>
      <c r="AP46" s="13"/>
      <c r="AQ46" s="13"/>
      <c r="AR46" s="13"/>
      <c r="AS46" s="13"/>
      <c r="AT46" s="13"/>
    </row>
    <row r="47" spans="1:46" ht="16.5" thickBot="1">
      <c r="A47" s="43"/>
      <c r="B47" s="43"/>
      <c r="C47" s="43"/>
      <c r="D47" s="43"/>
      <c r="E47" s="43"/>
      <c r="F47" s="142">
        <f t="shared" si="6"/>
        <v>41</v>
      </c>
      <c r="G47" s="72"/>
      <c r="H47" s="76" t="s">
        <v>71</v>
      </c>
      <c r="I47" s="74"/>
      <c r="J47" s="137">
        <f>SUM(J43:J46)</f>
        <v>2.2600000000000002E-2</v>
      </c>
      <c r="K47" s="136">
        <f ca="1">+K43+K44+K45+K46</f>
        <v>5095.0493287270137</v>
      </c>
      <c r="L47" s="72"/>
      <c r="M47" s="72"/>
      <c r="N47" s="72"/>
      <c r="O47" s="43"/>
      <c r="P47" s="43"/>
      <c r="R47" s="5"/>
      <c r="S47" s="172"/>
      <c r="T47" s="17"/>
      <c r="U47" s="17"/>
      <c r="V47" s="17"/>
      <c r="X47" s="13"/>
      <c r="Y47" s="14"/>
      <c r="Z47" s="10"/>
      <c r="AA47" s="13"/>
      <c r="AC47" s="13"/>
      <c r="AD47" s="13"/>
      <c r="AE47" s="10"/>
      <c r="AF47" s="9"/>
      <c r="AH47" s="10"/>
      <c r="AL47" s="13"/>
      <c r="AM47" s="13"/>
      <c r="AN47" s="13"/>
      <c r="AO47" s="13"/>
      <c r="AP47" s="13"/>
      <c r="AQ47" s="13"/>
      <c r="AR47" s="13"/>
      <c r="AS47" s="13"/>
      <c r="AT47" s="13"/>
    </row>
    <row r="48" spans="1:46" ht="16.5" thickTop="1">
      <c r="A48" s="43"/>
      <c r="B48" s="43"/>
      <c r="C48" s="43"/>
      <c r="D48" s="43"/>
      <c r="E48" s="43"/>
      <c r="F48" s="142">
        <f t="shared" si="6"/>
        <v>42</v>
      </c>
      <c r="G48" s="72"/>
      <c r="H48" s="76"/>
      <c r="I48" s="74"/>
      <c r="J48" s="171"/>
      <c r="K48" s="105"/>
      <c r="L48" s="72"/>
      <c r="M48" s="72"/>
      <c r="N48" s="72"/>
      <c r="O48" s="43"/>
      <c r="P48" s="43"/>
      <c r="R48" s="147">
        <f ca="1">VLOOKUP(R49,R36:S39,2)</f>
        <v>160.7903590315893</v>
      </c>
      <c r="S48" s="148" t="s">
        <v>64</v>
      </c>
      <c r="T48" s="16"/>
      <c r="V48" s="163"/>
      <c r="X48" t="s">
        <v>65</v>
      </c>
      <c r="AC48" s="13"/>
      <c r="AF48" s="9"/>
      <c r="AH48" s="10"/>
    </row>
    <row r="49" spans="1:46" ht="15.75">
      <c r="A49" s="43"/>
      <c r="B49" s="43"/>
      <c r="C49" s="43"/>
      <c r="D49" s="43"/>
      <c r="E49" s="43"/>
      <c r="F49" s="142">
        <f t="shared" si="6"/>
        <v>43</v>
      </c>
      <c r="G49" s="178"/>
      <c r="H49" s="197" t="s">
        <v>73</v>
      </c>
      <c r="I49" s="100"/>
      <c r="J49" s="198">
        <f ca="1">((K35)-J47)</f>
        <v>0.92032944848148046</v>
      </c>
      <c r="K49" s="100"/>
      <c r="L49" s="100"/>
      <c r="M49" s="100"/>
      <c r="N49" s="100"/>
      <c r="O49" s="43"/>
      <c r="P49" s="43"/>
      <c r="R49" s="149">
        <f ca="1">VLOOKUP(S36,R43:S46,2)</f>
        <v>3</v>
      </c>
      <c r="S49" s="150" t="s">
        <v>67</v>
      </c>
      <c r="T49" s="18"/>
      <c r="X49" t="s">
        <v>68</v>
      </c>
      <c r="AA49" s="1"/>
      <c r="AC49" s="13"/>
      <c r="AH49" s="10"/>
    </row>
    <row r="50" spans="1:46">
      <c r="A50" s="43"/>
      <c r="B50" s="43"/>
      <c r="C50" s="43"/>
      <c r="D50" s="43"/>
      <c r="E50" s="43"/>
      <c r="F50" s="43"/>
      <c r="G50" s="43"/>
      <c r="H50" s="43"/>
      <c r="I50" s="43"/>
      <c r="J50" s="43"/>
      <c r="K50" s="47"/>
      <c r="L50" s="43"/>
      <c r="M50" s="43"/>
      <c r="N50" s="48"/>
      <c r="O50" s="43"/>
      <c r="P50" s="43"/>
      <c r="R50" s="149"/>
      <c r="S50" s="151"/>
      <c r="T50" s="18"/>
      <c r="X50" t="s">
        <v>70</v>
      </c>
      <c r="AA50" s="13"/>
      <c r="AC50" s="13"/>
      <c r="AD50" s="13"/>
      <c r="AE50" s="10"/>
      <c r="AH50" s="10"/>
    </row>
    <row r="51" spans="1:46">
      <c r="A51" s="43"/>
      <c r="B51" s="43"/>
      <c r="C51" s="43"/>
      <c r="D51" s="43"/>
      <c r="E51" s="43"/>
      <c r="F51" s="43"/>
      <c r="G51" s="43"/>
      <c r="H51" s="43"/>
      <c r="I51" s="43"/>
      <c r="J51" s="43"/>
      <c r="K51" s="47"/>
      <c r="L51" s="43"/>
      <c r="M51" s="43"/>
      <c r="N51" s="48"/>
      <c r="O51" s="43"/>
      <c r="P51" s="43"/>
      <c r="R51" s="152">
        <f ca="1">+V44</f>
        <v>0.94274000000000002</v>
      </c>
      <c r="S51" s="146" t="s">
        <v>31</v>
      </c>
      <c r="T51" s="26"/>
      <c r="X51" t="s">
        <v>72</v>
      </c>
      <c r="AA51" s="13"/>
      <c r="AC51" s="13"/>
      <c r="AD51" s="13"/>
      <c r="AE51" s="10"/>
      <c r="AF51" s="13"/>
      <c r="AH51" s="10"/>
      <c r="AL51" s="13"/>
      <c r="AM51" s="13"/>
      <c r="AN51" s="13"/>
      <c r="AO51" s="13"/>
      <c r="AP51" s="13"/>
      <c r="AQ51" s="13"/>
      <c r="AR51" s="13"/>
      <c r="AS51" s="13"/>
      <c r="AT51" s="13"/>
    </row>
    <row r="52" spans="1:46">
      <c r="A52" s="43"/>
      <c r="B52" s="43"/>
      <c r="C52" s="43"/>
      <c r="D52" s="43"/>
      <c r="E52" s="43"/>
      <c r="F52" s="43"/>
      <c r="G52" s="43"/>
      <c r="H52" s="43"/>
      <c r="I52" s="43"/>
      <c r="J52" s="43"/>
      <c r="K52" s="43"/>
      <c r="L52" s="43"/>
      <c r="M52" s="43"/>
      <c r="N52" s="43"/>
      <c r="O52" s="43"/>
      <c r="P52" s="43"/>
      <c r="Z52" s="10"/>
      <c r="AA52" s="13"/>
      <c r="AC52" s="13"/>
      <c r="AD52" s="13"/>
      <c r="AE52" s="10"/>
      <c r="AF52" s="9"/>
      <c r="AH52" s="10"/>
      <c r="AL52" s="13"/>
      <c r="AM52" s="13"/>
      <c r="AN52" s="13"/>
      <c r="AO52" s="13"/>
      <c r="AP52" s="13"/>
      <c r="AQ52" s="13"/>
      <c r="AR52" s="13"/>
      <c r="AS52" s="13"/>
      <c r="AT52" s="13"/>
    </row>
    <row r="53" spans="1:46">
      <c r="A53" s="43"/>
      <c r="B53" s="43"/>
      <c r="C53" s="43"/>
      <c r="D53" s="43"/>
      <c r="E53" s="43"/>
      <c r="F53" s="43"/>
      <c r="G53" s="43"/>
      <c r="H53" s="43"/>
      <c r="I53" s="43"/>
      <c r="J53" s="44"/>
      <c r="K53" s="44"/>
      <c r="L53" s="44"/>
      <c r="M53" s="44"/>
      <c r="N53" s="43"/>
      <c r="O53" s="43"/>
      <c r="P53" s="43"/>
      <c r="R53"/>
      <c r="Z53" s="10"/>
      <c r="AA53" s="13"/>
      <c r="AC53" s="13"/>
      <c r="AD53" s="13"/>
      <c r="AE53" s="10"/>
      <c r="AF53" s="9"/>
      <c r="AH53" s="10"/>
      <c r="AL53" s="13"/>
      <c r="AM53" s="13"/>
      <c r="AN53" s="13"/>
      <c r="AO53" s="13"/>
      <c r="AP53" s="13"/>
      <c r="AQ53" s="13"/>
      <c r="AR53" s="13"/>
      <c r="AS53" s="13"/>
      <c r="AT53" s="13"/>
    </row>
    <row r="54" spans="1:46" ht="15.75">
      <c r="A54" s="43"/>
      <c r="B54" s="43"/>
      <c r="C54" s="43"/>
      <c r="D54" s="43"/>
      <c r="E54" s="43"/>
      <c r="F54" s="43"/>
      <c r="G54" s="43"/>
      <c r="H54" s="43"/>
      <c r="I54" s="43"/>
      <c r="J54" s="43"/>
      <c r="K54" s="44"/>
      <c r="L54" s="44"/>
      <c r="M54" s="44"/>
      <c r="N54" s="43"/>
      <c r="O54" s="43"/>
      <c r="P54" s="43"/>
      <c r="R54"/>
      <c r="S54" t="s">
        <v>74</v>
      </c>
      <c r="T54" s="13"/>
      <c r="U54" s="23"/>
      <c r="W54" s="68" t="s">
        <v>75</v>
      </c>
      <c r="X54" s="59"/>
      <c r="Y54" s="59"/>
      <c r="Z54" s="59"/>
      <c r="AC54" s="13"/>
      <c r="AF54" s="9"/>
      <c r="AH54" s="10"/>
      <c r="AL54" s="13"/>
      <c r="AM54" s="13"/>
      <c r="AN54" s="13"/>
      <c r="AO54" s="13"/>
      <c r="AP54" s="13"/>
      <c r="AQ54" s="13"/>
      <c r="AR54" s="13"/>
      <c r="AS54" s="13"/>
      <c r="AT54" s="13"/>
    </row>
    <row r="55" spans="1:46">
      <c r="A55" s="43"/>
      <c r="B55" s="43"/>
      <c r="C55" s="43"/>
      <c r="D55" s="43"/>
      <c r="E55" s="43"/>
      <c r="F55" s="43"/>
      <c r="G55" s="43"/>
      <c r="H55" s="43"/>
      <c r="I55" s="43"/>
      <c r="J55" s="43"/>
      <c r="K55" s="43"/>
      <c r="L55" s="50"/>
      <c r="M55" s="50"/>
      <c r="N55" s="43"/>
      <c r="O55" s="43"/>
      <c r="P55" s="43"/>
      <c r="R55" s="24"/>
      <c r="S55" s="166" t="s">
        <v>46</v>
      </c>
      <c r="T55" s="166" t="s">
        <v>76</v>
      </c>
      <c r="U55" s="167" t="s">
        <v>49</v>
      </c>
      <c r="W55" s="54" t="s">
        <v>77</v>
      </c>
      <c r="X55" s="63">
        <v>5.7225999999999999</v>
      </c>
      <c r="Y55" s="62" t="s">
        <v>78</v>
      </c>
      <c r="Z55" s="65">
        <v>5.6985000000000001</v>
      </c>
      <c r="AA55" s="1"/>
      <c r="AC55" s="13"/>
      <c r="AH55" s="10"/>
    </row>
    <row r="56" spans="1:46">
      <c r="A56" s="43"/>
      <c r="B56" s="43"/>
      <c r="C56" s="43"/>
      <c r="D56" s="43"/>
      <c r="E56" s="43"/>
      <c r="F56" s="43"/>
      <c r="G56" s="43"/>
      <c r="H56" s="43"/>
      <c r="I56" s="43"/>
      <c r="J56" s="50"/>
      <c r="K56" s="43"/>
      <c r="L56" s="50"/>
      <c r="M56" s="50"/>
      <c r="N56" s="43"/>
      <c r="O56" s="43"/>
      <c r="P56" s="43"/>
      <c r="R56" s="25" t="s">
        <v>29</v>
      </c>
      <c r="S56" s="164">
        <v>0.56200000000000006</v>
      </c>
      <c r="T56" s="164">
        <v>6.3799999999999996E-2</v>
      </c>
      <c r="U56" s="20">
        <f>ROUND(+S56*T56,5)</f>
        <v>3.5860000000000003E-2</v>
      </c>
      <c r="W56" s="55" t="s">
        <v>79</v>
      </c>
      <c r="X56" s="64">
        <v>5.7082699999999997</v>
      </c>
      <c r="Y56" s="61" t="s">
        <v>80</v>
      </c>
      <c r="Z56" s="67">
        <v>5.6921999999999997</v>
      </c>
      <c r="AA56" s="13"/>
      <c r="AC56" s="13"/>
      <c r="AD56" s="13"/>
      <c r="AE56" s="10"/>
      <c r="AH56" s="10"/>
    </row>
    <row r="57" spans="1:46">
      <c r="A57" s="43"/>
      <c r="B57" s="43"/>
      <c r="C57" s="43"/>
      <c r="D57" s="43"/>
      <c r="E57" s="44"/>
      <c r="F57" s="43"/>
      <c r="G57" s="43"/>
      <c r="H57" s="43"/>
      <c r="I57" s="43"/>
      <c r="J57" s="50"/>
      <c r="K57" s="43"/>
      <c r="L57" s="50"/>
      <c r="M57" s="50"/>
      <c r="N57" s="43"/>
      <c r="O57" s="43"/>
      <c r="P57" s="43"/>
      <c r="R57" s="25" t="s">
        <v>81</v>
      </c>
      <c r="S57" s="164">
        <v>9.4E-2</v>
      </c>
      <c r="T57" s="164">
        <v>6.59E-2</v>
      </c>
      <c r="U57" s="20">
        <f>ROUND(+S57*T57,5)</f>
        <v>6.1900000000000002E-3</v>
      </c>
      <c r="W57" s="25"/>
      <c r="X57" s="17"/>
      <c r="Y57" s="60"/>
      <c r="Z57" s="56"/>
      <c r="AA57" s="13"/>
      <c r="AC57" s="13"/>
      <c r="AD57" s="13"/>
      <c r="AE57" s="10"/>
      <c r="AF57" s="9"/>
      <c r="AH57" s="10"/>
      <c r="AL57" s="13"/>
    </row>
    <row r="58" spans="1:46" ht="15.75">
      <c r="A58" s="43"/>
      <c r="B58" s="43"/>
      <c r="C58" s="43"/>
      <c r="D58" s="43"/>
      <c r="E58" s="44"/>
      <c r="F58" s="44"/>
      <c r="G58" s="44"/>
      <c r="H58" s="51"/>
      <c r="I58" s="44"/>
      <c r="J58" s="50"/>
      <c r="K58" s="43"/>
      <c r="L58" s="43"/>
      <c r="M58" s="43"/>
      <c r="N58" s="43"/>
      <c r="O58" s="43"/>
      <c r="P58" s="43"/>
      <c r="R58" s="25" t="s">
        <v>27</v>
      </c>
      <c r="S58" s="165">
        <v>0.34399999999999997</v>
      </c>
      <c r="T58" s="111"/>
      <c r="U58" s="112"/>
      <c r="W58" s="27"/>
      <c r="X58" s="57" t="s">
        <v>82</v>
      </c>
      <c r="Y58" s="69">
        <v>0.68367</v>
      </c>
      <c r="Z58" s="58"/>
      <c r="AA58" s="13"/>
      <c r="AC58" s="13"/>
      <c r="AD58" s="13"/>
      <c r="AE58" s="10"/>
      <c r="AF58" s="9"/>
      <c r="AH58" s="10"/>
    </row>
    <row r="59" spans="1:46" ht="15.75">
      <c r="A59" s="43"/>
      <c r="B59" s="43"/>
      <c r="C59" s="43"/>
      <c r="D59" s="43"/>
      <c r="E59" s="43"/>
      <c r="F59" s="43"/>
      <c r="G59" s="43"/>
      <c r="H59" s="43"/>
      <c r="I59" s="43"/>
      <c r="J59" s="43"/>
      <c r="K59" s="43"/>
      <c r="L59" s="43"/>
      <c r="M59" s="43"/>
      <c r="N59" s="43"/>
      <c r="O59" s="43"/>
      <c r="P59" s="43"/>
      <c r="R59" s="27"/>
      <c r="S59" s="165">
        <f>SUM(S56:S58)</f>
        <v>1</v>
      </c>
      <c r="T59" s="113"/>
      <c r="U59" s="114"/>
      <c r="X59" s="13"/>
      <c r="Y59" s="14"/>
      <c r="Z59" s="10"/>
      <c r="AA59" s="13"/>
      <c r="AC59" s="13"/>
      <c r="AD59" s="13"/>
      <c r="AE59" s="10"/>
      <c r="AF59" s="9"/>
      <c r="AH59" s="10"/>
    </row>
    <row r="60" spans="1:46">
      <c r="A60" s="43"/>
      <c r="B60" s="43"/>
      <c r="C60" s="43"/>
      <c r="D60" s="43"/>
      <c r="E60" s="43"/>
      <c r="F60" s="43"/>
      <c r="G60" s="43"/>
      <c r="H60" s="43"/>
      <c r="I60" s="43"/>
      <c r="J60" s="43"/>
      <c r="K60" s="43"/>
      <c r="L60" s="43"/>
      <c r="M60" s="43"/>
      <c r="N60" s="43"/>
      <c r="O60" s="43"/>
      <c r="P60" s="43"/>
      <c r="X60" s="53"/>
      <c r="AC60" s="13"/>
      <c r="AF60" s="9"/>
      <c r="AH60" s="10"/>
      <c r="AL60" s="9"/>
      <c r="AM60" s="9"/>
      <c r="AN60" s="9"/>
      <c r="AO60" s="9"/>
      <c r="AP60" s="9"/>
      <c r="AQ60" s="9"/>
      <c r="AR60" s="9"/>
      <c r="AS60" s="9"/>
      <c r="AT60" s="9"/>
    </row>
    <row r="61" spans="1:46">
      <c r="A61" s="43"/>
      <c r="B61" s="43"/>
      <c r="C61" s="43"/>
      <c r="D61" s="43"/>
      <c r="E61" s="44"/>
      <c r="F61" s="43"/>
      <c r="G61" s="43"/>
      <c r="H61" s="43"/>
      <c r="I61" s="43"/>
      <c r="J61" s="43"/>
      <c r="K61" s="43"/>
      <c r="L61" s="43"/>
      <c r="M61" s="43"/>
      <c r="N61" s="43"/>
      <c r="O61" s="43"/>
      <c r="P61" s="43"/>
      <c r="W61" s="154" t="s">
        <v>51</v>
      </c>
      <c r="X61" s="155"/>
      <c r="Y61" s="163" t="s">
        <v>52</v>
      </c>
      <c r="Z61" s="153" t="s">
        <v>17</v>
      </c>
      <c r="AC61" s="13"/>
      <c r="AH61" s="10"/>
      <c r="AL61" s="9"/>
      <c r="AM61" s="9"/>
      <c r="AN61" s="9"/>
      <c r="AO61" s="9"/>
      <c r="AP61" s="9"/>
      <c r="AQ61" s="9"/>
      <c r="AR61" s="9"/>
      <c r="AS61" s="9"/>
      <c r="AT61" s="9"/>
    </row>
    <row r="62" spans="1:46">
      <c r="A62" s="43"/>
      <c r="B62" s="43"/>
      <c r="C62" s="43"/>
      <c r="D62" s="43"/>
      <c r="E62" s="43"/>
      <c r="F62" s="44"/>
      <c r="G62" s="44"/>
      <c r="H62" s="44"/>
      <c r="I62" s="44"/>
      <c r="J62" s="44"/>
      <c r="K62" s="44"/>
      <c r="L62" s="44"/>
      <c r="M62" s="44"/>
      <c r="N62" s="44"/>
      <c r="O62" s="43"/>
      <c r="P62" s="43"/>
      <c r="W62" s="156"/>
      <c r="X62" s="109"/>
      <c r="Y62" s="109"/>
      <c r="Z62" s="157"/>
      <c r="AC62" s="13"/>
      <c r="AD62" s="13"/>
      <c r="AE62" s="10"/>
      <c r="AH62" s="10"/>
      <c r="AL62" s="9"/>
      <c r="AM62" s="9"/>
      <c r="AN62" s="9"/>
      <c r="AO62" s="9"/>
      <c r="AP62" s="9"/>
      <c r="AQ62" s="9"/>
      <c r="AR62" s="9"/>
      <c r="AS62" s="9"/>
      <c r="AT62" s="9"/>
    </row>
    <row r="63" spans="1:46">
      <c r="A63" s="43"/>
      <c r="B63" s="43"/>
      <c r="C63" s="43"/>
      <c r="D63" s="43"/>
      <c r="E63" s="43"/>
      <c r="F63" s="43"/>
      <c r="G63" s="43"/>
      <c r="H63" s="43"/>
      <c r="I63" s="43"/>
      <c r="J63" s="43"/>
      <c r="K63" s="43"/>
      <c r="L63" s="43"/>
      <c r="M63" s="43"/>
      <c r="N63" s="43"/>
      <c r="O63" s="43"/>
      <c r="P63" s="43"/>
      <c r="W63" s="25" t="s">
        <v>54</v>
      </c>
      <c r="X63" s="109"/>
      <c r="Y63" s="20">
        <f t="shared" ref="Y63:Y68" ca="1" si="14">+J33</f>
        <v>9.176386297338672E-2</v>
      </c>
      <c r="Z63" s="20">
        <f ca="1">+K33</f>
        <v>8.0493722753748248E-2</v>
      </c>
      <c r="AC63" s="13"/>
      <c r="AD63" s="13"/>
      <c r="AE63" s="10"/>
      <c r="AF63" s="9"/>
      <c r="AH63" s="10"/>
      <c r="AL63" s="9"/>
      <c r="AM63" s="9"/>
      <c r="AN63" s="9"/>
      <c r="AO63" s="9"/>
      <c r="AP63" s="9"/>
      <c r="AQ63" s="9"/>
      <c r="AR63" s="9"/>
      <c r="AS63" s="9"/>
      <c r="AT63" s="9"/>
    </row>
    <row r="64" spans="1:46">
      <c r="A64" s="43"/>
      <c r="B64" s="43"/>
      <c r="C64" s="43"/>
      <c r="D64" s="43"/>
      <c r="E64" s="43"/>
      <c r="F64" s="43"/>
      <c r="G64" s="43"/>
      <c r="H64" s="43"/>
      <c r="I64" s="43"/>
      <c r="J64" s="43"/>
      <c r="K64" s="43"/>
      <c r="L64" s="43"/>
      <c r="M64" s="43"/>
      <c r="N64" s="43"/>
      <c r="O64" s="43"/>
      <c r="P64" s="43"/>
      <c r="W64" s="25" t="s">
        <v>55</v>
      </c>
      <c r="X64" s="109"/>
      <c r="Y64" s="20">
        <f t="shared" ca="1" si="14"/>
        <v>0.25019203839312143</v>
      </c>
      <c r="Z64" s="20">
        <f t="shared" ref="Z64:Z68" ca="1" si="15">+K34</f>
        <v>0.19765171033056597</v>
      </c>
      <c r="AC64" s="13"/>
      <c r="AD64" s="13"/>
      <c r="AE64" s="10"/>
      <c r="AF64" s="9"/>
      <c r="AH64" s="10"/>
    </row>
    <row r="65" spans="1:38">
      <c r="A65" t="b">
        <v>1</v>
      </c>
      <c r="F65" s="43"/>
      <c r="G65" s="43"/>
      <c r="H65" s="43"/>
      <c r="I65" s="43"/>
      <c r="J65" s="43"/>
      <c r="K65" s="43"/>
      <c r="L65" s="43"/>
      <c r="M65" s="43"/>
      <c r="N65" s="43"/>
      <c r="W65" s="25" t="s">
        <v>31</v>
      </c>
      <c r="X65" s="109"/>
      <c r="Y65" s="20">
        <f t="shared" ca="1" si="14"/>
        <v>0.94274000000000002</v>
      </c>
      <c r="Z65" s="20">
        <f t="shared" ca="1" si="15"/>
        <v>0.94292944848148041</v>
      </c>
      <c r="AC65" s="13"/>
      <c r="AD65" s="13"/>
      <c r="AE65" s="10"/>
      <c r="AF65" s="9"/>
      <c r="AH65" s="10"/>
    </row>
    <row r="66" spans="1:38">
      <c r="H66" s="9"/>
      <c r="I66" s="9"/>
      <c r="J66" s="9"/>
      <c r="K66" s="9"/>
      <c r="L66" s="9"/>
      <c r="M66" s="9"/>
      <c r="N66" s="9"/>
      <c r="O66" s="9"/>
      <c r="W66" s="25" t="s">
        <v>56</v>
      </c>
      <c r="X66" s="109"/>
      <c r="Y66" s="20">
        <f t="shared" ca="1" si="14"/>
        <v>5.7259999999999936E-2</v>
      </c>
      <c r="Z66" s="20">
        <f t="shared" ca="1" si="15"/>
        <v>5.7259999999999936E-2</v>
      </c>
      <c r="AC66" s="13"/>
      <c r="AF66" s="9"/>
      <c r="AH66" s="10"/>
      <c r="AL66" s="9"/>
    </row>
    <row r="67" spans="1:38">
      <c r="H67" s="9"/>
      <c r="I67" s="9"/>
      <c r="J67" s="9"/>
      <c r="K67" s="9"/>
      <c r="L67" s="9"/>
      <c r="M67" s="9"/>
      <c r="N67" s="9"/>
      <c r="O67" s="9"/>
      <c r="W67" s="25" t="s">
        <v>57</v>
      </c>
      <c r="X67" s="159"/>
      <c r="Y67" s="20">
        <f t="shared" ca="1" si="14"/>
        <v>1.6073991117907662</v>
      </c>
      <c r="Z67" s="20">
        <f t="shared" ca="1" si="15"/>
        <v>1.6073991117907662</v>
      </c>
      <c r="AC67" s="13"/>
      <c r="AH67" s="10"/>
    </row>
    <row r="68" spans="1:38">
      <c r="O68" s="9"/>
      <c r="W68" s="25" t="s">
        <v>58</v>
      </c>
      <c r="X68" s="110"/>
      <c r="Y68" s="20">
        <f t="shared" si="14"/>
        <v>0.21</v>
      </c>
      <c r="Z68" s="20">
        <f t="shared" si="15"/>
        <v>0.21</v>
      </c>
      <c r="AC68" s="13"/>
      <c r="AD68" s="13"/>
      <c r="AE68" s="10"/>
      <c r="AH68" s="10"/>
    </row>
    <row r="69" spans="1:38" ht="15.75">
      <c r="O69" s="9"/>
      <c r="W69" s="25"/>
      <c r="X69" s="17"/>
      <c r="Y69" s="111"/>
      <c r="Z69" s="158"/>
      <c r="AC69" s="13"/>
      <c r="AD69" s="13"/>
      <c r="AE69" s="10"/>
      <c r="AF69" s="9"/>
      <c r="AH69" s="10"/>
    </row>
    <row r="70" spans="1:38">
      <c r="O70" s="9"/>
      <c r="W70" s="27"/>
      <c r="X70" s="160"/>
      <c r="Y70" s="161"/>
      <c r="Z70" s="162"/>
      <c r="AA70" s="13"/>
      <c r="AC70" s="13"/>
      <c r="AD70" s="13"/>
      <c r="AE70" s="10"/>
      <c r="AF70" s="9"/>
      <c r="AH70" s="10"/>
    </row>
    <row r="71" spans="1:38">
      <c r="X71" s="13"/>
      <c r="Y71" s="14"/>
      <c r="Z71" s="10"/>
      <c r="AA71" s="13"/>
      <c r="AC71" s="13"/>
      <c r="AD71" s="13"/>
      <c r="AE71" s="10"/>
      <c r="AF71" s="9"/>
      <c r="AH71" s="10"/>
    </row>
    <row r="72" spans="1:38">
      <c r="AC72" s="13"/>
      <c r="AF72" s="9"/>
      <c r="AH72" s="10"/>
    </row>
    <row r="73" spans="1:38">
      <c r="Y73" s="1"/>
      <c r="Z73" s="1"/>
      <c r="AA73" s="1"/>
      <c r="AC73" s="13"/>
      <c r="AH73" s="10"/>
    </row>
    <row r="74" spans="1:38">
      <c r="X74" s="13"/>
      <c r="Y74" s="14"/>
      <c r="Z74" s="10"/>
      <c r="AA74" s="13"/>
      <c r="AC74" s="13"/>
      <c r="AD74" s="13"/>
      <c r="AE74" s="10"/>
      <c r="AH74" s="10"/>
    </row>
    <row r="75" spans="1:38">
      <c r="X75" s="13"/>
      <c r="Y75" s="14"/>
      <c r="Z75" s="10"/>
      <c r="AA75" s="13"/>
      <c r="AC75" s="13"/>
      <c r="AD75" s="13"/>
      <c r="AE75" s="10"/>
      <c r="AF75" s="9"/>
      <c r="AH75" s="10"/>
    </row>
    <row r="76" spans="1:38">
      <c r="X76" s="13"/>
      <c r="Y76" s="14"/>
      <c r="Z76" s="10"/>
      <c r="AA76" s="13"/>
      <c r="AC76" s="13"/>
      <c r="AD76" s="13"/>
      <c r="AE76" s="10"/>
      <c r="AF76" s="9"/>
      <c r="AH76" s="10"/>
    </row>
    <row r="77" spans="1:38">
      <c r="X77" s="13"/>
      <c r="Y77" s="14"/>
      <c r="Z77" s="10"/>
      <c r="AA77" s="13"/>
      <c r="AC77" s="13"/>
      <c r="AD77" s="13"/>
      <c r="AE77" s="10"/>
      <c r="AF77" s="9"/>
      <c r="AH77" s="10"/>
    </row>
    <row r="78" spans="1:38">
      <c r="AC78" s="13"/>
      <c r="AF78" s="9"/>
      <c r="AH78" s="10"/>
    </row>
    <row r="80" spans="1:38">
      <c r="X80" s="13"/>
      <c r="Y80" s="14"/>
      <c r="Z80" s="10"/>
      <c r="AA80" s="13"/>
      <c r="AD80" s="13"/>
      <c r="AE80" s="10"/>
    </row>
    <row r="81" spans="24:32">
      <c r="X81" s="13"/>
      <c r="Y81" s="14"/>
      <c r="Z81" s="10"/>
      <c r="AA81" s="13"/>
      <c r="AD81" s="13"/>
      <c r="AE81" s="10"/>
      <c r="AF81" s="9"/>
    </row>
    <row r="82" spans="24:32">
      <c r="X82" s="13"/>
      <c r="Y82" s="14"/>
      <c r="Z82" s="10"/>
      <c r="AA82" s="13"/>
      <c r="AD82" s="13"/>
      <c r="AE82" s="10"/>
      <c r="AF82" s="9"/>
    </row>
    <row r="83" spans="24:32">
      <c r="X83" s="13"/>
      <c r="Y83" s="14"/>
      <c r="Z83" s="10"/>
      <c r="AA83" s="13"/>
      <c r="AD83" s="13"/>
      <c r="AE83" s="10"/>
      <c r="AF83" s="9"/>
    </row>
    <row r="84" spans="24:32">
      <c r="AF84" s="9"/>
    </row>
    <row r="86" spans="24:32">
      <c r="X86" s="13"/>
      <c r="Y86" s="14"/>
      <c r="Z86" s="10"/>
      <c r="AA86" s="13"/>
      <c r="AD86" s="13"/>
      <c r="AE86" s="10"/>
    </row>
    <row r="87" spans="24:32">
      <c r="X87" s="13"/>
      <c r="Y87" s="14"/>
      <c r="Z87" s="10"/>
      <c r="AA87" s="13"/>
      <c r="AD87" s="13"/>
      <c r="AE87" s="10"/>
      <c r="AF87" s="9"/>
    </row>
    <row r="88" spans="24:32">
      <c r="X88" s="13"/>
      <c r="Y88" s="14"/>
      <c r="Z88" s="10"/>
      <c r="AA88" s="13"/>
      <c r="AD88" s="13"/>
      <c r="AE88" s="10"/>
      <c r="AF88" s="9"/>
    </row>
    <row r="89" spans="24:32">
      <c r="X89" s="13"/>
      <c r="Y89" s="14"/>
      <c r="Z89" s="10"/>
      <c r="AA89" s="13"/>
      <c r="AD89" s="13"/>
      <c r="AE89" s="10"/>
      <c r="AF89" s="9"/>
    </row>
    <row r="90" spans="24:32">
      <c r="AF90" s="9"/>
    </row>
    <row r="92" spans="24:32">
      <c r="X92" s="13"/>
      <c r="Y92" s="14"/>
      <c r="Z92" s="10"/>
      <c r="AA92" s="13"/>
      <c r="AD92" s="13"/>
      <c r="AE92" s="10"/>
    </row>
    <row r="93" spans="24:32">
      <c r="X93" s="13"/>
      <c r="Y93" s="14"/>
      <c r="Z93" s="10"/>
      <c r="AA93" s="13"/>
      <c r="AD93" s="13"/>
      <c r="AE93" s="10"/>
      <c r="AF93" s="9"/>
    </row>
    <row r="94" spans="24:32">
      <c r="X94" s="13"/>
      <c r="Y94" s="14"/>
      <c r="Z94" s="10"/>
      <c r="AA94" s="13"/>
      <c r="AD94" s="13"/>
      <c r="AE94" s="10"/>
      <c r="AF94" s="9"/>
    </row>
    <row r="95" spans="24:32">
      <c r="X95" s="13"/>
      <c r="Y95" s="14"/>
      <c r="Z95" s="10"/>
      <c r="AA95" s="13"/>
      <c r="AD95" s="13"/>
      <c r="AE95" s="10"/>
      <c r="AF95" s="9"/>
    </row>
    <row r="96" spans="24:32">
      <c r="AF96" s="9"/>
    </row>
    <row r="98" spans="24:32">
      <c r="X98" s="13"/>
      <c r="Y98" s="14"/>
      <c r="Z98" s="10"/>
      <c r="AA98" s="13"/>
      <c r="AD98" s="13"/>
      <c r="AE98" s="10"/>
    </row>
    <row r="99" spans="24:32">
      <c r="X99" s="13"/>
      <c r="Y99" s="14"/>
      <c r="Z99" s="10"/>
      <c r="AA99" s="13"/>
      <c r="AD99" s="13"/>
      <c r="AE99" s="10"/>
      <c r="AF99" s="9"/>
    </row>
    <row r="100" spans="24:32">
      <c r="X100" s="13"/>
      <c r="Y100" s="14"/>
      <c r="Z100" s="10"/>
      <c r="AA100" s="13"/>
      <c r="AD100" s="13"/>
      <c r="AE100" s="10"/>
      <c r="AF100" s="9"/>
    </row>
    <row r="101" spans="24:32">
      <c r="X101" s="13"/>
      <c r="Y101" s="14"/>
      <c r="Z101" s="10"/>
      <c r="AA101" s="13"/>
      <c r="AD101" s="13"/>
      <c r="AE101" s="10"/>
      <c r="AF101" s="9"/>
    </row>
    <row r="102" spans="24:32">
      <c r="AF102" s="9"/>
    </row>
    <row r="104" spans="24:32">
      <c r="X104" s="13"/>
      <c r="Y104" s="14"/>
      <c r="Z104" s="10"/>
      <c r="AA104" s="13"/>
      <c r="AD104" s="13"/>
      <c r="AE104" s="10"/>
    </row>
    <row r="105" spans="24:32">
      <c r="X105" s="13"/>
      <c r="Y105" s="14"/>
      <c r="Z105" s="10"/>
      <c r="AA105" s="13"/>
      <c r="AD105" s="13"/>
      <c r="AE105" s="10"/>
      <c r="AF105" s="9"/>
    </row>
    <row r="106" spans="24:32">
      <c r="X106" s="13"/>
      <c r="Y106" s="14"/>
      <c r="Z106" s="10"/>
      <c r="AA106" s="13"/>
      <c r="AD106" s="13"/>
      <c r="AE106" s="10"/>
      <c r="AF106" s="9"/>
    </row>
    <row r="107" spans="24:32">
      <c r="X107" s="13"/>
      <c r="Y107" s="14"/>
      <c r="Z107" s="10"/>
      <c r="AA107" s="13"/>
      <c r="AD107" s="13"/>
      <c r="AE107" s="10"/>
      <c r="AF107" s="9"/>
    </row>
    <row r="108" spans="24:32">
      <c r="AF108" s="9"/>
    </row>
    <row r="110" spans="24:32">
      <c r="X110" s="13"/>
      <c r="Y110" s="14"/>
      <c r="Z110" s="10"/>
      <c r="AA110" s="13"/>
      <c r="AD110" s="13"/>
      <c r="AE110" s="10"/>
    </row>
    <row r="111" spans="24:32">
      <c r="X111" s="13"/>
      <c r="Y111" s="14"/>
      <c r="Z111" s="10"/>
      <c r="AA111" s="13"/>
      <c r="AD111" s="13"/>
      <c r="AE111" s="10"/>
    </row>
    <row r="112" spans="24:32">
      <c r="X112" s="13"/>
      <c r="Y112" s="14"/>
      <c r="Z112" s="10"/>
      <c r="AA112" s="13"/>
      <c r="AD112" s="13"/>
      <c r="AE112" s="10"/>
    </row>
    <row r="113" spans="24:31">
      <c r="X113" s="13"/>
      <c r="Y113" s="14"/>
      <c r="Z113" s="10"/>
      <c r="AA113" s="13"/>
      <c r="AD113" s="13"/>
      <c r="AE113" s="10"/>
    </row>
  </sheetData>
  <mergeCells count="6">
    <mergeCell ref="AF2:AI2"/>
    <mergeCell ref="B2:C2"/>
    <mergeCell ref="B17:C17"/>
    <mergeCell ref="B18:C18"/>
    <mergeCell ref="B15:C15"/>
    <mergeCell ref="C16:D16"/>
  </mergeCells>
  <pageMargins left="0.25" right="0.25" top="0.3" bottom="0.44" header="0.23" footer="0.21"/>
  <pageSetup scale="71" orientation="landscape" r:id="rId1"/>
  <headerFooter alignWithMargins="0"/>
  <ignoredErrors>
    <ignoredError sqref="K43:K47" unlockedFormula="1"/>
  </ignoredErrors>
  <drawing r:id="rId2"/>
  <legacyDrawing r:id="rId3"/>
  <controls>
    <mc:AlternateContent xmlns:mc="http://schemas.openxmlformats.org/markup-compatibility/2006">
      <mc:Choice Requires="x14">
        <control shapeId="2051" r:id="rId4" name="CheckBox1">
          <controlPr defaultSize="0" autoFill="0" autoLine="0" linkedCell="A65" r:id="rId5">
            <anchor moveWithCells="1">
              <from>
                <xdr:col>2</xdr:col>
                <xdr:colOff>95250</xdr:colOff>
                <xdr:row>14</xdr:row>
                <xdr:rowOff>171450</xdr:rowOff>
              </from>
              <to>
                <xdr:col>2</xdr:col>
                <xdr:colOff>352425</xdr:colOff>
                <xdr:row>16</xdr:row>
                <xdr:rowOff>19050</xdr:rowOff>
              </to>
            </anchor>
          </controlPr>
        </control>
      </mc:Choice>
      <mc:Fallback>
        <control shapeId="2051" r:id="rId4"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6296-0F9F-433E-8CE4-740A6AF5CAF2}">
  <dimension ref="A1:Q27"/>
  <sheetViews>
    <sheetView workbookViewId="0">
      <selection sqref="A1:Q27"/>
    </sheetView>
  </sheetViews>
  <sheetFormatPr defaultRowHeight="15"/>
  <cols>
    <col min="1" max="1" width="14.77734375" customWidth="1"/>
    <col min="2" max="2" width="5.44140625" customWidth="1"/>
    <col min="3" max="3" width="8.77734375" customWidth="1"/>
    <col min="4" max="4" width="12.6640625" customWidth="1"/>
    <col min="5" max="5" width="8.44140625" customWidth="1"/>
    <col min="6" max="6" width="12.5546875" customWidth="1"/>
    <col min="7" max="7" width="9.88671875" customWidth="1"/>
    <col min="8" max="9" width="11.88671875" customWidth="1"/>
    <col min="10" max="10" width="10.21875" bestFit="1" customWidth="1"/>
    <col min="12" max="12" width="14.44140625" bestFit="1" customWidth="1"/>
    <col min="13" max="13" width="8.6640625" customWidth="1"/>
    <col min="14" max="15" width="10.77734375" customWidth="1"/>
    <col min="16" max="16" width="16.33203125" bestFit="1" customWidth="1"/>
    <col min="17" max="17" width="2" customWidth="1"/>
  </cols>
  <sheetData>
    <row r="1" spans="1:17" ht="15.75">
      <c r="A1" s="330"/>
      <c r="B1" s="330"/>
      <c r="C1" s="330"/>
      <c r="D1" s="330"/>
      <c r="E1" s="330"/>
      <c r="F1" s="330"/>
      <c r="G1" s="330"/>
      <c r="H1" s="330" t="s">
        <v>128</v>
      </c>
      <c r="I1" s="330"/>
      <c r="J1" s="330"/>
      <c r="K1" s="330"/>
      <c r="L1" s="330"/>
      <c r="M1" s="330"/>
      <c r="N1" s="330"/>
      <c r="O1" s="331"/>
      <c r="P1" s="331"/>
      <c r="Q1" s="332"/>
    </row>
    <row r="2" spans="1:17" ht="15.75">
      <c r="A2" s="333" t="s">
        <v>496</v>
      </c>
      <c r="B2" s="333"/>
      <c r="C2" s="333"/>
      <c r="D2" s="333"/>
      <c r="E2" s="333"/>
      <c r="F2" s="333"/>
      <c r="G2" s="333"/>
      <c r="H2" s="333"/>
      <c r="I2" s="333"/>
      <c r="J2" s="333"/>
      <c r="K2" s="333"/>
      <c r="L2" s="333"/>
      <c r="M2" s="333"/>
      <c r="N2" s="333"/>
      <c r="O2" s="334"/>
      <c r="P2" s="334"/>
      <c r="Q2" s="335"/>
    </row>
    <row r="3" spans="1:17" ht="15.75">
      <c r="A3" s="333" t="s">
        <v>497</v>
      </c>
      <c r="B3" s="333"/>
      <c r="C3" s="333"/>
      <c r="D3" s="333"/>
      <c r="E3" s="333"/>
      <c r="F3" s="333"/>
      <c r="G3" s="333"/>
      <c r="H3" s="333"/>
      <c r="I3" s="333"/>
      <c r="J3" s="333"/>
      <c r="K3" s="333"/>
      <c r="L3" s="333"/>
      <c r="M3" s="333"/>
      <c r="N3" s="333"/>
      <c r="O3" s="334"/>
      <c r="P3" s="334"/>
      <c r="Q3" s="335"/>
    </row>
    <row r="4" spans="1:17" ht="15.75">
      <c r="A4" s="336"/>
      <c r="B4" s="336"/>
      <c r="C4" s="336"/>
      <c r="D4" s="336"/>
      <c r="E4" s="336"/>
      <c r="F4" s="336"/>
      <c r="G4" s="336"/>
      <c r="H4" s="336"/>
      <c r="I4" s="336"/>
      <c r="J4" s="336"/>
      <c r="K4" s="336"/>
      <c r="L4" s="336"/>
      <c r="M4" s="336"/>
      <c r="N4" s="336"/>
      <c r="O4" s="337"/>
      <c r="P4" s="337"/>
      <c r="Q4" s="335"/>
    </row>
    <row r="5" spans="1:17" ht="15.75">
      <c r="A5" s="225"/>
      <c r="B5" s="335"/>
      <c r="C5" s="335"/>
      <c r="D5" s="335"/>
      <c r="E5" s="335"/>
      <c r="F5" s="335"/>
      <c r="G5" s="335"/>
      <c r="H5" s="335"/>
      <c r="I5" s="335"/>
      <c r="J5" s="335"/>
      <c r="K5" s="335"/>
      <c r="L5" s="335"/>
      <c r="M5" s="335"/>
      <c r="N5" s="335"/>
      <c r="O5" s="335"/>
      <c r="P5" s="317"/>
      <c r="Q5" s="335"/>
    </row>
    <row r="6" spans="1:17" ht="15.75">
      <c r="A6" s="225"/>
      <c r="B6" s="335"/>
      <c r="C6" s="335"/>
      <c r="D6" s="335"/>
      <c r="E6" s="335"/>
      <c r="F6" s="335"/>
      <c r="G6" s="335"/>
      <c r="H6" s="335"/>
      <c r="I6" s="335"/>
      <c r="J6" s="335"/>
      <c r="K6" s="335"/>
      <c r="L6" s="335"/>
      <c r="M6" s="335"/>
      <c r="N6" s="335"/>
      <c r="O6" s="335"/>
      <c r="P6" s="317"/>
      <c r="Q6" s="335"/>
    </row>
    <row r="7" spans="1:17" ht="15.75">
      <c r="A7" s="335"/>
      <c r="B7" s="335"/>
      <c r="C7" s="335"/>
      <c r="D7" s="335"/>
      <c r="E7" s="335"/>
      <c r="F7" s="335"/>
      <c r="G7" s="335"/>
      <c r="H7" s="335"/>
      <c r="I7" s="335"/>
      <c r="J7" s="335"/>
      <c r="K7" s="335"/>
      <c r="L7" s="237"/>
      <c r="M7" s="237"/>
      <c r="N7" s="335"/>
      <c r="O7" s="311" t="s">
        <v>498</v>
      </c>
      <c r="P7" s="317"/>
      <c r="Q7" s="335"/>
    </row>
    <row r="8" spans="1:17" ht="31.5">
      <c r="A8" s="335"/>
      <c r="B8" s="335"/>
      <c r="C8" s="226" t="s">
        <v>378</v>
      </c>
      <c r="D8" s="338" t="s">
        <v>499</v>
      </c>
      <c r="E8" s="226" t="s">
        <v>378</v>
      </c>
      <c r="F8" s="226" t="s">
        <v>500</v>
      </c>
      <c r="G8" s="226" t="s">
        <v>378</v>
      </c>
      <c r="H8" s="226" t="s">
        <v>389</v>
      </c>
      <c r="I8" s="226" t="s">
        <v>501</v>
      </c>
      <c r="J8" s="226" t="s">
        <v>502</v>
      </c>
      <c r="K8" s="226" t="s">
        <v>378</v>
      </c>
      <c r="L8" s="226" t="s">
        <v>503</v>
      </c>
      <c r="M8" s="226" t="s">
        <v>504</v>
      </c>
      <c r="N8" s="226" t="s">
        <v>103</v>
      </c>
      <c r="O8" s="226" t="s">
        <v>505</v>
      </c>
      <c r="P8" s="226" t="s">
        <v>495</v>
      </c>
      <c r="Q8" s="224"/>
    </row>
    <row r="9" spans="1:17" ht="15.75">
      <c r="A9" s="225" t="s">
        <v>506</v>
      </c>
      <c r="B9" s="335"/>
      <c r="C9" s="224"/>
      <c r="D9" s="224"/>
      <c r="E9" s="224"/>
      <c r="F9" s="224"/>
      <c r="G9" s="224"/>
      <c r="H9" s="224"/>
      <c r="I9" s="224"/>
      <c r="J9" s="224"/>
      <c r="K9" s="224"/>
      <c r="L9" s="224"/>
      <c r="M9" s="224"/>
      <c r="N9" s="224"/>
      <c r="O9" s="224"/>
      <c r="P9" s="224"/>
      <c r="Q9" s="224"/>
    </row>
    <row r="10" spans="1:17" ht="15.75">
      <c r="A10" s="225" t="s">
        <v>507</v>
      </c>
      <c r="B10" s="335"/>
      <c r="C10" s="224"/>
      <c r="D10" s="224"/>
      <c r="E10" s="224"/>
      <c r="F10" s="339"/>
      <c r="G10" s="339"/>
      <c r="H10" s="339"/>
      <c r="I10" s="339"/>
      <c r="J10" s="339"/>
      <c r="K10" s="339"/>
      <c r="L10" s="340"/>
      <c r="M10" s="224"/>
      <c r="N10" s="224"/>
      <c r="O10" s="224"/>
      <c r="P10" s="224"/>
      <c r="Q10" s="224"/>
    </row>
    <row r="11" spans="1:17" ht="15.75">
      <c r="A11" s="341" t="s">
        <v>508</v>
      </c>
      <c r="B11" s="335"/>
      <c r="C11" s="224">
        <v>428.2</v>
      </c>
      <c r="D11" s="318">
        <v>20553.599999999999</v>
      </c>
      <c r="E11" s="224">
        <v>58.23</v>
      </c>
      <c r="F11" s="342">
        <v>2795.04</v>
      </c>
      <c r="G11" s="343">
        <v>18.62</v>
      </c>
      <c r="H11" s="342">
        <v>893.76</v>
      </c>
      <c r="I11" s="343">
        <f t="shared" ref="I11:J22" si="0">SUM(C11,E11,G11)</f>
        <v>505.05</v>
      </c>
      <c r="J11" s="342">
        <f t="shared" si="0"/>
        <v>24242.399999999998</v>
      </c>
      <c r="K11" s="343">
        <v>65.34</v>
      </c>
      <c r="L11" s="342">
        <v>3136.32</v>
      </c>
      <c r="M11" s="224"/>
      <c r="N11" s="318">
        <f t="shared" ref="N11:N22" si="1">+D11+F11+H11+L11+M11</f>
        <v>27378.719999999998</v>
      </c>
      <c r="O11" s="224">
        <v>27378.720000000001</v>
      </c>
      <c r="P11" s="224">
        <f>N11-O11</f>
        <v>0</v>
      </c>
      <c r="Q11" s="224"/>
    </row>
    <row r="12" spans="1:17" ht="15.75">
      <c r="A12" s="341" t="s">
        <v>509</v>
      </c>
      <c r="B12" s="335"/>
      <c r="C12" s="224">
        <v>375.93</v>
      </c>
      <c r="D12" s="318">
        <v>18044.64</v>
      </c>
      <c r="E12" s="224">
        <v>106.86</v>
      </c>
      <c r="F12" s="342">
        <v>5129.28</v>
      </c>
      <c r="G12" s="343">
        <v>18.260000000000002</v>
      </c>
      <c r="H12" s="342">
        <v>876.48</v>
      </c>
      <c r="I12" s="343">
        <f t="shared" si="0"/>
        <v>501.05</v>
      </c>
      <c r="J12" s="342">
        <f t="shared" si="0"/>
        <v>24050.399999999998</v>
      </c>
      <c r="K12" s="343">
        <v>52.62</v>
      </c>
      <c r="L12" s="342">
        <v>2525.7600000000002</v>
      </c>
      <c r="M12" s="224"/>
      <c r="N12" s="318">
        <f t="shared" si="1"/>
        <v>26576.159999999996</v>
      </c>
      <c r="O12" s="224">
        <v>26576.16</v>
      </c>
      <c r="P12" s="224">
        <f>N12-O12</f>
        <v>0</v>
      </c>
      <c r="Q12" s="224"/>
    </row>
    <row r="13" spans="1:17" ht="15.75">
      <c r="A13" s="341" t="s">
        <v>510</v>
      </c>
      <c r="B13" s="335"/>
      <c r="C13" s="224">
        <v>441.86</v>
      </c>
      <c r="D13" s="318">
        <v>21209.279999999999</v>
      </c>
      <c r="E13" s="224">
        <v>94.52</v>
      </c>
      <c r="F13" s="342">
        <v>4536.96</v>
      </c>
      <c r="G13" s="343">
        <v>12.87</v>
      </c>
      <c r="H13" s="342">
        <v>617.76</v>
      </c>
      <c r="I13" s="343">
        <f t="shared" si="0"/>
        <v>549.25</v>
      </c>
      <c r="J13" s="342">
        <f t="shared" si="0"/>
        <v>26363.999999999996</v>
      </c>
      <c r="K13" s="343">
        <v>58.79</v>
      </c>
      <c r="L13" s="342">
        <v>2821.92</v>
      </c>
      <c r="M13" s="224"/>
      <c r="N13" s="318">
        <f t="shared" si="1"/>
        <v>29185.919999999998</v>
      </c>
      <c r="O13" s="224">
        <v>29185.919999999998</v>
      </c>
      <c r="P13" s="224">
        <f t="shared" ref="P13:P22" si="2">+N13-O13</f>
        <v>0</v>
      </c>
      <c r="Q13" s="224"/>
    </row>
    <row r="14" spans="1:17" ht="15.75">
      <c r="A14" s="341" t="s">
        <v>511</v>
      </c>
      <c r="B14" s="335"/>
      <c r="C14" s="224">
        <v>543.75</v>
      </c>
      <c r="D14" s="318">
        <v>26100</v>
      </c>
      <c r="E14" s="224">
        <v>101.42</v>
      </c>
      <c r="F14" s="342">
        <v>4868.16</v>
      </c>
      <c r="G14" s="343">
        <v>20.52</v>
      </c>
      <c r="H14" s="342">
        <v>1131.3599999999999</v>
      </c>
      <c r="I14" s="343">
        <f t="shared" si="0"/>
        <v>665.68999999999994</v>
      </c>
      <c r="J14" s="342">
        <f t="shared" si="0"/>
        <v>32099.52</v>
      </c>
      <c r="K14" s="343">
        <v>70.7</v>
      </c>
      <c r="L14" s="342">
        <v>3393.6</v>
      </c>
      <c r="M14" s="224"/>
      <c r="N14" s="318">
        <f t="shared" si="1"/>
        <v>35493.120000000003</v>
      </c>
      <c r="O14" s="224">
        <v>35346.720000000001</v>
      </c>
      <c r="P14" s="224">
        <f t="shared" si="2"/>
        <v>146.40000000000146</v>
      </c>
      <c r="Q14" s="224"/>
    </row>
    <row r="15" spans="1:17" ht="15.75">
      <c r="A15" s="341" t="s">
        <v>512</v>
      </c>
      <c r="B15" s="335"/>
      <c r="C15" s="224">
        <v>572.80999999999995</v>
      </c>
      <c r="D15" s="318">
        <v>27495.39</v>
      </c>
      <c r="E15" s="224">
        <v>140.96</v>
      </c>
      <c r="F15" s="342">
        <v>6766.08</v>
      </c>
      <c r="G15" s="343">
        <v>24.07</v>
      </c>
      <c r="H15" s="342">
        <v>1155.3599999999999</v>
      </c>
      <c r="I15" s="343">
        <f t="shared" si="0"/>
        <v>737.84</v>
      </c>
      <c r="J15" s="342">
        <f t="shared" si="0"/>
        <v>35416.83</v>
      </c>
      <c r="K15" s="343">
        <v>52.53</v>
      </c>
      <c r="L15" s="342">
        <v>2521.44</v>
      </c>
      <c r="M15" s="224"/>
      <c r="N15" s="318">
        <f t="shared" si="1"/>
        <v>37938.270000000004</v>
      </c>
      <c r="O15" s="224">
        <v>37938.269999999997</v>
      </c>
      <c r="P15" s="224">
        <f t="shared" si="2"/>
        <v>0</v>
      </c>
      <c r="Q15" s="224"/>
    </row>
    <row r="16" spans="1:17" ht="15.75">
      <c r="A16" s="341" t="s">
        <v>513</v>
      </c>
      <c r="B16" s="335"/>
      <c r="C16" s="224">
        <v>580.52</v>
      </c>
      <c r="D16" s="318">
        <v>27864.959999999999</v>
      </c>
      <c r="E16" s="224">
        <v>110.78</v>
      </c>
      <c r="F16" s="342">
        <v>5342.44</v>
      </c>
      <c r="G16" s="343">
        <v>19.52</v>
      </c>
      <c r="H16" s="342">
        <v>936.96</v>
      </c>
      <c r="I16" s="343">
        <f t="shared" si="0"/>
        <v>710.81999999999994</v>
      </c>
      <c r="J16" s="342">
        <f t="shared" si="0"/>
        <v>34144.36</v>
      </c>
      <c r="K16" s="343">
        <v>75.569999999999993</v>
      </c>
      <c r="L16" s="342">
        <v>3627.36</v>
      </c>
      <c r="M16" s="224"/>
      <c r="N16" s="318">
        <f t="shared" si="1"/>
        <v>37771.72</v>
      </c>
      <c r="O16" s="224">
        <v>37771.72</v>
      </c>
      <c r="P16" s="224">
        <f t="shared" si="2"/>
        <v>0</v>
      </c>
      <c r="Q16" s="224"/>
    </row>
    <row r="17" spans="1:17" ht="15.75">
      <c r="A17" s="341" t="s">
        <v>514</v>
      </c>
      <c r="B17" s="335"/>
      <c r="C17" s="224">
        <v>564.69000000000005</v>
      </c>
      <c r="D17" s="318">
        <v>27105.119999999999</v>
      </c>
      <c r="E17" s="224">
        <v>77.459999999999994</v>
      </c>
      <c r="F17" s="342">
        <v>3718.08</v>
      </c>
      <c r="G17" s="343">
        <v>13.1</v>
      </c>
      <c r="H17" s="342">
        <v>628.79999999999995</v>
      </c>
      <c r="I17" s="343">
        <f t="shared" si="0"/>
        <v>655.25000000000011</v>
      </c>
      <c r="J17" s="342">
        <f t="shared" si="0"/>
        <v>31451.999999999996</v>
      </c>
      <c r="K17" s="343">
        <v>71.91</v>
      </c>
      <c r="L17" s="342">
        <v>3451.68</v>
      </c>
      <c r="M17" s="224"/>
      <c r="N17" s="318">
        <f t="shared" si="1"/>
        <v>34903.679999999993</v>
      </c>
      <c r="O17" s="224">
        <v>34903.68</v>
      </c>
      <c r="P17" s="224">
        <f t="shared" si="2"/>
        <v>0</v>
      </c>
      <c r="Q17" s="224"/>
    </row>
    <row r="18" spans="1:17" ht="15.75">
      <c r="A18" s="341" t="s">
        <v>515</v>
      </c>
      <c r="B18" s="335"/>
      <c r="C18" s="224">
        <v>521.80999999999995</v>
      </c>
      <c r="D18" s="318">
        <v>25046.880000000001</v>
      </c>
      <c r="E18" s="224">
        <v>61.83</v>
      </c>
      <c r="F18" s="342">
        <v>2967.84</v>
      </c>
      <c r="G18" s="343">
        <v>17.559999999999999</v>
      </c>
      <c r="H18" s="342">
        <v>842.88</v>
      </c>
      <c r="I18" s="343">
        <f t="shared" si="0"/>
        <v>601.19999999999993</v>
      </c>
      <c r="J18" s="342">
        <f t="shared" si="0"/>
        <v>28857.600000000002</v>
      </c>
      <c r="K18" s="343">
        <v>65.08</v>
      </c>
      <c r="L18" s="342">
        <v>3123.84</v>
      </c>
      <c r="M18" s="224"/>
      <c r="N18" s="318">
        <f t="shared" si="1"/>
        <v>31981.440000000002</v>
      </c>
      <c r="O18" s="224">
        <v>31981.439999999999</v>
      </c>
      <c r="P18" s="224">
        <f t="shared" si="2"/>
        <v>0</v>
      </c>
      <c r="Q18" s="224"/>
    </row>
    <row r="19" spans="1:17" ht="15.75">
      <c r="A19" s="341" t="s">
        <v>516</v>
      </c>
      <c r="B19" s="335"/>
      <c r="C19" s="224">
        <v>522.12</v>
      </c>
      <c r="D19" s="318">
        <v>25063.23</v>
      </c>
      <c r="E19" s="224">
        <v>57.78</v>
      </c>
      <c r="F19" s="342">
        <v>2430.2399999999998</v>
      </c>
      <c r="G19" s="343">
        <v>20.329999999999998</v>
      </c>
      <c r="H19" s="342">
        <v>975.84</v>
      </c>
      <c r="I19" s="343">
        <f t="shared" si="0"/>
        <v>600.23</v>
      </c>
      <c r="J19" s="342">
        <f t="shared" si="0"/>
        <v>28469.31</v>
      </c>
      <c r="K19" s="343">
        <v>71.099999999999994</v>
      </c>
      <c r="L19" s="342">
        <v>3412.8</v>
      </c>
      <c r="M19" s="224"/>
      <c r="N19" s="318">
        <f t="shared" si="1"/>
        <v>31882.11</v>
      </c>
      <c r="O19" s="224">
        <v>32225.31</v>
      </c>
      <c r="P19" s="224">
        <f t="shared" si="2"/>
        <v>-343.20000000000073</v>
      </c>
      <c r="Q19" s="224"/>
    </row>
    <row r="20" spans="1:17" ht="15.75">
      <c r="A20" s="341" t="s">
        <v>517</v>
      </c>
      <c r="B20" s="335"/>
      <c r="C20" s="224">
        <v>516.25</v>
      </c>
      <c r="D20" s="318">
        <v>24786.81</v>
      </c>
      <c r="E20" s="224">
        <v>42.68</v>
      </c>
      <c r="F20" s="342">
        <v>2048.64</v>
      </c>
      <c r="G20" s="343">
        <v>22.34</v>
      </c>
      <c r="H20" s="342">
        <v>1072.32</v>
      </c>
      <c r="I20" s="343">
        <f t="shared" si="0"/>
        <v>581.27</v>
      </c>
      <c r="J20" s="342">
        <f t="shared" si="0"/>
        <v>27907.77</v>
      </c>
      <c r="K20" s="343">
        <v>61.75</v>
      </c>
      <c r="L20" s="342">
        <v>2964</v>
      </c>
      <c r="M20" s="224"/>
      <c r="N20" s="318">
        <f t="shared" si="1"/>
        <v>30871.77</v>
      </c>
      <c r="O20" s="224">
        <v>30871.77</v>
      </c>
      <c r="P20" s="224">
        <f t="shared" si="2"/>
        <v>0</v>
      </c>
      <c r="Q20" s="224"/>
    </row>
    <row r="21" spans="1:17" ht="15.75">
      <c r="A21" s="341" t="s">
        <v>518</v>
      </c>
      <c r="B21" s="335"/>
      <c r="C21" s="224">
        <v>476.31</v>
      </c>
      <c r="D21" s="318">
        <v>22862.880000000001</v>
      </c>
      <c r="E21" s="224">
        <v>52.14</v>
      </c>
      <c r="F21" s="342">
        <v>2502.7199999999998</v>
      </c>
      <c r="G21" s="343">
        <v>18.57</v>
      </c>
      <c r="H21" s="342">
        <v>891.36</v>
      </c>
      <c r="I21" s="343">
        <f t="shared" si="0"/>
        <v>547.0200000000001</v>
      </c>
      <c r="J21" s="342">
        <f t="shared" si="0"/>
        <v>26256.960000000003</v>
      </c>
      <c r="K21" s="343">
        <v>82.18</v>
      </c>
      <c r="L21" s="342">
        <v>3944.64</v>
      </c>
      <c r="M21" s="224"/>
      <c r="N21" s="318">
        <f t="shared" si="1"/>
        <v>30201.600000000002</v>
      </c>
      <c r="O21" s="224">
        <v>30201.599999999999</v>
      </c>
      <c r="P21" s="224">
        <f t="shared" si="2"/>
        <v>0</v>
      </c>
      <c r="Q21" s="224"/>
    </row>
    <row r="22" spans="1:17" ht="15.75">
      <c r="A22" s="341" t="s">
        <v>519</v>
      </c>
      <c r="B22" s="335"/>
      <c r="C22" s="322">
        <v>482.68</v>
      </c>
      <c r="D22" s="321">
        <v>23170.11</v>
      </c>
      <c r="E22" s="322">
        <v>73.260000000000005</v>
      </c>
      <c r="F22" s="344">
        <v>3516.48</v>
      </c>
      <c r="G22" s="345">
        <v>14.25</v>
      </c>
      <c r="H22" s="344">
        <v>684</v>
      </c>
      <c r="I22" s="345">
        <f t="shared" si="0"/>
        <v>570.19000000000005</v>
      </c>
      <c r="J22" s="344">
        <f t="shared" si="0"/>
        <v>27370.59</v>
      </c>
      <c r="K22" s="345">
        <v>74.010000000000005</v>
      </c>
      <c r="L22" s="344">
        <v>3552.48</v>
      </c>
      <c r="M22" s="322"/>
      <c r="N22" s="321">
        <f t="shared" si="1"/>
        <v>30923.07</v>
      </c>
      <c r="O22" s="322">
        <v>30923.07</v>
      </c>
      <c r="P22" s="322">
        <f t="shared" si="2"/>
        <v>0</v>
      </c>
      <c r="Q22" s="224"/>
    </row>
    <row r="23" spans="1:17" ht="15.75">
      <c r="A23" s="335"/>
      <c r="B23" s="335"/>
      <c r="C23" s="224">
        <f>SUM(C11:C22)</f>
        <v>6026.9300000000012</v>
      </c>
      <c r="D23" s="318">
        <f>SUM(D11:D22)</f>
        <v>289302.89999999997</v>
      </c>
      <c r="E23" s="224">
        <f t="shared" ref="E23:P23" si="3">SUM(E11:E22)</f>
        <v>977.92</v>
      </c>
      <c r="F23" s="318">
        <f t="shared" si="3"/>
        <v>46621.959999999992</v>
      </c>
      <c r="G23" s="224">
        <f t="shared" si="3"/>
        <v>220.00999999999996</v>
      </c>
      <c r="H23" s="318">
        <f t="shared" si="3"/>
        <v>10706.880000000001</v>
      </c>
      <c r="I23" s="224">
        <f t="shared" si="3"/>
        <v>7224.8600000000006</v>
      </c>
      <c r="J23" s="318">
        <f t="shared" si="3"/>
        <v>346631.74000000011</v>
      </c>
      <c r="K23" s="224">
        <f t="shared" si="3"/>
        <v>801.58000000000015</v>
      </c>
      <c r="L23" s="318">
        <f t="shared" si="3"/>
        <v>38475.840000000004</v>
      </c>
      <c r="M23" s="224">
        <f t="shared" si="3"/>
        <v>0</v>
      </c>
      <c r="N23" s="318">
        <f t="shared" si="3"/>
        <v>385107.58</v>
      </c>
      <c r="O23" s="224">
        <f>SUM(O11:O22)</f>
        <v>385304.38</v>
      </c>
      <c r="P23" s="224">
        <f t="shared" si="3"/>
        <v>-196.79999999999927</v>
      </c>
      <c r="Q23" s="224"/>
    </row>
    <row r="24" spans="1:17" ht="15.75">
      <c r="A24" s="335"/>
      <c r="B24" s="335"/>
      <c r="C24" s="224"/>
      <c r="D24" s="224"/>
      <c r="E24" s="224"/>
      <c r="F24" s="224"/>
      <c r="G24" s="224"/>
      <c r="H24" s="224"/>
      <c r="I24" s="224"/>
      <c r="J24" s="224"/>
      <c r="K24" s="224"/>
      <c r="L24" s="224"/>
      <c r="M24" s="224"/>
      <c r="N24" s="224"/>
      <c r="O24" s="224"/>
      <c r="P24" s="224"/>
      <c r="Q24" s="224"/>
    </row>
    <row r="25" spans="1:17" ht="15.75">
      <c r="A25" s="228"/>
      <c r="B25" s="228"/>
      <c r="C25" s="228"/>
      <c r="D25" s="292">
        <f>+D23/$N$23</f>
        <v>0.7512261898350584</v>
      </c>
      <c r="E25" s="228"/>
      <c r="F25" s="292">
        <f>+F23/$N$23</f>
        <v>0.12106217177028816</v>
      </c>
      <c r="G25" s="228"/>
      <c r="H25" s="292">
        <f>+H23/$N$23</f>
        <v>2.7802309162546217E-2</v>
      </c>
      <c r="I25" s="228"/>
      <c r="J25" s="228"/>
      <c r="K25" s="228"/>
      <c r="L25" s="292">
        <f>+L23/$N$23</f>
        <v>9.9909329232107047E-2</v>
      </c>
      <c r="M25" s="228"/>
      <c r="N25" s="228"/>
      <c r="O25" s="228"/>
      <c r="P25" s="228"/>
      <c r="Q25" s="228"/>
    </row>
    <row r="26" spans="1:17">
      <c r="A26" s="228"/>
      <c r="B26" s="228"/>
      <c r="C26" s="228"/>
      <c r="D26" s="228"/>
      <c r="E26" s="228"/>
      <c r="F26" s="228"/>
      <c r="G26" s="228"/>
      <c r="H26" s="228"/>
      <c r="I26" s="228"/>
      <c r="J26" s="228"/>
      <c r="K26" s="228"/>
      <c r="L26" s="228"/>
      <c r="M26" s="228"/>
      <c r="N26" s="239"/>
      <c r="O26" s="228"/>
      <c r="P26" s="228"/>
      <c r="Q26" s="228"/>
    </row>
    <row r="27" spans="1:17">
      <c r="A27" s="228"/>
      <c r="B27" s="228"/>
      <c r="C27" s="228"/>
      <c r="D27" s="228"/>
      <c r="E27" s="228"/>
      <c r="F27" s="228"/>
      <c r="G27" s="228"/>
      <c r="H27" s="228"/>
      <c r="I27" s="228"/>
      <c r="J27" s="228"/>
      <c r="K27" s="228"/>
      <c r="L27" s="228"/>
      <c r="M27" s="228"/>
      <c r="N27" s="239"/>
      <c r="O27" s="228"/>
      <c r="P27" s="228"/>
      <c r="Q27" s="22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16AD-1341-4ACF-A9C8-C35F791F07A3}">
  <dimension ref="A1:P40"/>
  <sheetViews>
    <sheetView topLeftCell="A16" workbookViewId="0">
      <selection sqref="A1:P40"/>
    </sheetView>
  </sheetViews>
  <sheetFormatPr defaultRowHeight="15"/>
  <cols>
    <col min="1" max="1" width="14.6640625" customWidth="1"/>
    <col min="2" max="2" width="1.6640625" customWidth="1"/>
    <col min="3" max="3" width="11" bestFit="1" customWidth="1"/>
    <col min="4" max="4" width="9.77734375" customWidth="1"/>
    <col min="5" max="5" width="12" bestFit="1" customWidth="1"/>
    <col min="6" max="12" width="9.77734375" customWidth="1"/>
    <col min="13" max="13" width="1.109375" customWidth="1"/>
    <col min="14" max="14" width="11.77734375" customWidth="1"/>
  </cols>
  <sheetData>
    <row r="1" spans="1:16" ht="18.75">
      <c r="A1" s="346" t="s">
        <v>128</v>
      </c>
      <c r="B1" s="222"/>
      <c r="C1" s="222"/>
      <c r="D1" s="222"/>
      <c r="E1" s="222"/>
      <c r="F1" s="222"/>
      <c r="G1" s="222"/>
      <c r="H1" s="222"/>
      <c r="I1" s="222"/>
      <c r="J1" s="222"/>
      <c r="K1" s="222"/>
      <c r="L1" s="222"/>
      <c r="M1" s="222"/>
      <c r="N1" s="222"/>
      <c r="O1" s="228"/>
      <c r="P1" s="228"/>
    </row>
    <row r="2" spans="1:16" ht="15.75">
      <c r="A2" s="347" t="s">
        <v>520</v>
      </c>
      <c r="B2" s="222"/>
      <c r="C2" s="222"/>
      <c r="D2" s="222"/>
      <c r="E2" s="222"/>
      <c r="F2" s="222"/>
      <c r="G2" s="222"/>
      <c r="H2" s="222"/>
      <c r="I2" s="222"/>
      <c r="J2" s="222"/>
      <c r="K2" s="222"/>
      <c r="L2" s="222"/>
      <c r="M2" s="347"/>
      <c r="N2" s="347"/>
      <c r="O2" s="228"/>
      <c r="P2" s="228"/>
    </row>
    <row r="3" spans="1:16" ht="15.75">
      <c r="A3" s="225"/>
      <c r="B3" s="225"/>
      <c r="C3" s="225"/>
      <c r="D3" s="225"/>
      <c r="E3" s="225"/>
      <c r="F3" s="225"/>
      <c r="G3" s="225"/>
      <c r="H3" s="225"/>
      <c r="I3" s="225"/>
      <c r="J3" s="225"/>
      <c r="K3" s="225"/>
      <c r="L3" s="225"/>
      <c r="M3" s="348"/>
      <c r="N3" s="348"/>
      <c r="O3" s="228"/>
      <c r="P3" s="228"/>
    </row>
    <row r="4" spans="1:16" ht="15.75">
      <c r="A4" s="225"/>
      <c r="B4" s="225"/>
      <c r="C4" s="349" t="s">
        <v>521</v>
      </c>
      <c r="D4" s="311" t="s">
        <v>20</v>
      </c>
      <c r="E4" s="311"/>
      <c r="F4" s="311" t="s">
        <v>522</v>
      </c>
      <c r="G4" s="349" t="s">
        <v>523</v>
      </c>
      <c r="H4" s="311" t="s">
        <v>20</v>
      </c>
      <c r="I4" s="311"/>
      <c r="J4" s="311" t="s">
        <v>522</v>
      </c>
      <c r="K4" s="311" t="s">
        <v>524</v>
      </c>
      <c r="L4" s="311" t="s">
        <v>525</v>
      </c>
      <c r="M4" s="350"/>
      <c r="N4" s="350" t="s">
        <v>526</v>
      </c>
      <c r="O4" s="228"/>
      <c r="P4" s="228"/>
    </row>
    <row r="5" spans="1:16" ht="15.75">
      <c r="A5" s="351" t="s">
        <v>527</v>
      </c>
      <c r="B5" s="225"/>
      <c r="C5" s="311" t="s">
        <v>76</v>
      </c>
      <c r="D5" s="350" t="s">
        <v>528</v>
      </c>
      <c r="E5" s="350" t="s">
        <v>529</v>
      </c>
      <c r="F5" s="350" t="s">
        <v>530</v>
      </c>
      <c r="G5" s="350" t="s">
        <v>76</v>
      </c>
      <c r="H5" s="350" t="s">
        <v>528</v>
      </c>
      <c r="I5" s="350" t="s">
        <v>529</v>
      </c>
      <c r="J5" s="350" t="s">
        <v>530</v>
      </c>
      <c r="K5" s="350" t="s">
        <v>531</v>
      </c>
      <c r="L5" s="350" t="s">
        <v>532</v>
      </c>
      <c r="M5" s="350"/>
      <c r="N5" s="350" t="s">
        <v>533</v>
      </c>
      <c r="O5" s="228"/>
      <c r="P5" s="228"/>
    </row>
    <row r="6" spans="1:16" ht="15.75">
      <c r="A6" s="341" t="s">
        <v>508</v>
      </c>
      <c r="B6" s="225"/>
      <c r="C6" s="352">
        <v>3560.91</v>
      </c>
      <c r="D6" s="352">
        <v>1270.24</v>
      </c>
      <c r="E6" s="352">
        <v>1644.076</v>
      </c>
      <c r="F6" s="352">
        <f t="shared" ref="F6:F11" si="0">SUM(C6:D6)/E6</f>
        <v>2.9385198737771243</v>
      </c>
      <c r="G6" s="352">
        <v>273.07</v>
      </c>
      <c r="H6" s="352">
        <v>108.83</v>
      </c>
      <c r="I6" s="352">
        <v>153</v>
      </c>
      <c r="J6" s="352">
        <f t="shared" ref="J6:J17" si="1">SUM(G6:H6)/I6</f>
        <v>2.496078431372549</v>
      </c>
      <c r="K6" s="352"/>
      <c r="L6" s="352"/>
      <c r="M6" s="352"/>
      <c r="N6" s="352">
        <f t="shared" ref="N6:N17" si="2">+C6+D6+G6+H6+K6+L6</f>
        <v>5213.0499999999993</v>
      </c>
      <c r="O6" s="228"/>
      <c r="P6" s="228"/>
    </row>
    <row r="7" spans="1:16" ht="15.75">
      <c r="A7" s="341" t="s">
        <v>509</v>
      </c>
      <c r="B7" s="225"/>
      <c r="C7" s="352">
        <v>3218.57</v>
      </c>
      <c r="D7" s="352">
        <v>1206.77</v>
      </c>
      <c r="E7" s="352">
        <v>1562.4749999999999</v>
      </c>
      <c r="F7" s="352">
        <f t="shared" si="0"/>
        <v>2.8322629162066595</v>
      </c>
      <c r="G7" s="352">
        <v>153.94</v>
      </c>
      <c r="H7" s="352">
        <v>61.921999999999997</v>
      </c>
      <c r="I7" s="352">
        <v>87</v>
      </c>
      <c r="J7" s="352">
        <f t="shared" si="1"/>
        <v>2.4811724137931033</v>
      </c>
      <c r="K7" s="352"/>
      <c r="L7" s="352"/>
      <c r="M7" s="352"/>
      <c r="N7" s="352">
        <f t="shared" si="2"/>
        <v>4641.2019999999993</v>
      </c>
      <c r="O7" s="228"/>
      <c r="P7" s="228"/>
    </row>
    <row r="8" spans="1:16" ht="15.75">
      <c r="A8" s="341" t="s">
        <v>510</v>
      </c>
      <c r="B8" s="225"/>
      <c r="C8" s="352">
        <v>3353.81</v>
      </c>
      <c r="D8" s="352">
        <v>1414.2</v>
      </c>
      <c r="E8" s="352">
        <v>1832.702</v>
      </c>
      <c r="F8" s="352">
        <f t="shared" si="0"/>
        <v>2.601628633569451</v>
      </c>
      <c r="G8" s="352">
        <v>224.37</v>
      </c>
      <c r="H8" s="352">
        <v>95.13</v>
      </c>
      <c r="I8" s="352">
        <v>131.001</v>
      </c>
      <c r="J8" s="352">
        <f t="shared" si="1"/>
        <v>2.4389126800558771</v>
      </c>
      <c r="K8" s="352"/>
      <c r="L8" s="317"/>
      <c r="M8" s="352"/>
      <c r="N8" s="352">
        <f t="shared" si="2"/>
        <v>5087.51</v>
      </c>
      <c r="O8" s="228"/>
      <c r="P8" s="228"/>
    </row>
    <row r="9" spans="1:16" ht="15.75">
      <c r="A9" s="341" t="s">
        <v>511</v>
      </c>
      <c r="B9" s="225"/>
      <c r="C9" s="352">
        <v>2684.54</v>
      </c>
      <c r="D9" s="352">
        <v>1402.8</v>
      </c>
      <c r="E9" s="352">
        <v>1820.4259999999999</v>
      </c>
      <c r="F9" s="352">
        <f t="shared" si="0"/>
        <v>2.2452656685852652</v>
      </c>
      <c r="G9" s="352">
        <v>287.70999999999998</v>
      </c>
      <c r="H9" s="352">
        <v>140.94999999999999</v>
      </c>
      <c r="I9" s="352">
        <v>203.346</v>
      </c>
      <c r="J9" s="352">
        <f t="shared" si="1"/>
        <v>2.1080326143617283</v>
      </c>
      <c r="K9" s="317"/>
      <c r="L9" s="352"/>
      <c r="M9" s="352"/>
      <c r="N9" s="352">
        <f t="shared" si="2"/>
        <v>4516</v>
      </c>
      <c r="O9" s="228"/>
      <c r="P9" s="228"/>
    </row>
    <row r="10" spans="1:16" ht="15.75">
      <c r="A10" s="341" t="s">
        <v>512</v>
      </c>
      <c r="B10" s="225"/>
      <c r="C10" s="352">
        <v>2343.52</v>
      </c>
      <c r="D10" s="352">
        <v>1398.87</v>
      </c>
      <c r="E10" s="352">
        <v>1816.73</v>
      </c>
      <c r="F10" s="352">
        <f t="shared" si="0"/>
        <v>2.0599593775629841</v>
      </c>
      <c r="G10" s="352">
        <v>164.22</v>
      </c>
      <c r="H10" s="352">
        <v>99.75</v>
      </c>
      <c r="I10" s="352">
        <v>140.6</v>
      </c>
      <c r="J10" s="352">
        <f t="shared" si="1"/>
        <v>1.877453769559033</v>
      </c>
      <c r="K10" s="317"/>
      <c r="L10" s="317"/>
      <c r="M10" s="352"/>
      <c r="N10" s="352">
        <f t="shared" si="2"/>
        <v>4006.3599999999997</v>
      </c>
      <c r="O10" s="228"/>
      <c r="P10" s="228"/>
    </row>
    <row r="11" spans="1:16" ht="15.75">
      <c r="A11" s="341" t="s">
        <v>513</v>
      </c>
      <c r="B11" s="225"/>
      <c r="C11" s="352">
        <v>2673.22</v>
      </c>
      <c r="D11" s="352">
        <v>1518.71</v>
      </c>
      <c r="E11" s="352">
        <v>1971.7139999999999</v>
      </c>
      <c r="F11" s="352">
        <f t="shared" si="0"/>
        <v>2.1260334916727275</v>
      </c>
      <c r="G11" s="352">
        <v>254.61</v>
      </c>
      <c r="H11" s="352">
        <v>116.05</v>
      </c>
      <c r="I11" s="352">
        <v>163.31</v>
      </c>
      <c r="J11" s="352">
        <f t="shared" si="1"/>
        <v>2.2696711775151552</v>
      </c>
      <c r="K11" s="352"/>
      <c r="L11" s="352"/>
      <c r="M11" s="228"/>
      <c r="N11" s="352">
        <f t="shared" si="2"/>
        <v>4562.59</v>
      </c>
      <c r="O11" s="228"/>
      <c r="P11" s="228"/>
    </row>
    <row r="12" spans="1:16" ht="15.75">
      <c r="A12" s="341" t="s">
        <v>514</v>
      </c>
      <c r="B12" s="225"/>
      <c r="C12" s="317">
        <v>2981.56</v>
      </c>
      <c r="D12" s="352">
        <v>1549.52</v>
      </c>
      <c r="E12" s="352">
        <v>2008.47</v>
      </c>
      <c r="F12" s="352">
        <f t="shared" ref="F12:F17" si="3">SUM(C12:D12)/E12</f>
        <v>2.255985899714708</v>
      </c>
      <c r="G12" s="352">
        <v>184.52</v>
      </c>
      <c r="H12" s="352">
        <v>73</v>
      </c>
      <c r="I12" s="352">
        <v>102.51</v>
      </c>
      <c r="J12" s="352">
        <f t="shared" si="1"/>
        <v>2.5121451565700905</v>
      </c>
      <c r="K12" s="352"/>
      <c r="L12" s="352"/>
      <c r="M12" s="352"/>
      <c r="N12" s="352">
        <f t="shared" si="2"/>
        <v>4788.6000000000004</v>
      </c>
      <c r="O12" s="228"/>
      <c r="P12" s="228"/>
    </row>
    <row r="13" spans="1:16" ht="15.75">
      <c r="A13" s="341" t="s">
        <v>515</v>
      </c>
      <c r="B13" s="225"/>
      <c r="C13" s="352">
        <v>2955.06</v>
      </c>
      <c r="D13" s="352">
        <v>1427.63</v>
      </c>
      <c r="E13" s="352">
        <v>1855.1590000000001</v>
      </c>
      <c r="F13" s="352">
        <f t="shared" si="3"/>
        <v>2.3624336242877297</v>
      </c>
      <c r="G13" s="352">
        <v>221.97</v>
      </c>
      <c r="H13" s="352">
        <v>87.41</v>
      </c>
      <c r="I13" s="352">
        <v>122.77</v>
      </c>
      <c r="J13" s="352">
        <f t="shared" si="1"/>
        <v>2.5199967418750511</v>
      </c>
      <c r="K13" s="352"/>
      <c r="L13" s="317"/>
      <c r="M13" s="352"/>
      <c r="N13" s="352">
        <f t="shared" si="2"/>
        <v>4692.0700000000006</v>
      </c>
      <c r="O13" s="228"/>
      <c r="P13" s="228"/>
    </row>
    <row r="14" spans="1:16" ht="15.75">
      <c r="A14" s="341" t="s">
        <v>516</v>
      </c>
      <c r="B14" s="225"/>
      <c r="C14" s="352">
        <v>2908.23</v>
      </c>
      <c r="D14" s="352">
        <v>1435.3</v>
      </c>
      <c r="E14" s="352">
        <v>1862.6125999999999</v>
      </c>
      <c r="F14" s="352">
        <f t="shared" si="3"/>
        <v>2.3319556627073177</v>
      </c>
      <c r="G14" s="352">
        <v>431.36</v>
      </c>
      <c r="H14" s="352">
        <v>161.52000000000001</v>
      </c>
      <c r="I14" s="352">
        <v>226.7</v>
      </c>
      <c r="J14" s="352">
        <f t="shared" si="1"/>
        <v>2.6152624614027351</v>
      </c>
      <c r="K14" s="317"/>
      <c r="L14" s="317"/>
      <c r="M14" s="352"/>
      <c r="N14" s="352">
        <f t="shared" si="2"/>
        <v>4936.41</v>
      </c>
      <c r="O14" s="228"/>
      <c r="P14" s="228"/>
    </row>
    <row r="15" spans="1:16" ht="15.75">
      <c r="A15" s="341" t="s">
        <v>517</v>
      </c>
      <c r="B15" s="225"/>
      <c r="C15" s="352">
        <v>2638.48</v>
      </c>
      <c r="D15" s="352">
        <v>1339.79</v>
      </c>
      <c r="E15" s="352">
        <v>1741.9269999999999</v>
      </c>
      <c r="F15" s="352">
        <f t="shared" si="3"/>
        <v>2.2838327897782169</v>
      </c>
      <c r="G15" s="352">
        <v>404.36</v>
      </c>
      <c r="H15" s="352">
        <v>152.18</v>
      </c>
      <c r="I15" s="352">
        <v>213.61</v>
      </c>
      <c r="J15" s="352">
        <f t="shared" si="1"/>
        <v>2.6054023688029582</v>
      </c>
      <c r="K15" s="352"/>
      <c r="L15" s="352"/>
      <c r="M15" s="352"/>
      <c r="N15" s="352">
        <f t="shared" si="2"/>
        <v>4534.8100000000004</v>
      </c>
      <c r="O15" s="228"/>
      <c r="P15" s="228"/>
    </row>
    <row r="16" spans="1:16" ht="15.75">
      <c r="A16" s="341" t="s">
        <v>518</v>
      </c>
      <c r="B16" s="225"/>
      <c r="C16" s="352">
        <v>3132.47</v>
      </c>
      <c r="D16" s="352">
        <v>1406.87</v>
      </c>
      <c r="E16" s="352">
        <v>1827.01</v>
      </c>
      <c r="F16" s="352">
        <f t="shared" si="3"/>
        <v>2.484573155045676</v>
      </c>
      <c r="G16" s="352">
        <v>277.89999999999998</v>
      </c>
      <c r="H16" s="352">
        <v>99.97</v>
      </c>
      <c r="I16" s="352">
        <v>146.834</v>
      </c>
      <c r="J16" s="352">
        <f t="shared" si="1"/>
        <v>2.573450290804582</v>
      </c>
      <c r="K16" s="352"/>
      <c r="L16" s="317"/>
      <c r="M16" s="352"/>
      <c r="N16" s="352">
        <f t="shared" si="2"/>
        <v>4917.21</v>
      </c>
      <c r="O16" s="228"/>
      <c r="P16" s="228"/>
    </row>
    <row r="17" spans="1:16" ht="15.75">
      <c r="A17" s="341" t="s">
        <v>519</v>
      </c>
      <c r="B17" s="225"/>
      <c r="C17" s="353">
        <v>3537.75</v>
      </c>
      <c r="D17" s="353">
        <v>1528.35</v>
      </c>
      <c r="E17" s="353">
        <v>1981.7329999999999</v>
      </c>
      <c r="F17" s="352">
        <f t="shared" si="3"/>
        <v>2.5563988690706569</v>
      </c>
      <c r="G17" s="353">
        <v>338.52</v>
      </c>
      <c r="H17" s="353">
        <v>131.65</v>
      </c>
      <c r="I17" s="353">
        <v>191.05600000000001</v>
      </c>
      <c r="J17" s="352">
        <f t="shared" si="1"/>
        <v>2.4609015157859471</v>
      </c>
      <c r="K17" s="353"/>
      <c r="L17" s="352"/>
      <c r="M17" s="352"/>
      <c r="N17" s="353">
        <f t="shared" si="2"/>
        <v>5536.27</v>
      </c>
      <c r="O17" s="228"/>
      <c r="P17" s="228"/>
    </row>
    <row r="18" spans="1:16">
      <c r="A18" s="228"/>
      <c r="B18" s="228"/>
      <c r="C18" s="228"/>
      <c r="D18" s="228"/>
      <c r="E18" s="228"/>
      <c r="F18" s="228"/>
      <c r="G18" s="228"/>
      <c r="H18" s="228"/>
      <c r="I18" s="228"/>
      <c r="J18" s="228"/>
      <c r="K18" s="228"/>
      <c r="L18" s="228"/>
      <c r="M18" s="228"/>
      <c r="N18" s="228"/>
      <c r="O18" s="228"/>
      <c r="P18" s="228"/>
    </row>
    <row r="19" spans="1:16" ht="15.75">
      <c r="A19" s="348" t="s">
        <v>534</v>
      </c>
      <c r="B19" s="225"/>
      <c r="C19" s="352">
        <f>SUM(C6:C17)</f>
        <v>35988.120000000003</v>
      </c>
      <c r="D19" s="352">
        <f>SUM(D6:D17)</f>
        <v>16899.05</v>
      </c>
      <c r="E19" s="352">
        <f>SUM(E6:E17)</f>
        <v>21925.034599999999</v>
      </c>
      <c r="F19" s="317">
        <f>+(C19+D19)/E19</f>
        <v>2.4121818261577568</v>
      </c>
      <c r="G19" s="352">
        <f>SUM(G6:G17)</f>
        <v>3216.55</v>
      </c>
      <c r="H19" s="352">
        <f>SUM(H6:H17)</f>
        <v>1328.3620000000001</v>
      </c>
      <c r="I19" s="352">
        <f>SUM(I6:I17)</f>
        <v>1881.7370000000003</v>
      </c>
      <c r="J19" s="317">
        <f>+(G19+H19)/I19</f>
        <v>2.4152748232085566</v>
      </c>
      <c r="K19" s="352">
        <f>SUM(K6:K17)</f>
        <v>0</v>
      </c>
      <c r="L19" s="352">
        <f>SUM(L6:L17)</f>
        <v>0</v>
      </c>
      <c r="M19" s="352">
        <f>SUM(M6:M17)</f>
        <v>0</v>
      </c>
      <c r="N19" s="352">
        <f>SUM(N6:N17)</f>
        <v>57432.081999999995</v>
      </c>
      <c r="O19" s="228"/>
      <c r="P19" s="228"/>
    </row>
    <row r="20" spans="1:16" ht="15.75">
      <c r="A20" s="225"/>
      <c r="B20" s="225"/>
      <c r="C20" s="352"/>
      <c r="D20" s="352"/>
      <c r="E20" s="317"/>
      <c r="F20" s="317"/>
      <c r="G20" s="352"/>
      <c r="H20" s="352"/>
      <c r="I20" s="317"/>
      <c r="J20" s="317"/>
      <c r="K20" s="317"/>
      <c r="L20" s="317"/>
      <c r="M20" s="352"/>
      <c r="N20" s="352"/>
      <c r="O20" s="228"/>
      <c r="P20" s="228"/>
    </row>
    <row r="21" spans="1:16" ht="31.5">
      <c r="A21" s="354" t="s">
        <v>535</v>
      </c>
      <c r="B21" s="225"/>
      <c r="C21" s="352"/>
      <c r="D21" s="352"/>
      <c r="E21" s="317"/>
      <c r="F21" s="317"/>
      <c r="G21" s="352"/>
      <c r="H21" s="352"/>
      <c r="I21" s="317"/>
      <c r="J21" s="317"/>
      <c r="K21" s="317"/>
      <c r="L21" s="317"/>
      <c r="M21" s="352"/>
      <c r="N21" s="352"/>
      <c r="O21" s="228"/>
      <c r="P21" s="228"/>
    </row>
    <row r="22" spans="1:16" ht="15.75">
      <c r="A22" s="341" t="s">
        <v>536</v>
      </c>
      <c r="B22" s="225"/>
      <c r="C22" s="352">
        <v>3321.8</v>
      </c>
      <c r="D22" s="352">
        <v>1429.93</v>
      </c>
      <c r="E22" s="352">
        <v>1856.8309999999999</v>
      </c>
      <c r="F22" s="352">
        <f t="shared" ref="F22:F27" si="4">SUM(C22:D22)/E22</f>
        <v>2.5590535703033828</v>
      </c>
      <c r="G22" s="352">
        <v>332.79</v>
      </c>
      <c r="H22" s="352">
        <v>134.32</v>
      </c>
      <c r="I22" s="352">
        <v>188.60400000000001</v>
      </c>
      <c r="J22" s="352">
        <f t="shared" ref="J22:J27" si="5">SUM(G22:H22)/I22</f>
        <v>2.4766706962736738</v>
      </c>
      <c r="K22" s="352"/>
      <c r="L22" s="352"/>
      <c r="M22" s="352"/>
      <c r="N22" s="352">
        <f>+C22+D22+G22+H22+K22+L22</f>
        <v>5218.84</v>
      </c>
      <c r="O22" s="228"/>
      <c r="P22" s="228"/>
    </row>
    <row r="23" spans="1:16" ht="15.75">
      <c r="A23" s="341" t="s">
        <v>537</v>
      </c>
      <c r="B23" s="225"/>
      <c r="C23" s="352">
        <v>3178.63</v>
      </c>
      <c r="D23" s="352">
        <v>1270.4000000000001</v>
      </c>
      <c r="E23" s="352">
        <v>1649.617</v>
      </c>
      <c r="F23" s="352">
        <f t="shared" si="4"/>
        <v>2.6970078509132729</v>
      </c>
      <c r="G23" s="352">
        <v>281.47000000000003</v>
      </c>
      <c r="H23" s="352">
        <v>102.16</v>
      </c>
      <c r="I23" s="352">
        <v>143.37</v>
      </c>
      <c r="J23" s="352">
        <f t="shared" si="5"/>
        <v>2.675803864127781</v>
      </c>
      <c r="K23" s="352"/>
      <c r="L23" s="352"/>
      <c r="M23" s="352"/>
      <c r="N23" s="352">
        <f>+C23+D23+G23+H23+K23+L23</f>
        <v>4832.6600000000008</v>
      </c>
      <c r="O23" s="228"/>
      <c r="P23" s="228"/>
    </row>
    <row r="24" spans="1:16" ht="15.75">
      <c r="A24" s="341" t="s">
        <v>538</v>
      </c>
      <c r="B24" s="225"/>
      <c r="C24" s="352">
        <v>4873.53</v>
      </c>
      <c r="D24" s="352">
        <v>1652.23</v>
      </c>
      <c r="E24" s="352">
        <v>2148.5300000000002</v>
      </c>
      <c r="F24" s="352">
        <f t="shared" si="4"/>
        <v>3.0373138843767595</v>
      </c>
      <c r="G24" s="352">
        <v>484.54</v>
      </c>
      <c r="H24" s="352">
        <v>141.34</v>
      </c>
      <c r="I24" s="352">
        <v>203.96100000000001</v>
      </c>
      <c r="J24" s="352">
        <f t="shared" si="5"/>
        <v>3.0686258647486526</v>
      </c>
      <c r="K24" s="352"/>
      <c r="L24" s="352"/>
      <c r="M24" s="352"/>
      <c r="N24" s="352">
        <f>SUM(C24,D24,G24,H24,K24,L24)</f>
        <v>7151.64</v>
      </c>
      <c r="O24" s="228"/>
      <c r="P24" s="228"/>
    </row>
    <row r="25" spans="1:16" ht="15.75">
      <c r="A25" s="341" t="s">
        <v>539</v>
      </c>
      <c r="B25" s="225"/>
      <c r="C25" s="352">
        <v>4493.8500000000004</v>
      </c>
      <c r="D25" s="352">
        <v>1499.73</v>
      </c>
      <c r="E25" s="352">
        <v>1943.298</v>
      </c>
      <c r="F25" s="352">
        <f t="shared" si="4"/>
        <v>3.0842310340462449</v>
      </c>
      <c r="G25" s="352">
        <v>410.89</v>
      </c>
      <c r="H25" s="352">
        <v>126.28</v>
      </c>
      <c r="I25" s="352">
        <v>180.05</v>
      </c>
      <c r="J25" s="352">
        <f t="shared" si="5"/>
        <v>2.9834490419327961</v>
      </c>
      <c r="K25" s="352"/>
      <c r="L25" s="352"/>
      <c r="M25" s="352"/>
      <c r="N25" s="352">
        <f>SUM(H25,G25,L25,K25,D25,C25)</f>
        <v>6530.75</v>
      </c>
      <c r="O25" s="228"/>
      <c r="P25" s="228"/>
    </row>
    <row r="26" spans="1:16" ht="15.75">
      <c r="A26" s="341" t="s">
        <v>540</v>
      </c>
      <c r="B26" s="225"/>
      <c r="C26" s="352">
        <v>4596</v>
      </c>
      <c r="D26" s="352">
        <v>1512.28</v>
      </c>
      <c r="E26" s="352">
        <v>1959.751</v>
      </c>
      <c r="F26" s="352">
        <f t="shared" si="4"/>
        <v>3.1168653568744191</v>
      </c>
      <c r="G26" s="352">
        <v>383.24</v>
      </c>
      <c r="H26" s="352">
        <v>104.41</v>
      </c>
      <c r="I26" s="352">
        <v>146.09</v>
      </c>
      <c r="J26" s="352">
        <f t="shared" si="5"/>
        <v>3.3380108152508727</v>
      </c>
      <c r="K26" s="352"/>
      <c r="L26" s="352"/>
      <c r="M26" s="352"/>
      <c r="N26" s="352">
        <f>SUM(L26,K26,H26,G26,D26,C26)</f>
        <v>6595.93</v>
      </c>
      <c r="O26" s="228"/>
      <c r="P26" s="228"/>
    </row>
    <row r="27" spans="1:16" ht="15.75">
      <c r="A27" s="341" t="s">
        <v>541</v>
      </c>
      <c r="B27" s="225"/>
      <c r="C27" s="353">
        <v>4880.42</v>
      </c>
      <c r="D27" s="353">
        <v>1497.05</v>
      </c>
      <c r="E27" s="353">
        <v>1938.711</v>
      </c>
      <c r="F27" s="353">
        <f t="shared" si="4"/>
        <v>3.2895413498969162</v>
      </c>
      <c r="G27" s="353">
        <v>514.44000000000005</v>
      </c>
      <c r="H27" s="353">
        <v>137.15</v>
      </c>
      <c r="I27" s="353">
        <v>191.87</v>
      </c>
      <c r="J27" s="353">
        <f t="shared" si="5"/>
        <v>3.3959972898316568</v>
      </c>
      <c r="K27" s="352"/>
      <c r="L27" s="352"/>
      <c r="M27" s="352"/>
      <c r="N27" s="353">
        <f>SUM(L27,K27,H27,G27,D27,C27)</f>
        <v>7029.0599999999995</v>
      </c>
      <c r="O27" s="228"/>
      <c r="P27" s="228"/>
    </row>
    <row r="28" spans="1:16" ht="15.75">
      <c r="A28" s="341"/>
      <c r="B28" s="225"/>
      <c r="C28" s="317">
        <f>SUM(C22:C27)</f>
        <v>25344.229999999996</v>
      </c>
      <c r="D28" s="317">
        <f t="shared" ref="D28:E28" si="6">SUM(D22:D27)</f>
        <v>8861.619999999999</v>
      </c>
      <c r="E28" s="317">
        <f t="shared" si="6"/>
        <v>11496.737999999999</v>
      </c>
      <c r="F28" s="352">
        <f>+(C28+D28)/E28</f>
        <v>2.9752656797084525</v>
      </c>
      <c r="G28" s="317">
        <f t="shared" ref="G28:I28" si="7">SUM(G22:G27)</f>
        <v>2407.37</v>
      </c>
      <c r="H28" s="317">
        <f t="shared" si="7"/>
        <v>745.66</v>
      </c>
      <c r="I28" s="317">
        <f t="shared" si="7"/>
        <v>1053.9450000000002</v>
      </c>
      <c r="J28" s="352">
        <f>+(G28+H28)/I28</f>
        <v>2.9916456741101283</v>
      </c>
      <c r="K28" s="352"/>
      <c r="L28" s="317"/>
      <c r="M28" s="352"/>
      <c r="N28" s="317">
        <f>SUM(N22:N27)</f>
        <v>37358.879999999997</v>
      </c>
      <c r="O28" s="228"/>
      <c r="P28" s="228"/>
    </row>
    <row r="29" spans="1:16" ht="15.75">
      <c r="A29" s="341"/>
      <c r="B29" s="225"/>
      <c r="C29" s="352"/>
      <c r="D29" s="352"/>
      <c r="E29" s="352"/>
      <c r="F29" s="352"/>
      <c r="G29" s="352"/>
      <c r="H29" s="352"/>
      <c r="I29" s="352"/>
      <c r="J29" s="352"/>
      <c r="K29" s="352"/>
      <c r="L29" s="317"/>
      <c r="M29" s="352"/>
      <c r="N29" s="352"/>
      <c r="O29" s="228"/>
      <c r="P29" s="228"/>
    </row>
    <row r="30" spans="1:16" ht="31.5">
      <c r="A30" s="355" t="s">
        <v>542</v>
      </c>
      <c r="B30" s="225"/>
      <c r="C30" s="352">
        <f>-SUM(C6:C11)</f>
        <v>-17834.57</v>
      </c>
      <c r="D30" s="352">
        <f t="shared" ref="D30:E30" si="8">-SUM(D6:D11)</f>
        <v>-8211.59</v>
      </c>
      <c r="E30" s="352">
        <f t="shared" si="8"/>
        <v>-10648.123</v>
      </c>
      <c r="F30" s="352"/>
      <c r="G30" s="352">
        <f t="shared" ref="G30:I30" si="9">-SUM(G6:G11)</f>
        <v>-1357.92</v>
      </c>
      <c r="H30" s="352">
        <f t="shared" si="9"/>
        <v>-622.63199999999995</v>
      </c>
      <c r="I30" s="352">
        <f t="shared" si="9"/>
        <v>-878.25700000000006</v>
      </c>
      <c r="J30" s="352"/>
      <c r="K30" s="352">
        <f>-K6-K7</f>
        <v>0</v>
      </c>
      <c r="L30" s="317"/>
      <c r="M30" s="352"/>
      <c r="N30" s="352">
        <f>SUM(L30,K30,H30,G30,D30,C30)</f>
        <v>-28026.712</v>
      </c>
      <c r="O30" s="228"/>
      <c r="P30" s="228"/>
    </row>
    <row r="31" spans="1:16" ht="15.75">
      <c r="A31" s="341"/>
      <c r="B31" s="225"/>
      <c r="C31" s="352"/>
      <c r="D31" s="352"/>
      <c r="E31" s="352"/>
      <c r="F31" s="352"/>
      <c r="G31" s="352"/>
      <c r="H31" s="352"/>
      <c r="I31" s="352"/>
      <c r="J31" s="352"/>
      <c r="K31" s="352"/>
      <c r="L31" s="317"/>
      <c r="M31" s="352"/>
      <c r="N31" s="352"/>
      <c r="O31" s="228"/>
      <c r="P31" s="228"/>
    </row>
    <row r="32" spans="1:16" ht="31.5">
      <c r="A32" s="355" t="s">
        <v>543</v>
      </c>
      <c r="B32" s="225"/>
      <c r="C32" s="353">
        <f>+C28</f>
        <v>25344.229999999996</v>
      </c>
      <c r="D32" s="353">
        <f>+D28</f>
        <v>8861.619999999999</v>
      </c>
      <c r="E32" s="353">
        <f>+E28</f>
        <v>11496.737999999999</v>
      </c>
      <c r="F32" s="352"/>
      <c r="G32" s="353">
        <f>+G28</f>
        <v>2407.37</v>
      </c>
      <c r="H32" s="353">
        <f>+H28</f>
        <v>745.66</v>
      </c>
      <c r="I32" s="353">
        <f>+I28</f>
        <v>1053.9450000000002</v>
      </c>
      <c r="J32" s="352"/>
      <c r="K32" s="353">
        <f>+K28</f>
        <v>0</v>
      </c>
      <c r="L32" s="317"/>
      <c r="M32" s="352"/>
      <c r="N32" s="353">
        <f>SUM(L32,K32,H32,G32,D32,C32)</f>
        <v>37358.87999999999</v>
      </c>
      <c r="O32" s="228"/>
      <c r="P32" s="228"/>
    </row>
    <row r="33" spans="1:16" ht="15.75">
      <c r="A33" s="341" t="s">
        <v>544</v>
      </c>
      <c r="B33" s="225"/>
      <c r="C33" s="352">
        <f>+C19+C30+C32</f>
        <v>43497.78</v>
      </c>
      <c r="D33" s="352">
        <f t="shared" ref="D33:K33" si="10">+D19+D30+D32</f>
        <v>17549.079999999998</v>
      </c>
      <c r="E33" s="352">
        <f t="shared" si="10"/>
        <v>22773.649599999997</v>
      </c>
      <c r="F33" s="352">
        <f t="shared" si="10"/>
        <v>2.4121818261577568</v>
      </c>
      <c r="G33" s="352">
        <f t="shared" si="10"/>
        <v>4266</v>
      </c>
      <c r="H33" s="352">
        <f t="shared" si="10"/>
        <v>1451.39</v>
      </c>
      <c r="I33" s="352">
        <f t="shared" si="10"/>
        <v>2057.4250000000002</v>
      </c>
      <c r="J33" s="352">
        <f t="shared" si="10"/>
        <v>2.4152748232085566</v>
      </c>
      <c r="K33" s="352">
        <f t="shared" si="10"/>
        <v>0</v>
      </c>
      <c r="L33" s="317"/>
      <c r="M33" s="352"/>
      <c r="N33" s="352">
        <f>+N19+N30+N32</f>
        <v>66764.249999999985</v>
      </c>
      <c r="O33" s="228"/>
      <c r="P33" s="228"/>
    </row>
    <row r="34" spans="1:16" ht="15.75">
      <c r="A34" s="341"/>
      <c r="B34" s="225"/>
      <c r="C34" s="352"/>
      <c r="D34" s="352"/>
      <c r="E34" s="352"/>
      <c r="F34" s="352"/>
      <c r="G34" s="352"/>
      <c r="H34" s="352"/>
      <c r="I34" s="352"/>
      <c r="J34" s="352"/>
      <c r="K34" s="317"/>
      <c r="L34" s="317"/>
      <c r="M34" s="352"/>
      <c r="N34" s="352"/>
      <c r="O34" s="228"/>
      <c r="P34" s="228"/>
    </row>
    <row r="35" spans="1:16" ht="15.75">
      <c r="A35" s="356" t="s">
        <v>545</v>
      </c>
      <c r="B35" s="225"/>
      <c r="C35" s="317"/>
      <c r="D35" s="317"/>
      <c r="E35" s="317"/>
      <c r="F35" s="317"/>
      <c r="G35" s="317"/>
      <c r="H35" s="317"/>
      <c r="I35" s="317"/>
      <c r="J35" s="317"/>
      <c r="K35" s="317"/>
      <c r="L35" s="317"/>
      <c r="M35" s="352"/>
      <c r="N35" s="353">
        <v>57612.99</v>
      </c>
      <c r="O35" s="228"/>
      <c r="P35" s="228"/>
    </row>
    <row r="36" spans="1:16" ht="15.75">
      <c r="A36" s="357" t="s">
        <v>546</v>
      </c>
      <c r="B36" s="228"/>
      <c r="C36" s="228"/>
      <c r="D36" s="228"/>
      <c r="E36" s="335"/>
      <c r="F36" s="335"/>
      <c r="G36" s="335"/>
      <c r="H36" s="335"/>
      <c r="I36" s="358"/>
      <c r="J36" s="335"/>
      <c r="K36" s="335"/>
      <c r="L36" s="335"/>
      <c r="M36" s="358"/>
      <c r="N36" s="352">
        <f>+N33-N35</f>
        <v>9151.2599999999875</v>
      </c>
      <c r="O36" s="228"/>
      <c r="P36" s="228"/>
    </row>
    <row r="37" spans="1:16">
      <c r="A37" s="228"/>
      <c r="B37" s="228"/>
      <c r="C37" s="228"/>
      <c r="D37" s="228"/>
      <c r="E37" s="228"/>
      <c r="F37" s="228"/>
      <c r="G37" s="228"/>
      <c r="H37" s="228"/>
      <c r="I37" s="228"/>
      <c r="J37" s="228"/>
      <c r="K37" s="228"/>
      <c r="L37" s="228"/>
      <c r="M37" s="228"/>
      <c r="N37" s="228"/>
      <c r="O37" s="228"/>
      <c r="P37" s="228"/>
    </row>
    <row r="38" spans="1:16">
      <c r="A38" s="228"/>
      <c r="B38" s="228"/>
      <c r="C38" s="228"/>
      <c r="D38" s="228"/>
      <c r="E38" s="228"/>
      <c r="F38" s="228"/>
      <c r="G38" s="228"/>
      <c r="H38" s="228"/>
      <c r="I38" s="228"/>
      <c r="J38" s="228"/>
      <c r="K38" s="228"/>
      <c r="L38" s="228"/>
      <c r="M38" s="228"/>
      <c r="N38" s="228"/>
      <c r="O38" s="228"/>
      <c r="P38" s="228"/>
    </row>
    <row r="39" spans="1:16">
      <c r="A39" s="228"/>
      <c r="B39" s="228"/>
      <c r="C39" s="228"/>
      <c r="D39" s="228"/>
      <c r="E39" s="228"/>
      <c r="F39" s="228"/>
      <c r="G39" s="228"/>
      <c r="H39" s="228"/>
      <c r="I39" s="228"/>
      <c r="J39" s="228"/>
      <c r="K39" s="228"/>
      <c r="L39" s="228"/>
      <c r="M39" s="228"/>
      <c r="N39" s="228"/>
      <c r="O39" s="228"/>
      <c r="P39" s="228"/>
    </row>
    <row r="40" spans="1:16">
      <c r="A40" s="228"/>
      <c r="B40" s="228"/>
      <c r="C40" s="228"/>
      <c r="D40" s="228"/>
      <c r="E40" s="228"/>
      <c r="F40" s="228"/>
      <c r="G40" s="228"/>
      <c r="H40" s="228"/>
      <c r="I40" s="228"/>
      <c r="J40" s="228"/>
      <c r="K40" s="228"/>
      <c r="L40" s="228"/>
      <c r="M40" s="228"/>
      <c r="N40" s="228"/>
      <c r="O40" s="228"/>
      <c r="P40" s="22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6CABF-DEF3-4D42-8556-9A4B46885384}">
  <dimension ref="A1:AM67"/>
  <sheetViews>
    <sheetView workbookViewId="0">
      <selection activeCell="A6" sqref="A6"/>
    </sheetView>
  </sheetViews>
  <sheetFormatPr defaultRowHeight="15"/>
  <cols>
    <col min="1" max="1" width="12" bestFit="1" customWidth="1"/>
    <col min="3" max="3" width="10.44140625" customWidth="1"/>
    <col min="4" max="4" width="3.6640625" customWidth="1"/>
  </cols>
  <sheetData>
    <row r="1" spans="1:39" ht="15.75">
      <c r="A1" s="361" t="s">
        <v>547</v>
      </c>
      <c r="B1" s="222"/>
      <c r="C1" s="222"/>
      <c r="D1" s="222"/>
      <c r="E1" s="362"/>
      <c r="F1" s="362"/>
      <c r="G1" s="362"/>
      <c r="H1" s="362"/>
      <c r="I1" s="362"/>
      <c r="J1" s="362"/>
      <c r="K1" s="362"/>
      <c r="L1" s="362"/>
      <c r="M1" s="362"/>
      <c r="N1" s="362"/>
      <c r="O1" s="362"/>
      <c r="P1" s="362"/>
      <c r="Q1" s="362"/>
      <c r="R1" s="362"/>
      <c r="S1" s="362"/>
      <c r="T1" s="362"/>
      <c r="U1" s="362"/>
      <c r="V1" s="362"/>
      <c r="W1" s="362"/>
      <c r="X1" s="362"/>
      <c r="Y1" s="362"/>
      <c r="Z1" s="362"/>
      <c r="AA1" s="362"/>
      <c r="AB1" s="362"/>
      <c r="AC1" s="363"/>
      <c r="AD1" s="362"/>
      <c r="AE1" s="225"/>
      <c r="AF1" s="225"/>
      <c r="AG1" s="225"/>
      <c r="AH1" s="225"/>
      <c r="AI1" s="225"/>
      <c r="AJ1" s="225"/>
      <c r="AK1" s="225"/>
      <c r="AL1" s="225"/>
      <c r="AM1" s="221"/>
    </row>
    <row r="2" spans="1:39" ht="15.75">
      <c r="A2" s="364" t="s">
        <v>548</v>
      </c>
      <c r="B2" s="347"/>
      <c r="C2" s="222"/>
      <c r="D2" s="22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225"/>
      <c r="AF2" s="225"/>
      <c r="AG2" s="225"/>
      <c r="AH2" s="225"/>
      <c r="AI2" s="225"/>
      <c r="AJ2" s="225"/>
      <c r="AK2" s="225"/>
      <c r="AL2" s="225"/>
      <c r="AM2" s="221"/>
    </row>
    <row r="3" spans="1:39" ht="15.75">
      <c r="A3" s="364" t="s">
        <v>549</v>
      </c>
      <c r="B3" s="347"/>
      <c r="C3" s="222"/>
      <c r="D3" s="22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225"/>
      <c r="AF3" s="225"/>
      <c r="AG3" s="225"/>
      <c r="AH3" s="225"/>
      <c r="AI3" s="225"/>
      <c r="AJ3" s="225"/>
      <c r="AK3" s="225"/>
      <c r="AL3" s="225"/>
      <c r="AM3" s="221"/>
    </row>
    <row r="4" spans="1:39" ht="15.75">
      <c r="A4" s="365"/>
      <c r="B4" s="347"/>
      <c r="C4" s="222"/>
      <c r="D4" s="222"/>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1"/>
    </row>
    <row r="5" spans="1:39" ht="15.75">
      <c r="A5" s="366"/>
      <c r="B5" s="224"/>
      <c r="C5" s="324"/>
      <c r="D5" s="324"/>
      <c r="E5" s="543" t="s">
        <v>550</v>
      </c>
      <c r="F5" s="544"/>
      <c r="G5" s="543" t="s">
        <v>551</v>
      </c>
      <c r="H5" s="544"/>
      <c r="I5" s="543" t="s">
        <v>552</v>
      </c>
      <c r="J5" s="544"/>
      <c r="K5" s="543" t="s">
        <v>553</v>
      </c>
      <c r="L5" s="544"/>
      <c r="M5" s="543" t="s">
        <v>554</v>
      </c>
      <c r="N5" s="544"/>
      <c r="O5" s="543" t="s">
        <v>555</v>
      </c>
      <c r="P5" s="544"/>
      <c r="Q5" s="543" t="s">
        <v>556</v>
      </c>
      <c r="R5" s="544"/>
      <c r="S5" s="543" t="s">
        <v>557</v>
      </c>
      <c r="T5" s="544"/>
      <c r="U5" s="543" t="s">
        <v>558</v>
      </c>
      <c r="V5" s="544"/>
      <c r="W5" s="543" t="s">
        <v>559</v>
      </c>
      <c r="X5" s="544"/>
      <c r="Y5" s="543" t="s">
        <v>560</v>
      </c>
      <c r="Z5" s="544"/>
      <c r="AA5" s="543" t="s">
        <v>561</v>
      </c>
      <c r="AB5" s="544"/>
      <c r="AC5" s="545" t="s">
        <v>103</v>
      </c>
      <c r="AD5" s="546"/>
      <c r="AE5" s="225"/>
      <c r="AF5" s="225"/>
      <c r="AG5" s="225"/>
      <c r="AH5" s="225"/>
      <c r="AI5" s="225"/>
      <c r="AJ5" s="225"/>
      <c r="AK5" s="225"/>
      <c r="AL5" s="225"/>
      <c r="AM5" s="221"/>
    </row>
    <row r="6" spans="1:39" ht="63">
      <c r="A6" s="501" t="s">
        <v>1106</v>
      </c>
      <c r="B6" s="367" t="s">
        <v>562</v>
      </c>
      <c r="C6" s="368" t="s">
        <v>563</v>
      </c>
      <c r="D6" s="322"/>
      <c r="E6" s="369" t="s">
        <v>564</v>
      </c>
      <c r="F6" s="369" t="s">
        <v>565</v>
      </c>
      <c r="G6" s="369" t="s">
        <v>564</v>
      </c>
      <c r="H6" s="369" t="s">
        <v>565</v>
      </c>
      <c r="I6" s="369" t="s">
        <v>564</v>
      </c>
      <c r="J6" s="369" t="s">
        <v>565</v>
      </c>
      <c r="K6" s="369" t="s">
        <v>564</v>
      </c>
      <c r="L6" s="369" t="s">
        <v>565</v>
      </c>
      <c r="M6" s="369" t="s">
        <v>564</v>
      </c>
      <c r="N6" s="369" t="s">
        <v>565</v>
      </c>
      <c r="O6" s="369" t="s">
        <v>564</v>
      </c>
      <c r="P6" s="369" t="s">
        <v>565</v>
      </c>
      <c r="Q6" s="369" t="s">
        <v>564</v>
      </c>
      <c r="R6" s="369" t="s">
        <v>565</v>
      </c>
      <c r="S6" s="369" t="s">
        <v>564</v>
      </c>
      <c r="T6" s="369" t="s">
        <v>565</v>
      </c>
      <c r="U6" s="369" t="s">
        <v>564</v>
      </c>
      <c r="V6" s="369" t="s">
        <v>565</v>
      </c>
      <c r="W6" s="369" t="s">
        <v>564</v>
      </c>
      <c r="X6" s="369" t="s">
        <v>565</v>
      </c>
      <c r="Y6" s="369" t="s">
        <v>564</v>
      </c>
      <c r="Z6" s="369" t="s">
        <v>565</v>
      </c>
      <c r="AA6" s="369" t="s">
        <v>564</v>
      </c>
      <c r="AB6" s="369" t="s">
        <v>565</v>
      </c>
      <c r="AC6" s="369" t="s">
        <v>564</v>
      </c>
      <c r="AD6" s="369" t="s">
        <v>565</v>
      </c>
      <c r="AE6" s="225"/>
      <c r="AF6" s="359" t="s">
        <v>566</v>
      </c>
      <c r="AG6" s="359" t="s">
        <v>567</v>
      </c>
      <c r="AH6" s="360" t="s">
        <v>568</v>
      </c>
      <c r="AI6" s="360" t="s">
        <v>569</v>
      </c>
      <c r="AJ6" s="370" t="s">
        <v>570</v>
      </c>
      <c r="AK6" s="370" t="s">
        <v>571</v>
      </c>
      <c r="AL6" s="225"/>
      <c r="AM6" s="221"/>
    </row>
    <row r="7" spans="1:39" ht="15.75">
      <c r="A7" s="371"/>
      <c r="B7" s="372">
        <v>1</v>
      </c>
      <c r="C7" s="226" t="s">
        <v>572</v>
      </c>
      <c r="D7" s="224"/>
      <c r="E7" s="324">
        <v>5828</v>
      </c>
      <c r="F7" s="324">
        <v>240</v>
      </c>
      <c r="G7" s="324">
        <v>3760</v>
      </c>
      <c r="H7" s="324">
        <v>160</v>
      </c>
      <c r="I7" s="324">
        <v>3865.75</v>
      </c>
      <c r="J7" s="324">
        <v>163</v>
      </c>
      <c r="K7" s="324">
        <v>3760</v>
      </c>
      <c r="L7" s="324">
        <v>160</v>
      </c>
      <c r="M7" s="324">
        <v>5629.05</v>
      </c>
      <c r="N7" s="324">
        <v>180</v>
      </c>
      <c r="O7" s="324">
        <v>4559</v>
      </c>
      <c r="P7" s="324">
        <v>180</v>
      </c>
      <c r="Q7" s="324">
        <v>5640</v>
      </c>
      <c r="R7" s="324">
        <v>240</v>
      </c>
      <c r="S7" s="324">
        <v>3760</v>
      </c>
      <c r="T7" s="324">
        <v>160</v>
      </c>
      <c r="U7" s="324">
        <v>3854</v>
      </c>
      <c r="V7" s="324">
        <v>160</v>
      </c>
      <c r="W7" s="324">
        <v>3854</v>
      </c>
      <c r="X7" s="324">
        <v>160</v>
      </c>
      <c r="Y7" s="324">
        <v>3948</v>
      </c>
      <c r="Z7" s="324">
        <v>168</v>
      </c>
      <c r="AA7" s="324">
        <v>8142.75</v>
      </c>
      <c r="AB7" s="324">
        <v>250.5</v>
      </c>
      <c r="AC7" s="324">
        <f>SUM(E7,AA7,Y7,W7,U7,S7,Q7,O7,M7,K7,I7,G7)</f>
        <v>56600.55</v>
      </c>
      <c r="AD7" s="324">
        <f>SUM(F7,H7,J7,L7,N7,P7,R7,T7,V7,X7,Z7,AB7)</f>
        <v>2221.5</v>
      </c>
      <c r="AE7" s="225"/>
      <c r="AF7" s="224">
        <f>+AC22</f>
        <v>-2544.67</v>
      </c>
      <c r="AG7" s="224"/>
      <c r="AH7" s="224">
        <f>+AC7+AF7+AG7</f>
        <v>54055.880000000005</v>
      </c>
      <c r="AI7" s="224">
        <v>23.5</v>
      </c>
      <c r="AJ7" s="225">
        <f>ROUND(AI7*0.013,2)</f>
        <v>0.31</v>
      </c>
      <c r="AK7" s="224">
        <f>+AD7*AJ7</f>
        <v>688.66499999999996</v>
      </c>
      <c r="AL7" s="224"/>
      <c r="AM7" s="220"/>
    </row>
    <row r="8" spans="1:39" ht="15.75">
      <c r="A8" s="371"/>
      <c r="B8" s="372">
        <f>+B7+1</f>
        <v>2</v>
      </c>
      <c r="C8" s="226" t="s">
        <v>572</v>
      </c>
      <c r="D8" s="224"/>
      <c r="E8" s="324">
        <v>5580</v>
      </c>
      <c r="F8" s="324">
        <v>240</v>
      </c>
      <c r="G8" s="324">
        <v>3600</v>
      </c>
      <c r="H8" s="324">
        <v>160</v>
      </c>
      <c r="I8" s="324">
        <v>3600</v>
      </c>
      <c r="J8" s="324">
        <v>160</v>
      </c>
      <c r="K8" s="324">
        <v>3600</v>
      </c>
      <c r="L8" s="324">
        <v>160</v>
      </c>
      <c r="M8" s="324">
        <v>5685.5</v>
      </c>
      <c r="N8" s="324">
        <v>186.5</v>
      </c>
      <c r="O8" s="324">
        <v>4398.75</v>
      </c>
      <c r="P8" s="324">
        <v>181</v>
      </c>
      <c r="Q8" s="324">
        <v>5400</v>
      </c>
      <c r="R8" s="324">
        <v>240</v>
      </c>
      <c r="S8" s="324">
        <v>3600</v>
      </c>
      <c r="T8" s="324">
        <v>160</v>
      </c>
      <c r="U8" s="324">
        <v>3825</v>
      </c>
      <c r="V8" s="324">
        <v>164</v>
      </c>
      <c r="W8" s="324">
        <v>3600</v>
      </c>
      <c r="X8" s="324">
        <v>160</v>
      </c>
      <c r="Y8" s="324">
        <v>3600</v>
      </c>
      <c r="Z8" s="324">
        <v>160</v>
      </c>
      <c r="AA8" s="324">
        <v>7617.69</v>
      </c>
      <c r="AB8" s="324">
        <v>240</v>
      </c>
      <c r="AC8" s="324">
        <f>SUM(E8,G8,I8,K8,M8,O8,Q8,S8,U8,W8,Y8,AA8)</f>
        <v>54106.94</v>
      </c>
      <c r="AD8" s="324">
        <f>SUM(F8,H8,J8,L8,N8,P8,R8,T8,V8,X8,Z8,AB8)</f>
        <v>2211.5</v>
      </c>
      <c r="AE8" s="225"/>
      <c r="AF8" s="224">
        <f t="shared" ref="AF8:AF18" si="0">+AC23</f>
        <v>-2598.81</v>
      </c>
      <c r="AG8" s="224"/>
      <c r="AH8" s="224">
        <f t="shared" ref="AH8:AH18" si="1">+AC8+AF8+AG8</f>
        <v>51508.130000000005</v>
      </c>
      <c r="AI8" s="224">
        <v>22.5</v>
      </c>
      <c r="AJ8" s="225">
        <f t="shared" ref="AJ8:AJ17" si="2">ROUND(AI8*0.013,2)</f>
        <v>0.28999999999999998</v>
      </c>
      <c r="AK8" s="224">
        <f>+AD8*AJ8</f>
        <v>641.33499999999992</v>
      </c>
      <c r="AL8" s="224"/>
      <c r="AM8" s="220"/>
    </row>
    <row r="9" spans="1:39" ht="15.75">
      <c r="A9" s="371"/>
      <c r="B9" s="372">
        <f t="shared" ref="B9:B18" si="3">+B8+1</f>
        <v>3</v>
      </c>
      <c r="C9" s="226" t="s">
        <v>572</v>
      </c>
      <c r="D9" s="224"/>
      <c r="E9" s="324">
        <v>4576</v>
      </c>
      <c r="F9" s="324">
        <v>200</v>
      </c>
      <c r="G9" s="324">
        <v>0</v>
      </c>
      <c r="H9" s="324">
        <v>0</v>
      </c>
      <c r="I9" s="324">
        <v>0</v>
      </c>
      <c r="J9" s="324">
        <v>0</v>
      </c>
      <c r="K9" s="324">
        <v>0</v>
      </c>
      <c r="L9" s="324">
        <v>0</v>
      </c>
      <c r="M9" s="324">
        <v>0</v>
      </c>
      <c r="N9" s="324">
        <v>0</v>
      </c>
      <c r="O9" s="324">
        <v>0</v>
      </c>
      <c r="P9" s="324">
        <v>0</v>
      </c>
      <c r="Q9" s="324">
        <v>0</v>
      </c>
      <c r="R9" s="324">
        <v>0</v>
      </c>
      <c r="S9" s="324">
        <v>0</v>
      </c>
      <c r="T9" s="324">
        <v>0</v>
      </c>
      <c r="U9" s="324">
        <v>0</v>
      </c>
      <c r="V9" s="324">
        <v>0</v>
      </c>
      <c r="W9" s="324">
        <v>0</v>
      </c>
      <c r="X9" s="324">
        <v>0</v>
      </c>
      <c r="Y9" s="324">
        <v>0</v>
      </c>
      <c r="Z9" s="324">
        <v>0</v>
      </c>
      <c r="AA9" s="324">
        <v>0</v>
      </c>
      <c r="AB9" s="324">
        <v>0</v>
      </c>
      <c r="AC9" s="324">
        <f>SUM(E9,G9,I9,K9,M9,O9,Q9,S9,U9,W9,Y9,AA9)</f>
        <v>4576</v>
      </c>
      <c r="AD9" s="324">
        <f>SUM(F9,H9,J9,L9,N9,P9,R9,T9,U9,X9,Z9,AB9)</f>
        <v>200</v>
      </c>
      <c r="AE9" s="225"/>
      <c r="AF9" s="224">
        <f t="shared" si="0"/>
        <v>0</v>
      </c>
      <c r="AG9" s="224"/>
      <c r="AH9" s="224">
        <f t="shared" si="1"/>
        <v>4576</v>
      </c>
      <c r="AI9" s="224"/>
      <c r="AJ9" s="225"/>
      <c r="AK9" s="224"/>
      <c r="AL9" s="224"/>
      <c r="AM9" s="220"/>
    </row>
    <row r="10" spans="1:39" ht="15.75">
      <c r="A10" s="371"/>
      <c r="B10" s="372">
        <f t="shared" si="3"/>
        <v>4</v>
      </c>
      <c r="C10" s="226" t="s">
        <v>572</v>
      </c>
      <c r="D10" s="224"/>
      <c r="E10" s="324">
        <f>SUM(AC1)</f>
        <v>0</v>
      </c>
      <c r="F10" s="324">
        <v>0</v>
      </c>
      <c r="G10" s="324">
        <v>2880</v>
      </c>
      <c r="H10" s="324">
        <v>160</v>
      </c>
      <c r="I10" s="324">
        <v>2880</v>
      </c>
      <c r="J10" s="324">
        <v>160</v>
      </c>
      <c r="K10" s="324">
        <v>3200</v>
      </c>
      <c r="L10" s="324">
        <v>160</v>
      </c>
      <c r="M10" s="324">
        <v>4927.84</v>
      </c>
      <c r="N10" s="324">
        <v>181.5</v>
      </c>
      <c r="O10" s="324">
        <v>3889</v>
      </c>
      <c r="P10" s="324">
        <v>180.3</v>
      </c>
      <c r="Q10" s="324">
        <v>4800</v>
      </c>
      <c r="R10" s="324">
        <v>240</v>
      </c>
      <c r="S10" s="324">
        <v>3200</v>
      </c>
      <c r="T10" s="324">
        <v>160</v>
      </c>
      <c r="U10" s="324">
        <v>3280</v>
      </c>
      <c r="V10" s="324">
        <v>160</v>
      </c>
      <c r="W10" s="324">
        <v>3200</v>
      </c>
      <c r="X10" s="324">
        <v>160</v>
      </c>
      <c r="Y10" s="324">
        <v>3200</v>
      </c>
      <c r="Z10" s="324">
        <v>160</v>
      </c>
      <c r="AA10" s="324">
        <v>6231.13</v>
      </c>
      <c r="AB10" s="324">
        <v>240</v>
      </c>
      <c r="AC10" s="324">
        <f>SUM(E10,G10,I10,K10,M10,O10,Q10,S10,U10,W10,Y10,AA10)</f>
        <v>41687.969999999994</v>
      </c>
      <c r="AD10" s="324">
        <f>SUM(F10,H10,J10,L10,N10,P10,R10,T10,V10,X10,Z10,AB10)</f>
        <v>1961.8</v>
      </c>
      <c r="AE10" s="225"/>
      <c r="AF10" s="224">
        <f t="shared" si="0"/>
        <v>-2273.9700000000003</v>
      </c>
      <c r="AG10" s="224"/>
      <c r="AH10" s="224">
        <f t="shared" si="1"/>
        <v>39413.999999999993</v>
      </c>
      <c r="AI10" s="224">
        <v>18</v>
      </c>
      <c r="AJ10" s="225">
        <f t="shared" si="2"/>
        <v>0.23</v>
      </c>
      <c r="AK10" s="224">
        <f>+AD10*AJ10</f>
        <v>451.214</v>
      </c>
      <c r="AL10" s="224"/>
      <c r="AM10" s="220"/>
    </row>
    <row r="11" spans="1:39" ht="15.75">
      <c r="A11" s="371"/>
      <c r="B11" s="372">
        <f t="shared" si="3"/>
        <v>5</v>
      </c>
      <c r="C11" s="226" t="s">
        <v>572</v>
      </c>
      <c r="D11" s="224"/>
      <c r="E11" s="324">
        <v>0</v>
      </c>
      <c r="F11" s="324">
        <v>0</v>
      </c>
      <c r="G11" s="324">
        <v>0</v>
      </c>
      <c r="H11" s="324">
        <v>0</v>
      </c>
      <c r="I11" s="324">
        <v>0</v>
      </c>
      <c r="J11" s="324">
        <v>0</v>
      </c>
      <c r="K11" s="324">
        <v>1152</v>
      </c>
      <c r="L11" s="324">
        <v>64</v>
      </c>
      <c r="M11" s="324">
        <v>0</v>
      </c>
      <c r="N11" s="324">
        <v>0</v>
      </c>
      <c r="O11" s="324">
        <v>0</v>
      </c>
      <c r="P11" s="324">
        <v>0</v>
      </c>
      <c r="Q11" s="324">
        <v>0</v>
      </c>
      <c r="R11" s="324">
        <v>0</v>
      </c>
      <c r="S11" s="324">
        <v>0</v>
      </c>
      <c r="T11" s="324">
        <v>0</v>
      </c>
      <c r="U11" s="324">
        <v>0</v>
      </c>
      <c r="V11" s="324">
        <v>0</v>
      </c>
      <c r="W11" s="324">
        <v>0</v>
      </c>
      <c r="X11" s="324">
        <v>0</v>
      </c>
      <c r="Y11" s="324">
        <v>0</v>
      </c>
      <c r="Z11" s="324">
        <v>0</v>
      </c>
      <c r="AA11" s="324">
        <v>0</v>
      </c>
      <c r="AB11" s="324">
        <v>0</v>
      </c>
      <c r="AC11" s="324">
        <f>SUM(E11,G11,I11,K11,M11,O11,Q11,S11,U11,W11,Y11,AA11)</f>
        <v>1152</v>
      </c>
      <c r="AD11" s="324">
        <f>SUM(F11,H11,J11,L11,N11,P11,R11,T11,V11,X11,Z11,AB11)</f>
        <v>64</v>
      </c>
      <c r="AE11" s="225"/>
      <c r="AF11" s="224">
        <f t="shared" si="0"/>
        <v>0</v>
      </c>
      <c r="AG11" s="224"/>
      <c r="AH11" s="224">
        <f t="shared" si="1"/>
        <v>1152</v>
      </c>
      <c r="AI11" s="224"/>
      <c r="AJ11" s="225"/>
      <c r="AK11" s="224"/>
      <c r="AL11" s="224"/>
      <c r="AM11" s="220"/>
    </row>
    <row r="12" spans="1:39" ht="15.75">
      <c r="A12" s="371"/>
      <c r="B12" s="372">
        <f t="shared" si="3"/>
        <v>6</v>
      </c>
      <c r="C12" s="226" t="s">
        <v>573</v>
      </c>
      <c r="D12" s="224"/>
      <c r="E12" s="324">
        <v>170</v>
      </c>
      <c r="F12" s="324">
        <v>10</v>
      </c>
      <c r="G12" s="324">
        <v>1844.5</v>
      </c>
      <c r="H12" s="324">
        <v>108.5</v>
      </c>
      <c r="I12" s="324">
        <v>102</v>
      </c>
      <c r="J12" s="324">
        <v>6</v>
      </c>
      <c r="K12" s="324">
        <v>1649</v>
      </c>
      <c r="L12" s="324">
        <v>97</v>
      </c>
      <c r="M12" s="324">
        <v>2519.34</v>
      </c>
      <c r="N12" s="324">
        <v>84.5</v>
      </c>
      <c r="O12" s="324">
        <v>1258</v>
      </c>
      <c r="P12" s="324">
        <v>66.5</v>
      </c>
      <c r="Q12" s="324">
        <v>1776.5</v>
      </c>
      <c r="R12" s="324">
        <v>104.5</v>
      </c>
      <c r="S12" s="324">
        <v>102</v>
      </c>
      <c r="T12" s="324">
        <v>6</v>
      </c>
      <c r="U12" s="324">
        <v>833</v>
      </c>
      <c r="V12" s="324">
        <v>49</v>
      </c>
      <c r="W12" s="324">
        <v>484.5</v>
      </c>
      <c r="X12" s="324">
        <v>28.5</v>
      </c>
      <c r="Y12" s="324">
        <v>1003</v>
      </c>
      <c r="Z12" s="324">
        <v>59</v>
      </c>
      <c r="AA12" s="324">
        <v>1884.42</v>
      </c>
      <c r="AB12" s="324">
        <v>79</v>
      </c>
      <c r="AC12" s="324">
        <f t="shared" ref="AC12:AD18" si="4">SUM(E12,G12,I12,K12,M12,O12,Q12,S12,U12,W12,Y12,AA12)</f>
        <v>13626.26</v>
      </c>
      <c r="AD12" s="324">
        <f t="shared" si="4"/>
        <v>698.5</v>
      </c>
      <c r="AE12" s="225"/>
      <c r="AF12" s="224">
        <f t="shared" si="0"/>
        <v>-1624.2599999999998</v>
      </c>
      <c r="AG12" s="224"/>
      <c r="AH12" s="224">
        <f t="shared" si="1"/>
        <v>12002</v>
      </c>
      <c r="AI12" s="224">
        <v>17</v>
      </c>
      <c r="AJ12" s="225">
        <f t="shared" si="2"/>
        <v>0.22</v>
      </c>
      <c r="AK12" s="224">
        <f>+AD12*AJ12</f>
        <v>153.66999999999999</v>
      </c>
      <c r="AL12" s="224"/>
      <c r="AM12" s="220"/>
    </row>
    <row r="13" spans="1:39" ht="15.75">
      <c r="A13" s="371"/>
      <c r="B13" s="372">
        <f t="shared" si="3"/>
        <v>7</v>
      </c>
      <c r="C13" s="226" t="s">
        <v>573</v>
      </c>
      <c r="D13" s="224"/>
      <c r="E13" s="324">
        <v>210</v>
      </c>
      <c r="F13" s="324">
        <v>15</v>
      </c>
      <c r="G13" s="324">
        <v>140</v>
      </c>
      <c r="H13" s="324">
        <v>10</v>
      </c>
      <c r="I13" s="324">
        <v>155</v>
      </c>
      <c r="J13" s="324">
        <v>10</v>
      </c>
      <c r="K13" s="324">
        <v>155</v>
      </c>
      <c r="L13" s="324">
        <v>10</v>
      </c>
      <c r="M13" s="324">
        <v>1393.37</v>
      </c>
      <c r="N13" s="324">
        <v>30</v>
      </c>
      <c r="O13" s="324">
        <v>542.5</v>
      </c>
      <c r="P13" s="324">
        <v>30</v>
      </c>
      <c r="Q13" s="324">
        <v>465</v>
      </c>
      <c r="R13" s="324">
        <v>30</v>
      </c>
      <c r="S13" s="324">
        <v>310</v>
      </c>
      <c r="T13" s="324">
        <v>20</v>
      </c>
      <c r="U13" s="324">
        <v>310</v>
      </c>
      <c r="V13" s="324">
        <v>20</v>
      </c>
      <c r="W13" s="324">
        <v>310</v>
      </c>
      <c r="X13" s="324">
        <v>20</v>
      </c>
      <c r="Y13" s="324">
        <v>155</v>
      </c>
      <c r="Z13" s="324">
        <v>10</v>
      </c>
      <c r="AA13" s="324">
        <v>557.35</v>
      </c>
      <c r="AB13" s="324">
        <v>15</v>
      </c>
      <c r="AC13" s="324">
        <f t="shared" si="4"/>
        <v>4703.22</v>
      </c>
      <c r="AD13" s="324">
        <f t="shared" si="4"/>
        <v>220</v>
      </c>
      <c r="AE13" s="225"/>
      <c r="AF13" s="224">
        <f t="shared" si="0"/>
        <v>-1136.97</v>
      </c>
      <c r="AG13" s="224"/>
      <c r="AH13" s="224">
        <f t="shared" si="1"/>
        <v>3566.25</v>
      </c>
      <c r="AI13" s="224">
        <v>15.5</v>
      </c>
      <c r="AJ13" s="225">
        <f t="shared" si="2"/>
        <v>0.2</v>
      </c>
      <c r="AK13" s="224">
        <f>+AD13*AJ13</f>
        <v>44</v>
      </c>
      <c r="AL13" s="224"/>
      <c r="AM13" s="220"/>
    </row>
    <row r="14" spans="1:39" ht="15.75">
      <c r="A14" s="371"/>
      <c r="B14" s="372">
        <f t="shared" si="3"/>
        <v>8</v>
      </c>
      <c r="C14" s="226" t="s">
        <v>574</v>
      </c>
      <c r="D14" s="224"/>
      <c r="E14" s="324">
        <v>7800</v>
      </c>
      <c r="F14" s="324">
        <v>240</v>
      </c>
      <c r="G14" s="324">
        <v>5200</v>
      </c>
      <c r="H14" s="324">
        <v>160</v>
      </c>
      <c r="I14" s="324">
        <v>5200</v>
      </c>
      <c r="J14" s="324">
        <v>160</v>
      </c>
      <c r="K14" s="324">
        <v>5200</v>
      </c>
      <c r="L14" s="324">
        <v>160</v>
      </c>
      <c r="M14" s="324">
        <v>7057.4</v>
      </c>
      <c r="N14" s="324">
        <v>171.5</v>
      </c>
      <c r="O14" s="324">
        <v>5955.63</v>
      </c>
      <c r="P14" s="324">
        <v>175.5</v>
      </c>
      <c r="Q14" s="324">
        <v>7800</v>
      </c>
      <c r="R14" s="324">
        <v>240</v>
      </c>
      <c r="S14" s="324">
        <v>5200</v>
      </c>
      <c r="T14" s="324">
        <v>160</v>
      </c>
      <c r="U14" s="324">
        <v>5200</v>
      </c>
      <c r="V14" s="324">
        <v>160</v>
      </c>
      <c r="W14" s="324">
        <v>5200</v>
      </c>
      <c r="X14" s="324">
        <v>160</v>
      </c>
      <c r="Y14" s="324">
        <v>5200</v>
      </c>
      <c r="Z14" s="324">
        <v>160</v>
      </c>
      <c r="AA14" s="324">
        <v>8909.9</v>
      </c>
      <c r="AB14" s="324">
        <v>240</v>
      </c>
      <c r="AC14" s="324">
        <f t="shared" si="4"/>
        <v>73922.929999999993</v>
      </c>
      <c r="AD14" s="324">
        <f t="shared" si="4"/>
        <v>2187</v>
      </c>
      <c r="AE14" s="225"/>
      <c r="AF14" s="224">
        <f t="shared" si="0"/>
        <v>-2219.8000000000002</v>
      </c>
      <c r="AG14" s="224"/>
      <c r="AH14" s="224">
        <f t="shared" si="1"/>
        <v>71703.12999999999</v>
      </c>
      <c r="AI14" s="224"/>
      <c r="AJ14" s="225"/>
      <c r="AK14" s="224"/>
      <c r="AL14" s="224"/>
      <c r="AM14" s="220"/>
    </row>
    <row r="15" spans="1:39" ht="15.75">
      <c r="A15" s="371"/>
      <c r="B15" s="372">
        <f t="shared" si="3"/>
        <v>9</v>
      </c>
      <c r="C15" s="226" t="s">
        <v>574</v>
      </c>
      <c r="D15" s="224"/>
      <c r="E15" s="324">
        <v>8820</v>
      </c>
      <c r="F15" s="324">
        <v>240</v>
      </c>
      <c r="G15" s="324">
        <v>5880</v>
      </c>
      <c r="H15" s="324">
        <v>160</v>
      </c>
      <c r="I15" s="324">
        <v>5880</v>
      </c>
      <c r="J15" s="324">
        <v>160</v>
      </c>
      <c r="K15" s="324">
        <v>5880</v>
      </c>
      <c r="L15" s="324">
        <v>160</v>
      </c>
      <c r="M15" s="324">
        <v>7847.38</v>
      </c>
      <c r="N15" s="324">
        <v>173</v>
      </c>
      <c r="O15" s="324">
        <v>6596.69</v>
      </c>
      <c r="P15" s="324">
        <v>173</v>
      </c>
      <c r="Q15" s="324">
        <v>8820</v>
      </c>
      <c r="R15" s="324">
        <v>240</v>
      </c>
      <c r="S15" s="324">
        <v>5880</v>
      </c>
      <c r="T15" s="324">
        <v>160</v>
      </c>
      <c r="U15" s="324">
        <v>5880</v>
      </c>
      <c r="V15" s="324">
        <v>160</v>
      </c>
      <c r="W15" s="324">
        <v>5880</v>
      </c>
      <c r="X15" s="324">
        <v>160</v>
      </c>
      <c r="Y15" s="324">
        <v>5880</v>
      </c>
      <c r="Z15" s="324">
        <v>160</v>
      </c>
      <c r="AA15" s="324">
        <v>10972.57</v>
      </c>
      <c r="AB15" s="324">
        <v>240</v>
      </c>
      <c r="AC15" s="324">
        <f t="shared" si="4"/>
        <v>84216.640000000014</v>
      </c>
      <c r="AD15" s="324">
        <f t="shared" si="4"/>
        <v>2186</v>
      </c>
      <c r="AE15" s="225"/>
      <c r="AF15" s="224">
        <f t="shared" si="0"/>
        <v>-3329.7400000000002</v>
      </c>
      <c r="AG15" s="224"/>
      <c r="AH15" s="224">
        <f t="shared" si="1"/>
        <v>80886.900000000009</v>
      </c>
      <c r="AI15" s="224">
        <v>36.75</v>
      </c>
      <c r="AJ15" s="225">
        <f t="shared" si="2"/>
        <v>0.48</v>
      </c>
      <c r="AK15" s="224">
        <f>+AD15*AJ15</f>
        <v>1049.28</v>
      </c>
      <c r="AL15" s="224"/>
      <c r="AM15" s="220"/>
    </row>
    <row r="16" spans="1:39" ht="15.75">
      <c r="A16" s="371"/>
      <c r="B16" s="372">
        <f t="shared" si="3"/>
        <v>10</v>
      </c>
      <c r="C16" s="226" t="s">
        <v>575</v>
      </c>
      <c r="D16" s="224"/>
      <c r="E16" s="324">
        <v>12894.54</v>
      </c>
      <c r="F16" s="324">
        <v>240</v>
      </c>
      <c r="G16" s="324">
        <v>8596.36</v>
      </c>
      <c r="H16" s="324">
        <v>160</v>
      </c>
      <c r="I16" s="324">
        <v>8596.36</v>
      </c>
      <c r="J16" s="324">
        <v>160</v>
      </c>
      <c r="K16" s="324">
        <v>8596.36</v>
      </c>
      <c r="L16" s="324">
        <v>160</v>
      </c>
      <c r="M16" s="324">
        <v>8596.36</v>
      </c>
      <c r="N16" s="324">
        <v>160</v>
      </c>
      <c r="O16" s="324">
        <v>8596.36</v>
      </c>
      <c r="P16" s="324">
        <v>160</v>
      </c>
      <c r="Q16" s="324">
        <v>12894.54</v>
      </c>
      <c r="R16" s="324">
        <v>240</v>
      </c>
      <c r="S16" s="324">
        <v>8596.36</v>
      </c>
      <c r="T16" s="324">
        <v>160</v>
      </c>
      <c r="U16" s="324">
        <v>8596.36</v>
      </c>
      <c r="V16" s="324">
        <v>160</v>
      </c>
      <c r="W16" s="324">
        <v>8596.36</v>
      </c>
      <c r="X16" s="324">
        <v>180</v>
      </c>
      <c r="Y16" s="324">
        <v>8596.36</v>
      </c>
      <c r="Z16" s="324">
        <v>160</v>
      </c>
      <c r="AA16" s="324">
        <v>12894.54</v>
      </c>
      <c r="AB16" s="324">
        <v>240</v>
      </c>
      <c r="AC16" s="324">
        <f t="shared" si="4"/>
        <v>116050.86000000002</v>
      </c>
      <c r="AD16" s="324">
        <f t="shared" si="4"/>
        <v>2180</v>
      </c>
      <c r="AE16" s="225"/>
      <c r="AF16" s="224">
        <f t="shared" si="0"/>
        <v>0</v>
      </c>
      <c r="AG16" s="224"/>
      <c r="AH16" s="224">
        <f t="shared" si="1"/>
        <v>116050.86000000002</v>
      </c>
      <c r="AI16" s="224"/>
      <c r="AJ16" s="225"/>
      <c r="AK16" s="224"/>
      <c r="AL16" s="224"/>
      <c r="AM16" s="220"/>
    </row>
    <row r="17" spans="1:39" ht="15.75">
      <c r="A17" s="371"/>
      <c r="B17" s="372">
        <f t="shared" si="3"/>
        <v>11</v>
      </c>
      <c r="C17" s="226" t="s">
        <v>576</v>
      </c>
      <c r="D17" s="224"/>
      <c r="E17" s="324">
        <v>0</v>
      </c>
      <c r="F17" s="324">
        <v>0</v>
      </c>
      <c r="G17" s="324">
        <v>0</v>
      </c>
      <c r="H17" s="324">
        <v>0</v>
      </c>
      <c r="I17" s="324">
        <v>0</v>
      </c>
      <c r="J17" s="324">
        <v>0</v>
      </c>
      <c r="K17" s="324">
        <v>0</v>
      </c>
      <c r="L17" s="324">
        <v>0</v>
      </c>
      <c r="M17" s="324">
        <v>0</v>
      </c>
      <c r="N17" s="324">
        <v>0</v>
      </c>
      <c r="O17" s="324">
        <v>0</v>
      </c>
      <c r="P17" s="324">
        <v>0</v>
      </c>
      <c r="Q17" s="324">
        <v>5000</v>
      </c>
      <c r="R17" s="324">
        <v>200</v>
      </c>
      <c r="S17" s="324">
        <v>4000</v>
      </c>
      <c r="T17" s="324">
        <v>160</v>
      </c>
      <c r="U17" s="324">
        <v>4000</v>
      </c>
      <c r="V17" s="324">
        <v>160</v>
      </c>
      <c r="W17" s="324">
        <v>4000</v>
      </c>
      <c r="X17" s="324">
        <v>160</v>
      </c>
      <c r="Y17" s="324">
        <v>4000</v>
      </c>
      <c r="Z17" s="324">
        <v>160</v>
      </c>
      <c r="AA17" s="324">
        <v>7401.95</v>
      </c>
      <c r="AB17" s="324">
        <v>240</v>
      </c>
      <c r="AC17" s="324">
        <f t="shared" si="4"/>
        <v>28401.95</v>
      </c>
      <c r="AD17" s="324">
        <f t="shared" si="4"/>
        <v>1080</v>
      </c>
      <c r="AE17" s="225"/>
      <c r="AF17" s="224">
        <f t="shared" si="0"/>
        <v>-1201.95</v>
      </c>
      <c r="AG17" s="224">
        <f>25*1000</f>
        <v>25000</v>
      </c>
      <c r="AH17" s="224">
        <f t="shared" si="1"/>
        <v>52200</v>
      </c>
      <c r="AI17" s="224">
        <v>25</v>
      </c>
      <c r="AJ17" s="225">
        <f t="shared" si="2"/>
        <v>0.33</v>
      </c>
      <c r="AK17" s="224">
        <f>+AD17*AJ17</f>
        <v>356.40000000000003</v>
      </c>
      <c r="AL17" s="224"/>
      <c r="AM17" s="220"/>
    </row>
    <row r="18" spans="1:39" ht="15.75">
      <c r="A18" s="371"/>
      <c r="B18" s="372">
        <f t="shared" si="3"/>
        <v>12</v>
      </c>
      <c r="C18" s="226" t="s">
        <v>576</v>
      </c>
      <c r="D18" s="224"/>
      <c r="E18" s="328">
        <v>0</v>
      </c>
      <c r="F18" s="328">
        <v>0</v>
      </c>
      <c r="G18" s="328">
        <v>0</v>
      </c>
      <c r="H18" s="328">
        <v>0</v>
      </c>
      <c r="I18" s="328">
        <v>0</v>
      </c>
      <c r="J18" s="328">
        <v>0</v>
      </c>
      <c r="K18" s="328">
        <v>1057.5</v>
      </c>
      <c r="L18" s="328">
        <v>70.5</v>
      </c>
      <c r="M18" s="328">
        <v>1561.41</v>
      </c>
      <c r="N18" s="328">
        <v>68</v>
      </c>
      <c r="O18" s="328">
        <v>1462.5</v>
      </c>
      <c r="P18" s="328">
        <v>93.5</v>
      </c>
      <c r="Q18" s="328">
        <v>1950</v>
      </c>
      <c r="R18" s="328">
        <v>130</v>
      </c>
      <c r="S18" s="328">
        <v>862.5</v>
      </c>
      <c r="T18" s="328">
        <v>57.5</v>
      </c>
      <c r="U18" s="328">
        <v>0</v>
      </c>
      <c r="V18" s="328">
        <v>0</v>
      </c>
      <c r="W18" s="328">
        <v>0</v>
      </c>
      <c r="X18" s="328">
        <v>0</v>
      </c>
      <c r="Y18" s="328">
        <v>0</v>
      </c>
      <c r="Z18" s="328">
        <v>0</v>
      </c>
      <c r="AA18" s="328">
        <v>0</v>
      </c>
      <c r="AB18" s="328">
        <v>0</v>
      </c>
      <c r="AC18" s="328">
        <f t="shared" si="4"/>
        <v>6893.91</v>
      </c>
      <c r="AD18" s="328">
        <f t="shared" si="4"/>
        <v>419.5</v>
      </c>
      <c r="AE18" s="225"/>
      <c r="AF18" s="322">
        <f t="shared" si="0"/>
        <v>-541.41</v>
      </c>
      <c r="AG18" s="322"/>
      <c r="AH18" s="322">
        <f t="shared" si="1"/>
        <v>6352.5</v>
      </c>
      <c r="AI18" s="224"/>
      <c r="AJ18" s="225"/>
      <c r="AK18" s="322"/>
      <c r="AL18" s="224"/>
      <c r="AM18" s="220"/>
    </row>
    <row r="19" spans="1:39" ht="15.75">
      <c r="A19" s="366"/>
      <c r="B19" s="224"/>
      <c r="C19" s="224"/>
      <c r="D19" s="224"/>
      <c r="E19" s="324">
        <f t="shared" ref="E19:AB19" si="5">SUM(E7:E18)</f>
        <v>45878.54</v>
      </c>
      <c r="F19" s="324">
        <f t="shared" si="5"/>
        <v>1425</v>
      </c>
      <c r="G19" s="324">
        <f t="shared" si="5"/>
        <v>31900.86</v>
      </c>
      <c r="H19" s="324">
        <f t="shared" si="5"/>
        <v>1078.5</v>
      </c>
      <c r="I19" s="324">
        <f t="shared" si="5"/>
        <v>30279.11</v>
      </c>
      <c r="J19" s="324">
        <f t="shared" si="5"/>
        <v>979</v>
      </c>
      <c r="K19" s="324">
        <f t="shared" si="5"/>
        <v>34249.86</v>
      </c>
      <c r="L19" s="324">
        <f t="shared" si="5"/>
        <v>1201.5</v>
      </c>
      <c r="M19" s="324">
        <f t="shared" si="5"/>
        <v>45217.65</v>
      </c>
      <c r="N19" s="324">
        <f t="shared" si="5"/>
        <v>1235</v>
      </c>
      <c r="O19" s="324">
        <f t="shared" si="5"/>
        <v>37258.43</v>
      </c>
      <c r="P19" s="324">
        <f t="shared" si="5"/>
        <v>1239.8</v>
      </c>
      <c r="Q19" s="324">
        <f t="shared" si="5"/>
        <v>54546.04</v>
      </c>
      <c r="R19" s="324">
        <f t="shared" si="5"/>
        <v>1904.5</v>
      </c>
      <c r="S19" s="324">
        <f t="shared" si="5"/>
        <v>35510.86</v>
      </c>
      <c r="T19" s="324">
        <f t="shared" si="5"/>
        <v>1203.5</v>
      </c>
      <c r="U19" s="324">
        <f t="shared" si="5"/>
        <v>35778.36</v>
      </c>
      <c r="V19" s="324">
        <f t="shared" si="5"/>
        <v>1193</v>
      </c>
      <c r="W19" s="324">
        <f t="shared" si="5"/>
        <v>35124.86</v>
      </c>
      <c r="X19" s="324">
        <f t="shared" si="5"/>
        <v>1188.5</v>
      </c>
      <c r="Y19" s="324">
        <f t="shared" si="5"/>
        <v>35582.36</v>
      </c>
      <c r="Z19" s="324">
        <f t="shared" si="5"/>
        <v>1197</v>
      </c>
      <c r="AA19" s="324">
        <f t="shared" si="5"/>
        <v>64612.299999999996</v>
      </c>
      <c r="AB19" s="324">
        <f t="shared" si="5"/>
        <v>1784.5</v>
      </c>
      <c r="AC19" s="324">
        <f>+E19+G19+I19+K19+M19+O19+Q19+S19+U19+W19+Y19+AA19</f>
        <v>485939.22999999992</v>
      </c>
      <c r="AD19" s="324">
        <f>+F19+H19+J19+L19+N19+P19+R19+T19+V19+X19+Z19+AB19</f>
        <v>15629.8</v>
      </c>
      <c r="AE19" s="225"/>
      <c r="AF19" s="224">
        <f>SUM(AF7:AF18)</f>
        <v>-17471.579999999998</v>
      </c>
      <c r="AG19" s="224">
        <f t="shared" ref="AG19:AH19" si="6">SUM(AG7:AG18)</f>
        <v>25000</v>
      </c>
      <c r="AH19" s="224">
        <f t="shared" si="6"/>
        <v>493467.65</v>
      </c>
      <c r="AI19" s="225"/>
      <c r="AJ19" s="225"/>
      <c r="AK19" s="224">
        <f>SUM(AK7:AK17)</f>
        <v>3384.5639999999999</v>
      </c>
      <c r="AL19" s="224"/>
      <c r="AM19" s="220"/>
    </row>
    <row r="20" spans="1:39" ht="15.75">
      <c r="A20" s="366"/>
      <c r="B20" s="224"/>
      <c r="C20" s="224"/>
      <c r="D20" s="2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225"/>
      <c r="AF20" s="225"/>
      <c r="AG20" s="225"/>
      <c r="AH20" s="225"/>
      <c r="AI20" s="225"/>
      <c r="AJ20" s="225"/>
      <c r="AK20" s="225"/>
      <c r="AL20" s="225"/>
      <c r="AM20" s="221"/>
    </row>
    <row r="21" spans="1:39" ht="15.75">
      <c r="A21" s="366" t="s">
        <v>577</v>
      </c>
      <c r="B21" s="224"/>
      <c r="C21" s="224"/>
      <c r="D21" s="2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225"/>
      <c r="AF21" s="225"/>
      <c r="AG21" s="225"/>
      <c r="AH21" s="225"/>
      <c r="AI21" s="225"/>
      <c r="AJ21" s="225"/>
      <c r="AK21" s="225"/>
      <c r="AL21" s="225"/>
      <c r="AM21" s="221"/>
    </row>
    <row r="22" spans="1:39" ht="15.75">
      <c r="A22" s="371"/>
      <c r="B22" s="372">
        <v>1</v>
      </c>
      <c r="C22" s="224"/>
      <c r="D22" s="224"/>
      <c r="E22" s="324"/>
      <c r="F22" s="324"/>
      <c r="G22" s="324"/>
      <c r="H22" s="324"/>
      <c r="I22" s="324"/>
      <c r="J22" s="324"/>
      <c r="K22" s="324"/>
      <c r="L22" s="324"/>
      <c r="M22" s="324">
        <v>-1164.05</v>
      </c>
      <c r="N22" s="324"/>
      <c r="O22" s="324"/>
      <c r="P22" s="324"/>
      <c r="Q22" s="324"/>
      <c r="R22" s="324"/>
      <c r="S22" s="324"/>
      <c r="T22" s="324"/>
      <c r="U22" s="324"/>
      <c r="V22" s="324"/>
      <c r="W22" s="324"/>
      <c r="X22" s="324"/>
      <c r="Y22" s="324"/>
      <c r="Z22" s="324"/>
      <c r="AA22" s="324">
        <v>-1380.62</v>
      </c>
      <c r="AB22" s="324"/>
      <c r="AC22" s="324">
        <f t="shared" ref="AC22:AC33" si="7">SUM(M22:AA22)</f>
        <v>-2544.67</v>
      </c>
      <c r="AD22" s="324"/>
      <c r="AE22" s="225"/>
      <c r="AF22" s="225"/>
      <c r="AG22" s="225"/>
      <c r="AH22" s="225"/>
      <c r="AI22" s="225"/>
      <c r="AJ22" s="225"/>
      <c r="AK22" s="225"/>
      <c r="AL22" s="225"/>
      <c r="AM22" s="221"/>
    </row>
    <row r="23" spans="1:39" ht="15.75">
      <c r="A23" s="371"/>
      <c r="B23" s="372">
        <f>+B22+1</f>
        <v>2</v>
      </c>
      <c r="C23" s="224"/>
      <c r="D23" s="224"/>
      <c r="E23" s="324"/>
      <c r="F23" s="324"/>
      <c r="G23" s="324"/>
      <c r="H23" s="324"/>
      <c r="I23" s="324"/>
      <c r="J23" s="324"/>
      <c r="K23" s="324"/>
      <c r="L23" s="324"/>
      <c r="M23" s="324">
        <v>-1191.1199999999999</v>
      </c>
      <c r="N23" s="324"/>
      <c r="O23" s="324"/>
      <c r="P23" s="324"/>
      <c r="Q23" s="324"/>
      <c r="R23" s="324"/>
      <c r="S23" s="324"/>
      <c r="T23" s="324"/>
      <c r="U23" s="324"/>
      <c r="V23" s="324"/>
      <c r="W23" s="324"/>
      <c r="X23" s="324"/>
      <c r="Y23" s="324"/>
      <c r="Z23" s="324"/>
      <c r="AA23" s="324">
        <v>-1407.69</v>
      </c>
      <c r="AB23" s="324"/>
      <c r="AC23" s="324">
        <f t="shared" si="7"/>
        <v>-2598.81</v>
      </c>
      <c r="AD23" s="324"/>
      <c r="AE23" s="225"/>
      <c r="AF23" s="225"/>
      <c r="AG23" s="225"/>
      <c r="AH23" s="225"/>
      <c r="AI23" s="225"/>
      <c r="AJ23" s="225"/>
      <c r="AK23" s="225"/>
      <c r="AL23" s="225"/>
      <c r="AM23" s="221"/>
    </row>
    <row r="24" spans="1:39" ht="15.75">
      <c r="A24" s="371"/>
      <c r="B24" s="372">
        <f t="shared" ref="B24:B33" si="8">+B23+1</f>
        <v>3</v>
      </c>
      <c r="C24" s="224"/>
      <c r="D24" s="2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f t="shared" si="7"/>
        <v>0</v>
      </c>
      <c r="AD24" s="324"/>
      <c r="AE24" s="225"/>
      <c r="AF24" s="225"/>
      <c r="AG24" s="225"/>
      <c r="AH24" s="225"/>
      <c r="AI24" s="225"/>
      <c r="AJ24" s="225"/>
      <c r="AK24" s="225"/>
      <c r="AL24" s="225"/>
      <c r="AM24" s="221"/>
    </row>
    <row r="25" spans="1:39" ht="15.75">
      <c r="A25" s="371"/>
      <c r="B25" s="372">
        <f t="shared" si="8"/>
        <v>4</v>
      </c>
      <c r="C25" s="224"/>
      <c r="D25" s="224"/>
      <c r="E25" s="324"/>
      <c r="F25" s="324"/>
      <c r="G25" s="324"/>
      <c r="H25" s="324"/>
      <c r="I25" s="324"/>
      <c r="J25" s="324"/>
      <c r="K25" s="324"/>
      <c r="L25" s="324"/>
      <c r="M25" s="324">
        <v>-1082.8399999999999</v>
      </c>
      <c r="N25" s="324"/>
      <c r="O25" s="324"/>
      <c r="P25" s="324"/>
      <c r="Q25" s="324"/>
      <c r="R25" s="324"/>
      <c r="S25" s="324"/>
      <c r="T25" s="324"/>
      <c r="U25" s="324"/>
      <c r="V25" s="324"/>
      <c r="W25" s="324"/>
      <c r="X25" s="324"/>
      <c r="Y25" s="324"/>
      <c r="Z25" s="324"/>
      <c r="AA25" s="324">
        <v>-1191.1300000000001</v>
      </c>
      <c r="AB25" s="324"/>
      <c r="AC25" s="324">
        <f t="shared" si="7"/>
        <v>-2273.9700000000003</v>
      </c>
      <c r="AD25" s="324"/>
      <c r="AE25" s="225"/>
      <c r="AF25" s="225"/>
      <c r="AG25" s="225"/>
      <c r="AH25" s="225"/>
      <c r="AI25" s="225"/>
      <c r="AJ25" s="225"/>
      <c r="AK25" s="225"/>
      <c r="AL25" s="225"/>
      <c r="AM25" s="221"/>
    </row>
    <row r="26" spans="1:39" ht="15.75">
      <c r="A26" s="371"/>
      <c r="B26" s="372">
        <f t="shared" si="8"/>
        <v>5</v>
      </c>
      <c r="C26" s="224"/>
      <c r="D26" s="2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f t="shared" si="7"/>
        <v>0</v>
      </c>
      <c r="AD26" s="324"/>
      <c r="AE26" s="225"/>
      <c r="AF26" s="225"/>
      <c r="AG26" s="225"/>
      <c r="AH26" s="225"/>
      <c r="AI26" s="225"/>
      <c r="AJ26" s="225"/>
      <c r="AK26" s="225"/>
      <c r="AL26" s="225"/>
      <c r="AM26" s="221"/>
    </row>
    <row r="27" spans="1:39" ht="15.75">
      <c r="A27" s="371"/>
      <c r="B27" s="372">
        <f t="shared" si="8"/>
        <v>6</v>
      </c>
      <c r="C27" s="224"/>
      <c r="D27" s="224"/>
      <c r="E27" s="324"/>
      <c r="F27" s="324"/>
      <c r="G27" s="324"/>
      <c r="H27" s="324"/>
      <c r="I27" s="324"/>
      <c r="J27" s="324"/>
      <c r="K27" s="324"/>
      <c r="L27" s="324"/>
      <c r="M27" s="324">
        <v>-1082.8399999999999</v>
      </c>
      <c r="N27" s="324"/>
      <c r="O27" s="324"/>
      <c r="P27" s="324"/>
      <c r="Q27" s="324"/>
      <c r="R27" s="324"/>
      <c r="S27" s="324"/>
      <c r="T27" s="324"/>
      <c r="U27" s="324"/>
      <c r="V27" s="324"/>
      <c r="W27" s="324"/>
      <c r="X27" s="324"/>
      <c r="Y27" s="324"/>
      <c r="Z27" s="324"/>
      <c r="AA27" s="324">
        <v>-541.41999999999996</v>
      </c>
      <c r="AB27" s="324"/>
      <c r="AC27" s="324">
        <f t="shared" si="7"/>
        <v>-1624.2599999999998</v>
      </c>
      <c r="AD27" s="324"/>
      <c r="AE27" s="225"/>
      <c r="AF27" s="225"/>
      <c r="AG27" s="225"/>
      <c r="AH27" s="225"/>
      <c r="AI27" s="225"/>
      <c r="AJ27" s="225"/>
      <c r="AK27" s="225"/>
      <c r="AL27" s="225"/>
      <c r="AM27" s="221"/>
    </row>
    <row r="28" spans="1:39" ht="15.75">
      <c r="A28" s="371"/>
      <c r="B28" s="372">
        <f t="shared" si="8"/>
        <v>7</v>
      </c>
      <c r="C28" s="224"/>
      <c r="D28" s="224"/>
      <c r="E28" s="324"/>
      <c r="F28" s="324"/>
      <c r="G28" s="324"/>
      <c r="H28" s="324"/>
      <c r="I28" s="324"/>
      <c r="J28" s="324"/>
      <c r="K28" s="324"/>
      <c r="L28" s="324"/>
      <c r="M28" s="324">
        <v>-812.12</v>
      </c>
      <c r="N28" s="324"/>
      <c r="O28" s="324"/>
      <c r="P28" s="324"/>
      <c r="Q28" s="324"/>
      <c r="R28" s="324"/>
      <c r="S28" s="324"/>
      <c r="T28" s="324"/>
      <c r="U28" s="324"/>
      <c r="V28" s="324"/>
      <c r="W28" s="324"/>
      <c r="X28" s="324"/>
      <c r="Y28" s="324"/>
      <c r="Z28" s="324"/>
      <c r="AA28" s="324">
        <v>-324.85000000000002</v>
      </c>
      <c r="AB28" s="324"/>
      <c r="AC28" s="324">
        <f t="shared" si="7"/>
        <v>-1136.97</v>
      </c>
      <c r="AD28" s="324"/>
      <c r="AE28" s="225"/>
      <c r="AF28" s="225"/>
      <c r="AG28" s="225"/>
      <c r="AH28" s="225"/>
      <c r="AI28" s="225"/>
      <c r="AJ28" s="225"/>
      <c r="AK28" s="225"/>
      <c r="AL28" s="225"/>
      <c r="AM28" s="221"/>
    </row>
    <row r="29" spans="1:39" ht="15.75">
      <c r="A29" s="371"/>
      <c r="B29" s="372">
        <f t="shared" si="8"/>
        <v>8</v>
      </c>
      <c r="C29" s="224"/>
      <c r="D29" s="224"/>
      <c r="E29" s="324"/>
      <c r="F29" s="324"/>
      <c r="G29" s="324"/>
      <c r="H29" s="324"/>
      <c r="I29" s="324"/>
      <c r="J29" s="324"/>
      <c r="K29" s="324"/>
      <c r="L29" s="324"/>
      <c r="M29" s="324">
        <v>-1109.9000000000001</v>
      </c>
      <c r="N29" s="324"/>
      <c r="O29" s="324"/>
      <c r="P29" s="324"/>
      <c r="Q29" s="324"/>
      <c r="R29" s="324"/>
      <c r="S29" s="324"/>
      <c r="T29" s="324"/>
      <c r="U29" s="324"/>
      <c r="V29" s="324"/>
      <c r="W29" s="324"/>
      <c r="X29" s="324"/>
      <c r="Y29" s="324"/>
      <c r="Z29" s="324"/>
      <c r="AA29" s="324">
        <v>-1109.9000000000001</v>
      </c>
      <c r="AB29" s="324"/>
      <c r="AC29" s="324">
        <f t="shared" si="7"/>
        <v>-2219.8000000000002</v>
      </c>
      <c r="AD29" s="324"/>
      <c r="AE29" s="225"/>
      <c r="AF29" s="225"/>
      <c r="AG29" s="225"/>
      <c r="AH29" s="225"/>
      <c r="AI29" s="225"/>
      <c r="AJ29" s="225"/>
      <c r="AK29" s="225"/>
      <c r="AL29" s="225"/>
      <c r="AM29" s="221"/>
    </row>
    <row r="30" spans="1:39" ht="15.75">
      <c r="A30" s="371"/>
      <c r="B30" s="372">
        <f t="shared" si="8"/>
        <v>9</v>
      </c>
      <c r="C30" s="224"/>
      <c r="D30" s="224"/>
      <c r="E30" s="324"/>
      <c r="F30" s="324"/>
      <c r="G30" s="324"/>
      <c r="H30" s="324"/>
      <c r="I30" s="324"/>
      <c r="J30" s="324"/>
      <c r="K30" s="324"/>
      <c r="L30" s="324"/>
      <c r="M30" s="324">
        <v>-1250.69</v>
      </c>
      <c r="N30" s="324"/>
      <c r="O30" s="324"/>
      <c r="P30" s="324"/>
      <c r="Q30" s="324"/>
      <c r="R30" s="324"/>
      <c r="S30" s="324"/>
      <c r="T30" s="324"/>
      <c r="U30" s="324"/>
      <c r="V30" s="324"/>
      <c r="W30" s="324"/>
      <c r="X30" s="324"/>
      <c r="Y30" s="324"/>
      <c r="Z30" s="324"/>
      <c r="AA30" s="324">
        <f>-1250.67-828.38</f>
        <v>-2079.0500000000002</v>
      </c>
      <c r="AB30" s="324"/>
      <c r="AC30" s="324">
        <f t="shared" si="7"/>
        <v>-3329.7400000000002</v>
      </c>
      <c r="AD30" s="324"/>
      <c r="AE30" s="225"/>
      <c r="AF30" s="225"/>
      <c r="AG30" s="225"/>
      <c r="AH30" s="225"/>
      <c r="AI30" s="225"/>
      <c r="AJ30" s="225"/>
      <c r="AK30" s="225"/>
      <c r="AL30" s="225"/>
      <c r="AM30" s="221"/>
    </row>
    <row r="31" spans="1:39" ht="15.75">
      <c r="A31" s="371"/>
      <c r="B31" s="372">
        <f t="shared" si="8"/>
        <v>10</v>
      </c>
      <c r="C31" s="224"/>
      <c r="D31" s="2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f t="shared" si="7"/>
        <v>0</v>
      </c>
      <c r="AD31" s="324"/>
      <c r="AE31" s="225"/>
      <c r="AF31" s="225"/>
      <c r="AG31" s="225"/>
      <c r="AH31" s="225"/>
      <c r="AI31" s="225"/>
      <c r="AJ31" s="225"/>
      <c r="AK31" s="225"/>
      <c r="AL31" s="225"/>
      <c r="AM31" s="221"/>
    </row>
    <row r="32" spans="1:39" ht="15.75">
      <c r="A32" s="371"/>
      <c r="B32" s="372">
        <f t="shared" si="8"/>
        <v>11</v>
      </c>
      <c r="C32" s="224"/>
      <c r="D32" s="2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v>-1201.95</v>
      </c>
      <c r="AB32" s="324"/>
      <c r="AC32" s="324">
        <f t="shared" si="7"/>
        <v>-1201.95</v>
      </c>
      <c r="AD32" s="324"/>
      <c r="AE32" s="225"/>
      <c r="AF32" s="225"/>
      <c r="AG32" s="225"/>
      <c r="AH32" s="225"/>
      <c r="AI32" s="225"/>
      <c r="AJ32" s="225"/>
      <c r="AK32" s="225"/>
      <c r="AL32" s="225"/>
      <c r="AM32" s="221"/>
    </row>
    <row r="33" spans="1:39" ht="15.75">
      <c r="A33" s="371"/>
      <c r="B33" s="372">
        <f t="shared" si="8"/>
        <v>12</v>
      </c>
      <c r="C33" s="224"/>
      <c r="D33" s="224"/>
      <c r="E33" s="328"/>
      <c r="F33" s="328"/>
      <c r="G33" s="328"/>
      <c r="H33" s="328"/>
      <c r="I33" s="328"/>
      <c r="J33" s="328"/>
      <c r="K33" s="328"/>
      <c r="L33" s="328"/>
      <c r="M33" s="328">
        <v>-541.41</v>
      </c>
      <c r="N33" s="328"/>
      <c r="O33" s="328"/>
      <c r="P33" s="328"/>
      <c r="Q33" s="328"/>
      <c r="R33" s="328"/>
      <c r="S33" s="328"/>
      <c r="T33" s="328"/>
      <c r="U33" s="328"/>
      <c r="V33" s="328"/>
      <c r="W33" s="328"/>
      <c r="X33" s="328"/>
      <c r="Y33" s="328"/>
      <c r="Z33" s="328"/>
      <c r="AA33" s="328"/>
      <c r="AB33" s="328"/>
      <c r="AC33" s="328">
        <f t="shared" si="7"/>
        <v>-541.41</v>
      </c>
      <c r="AD33" s="328"/>
      <c r="AE33" s="225"/>
      <c r="AF33" s="225"/>
      <c r="AG33" s="225"/>
      <c r="AH33" s="225"/>
      <c r="AI33" s="225"/>
      <c r="AJ33" s="225"/>
      <c r="AK33" s="225"/>
      <c r="AL33" s="225"/>
      <c r="AM33" s="221"/>
    </row>
    <row r="34" spans="1:39" ht="15.75">
      <c r="A34" s="366"/>
      <c r="B34" s="224"/>
      <c r="C34" s="224"/>
      <c r="D34" s="224"/>
      <c r="E34" s="324"/>
      <c r="F34" s="324"/>
      <c r="G34" s="324"/>
      <c r="H34" s="324"/>
      <c r="I34" s="324"/>
      <c r="J34" s="324"/>
      <c r="K34" s="324"/>
      <c r="L34" s="324"/>
      <c r="M34" s="324">
        <f>SUM(M22:M33)</f>
        <v>-8234.9700000000012</v>
      </c>
      <c r="N34" s="324"/>
      <c r="O34" s="324"/>
      <c r="P34" s="324"/>
      <c r="Q34" s="324"/>
      <c r="R34" s="324"/>
      <c r="S34" s="324"/>
      <c r="T34" s="324"/>
      <c r="U34" s="324"/>
      <c r="V34" s="324"/>
      <c r="W34" s="324"/>
      <c r="X34" s="324"/>
      <c r="Y34" s="324"/>
      <c r="Z34" s="324"/>
      <c r="AA34" s="324">
        <f>SUM(AA22:AA33)</f>
        <v>-9236.61</v>
      </c>
      <c r="AB34" s="324"/>
      <c r="AC34" s="324">
        <f>SUM(M34:AA34)</f>
        <v>-17471.580000000002</v>
      </c>
      <c r="AD34" s="324"/>
      <c r="AE34" s="225"/>
      <c r="AF34" s="225"/>
      <c r="AG34" s="225"/>
      <c r="AH34" s="225"/>
      <c r="AI34" s="225"/>
      <c r="AJ34" s="225"/>
      <c r="AK34" s="225"/>
      <c r="AL34" s="225"/>
      <c r="AM34" s="221"/>
    </row>
    <row r="35" spans="1:39" ht="15.75">
      <c r="A35" s="366"/>
      <c r="B35" s="224"/>
      <c r="C35" s="224"/>
      <c r="D35" s="2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225"/>
      <c r="AF35" s="225"/>
      <c r="AG35" s="225"/>
      <c r="AH35" s="225"/>
      <c r="AI35" s="225"/>
      <c r="AJ35" s="225"/>
      <c r="AK35" s="225"/>
      <c r="AL35" s="225"/>
      <c r="AM35" s="221"/>
    </row>
    <row r="36" spans="1:39" ht="15.75">
      <c r="A36" s="366"/>
      <c r="B36" s="224"/>
      <c r="C36" s="224"/>
      <c r="D36" s="2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225"/>
      <c r="AF36" s="225"/>
      <c r="AG36" s="225"/>
      <c r="AH36" s="225"/>
      <c r="AI36" s="225"/>
      <c r="AJ36" s="225"/>
      <c r="AK36" s="225"/>
      <c r="AL36" s="225"/>
      <c r="AM36" s="221"/>
    </row>
    <row r="37" spans="1:39" ht="15.75">
      <c r="A37" s="366" t="s">
        <v>578</v>
      </c>
      <c r="B37" s="224"/>
      <c r="C37" s="224"/>
      <c r="D37" s="2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225"/>
      <c r="AF37" s="225"/>
      <c r="AG37" s="225"/>
      <c r="AH37" s="225"/>
      <c r="AI37" s="225"/>
      <c r="AJ37" s="225"/>
      <c r="AK37" s="225"/>
      <c r="AL37" s="225"/>
      <c r="AM37" s="221"/>
    </row>
    <row r="38" spans="1:39" ht="15.75">
      <c r="A38" s="366" t="s">
        <v>576</v>
      </c>
      <c r="B38" s="224"/>
      <c r="C38" s="224"/>
      <c r="D38" s="224"/>
      <c r="E38" s="324">
        <f t="shared" ref="E38:AD38" si="9">SUM(E17:E18)</f>
        <v>0</v>
      </c>
      <c r="F38" s="324">
        <f t="shared" si="9"/>
        <v>0</v>
      </c>
      <c r="G38" s="324">
        <f t="shared" si="9"/>
        <v>0</v>
      </c>
      <c r="H38" s="324">
        <f t="shared" si="9"/>
        <v>0</v>
      </c>
      <c r="I38" s="324">
        <f t="shared" si="9"/>
        <v>0</v>
      </c>
      <c r="J38" s="324">
        <f t="shared" si="9"/>
        <v>0</v>
      </c>
      <c r="K38" s="324">
        <f t="shared" si="9"/>
        <v>1057.5</v>
      </c>
      <c r="L38" s="324">
        <f t="shared" si="9"/>
        <v>70.5</v>
      </c>
      <c r="M38" s="324">
        <f t="shared" si="9"/>
        <v>1561.41</v>
      </c>
      <c r="N38" s="324">
        <f t="shared" si="9"/>
        <v>68</v>
      </c>
      <c r="O38" s="324">
        <f t="shared" si="9"/>
        <v>1462.5</v>
      </c>
      <c r="P38" s="324">
        <f t="shared" si="9"/>
        <v>93.5</v>
      </c>
      <c r="Q38" s="324">
        <f t="shared" si="9"/>
        <v>6950</v>
      </c>
      <c r="R38" s="324">
        <f t="shared" si="9"/>
        <v>330</v>
      </c>
      <c r="S38" s="324">
        <f t="shared" si="9"/>
        <v>4862.5</v>
      </c>
      <c r="T38" s="324">
        <f t="shared" si="9"/>
        <v>217.5</v>
      </c>
      <c r="U38" s="324">
        <f t="shared" si="9"/>
        <v>4000</v>
      </c>
      <c r="V38" s="324">
        <f t="shared" si="9"/>
        <v>160</v>
      </c>
      <c r="W38" s="324">
        <f t="shared" si="9"/>
        <v>4000</v>
      </c>
      <c r="X38" s="324">
        <f t="shared" si="9"/>
        <v>160</v>
      </c>
      <c r="Y38" s="324">
        <f t="shared" si="9"/>
        <v>4000</v>
      </c>
      <c r="Z38" s="324">
        <f t="shared" si="9"/>
        <v>160</v>
      </c>
      <c r="AA38" s="324">
        <f t="shared" si="9"/>
        <v>7401.95</v>
      </c>
      <c r="AB38" s="324">
        <f t="shared" si="9"/>
        <v>240</v>
      </c>
      <c r="AC38" s="324">
        <f t="shared" si="9"/>
        <v>35295.86</v>
      </c>
      <c r="AD38" s="324">
        <f t="shared" si="9"/>
        <v>1499.5</v>
      </c>
      <c r="AE38" s="225"/>
      <c r="AF38" s="225"/>
      <c r="AG38" s="225"/>
      <c r="AH38" s="225"/>
      <c r="AI38" s="225"/>
      <c r="AJ38" s="225"/>
      <c r="AK38" s="225"/>
      <c r="AL38" s="225"/>
      <c r="AM38" s="221"/>
    </row>
    <row r="39" spans="1:39" ht="15.75">
      <c r="A39" s="366" t="s">
        <v>572</v>
      </c>
      <c r="B39" s="224"/>
      <c r="C39" s="224"/>
      <c r="D39" s="224"/>
      <c r="E39" s="324">
        <f t="shared" ref="E39:AD39" si="10">SUM(E7:E11)</f>
        <v>15984</v>
      </c>
      <c r="F39" s="324">
        <f t="shared" si="10"/>
        <v>680</v>
      </c>
      <c r="G39" s="324">
        <f t="shared" si="10"/>
        <v>10240</v>
      </c>
      <c r="H39" s="324">
        <f t="shared" si="10"/>
        <v>480</v>
      </c>
      <c r="I39" s="324">
        <f t="shared" si="10"/>
        <v>10345.75</v>
      </c>
      <c r="J39" s="324">
        <f t="shared" si="10"/>
        <v>483</v>
      </c>
      <c r="K39" s="324">
        <f t="shared" si="10"/>
        <v>11712</v>
      </c>
      <c r="L39" s="324">
        <f t="shared" si="10"/>
        <v>544</v>
      </c>
      <c r="M39" s="324">
        <f t="shared" si="10"/>
        <v>16242.39</v>
      </c>
      <c r="N39" s="324">
        <f t="shared" si="10"/>
        <v>548</v>
      </c>
      <c r="O39" s="324">
        <f t="shared" si="10"/>
        <v>12846.75</v>
      </c>
      <c r="P39" s="324">
        <f t="shared" si="10"/>
        <v>541.29999999999995</v>
      </c>
      <c r="Q39" s="324">
        <f t="shared" si="10"/>
        <v>15840</v>
      </c>
      <c r="R39" s="324">
        <f t="shared" si="10"/>
        <v>720</v>
      </c>
      <c r="S39" s="324">
        <f t="shared" si="10"/>
        <v>10560</v>
      </c>
      <c r="T39" s="324">
        <f t="shared" si="10"/>
        <v>480</v>
      </c>
      <c r="U39" s="324">
        <f t="shared" si="10"/>
        <v>10959</v>
      </c>
      <c r="V39" s="324">
        <f t="shared" si="10"/>
        <v>484</v>
      </c>
      <c r="W39" s="324">
        <f t="shared" si="10"/>
        <v>10654</v>
      </c>
      <c r="X39" s="324">
        <f t="shared" si="10"/>
        <v>480</v>
      </c>
      <c r="Y39" s="324">
        <f t="shared" si="10"/>
        <v>10748</v>
      </c>
      <c r="Z39" s="324">
        <f t="shared" si="10"/>
        <v>488</v>
      </c>
      <c r="AA39" s="324">
        <f t="shared" si="10"/>
        <v>21991.57</v>
      </c>
      <c r="AB39" s="324">
        <f t="shared" si="10"/>
        <v>730.5</v>
      </c>
      <c r="AC39" s="324">
        <f t="shared" si="10"/>
        <v>158123.46</v>
      </c>
      <c r="AD39" s="324">
        <f t="shared" si="10"/>
        <v>6658.8</v>
      </c>
      <c r="AE39" s="225"/>
      <c r="AF39" s="225"/>
      <c r="AG39" s="225"/>
      <c r="AH39" s="225"/>
      <c r="AI39" s="225"/>
      <c r="AJ39" s="225"/>
      <c r="AK39" s="225"/>
      <c r="AL39" s="225"/>
      <c r="AM39" s="221"/>
    </row>
    <row r="40" spans="1:39" ht="15.75">
      <c r="A40" s="366" t="s">
        <v>575</v>
      </c>
      <c r="B40" s="224"/>
      <c r="C40" s="224"/>
      <c r="D40" s="224"/>
      <c r="E40" s="324">
        <f t="shared" ref="E40:AD40" si="11">SUM(E16)</f>
        <v>12894.54</v>
      </c>
      <c r="F40" s="324">
        <f t="shared" si="11"/>
        <v>240</v>
      </c>
      <c r="G40" s="324">
        <f t="shared" si="11"/>
        <v>8596.36</v>
      </c>
      <c r="H40" s="324">
        <f t="shared" si="11"/>
        <v>160</v>
      </c>
      <c r="I40" s="324">
        <f t="shared" si="11"/>
        <v>8596.36</v>
      </c>
      <c r="J40" s="324">
        <f t="shared" si="11"/>
        <v>160</v>
      </c>
      <c r="K40" s="324">
        <f t="shared" si="11"/>
        <v>8596.36</v>
      </c>
      <c r="L40" s="324">
        <f t="shared" si="11"/>
        <v>160</v>
      </c>
      <c r="M40" s="324">
        <f t="shared" si="11"/>
        <v>8596.36</v>
      </c>
      <c r="N40" s="324">
        <f t="shared" si="11"/>
        <v>160</v>
      </c>
      <c r="O40" s="324">
        <f t="shared" si="11"/>
        <v>8596.36</v>
      </c>
      <c r="P40" s="324">
        <f t="shared" si="11"/>
        <v>160</v>
      </c>
      <c r="Q40" s="324">
        <f t="shared" si="11"/>
        <v>12894.54</v>
      </c>
      <c r="R40" s="324">
        <f t="shared" si="11"/>
        <v>240</v>
      </c>
      <c r="S40" s="324">
        <f t="shared" si="11"/>
        <v>8596.36</v>
      </c>
      <c r="T40" s="324">
        <f t="shared" si="11"/>
        <v>160</v>
      </c>
      <c r="U40" s="324">
        <f t="shared" si="11"/>
        <v>8596.36</v>
      </c>
      <c r="V40" s="324">
        <f t="shared" si="11"/>
        <v>160</v>
      </c>
      <c r="W40" s="324">
        <f t="shared" si="11"/>
        <v>8596.36</v>
      </c>
      <c r="X40" s="324">
        <f t="shared" si="11"/>
        <v>180</v>
      </c>
      <c r="Y40" s="324">
        <f t="shared" si="11"/>
        <v>8596.36</v>
      </c>
      <c r="Z40" s="324">
        <f t="shared" si="11"/>
        <v>160</v>
      </c>
      <c r="AA40" s="324">
        <f t="shared" si="11"/>
        <v>12894.54</v>
      </c>
      <c r="AB40" s="324">
        <f t="shared" si="11"/>
        <v>240</v>
      </c>
      <c r="AC40" s="324">
        <f t="shared" si="11"/>
        <v>116050.86000000002</v>
      </c>
      <c r="AD40" s="324">
        <f t="shared" si="11"/>
        <v>2180</v>
      </c>
      <c r="AE40" s="225"/>
      <c r="AF40" s="225"/>
      <c r="AG40" s="225"/>
      <c r="AH40" s="225"/>
      <c r="AI40" s="225"/>
      <c r="AJ40" s="225"/>
      <c r="AK40" s="225"/>
      <c r="AL40" s="225"/>
      <c r="AM40" s="221"/>
    </row>
    <row r="41" spans="1:39" ht="15.75">
      <c r="A41" s="366" t="s">
        <v>574</v>
      </c>
      <c r="B41" s="224"/>
      <c r="C41" s="224"/>
      <c r="D41" s="224"/>
      <c r="E41" s="324">
        <f t="shared" ref="E41:AD41" si="12">SUM(E14:E15)</f>
        <v>16620</v>
      </c>
      <c r="F41" s="324">
        <f t="shared" si="12"/>
        <v>480</v>
      </c>
      <c r="G41" s="324">
        <f t="shared" si="12"/>
        <v>11080</v>
      </c>
      <c r="H41" s="324">
        <f t="shared" si="12"/>
        <v>320</v>
      </c>
      <c r="I41" s="324">
        <f t="shared" si="12"/>
        <v>11080</v>
      </c>
      <c r="J41" s="324">
        <f t="shared" si="12"/>
        <v>320</v>
      </c>
      <c r="K41" s="324">
        <f t="shared" si="12"/>
        <v>11080</v>
      </c>
      <c r="L41" s="324">
        <f t="shared" si="12"/>
        <v>320</v>
      </c>
      <c r="M41" s="324">
        <f t="shared" si="12"/>
        <v>14904.779999999999</v>
      </c>
      <c r="N41" s="324">
        <f t="shared" si="12"/>
        <v>344.5</v>
      </c>
      <c r="O41" s="324">
        <f t="shared" si="12"/>
        <v>12552.32</v>
      </c>
      <c r="P41" s="324">
        <f t="shared" si="12"/>
        <v>348.5</v>
      </c>
      <c r="Q41" s="324">
        <f t="shared" si="12"/>
        <v>16620</v>
      </c>
      <c r="R41" s="324">
        <f t="shared" si="12"/>
        <v>480</v>
      </c>
      <c r="S41" s="324">
        <f t="shared" si="12"/>
        <v>11080</v>
      </c>
      <c r="T41" s="324">
        <f t="shared" si="12"/>
        <v>320</v>
      </c>
      <c r="U41" s="324">
        <f t="shared" si="12"/>
        <v>11080</v>
      </c>
      <c r="V41" s="324">
        <f t="shared" si="12"/>
        <v>320</v>
      </c>
      <c r="W41" s="324">
        <f t="shared" si="12"/>
        <v>11080</v>
      </c>
      <c r="X41" s="324">
        <f t="shared" si="12"/>
        <v>320</v>
      </c>
      <c r="Y41" s="324">
        <f t="shared" si="12"/>
        <v>11080</v>
      </c>
      <c r="Z41" s="324">
        <f t="shared" si="12"/>
        <v>320</v>
      </c>
      <c r="AA41" s="324">
        <f t="shared" si="12"/>
        <v>19882.47</v>
      </c>
      <c r="AB41" s="324">
        <f t="shared" si="12"/>
        <v>480</v>
      </c>
      <c r="AC41" s="324">
        <f t="shared" si="12"/>
        <v>158139.57</v>
      </c>
      <c r="AD41" s="324">
        <f t="shared" si="12"/>
        <v>4373</v>
      </c>
      <c r="AE41" s="225"/>
      <c r="AF41" s="225"/>
      <c r="AG41" s="225"/>
      <c r="AH41" s="225"/>
      <c r="AI41" s="225"/>
      <c r="AJ41" s="225"/>
      <c r="AK41" s="225"/>
      <c r="AL41" s="225"/>
      <c r="AM41" s="221"/>
    </row>
    <row r="42" spans="1:39" ht="15.75">
      <c r="A42" s="366" t="s">
        <v>573</v>
      </c>
      <c r="B42" s="224"/>
      <c r="C42" s="224"/>
      <c r="D42" s="224"/>
      <c r="E42" s="328">
        <f t="shared" ref="E42:AD42" si="13">SUM(E12:E13)</f>
        <v>380</v>
      </c>
      <c r="F42" s="328">
        <f t="shared" si="13"/>
        <v>25</v>
      </c>
      <c r="G42" s="328">
        <f t="shared" si="13"/>
        <v>1984.5</v>
      </c>
      <c r="H42" s="328">
        <f t="shared" si="13"/>
        <v>118.5</v>
      </c>
      <c r="I42" s="328">
        <f t="shared" si="13"/>
        <v>257</v>
      </c>
      <c r="J42" s="328">
        <f t="shared" si="13"/>
        <v>16</v>
      </c>
      <c r="K42" s="328">
        <f t="shared" si="13"/>
        <v>1804</v>
      </c>
      <c r="L42" s="328">
        <f t="shared" si="13"/>
        <v>107</v>
      </c>
      <c r="M42" s="328">
        <f t="shared" si="13"/>
        <v>3912.71</v>
      </c>
      <c r="N42" s="328">
        <f t="shared" si="13"/>
        <v>114.5</v>
      </c>
      <c r="O42" s="328">
        <f t="shared" si="13"/>
        <v>1800.5</v>
      </c>
      <c r="P42" s="328">
        <f t="shared" si="13"/>
        <v>96.5</v>
      </c>
      <c r="Q42" s="328">
        <f t="shared" si="13"/>
        <v>2241.5</v>
      </c>
      <c r="R42" s="328">
        <f t="shared" si="13"/>
        <v>134.5</v>
      </c>
      <c r="S42" s="328">
        <f t="shared" si="13"/>
        <v>412</v>
      </c>
      <c r="T42" s="328">
        <f t="shared" si="13"/>
        <v>26</v>
      </c>
      <c r="U42" s="328">
        <f t="shared" si="13"/>
        <v>1143</v>
      </c>
      <c r="V42" s="328">
        <f t="shared" si="13"/>
        <v>69</v>
      </c>
      <c r="W42" s="328">
        <f t="shared" si="13"/>
        <v>794.5</v>
      </c>
      <c r="X42" s="328">
        <f t="shared" si="13"/>
        <v>48.5</v>
      </c>
      <c r="Y42" s="328">
        <f t="shared" si="13"/>
        <v>1158</v>
      </c>
      <c r="Z42" s="328">
        <f t="shared" si="13"/>
        <v>69</v>
      </c>
      <c r="AA42" s="328">
        <f t="shared" si="13"/>
        <v>2441.77</v>
      </c>
      <c r="AB42" s="328">
        <f t="shared" si="13"/>
        <v>94</v>
      </c>
      <c r="AC42" s="328">
        <f t="shared" si="13"/>
        <v>18329.48</v>
      </c>
      <c r="AD42" s="328">
        <f t="shared" si="13"/>
        <v>918.5</v>
      </c>
      <c r="AE42" s="225"/>
      <c r="AF42" s="225"/>
      <c r="AG42" s="225"/>
      <c r="AH42" s="225"/>
      <c r="AI42" s="225"/>
      <c r="AJ42" s="225"/>
      <c r="AK42" s="225"/>
      <c r="AL42" s="225"/>
      <c r="AM42" s="221"/>
    </row>
    <row r="43" spans="1:39" ht="15.75">
      <c r="A43" s="366"/>
      <c r="B43" s="224"/>
      <c r="C43" s="224"/>
      <c r="D43" s="224"/>
      <c r="E43" s="324">
        <f>SUM(E38:E42)</f>
        <v>45878.54</v>
      </c>
      <c r="F43" s="324">
        <f t="shared" ref="F43:AD43" si="14">SUM(F38:F42)</f>
        <v>1425</v>
      </c>
      <c r="G43" s="324">
        <f t="shared" si="14"/>
        <v>31900.86</v>
      </c>
      <c r="H43" s="324">
        <f t="shared" si="14"/>
        <v>1078.5</v>
      </c>
      <c r="I43" s="324">
        <f t="shared" si="14"/>
        <v>30279.11</v>
      </c>
      <c r="J43" s="324">
        <f t="shared" si="14"/>
        <v>979</v>
      </c>
      <c r="K43" s="324">
        <f t="shared" si="14"/>
        <v>34249.86</v>
      </c>
      <c r="L43" s="324">
        <f t="shared" si="14"/>
        <v>1201.5</v>
      </c>
      <c r="M43" s="324">
        <f t="shared" si="14"/>
        <v>45217.65</v>
      </c>
      <c r="N43" s="324">
        <f t="shared" si="14"/>
        <v>1235</v>
      </c>
      <c r="O43" s="324">
        <f t="shared" si="14"/>
        <v>37258.43</v>
      </c>
      <c r="P43" s="324">
        <f t="shared" si="14"/>
        <v>1239.8</v>
      </c>
      <c r="Q43" s="324">
        <f t="shared" si="14"/>
        <v>54546.04</v>
      </c>
      <c r="R43" s="324">
        <f t="shared" si="14"/>
        <v>1904.5</v>
      </c>
      <c r="S43" s="324">
        <f t="shared" si="14"/>
        <v>35510.86</v>
      </c>
      <c r="T43" s="324">
        <f t="shared" si="14"/>
        <v>1203.5</v>
      </c>
      <c r="U43" s="324">
        <f t="shared" si="14"/>
        <v>35778.36</v>
      </c>
      <c r="V43" s="324">
        <f t="shared" si="14"/>
        <v>1193</v>
      </c>
      <c r="W43" s="324">
        <f t="shared" si="14"/>
        <v>35124.86</v>
      </c>
      <c r="X43" s="324">
        <f t="shared" si="14"/>
        <v>1188.5</v>
      </c>
      <c r="Y43" s="324">
        <f t="shared" si="14"/>
        <v>35582.36</v>
      </c>
      <c r="Z43" s="324">
        <f t="shared" si="14"/>
        <v>1197</v>
      </c>
      <c r="AA43" s="324">
        <f t="shared" si="14"/>
        <v>64612.299999999996</v>
      </c>
      <c r="AB43" s="324">
        <f t="shared" si="14"/>
        <v>1784.5</v>
      </c>
      <c r="AC43" s="324">
        <f>SUM(AC38:AC42)</f>
        <v>485939.23000000004</v>
      </c>
      <c r="AD43" s="324">
        <f t="shared" si="14"/>
        <v>15629.8</v>
      </c>
      <c r="AE43" s="225"/>
      <c r="AF43" s="225"/>
      <c r="AG43" s="225"/>
      <c r="AH43" s="225"/>
      <c r="AI43" s="225"/>
      <c r="AJ43" s="225"/>
      <c r="AK43" s="225"/>
      <c r="AL43" s="225"/>
      <c r="AM43" s="221"/>
    </row>
    <row r="44" spans="1:39" ht="15.75">
      <c r="A44" s="366"/>
      <c r="B44" s="224"/>
      <c r="C44" s="224"/>
      <c r="D44" s="2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225"/>
      <c r="AF44" s="225"/>
      <c r="AG44" s="225"/>
      <c r="AH44" s="225"/>
      <c r="AI44" s="225"/>
      <c r="AJ44" s="225"/>
      <c r="AK44" s="225"/>
      <c r="AL44" s="225"/>
      <c r="AM44" s="221"/>
    </row>
    <row r="45" spans="1:39" ht="15.75">
      <c r="A45" s="225"/>
      <c r="B45" s="224"/>
      <c r="C45" s="224"/>
      <c r="D45" s="224"/>
      <c r="E45" s="324"/>
      <c r="F45" s="324"/>
      <c r="G45" s="324"/>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c r="AE45" s="225"/>
      <c r="AF45" s="225"/>
      <c r="AG45" s="225"/>
      <c r="AH45" s="225"/>
      <c r="AI45" s="225"/>
      <c r="AJ45" s="225"/>
      <c r="AK45" s="225"/>
      <c r="AL45" s="225"/>
      <c r="AM45" s="221"/>
    </row>
    <row r="46" spans="1:39" ht="15.75">
      <c r="A46" s="366"/>
      <c r="B46" s="224"/>
      <c r="C46" s="224"/>
      <c r="D46" s="224"/>
      <c r="E46" s="324"/>
      <c r="F46" s="324"/>
      <c r="G46" s="32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225"/>
      <c r="AF46" s="225"/>
      <c r="AG46" s="225"/>
      <c r="AH46" s="225"/>
      <c r="AI46" s="225"/>
      <c r="AJ46" s="225"/>
      <c r="AK46" s="225"/>
      <c r="AL46" s="225"/>
      <c r="AM46" s="221"/>
    </row>
    <row r="47" spans="1:39" ht="15.75">
      <c r="A47" s="366" t="s">
        <v>579</v>
      </c>
      <c r="B47" s="224"/>
      <c r="C47" s="224"/>
      <c r="D47" s="224"/>
      <c r="E47" s="324">
        <f>+'[1]Monthly P&amp;L'!D64</f>
        <v>52417.71</v>
      </c>
      <c r="F47" s="324"/>
      <c r="G47" s="324">
        <f>+'[1]Monthly P&amp;L'!E64</f>
        <v>36214.78</v>
      </c>
      <c r="H47" s="324"/>
      <c r="I47" s="324">
        <f>+'[1]Monthly P&amp;L'!F64</f>
        <v>34443.03</v>
      </c>
      <c r="J47" s="324"/>
      <c r="K47" s="324">
        <f>+'[1]Monthly P&amp;L'!G64</f>
        <v>38907.629999999997</v>
      </c>
      <c r="L47" s="324"/>
      <c r="M47" s="324">
        <f>+'[1]Monthly P&amp;L'!H64</f>
        <v>50858.61</v>
      </c>
      <c r="N47" s="324"/>
      <c r="O47" s="324">
        <f>+'[1]Monthly P&amp;L'!I64</f>
        <v>42343.87</v>
      </c>
      <c r="P47" s="324"/>
      <c r="Q47" s="324">
        <f>+'[1]Monthly P&amp;L'!J64</f>
        <v>62214.94</v>
      </c>
      <c r="R47" s="324"/>
      <c r="S47" s="324">
        <f>+'[1]Monthly P&amp;L'!K64</f>
        <v>40528.839999999997</v>
      </c>
      <c r="T47" s="324"/>
      <c r="U47" s="324">
        <f>+'[1]Monthly P&amp;L'!L64</f>
        <v>40800.620000000003</v>
      </c>
      <c r="V47" s="324"/>
      <c r="W47" s="324">
        <f>+'[1]Monthly P&amp;L'!M64</f>
        <v>40102.43</v>
      </c>
      <c r="X47" s="324"/>
      <c r="Y47" s="324">
        <f>+'[1]Monthly P&amp;L'!N64</f>
        <v>40640.57</v>
      </c>
      <c r="Z47" s="324"/>
      <c r="AA47" s="324">
        <f>+'[1]Monthly P&amp;L'!O64</f>
        <v>73140.08</v>
      </c>
      <c r="AB47" s="324"/>
      <c r="AC47" s="324">
        <f>SUM(E47:AA47)</f>
        <v>552613.11</v>
      </c>
      <c r="AD47" s="324"/>
      <c r="AE47" s="225"/>
      <c r="AF47" s="225"/>
      <c r="AG47" s="225"/>
      <c r="AH47" s="225"/>
      <c r="AI47" s="225"/>
      <c r="AJ47" s="225"/>
      <c r="AK47" s="225"/>
      <c r="AL47" s="225"/>
      <c r="AM47" s="221"/>
    </row>
    <row r="48" spans="1:39" ht="15.75">
      <c r="A48" s="366" t="s">
        <v>580</v>
      </c>
      <c r="B48" s="224"/>
      <c r="C48" s="224"/>
      <c r="D48" s="224"/>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f>-'[1]Payroll Tax Summary'!BZ15</f>
        <v>-66673.88</v>
      </c>
      <c r="AD48" s="324"/>
      <c r="AE48" s="225"/>
      <c r="AF48" s="225"/>
      <c r="AG48" s="225"/>
      <c r="AH48" s="225"/>
      <c r="AI48" s="225"/>
      <c r="AJ48" s="225"/>
      <c r="AK48" s="225"/>
      <c r="AL48" s="225"/>
      <c r="AM48" s="221"/>
    </row>
    <row r="49" spans="1:39" ht="15.75">
      <c r="A49" s="366"/>
      <c r="B49" s="224"/>
      <c r="C49" s="224"/>
      <c r="D49" s="2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f>SUM(AC47:AC48)</f>
        <v>485939.23</v>
      </c>
      <c r="AD49" s="324"/>
      <c r="AE49" s="225"/>
      <c r="AF49" s="225"/>
      <c r="AG49" s="225"/>
      <c r="AH49" s="225"/>
      <c r="AI49" s="225"/>
      <c r="AJ49" s="225"/>
      <c r="AK49" s="225"/>
      <c r="AL49" s="225"/>
      <c r="AM49" s="221"/>
    </row>
    <row r="50" spans="1:39" ht="15.75">
      <c r="A50" s="366"/>
      <c r="B50" s="224"/>
      <c r="C50" s="224"/>
      <c r="D50" s="2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225"/>
      <c r="AF50" s="225"/>
      <c r="AG50" s="225"/>
      <c r="AH50" s="225"/>
      <c r="AI50" s="225"/>
      <c r="AJ50" s="225"/>
      <c r="AK50" s="225"/>
      <c r="AL50" s="225"/>
      <c r="AM50" s="221"/>
    </row>
    <row r="51" spans="1:39" ht="15.75">
      <c r="A51" s="366"/>
      <c r="B51" s="224"/>
      <c r="C51" s="224"/>
      <c r="D51" s="2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225"/>
      <c r="AF51" s="225"/>
      <c r="AG51" s="225"/>
      <c r="AH51" s="225"/>
      <c r="AI51" s="225"/>
      <c r="AJ51" s="225"/>
      <c r="AK51" s="225"/>
      <c r="AL51" s="225"/>
      <c r="AM51" s="221"/>
    </row>
    <row r="52" spans="1:39" ht="15.75">
      <c r="A52" s="366"/>
      <c r="B52" s="224"/>
      <c r="C52" s="224"/>
      <c r="D52" s="2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225"/>
      <c r="AF52" s="225"/>
      <c r="AG52" s="225"/>
      <c r="AH52" s="225"/>
      <c r="AI52" s="225"/>
      <c r="AJ52" s="225"/>
      <c r="AK52" s="225"/>
      <c r="AL52" s="225"/>
      <c r="AM52" s="221"/>
    </row>
    <row r="53" spans="1:39" ht="15.75">
      <c r="A53" s="366"/>
      <c r="B53" s="224"/>
      <c r="C53" s="224"/>
      <c r="D53" s="2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225"/>
      <c r="AF53" s="225"/>
      <c r="AG53" s="225"/>
      <c r="AH53" s="225"/>
      <c r="AI53" s="225"/>
      <c r="AJ53" s="225"/>
      <c r="AK53" s="225"/>
      <c r="AL53" s="225"/>
      <c r="AM53" s="221"/>
    </row>
    <row r="54" spans="1:39" ht="15.75">
      <c r="A54" s="366"/>
      <c r="B54" s="224"/>
      <c r="C54" s="224"/>
      <c r="D54" s="2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225"/>
      <c r="AF54" s="225"/>
      <c r="AG54" s="225"/>
      <c r="AH54" s="225"/>
      <c r="AI54" s="225"/>
      <c r="AJ54" s="225"/>
      <c r="AK54" s="225"/>
      <c r="AL54" s="225"/>
      <c r="AM54" s="221"/>
    </row>
    <row r="55" spans="1:39" ht="15.75">
      <c r="A55" s="366"/>
      <c r="B55" s="224"/>
      <c r="C55" s="224"/>
      <c r="D55" s="2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225"/>
      <c r="AF55" s="225"/>
      <c r="AG55" s="225"/>
      <c r="AH55" s="225"/>
      <c r="AI55" s="225"/>
      <c r="AJ55" s="225"/>
      <c r="AK55" s="225"/>
      <c r="AL55" s="225"/>
      <c r="AM55" s="221"/>
    </row>
    <row r="56" spans="1:39" ht="15.75">
      <c r="A56" s="373"/>
      <c r="B56" s="32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225"/>
      <c r="AF56" s="225"/>
      <c r="AG56" s="225"/>
      <c r="AH56" s="225"/>
      <c r="AI56" s="225"/>
      <c r="AJ56" s="225"/>
      <c r="AK56" s="225"/>
      <c r="AL56" s="225"/>
      <c r="AM56" s="221"/>
    </row>
    <row r="57" spans="1:39" ht="15.75">
      <c r="A57" s="373" t="s">
        <v>581</v>
      </c>
      <c r="B57" s="324"/>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225"/>
      <c r="AF57" s="225"/>
      <c r="AG57" s="225"/>
      <c r="AH57" s="225"/>
      <c r="AI57" s="225"/>
      <c r="AJ57" s="225"/>
      <c r="AK57" s="225"/>
      <c r="AL57" s="225"/>
      <c r="AM57" s="221"/>
    </row>
    <row r="58" spans="1:39" ht="15.75">
      <c r="A58" s="373"/>
      <c r="B58" s="324"/>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225"/>
      <c r="AF58" s="225"/>
      <c r="AG58" s="225"/>
      <c r="AH58" s="225"/>
      <c r="AI58" s="225"/>
      <c r="AJ58" s="225"/>
      <c r="AK58" s="225"/>
      <c r="AL58" s="225"/>
      <c r="AM58" s="221"/>
    </row>
    <row r="59" spans="1:39" ht="15.75">
      <c r="A59" s="373" t="s">
        <v>582</v>
      </c>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225"/>
      <c r="AF59" s="225"/>
      <c r="AG59" s="225"/>
      <c r="AH59" s="225"/>
      <c r="AI59" s="225"/>
      <c r="AJ59" s="225"/>
      <c r="AK59" s="225"/>
      <c r="AL59" s="225"/>
      <c r="AM59" s="221"/>
    </row>
    <row r="60" spans="1:39" ht="15.75">
      <c r="A60" s="225"/>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1"/>
    </row>
    <row r="61" spans="1:39" ht="15.75">
      <c r="A61" s="372" t="s">
        <v>583</v>
      </c>
      <c r="B61" s="225"/>
      <c r="C61" s="225"/>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1"/>
    </row>
    <row r="62" spans="1:39">
      <c r="A62" s="203"/>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row>
    <row r="63" spans="1:39">
      <c r="A63" s="203"/>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row>
    <row r="64" spans="1:39">
      <c r="A64" s="203"/>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row>
    <row r="65" spans="1:38">
      <c r="A65" s="203"/>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row>
    <row r="66" spans="1:38">
      <c r="A66" s="203"/>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row>
    <row r="67" spans="1:38">
      <c r="A67" s="203"/>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row>
  </sheetData>
  <mergeCells count="13">
    <mergeCell ref="AC5:AD5"/>
    <mergeCell ref="Q5:R5"/>
    <mergeCell ref="S5:T5"/>
    <mergeCell ref="U5:V5"/>
    <mergeCell ref="W5:X5"/>
    <mergeCell ref="Y5:Z5"/>
    <mergeCell ref="AA5:AB5"/>
    <mergeCell ref="O5:P5"/>
    <mergeCell ref="E5:F5"/>
    <mergeCell ref="G5:H5"/>
    <mergeCell ref="I5:J5"/>
    <mergeCell ref="K5:L5"/>
    <mergeCell ref="M5:N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67F02-F3C1-446B-8E8D-F5F2C72F1142}">
  <dimension ref="A1:BZ33"/>
  <sheetViews>
    <sheetView workbookViewId="0">
      <selection sqref="A1:BZ33"/>
    </sheetView>
  </sheetViews>
  <sheetFormatPr defaultRowHeight="15"/>
  <cols>
    <col min="1" max="3" width="2.33203125" customWidth="1"/>
    <col min="4" max="4" width="21.109375" customWidth="1"/>
    <col min="5" max="5" width="5" customWidth="1"/>
    <col min="6" max="6" width="1.77734375" customWidth="1"/>
    <col min="7" max="8" width="0" hidden="1" customWidth="1"/>
    <col min="9" max="9" width="8.44140625" bestFit="1" customWidth="1"/>
    <col min="10" max="10" width="1.77734375" customWidth="1"/>
    <col min="11" max="11" width="7.88671875" bestFit="1" customWidth="1"/>
    <col min="12" max="13" width="0" hidden="1" customWidth="1"/>
    <col min="14" max="14" width="1.77734375" customWidth="1"/>
    <col min="15" max="15" width="8.44140625" bestFit="1" customWidth="1"/>
    <col min="16" max="16" width="1.77734375" customWidth="1"/>
    <col min="17" max="17" width="7.88671875" bestFit="1" customWidth="1"/>
    <col min="18" max="19" width="0" hidden="1" customWidth="1"/>
    <col min="20" max="20" width="1.77734375" customWidth="1"/>
    <col min="21" max="21" width="8.44140625" bestFit="1" customWidth="1"/>
    <col min="22" max="22" width="1.77734375" customWidth="1"/>
    <col min="23" max="23" width="7.88671875" bestFit="1" customWidth="1"/>
    <col min="24" max="25" width="0" hidden="1" customWidth="1"/>
    <col min="26" max="26" width="1.77734375" customWidth="1"/>
    <col min="27" max="27" width="8.44140625" bestFit="1" customWidth="1"/>
    <col min="28" max="28" width="1.77734375" customWidth="1"/>
    <col min="29" max="29" width="6.109375" bestFit="1" customWidth="1"/>
    <col min="30" max="31" width="0" hidden="1" customWidth="1"/>
    <col min="32" max="32" width="1.77734375" customWidth="1"/>
    <col min="33" max="33" width="8.44140625" bestFit="1" customWidth="1"/>
    <col min="34" max="34" width="1.77734375" customWidth="1"/>
    <col min="35" max="35" width="6.109375" bestFit="1" customWidth="1"/>
    <col min="36" max="37" width="0" hidden="1" customWidth="1"/>
    <col min="38" max="38" width="1.77734375" customWidth="1"/>
    <col min="39" max="39" width="8.44140625" bestFit="1" customWidth="1"/>
    <col min="40" max="40" width="1.77734375" customWidth="1"/>
    <col min="41" max="41" width="5" bestFit="1" customWidth="1"/>
    <col min="42" max="43" width="0" hidden="1" customWidth="1"/>
    <col min="44" max="44" width="1.77734375" customWidth="1"/>
    <col min="45" max="45" width="8.44140625" bestFit="1" customWidth="1"/>
    <col min="46" max="46" width="1.77734375" customWidth="1"/>
    <col min="47" max="47" width="6.109375" bestFit="1" customWidth="1"/>
    <col min="48" max="49" width="0" hidden="1" customWidth="1"/>
    <col min="50" max="50" width="1.77734375" customWidth="1"/>
    <col min="51" max="51" width="8.44140625" bestFit="1" customWidth="1"/>
    <col min="52" max="52" width="1.77734375" customWidth="1"/>
    <col min="53" max="53" width="6.109375" bestFit="1" customWidth="1"/>
    <col min="54" max="55" width="0" hidden="1" customWidth="1"/>
    <col min="56" max="56" width="1.77734375" customWidth="1"/>
    <col min="57" max="57" width="8.44140625" bestFit="1" customWidth="1"/>
    <col min="58" max="58" width="1.77734375" customWidth="1"/>
    <col min="59" max="59" width="5" bestFit="1" customWidth="1"/>
    <col min="60" max="61" width="0" hidden="1" customWidth="1"/>
    <col min="62" max="62" width="1.77734375" customWidth="1"/>
    <col min="63" max="63" width="8.44140625" bestFit="1" customWidth="1"/>
    <col min="64" max="64" width="1.77734375" customWidth="1"/>
    <col min="65" max="65" width="6.109375" bestFit="1" customWidth="1"/>
    <col min="66" max="67" width="0" hidden="1" customWidth="1"/>
    <col min="68" max="68" width="1.77734375" customWidth="1"/>
    <col min="69" max="69" width="8.44140625" bestFit="1" customWidth="1"/>
    <col min="70" max="70" width="1.77734375" customWidth="1"/>
    <col min="71" max="71" width="5" bestFit="1" customWidth="1"/>
    <col min="72" max="73" width="0" hidden="1" customWidth="1"/>
    <col min="74" max="74" width="1.77734375" customWidth="1"/>
    <col min="75" max="75" width="8.44140625" bestFit="1" customWidth="1"/>
    <col min="76" max="77" width="1.77734375" customWidth="1"/>
    <col min="78" max="78" width="8.44140625" bestFit="1" customWidth="1"/>
  </cols>
  <sheetData>
    <row r="1" spans="1:78" ht="16.5" thickBot="1">
      <c r="A1" s="374"/>
      <c r="B1" s="374"/>
      <c r="C1" s="374"/>
      <c r="D1" s="374"/>
      <c r="E1" s="375" t="s">
        <v>584</v>
      </c>
      <c r="F1" s="376"/>
      <c r="G1" s="377"/>
      <c r="H1" s="376"/>
      <c r="I1" s="377"/>
      <c r="J1" s="378"/>
      <c r="K1" s="375" t="s">
        <v>585</v>
      </c>
      <c r="L1" s="376"/>
      <c r="M1" s="377"/>
      <c r="N1" s="376"/>
      <c r="O1" s="377"/>
      <c r="P1" s="378"/>
      <c r="Q1" s="375" t="s">
        <v>586</v>
      </c>
      <c r="R1" s="376"/>
      <c r="S1" s="377"/>
      <c r="T1" s="376"/>
      <c r="U1" s="377"/>
      <c r="V1" s="378"/>
      <c r="W1" s="375" t="s">
        <v>587</v>
      </c>
      <c r="X1" s="376"/>
      <c r="Y1" s="377"/>
      <c r="Z1" s="376"/>
      <c r="AA1" s="377"/>
      <c r="AB1" s="378"/>
      <c r="AC1" s="375" t="s">
        <v>588</v>
      </c>
      <c r="AD1" s="376"/>
      <c r="AE1" s="377"/>
      <c r="AF1" s="376"/>
      <c r="AG1" s="377"/>
      <c r="AH1" s="378"/>
      <c r="AI1" s="375" t="s">
        <v>589</v>
      </c>
      <c r="AJ1" s="376"/>
      <c r="AK1" s="377"/>
      <c r="AL1" s="376"/>
      <c r="AM1" s="377"/>
      <c r="AN1" s="378"/>
      <c r="AO1" s="375" t="s">
        <v>590</v>
      </c>
      <c r="AP1" s="376"/>
      <c r="AQ1" s="377"/>
      <c r="AR1" s="376"/>
      <c r="AS1" s="377"/>
      <c r="AT1" s="378"/>
      <c r="AU1" s="375" t="s">
        <v>591</v>
      </c>
      <c r="AV1" s="376"/>
      <c r="AW1" s="377"/>
      <c r="AX1" s="376"/>
      <c r="AY1" s="377"/>
      <c r="AZ1" s="378"/>
      <c r="BA1" s="375" t="s">
        <v>592</v>
      </c>
      <c r="BB1" s="376"/>
      <c r="BC1" s="377"/>
      <c r="BD1" s="376"/>
      <c r="BE1" s="377"/>
      <c r="BF1" s="378"/>
      <c r="BG1" s="375" t="s">
        <v>593</v>
      </c>
      <c r="BH1" s="376"/>
      <c r="BI1" s="377"/>
      <c r="BJ1" s="376"/>
      <c r="BK1" s="377"/>
      <c r="BL1" s="378"/>
      <c r="BM1" s="375" t="s">
        <v>594</v>
      </c>
      <c r="BN1" s="376"/>
      <c r="BO1" s="377"/>
      <c r="BP1" s="376"/>
      <c r="BQ1" s="377"/>
      <c r="BR1" s="378"/>
      <c r="BS1" s="375" t="s">
        <v>595</v>
      </c>
      <c r="BT1" s="376"/>
      <c r="BU1" s="377"/>
      <c r="BV1" s="376"/>
      <c r="BW1" s="377"/>
      <c r="BX1" s="378"/>
      <c r="BY1" s="376"/>
      <c r="BZ1" s="379" t="s">
        <v>103</v>
      </c>
    </row>
    <row r="2" spans="1:78" ht="17.25" thickTop="1" thickBot="1">
      <c r="A2" s="380"/>
      <c r="B2" s="380"/>
      <c r="C2" s="380"/>
      <c r="D2" s="380"/>
      <c r="E2" s="381" t="s">
        <v>565</v>
      </c>
      <c r="F2" s="382"/>
      <c r="G2" s="381" t="s">
        <v>48</v>
      </c>
      <c r="H2" s="382"/>
      <c r="I2" s="381" t="s">
        <v>596</v>
      </c>
      <c r="J2" s="382"/>
      <c r="K2" s="381" t="s">
        <v>565</v>
      </c>
      <c r="L2" s="382"/>
      <c r="M2" s="381" t="s">
        <v>48</v>
      </c>
      <c r="N2" s="382"/>
      <c r="O2" s="381" t="s">
        <v>596</v>
      </c>
      <c r="P2" s="382"/>
      <c r="Q2" s="381" t="s">
        <v>565</v>
      </c>
      <c r="R2" s="382"/>
      <c r="S2" s="381" t="s">
        <v>48</v>
      </c>
      <c r="T2" s="382"/>
      <c r="U2" s="381" t="s">
        <v>596</v>
      </c>
      <c r="V2" s="382"/>
      <c r="W2" s="381" t="s">
        <v>565</v>
      </c>
      <c r="X2" s="382"/>
      <c r="Y2" s="381" t="s">
        <v>48</v>
      </c>
      <c r="Z2" s="382"/>
      <c r="AA2" s="381" t="s">
        <v>596</v>
      </c>
      <c r="AB2" s="382"/>
      <c r="AC2" s="381" t="s">
        <v>565</v>
      </c>
      <c r="AD2" s="382"/>
      <c r="AE2" s="381" t="s">
        <v>48</v>
      </c>
      <c r="AF2" s="382"/>
      <c r="AG2" s="381" t="s">
        <v>596</v>
      </c>
      <c r="AH2" s="382"/>
      <c r="AI2" s="381" t="s">
        <v>565</v>
      </c>
      <c r="AJ2" s="382"/>
      <c r="AK2" s="381" t="s">
        <v>48</v>
      </c>
      <c r="AL2" s="382"/>
      <c r="AM2" s="381" t="s">
        <v>596</v>
      </c>
      <c r="AN2" s="382"/>
      <c r="AO2" s="381" t="s">
        <v>565</v>
      </c>
      <c r="AP2" s="382"/>
      <c r="AQ2" s="381" t="s">
        <v>48</v>
      </c>
      <c r="AR2" s="382"/>
      <c r="AS2" s="381" t="s">
        <v>596</v>
      </c>
      <c r="AT2" s="382"/>
      <c r="AU2" s="381" t="s">
        <v>565</v>
      </c>
      <c r="AV2" s="382"/>
      <c r="AW2" s="381" t="s">
        <v>48</v>
      </c>
      <c r="AX2" s="382"/>
      <c r="AY2" s="381" t="s">
        <v>596</v>
      </c>
      <c r="AZ2" s="382"/>
      <c r="BA2" s="381" t="s">
        <v>565</v>
      </c>
      <c r="BB2" s="382"/>
      <c r="BC2" s="381" t="s">
        <v>48</v>
      </c>
      <c r="BD2" s="382"/>
      <c r="BE2" s="381" t="s">
        <v>596</v>
      </c>
      <c r="BF2" s="382"/>
      <c r="BG2" s="381" t="s">
        <v>565</v>
      </c>
      <c r="BH2" s="382"/>
      <c r="BI2" s="381" t="s">
        <v>48</v>
      </c>
      <c r="BJ2" s="382"/>
      <c r="BK2" s="381" t="s">
        <v>596</v>
      </c>
      <c r="BL2" s="382"/>
      <c r="BM2" s="381" t="s">
        <v>565</v>
      </c>
      <c r="BN2" s="382"/>
      <c r="BO2" s="381" t="s">
        <v>48</v>
      </c>
      <c r="BP2" s="382"/>
      <c r="BQ2" s="381" t="s">
        <v>596</v>
      </c>
      <c r="BR2" s="382"/>
      <c r="BS2" s="381" t="s">
        <v>565</v>
      </c>
      <c r="BT2" s="382"/>
      <c r="BU2" s="381" t="s">
        <v>48</v>
      </c>
      <c r="BV2" s="382"/>
      <c r="BW2" s="381" t="s">
        <v>596</v>
      </c>
      <c r="BX2" s="382"/>
      <c r="BY2" s="382"/>
      <c r="BZ2" s="381" t="s">
        <v>596</v>
      </c>
    </row>
    <row r="3" spans="1:78" ht="15.75" thickTop="1">
      <c r="A3" s="383" t="s">
        <v>597</v>
      </c>
      <c r="B3" s="383"/>
      <c r="C3" s="383"/>
      <c r="D3" s="383"/>
      <c r="E3" s="384"/>
      <c r="F3" s="385"/>
      <c r="G3" s="386"/>
      <c r="H3" s="385"/>
      <c r="I3" s="386"/>
      <c r="J3" s="385"/>
      <c r="K3" s="384"/>
      <c r="L3" s="385"/>
      <c r="M3" s="386"/>
      <c r="N3" s="385"/>
      <c r="O3" s="386"/>
      <c r="P3" s="385"/>
      <c r="Q3" s="384"/>
      <c r="R3" s="385"/>
      <c r="S3" s="386"/>
      <c r="T3" s="385"/>
      <c r="U3" s="386"/>
      <c r="V3" s="385"/>
      <c r="W3" s="384"/>
      <c r="X3" s="385"/>
      <c r="Y3" s="386"/>
      <c r="Z3" s="385"/>
      <c r="AA3" s="386"/>
      <c r="AB3" s="385"/>
      <c r="AC3" s="384"/>
      <c r="AD3" s="385"/>
      <c r="AE3" s="386"/>
      <c r="AF3" s="385"/>
      <c r="AG3" s="386"/>
      <c r="AH3" s="385"/>
      <c r="AI3" s="384"/>
      <c r="AJ3" s="385"/>
      <c r="AK3" s="386"/>
      <c r="AL3" s="385"/>
      <c r="AM3" s="386"/>
      <c r="AN3" s="385"/>
      <c r="AO3" s="384"/>
      <c r="AP3" s="385"/>
      <c r="AQ3" s="386"/>
      <c r="AR3" s="385"/>
      <c r="AS3" s="386"/>
      <c r="AT3" s="385"/>
      <c r="AU3" s="384"/>
      <c r="AV3" s="385"/>
      <c r="AW3" s="386"/>
      <c r="AX3" s="385"/>
      <c r="AY3" s="386"/>
      <c r="AZ3" s="385"/>
      <c r="BA3" s="384"/>
      <c r="BB3" s="385"/>
      <c r="BC3" s="385"/>
      <c r="BD3" s="385"/>
      <c r="BE3" s="386"/>
      <c r="BF3" s="385"/>
      <c r="BG3" s="384"/>
      <c r="BH3" s="385"/>
      <c r="BI3" s="386"/>
      <c r="BJ3" s="385"/>
      <c r="BK3" s="386"/>
      <c r="BL3" s="385"/>
      <c r="BM3" s="384"/>
      <c r="BN3" s="385"/>
      <c r="BO3" s="386"/>
      <c r="BP3" s="385"/>
      <c r="BQ3" s="386"/>
      <c r="BR3" s="385"/>
      <c r="BS3" s="384"/>
      <c r="BT3" s="385"/>
      <c r="BU3" s="386"/>
      <c r="BV3" s="385"/>
      <c r="BW3" s="386"/>
      <c r="BX3" s="385"/>
      <c r="BY3" s="385"/>
      <c r="BZ3" s="386"/>
    </row>
    <row r="4" spans="1:78">
      <c r="A4" s="374"/>
      <c r="B4" s="374" t="s">
        <v>598</v>
      </c>
      <c r="C4" s="374"/>
      <c r="D4" s="374"/>
      <c r="E4" s="384"/>
      <c r="F4" s="385"/>
      <c r="G4" s="386"/>
      <c r="H4" s="385"/>
      <c r="I4" s="386">
        <v>42</v>
      </c>
      <c r="J4" s="385"/>
      <c r="K4" s="384"/>
      <c r="L4" s="385"/>
      <c r="M4" s="386"/>
      <c r="N4" s="385"/>
      <c r="O4" s="386">
        <v>42</v>
      </c>
      <c r="P4" s="385"/>
      <c r="Q4" s="384"/>
      <c r="R4" s="385"/>
      <c r="S4" s="386"/>
      <c r="T4" s="385"/>
      <c r="U4" s="386">
        <v>42</v>
      </c>
      <c r="V4" s="385"/>
      <c r="W4" s="384"/>
      <c r="X4" s="385"/>
      <c r="Y4" s="386"/>
      <c r="Z4" s="385"/>
      <c r="AA4" s="386">
        <v>6.91</v>
      </c>
      <c r="AB4" s="385"/>
      <c r="AC4" s="384"/>
      <c r="AD4" s="385"/>
      <c r="AE4" s="386"/>
      <c r="AF4" s="385"/>
      <c r="AG4" s="386">
        <v>42</v>
      </c>
      <c r="AH4" s="385"/>
      <c r="AI4" s="384"/>
      <c r="AJ4" s="385"/>
      <c r="AK4" s="386"/>
      <c r="AL4" s="385"/>
      <c r="AM4" s="386">
        <v>42</v>
      </c>
      <c r="AN4" s="385"/>
      <c r="AO4" s="384"/>
      <c r="AP4" s="385"/>
      <c r="AQ4" s="386"/>
      <c r="AR4" s="385"/>
      <c r="AS4" s="386">
        <v>41.36</v>
      </c>
      <c r="AT4" s="385"/>
      <c r="AU4" s="384"/>
      <c r="AV4" s="385"/>
      <c r="AW4" s="386"/>
      <c r="AX4" s="385"/>
      <c r="AY4" s="386">
        <v>42</v>
      </c>
      <c r="AZ4" s="385"/>
      <c r="BA4" s="384"/>
      <c r="BB4" s="385"/>
      <c r="BC4" s="385"/>
      <c r="BD4" s="385"/>
      <c r="BE4" s="386">
        <v>42</v>
      </c>
      <c r="BF4" s="385"/>
      <c r="BG4" s="384"/>
      <c r="BH4" s="385"/>
      <c r="BI4" s="386"/>
      <c r="BJ4" s="385"/>
      <c r="BK4" s="386">
        <v>27.46</v>
      </c>
      <c r="BL4" s="385"/>
      <c r="BM4" s="384"/>
      <c r="BN4" s="385"/>
      <c r="BO4" s="386"/>
      <c r="BP4" s="385"/>
      <c r="BQ4" s="386">
        <v>42</v>
      </c>
      <c r="BR4" s="385"/>
      <c r="BS4" s="384"/>
      <c r="BT4" s="385"/>
      <c r="BU4" s="386"/>
      <c r="BV4" s="385"/>
      <c r="BW4" s="386">
        <v>28.22</v>
      </c>
      <c r="BX4" s="385"/>
      <c r="BY4" s="385"/>
      <c r="BZ4" s="386">
        <f t="shared" ref="BZ4:BZ15" si="0">ROUND(I4+O4+U4+AA4+AG4+AM4+AS4+AY4+BE4+BK4+BQ4+BW4,5)</f>
        <v>439.95</v>
      </c>
    </row>
    <row r="5" spans="1:78">
      <c r="A5" s="374"/>
      <c r="B5" s="374" t="s">
        <v>599</v>
      </c>
      <c r="C5" s="374"/>
      <c r="D5" s="374"/>
      <c r="E5" s="384"/>
      <c r="F5" s="385"/>
      <c r="G5" s="386"/>
      <c r="H5" s="385"/>
      <c r="I5" s="386">
        <v>197.58</v>
      </c>
      <c r="J5" s="385"/>
      <c r="K5" s="384"/>
      <c r="L5" s="385"/>
      <c r="M5" s="386"/>
      <c r="N5" s="385"/>
      <c r="O5" s="386">
        <v>1071.8800000000001</v>
      </c>
      <c r="P5" s="385"/>
      <c r="Q5" s="384"/>
      <c r="R5" s="385"/>
      <c r="S5" s="386"/>
      <c r="T5" s="385"/>
      <c r="U5" s="386">
        <v>820.71</v>
      </c>
      <c r="V5" s="385"/>
      <c r="W5" s="384"/>
      <c r="X5" s="385"/>
      <c r="Y5" s="386"/>
      <c r="Z5" s="385"/>
      <c r="AA5" s="386">
        <v>16.7</v>
      </c>
      <c r="AB5" s="385"/>
      <c r="AC5" s="384"/>
      <c r="AD5" s="385"/>
      <c r="AE5" s="386"/>
      <c r="AF5" s="385"/>
      <c r="AG5" s="386">
        <v>411.83</v>
      </c>
      <c r="AH5" s="385"/>
      <c r="AI5" s="384"/>
      <c r="AJ5" s="385"/>
      <c r="AK5" s="386"/>
      <c r="AL5" s="385"/>
      <c r="AM5" s="386">
        <v>1221.1400000000001</v>
      </c>
      <c r="AN5" s="385"/>
      <c r="AO5" s="384"/>
      <c r="AP5" s="385"/>
      <c r="AQ5" s="386"/>
      <c r="AR5" s="385"/>
      <c r="AS5" s="386">
        <v>99.96</v>
      </c>
      <c r="AT5" s="385"/>
      <c r="AU5" s="384"/>
      <c r="AV5" s="385"/>
      <c r="AW5" s="386"/>
      <c r="AX5" s="385"/>
      <c r="AY5" s="386">
        <v>784.55</v>
      </c>
      <c r="AZ5" s="385"/>
      <c r="BA5" s="384"/>
      <c r="BB5" s="385"/>
      <c r="BC5" s="385"/>
      <c r="BD5" s="385"/>
      <c r="BE5" s="386">
        <v>1682.74</v>
      </c>
      <c r="BF5" s="385"/>
      <c r="BG5" s="384"/>
      <c r="BH5" s="385"/>
      <c r="BI5" s="386"/>
      <c r="BJ5" s="385"/>
      <c r="BK5" s="386">
        <v>66.349999999999994</v>
      </c>
      <c r="BL5" s="385"/>
      <c r="BM5" s="384"/>
      <c r="BN5" s="385"/>
      <c r="BO5" s="386"/>
      <c r="BP5" s="385"/>
      <c r="BQ5" s="386">
        <v>604.48</v>
      </c>
      <c r="BR5" s="385"/>
      <c r="BS5" s="384"/>
      <c r="BT5" s="385"/>
      <c r="BU5" s="386"/>
      <c r="BV5" s="385"/>
      <c r="BW5" s="386">
        <v>68.2</v>
      </c>
      <c r="BX5" s="385"/>
      <c r="BY5" s="385"/>
      <c r="BZ5" s="386">
        <f t="shared" si="0"/>
        <v>7046.12</v>
      </c>
    </row>
    <row r="6" spans="1:78">
      <c r="A6" s="374"/>
      <c r="B6" s="374" t="s">
        <v>600</v>
      </c>
      <c r="C6" s="374"/>
      <c r="D6" s="374"/>
      <c r="E6" s="384"/>
      <c r="F6" s="385"/>
      <c r="G6" s="386"/>
      <c r="H6" s="385"/>
      <c r="I6" s="386">
        <v>844.83</v>
      </c>
      <c r="J6" s="385"/>
      <c r="K6" s="384"/>
      <c r="L6" s="385"/>
      <c r="M6" s="386"/>
      <c r="N6" s="385"/>
      <c r="O6" s="386">
        <v>4583.22</v>
      </c>
      <c r="P6" s="385"/>
      <c r="Q6" s="384"/>
      <c r="R6" s="385"/>
      <c r="S6" s="386"/>
      <c r="T6" s="385"/>
      <c r="U6" s="386">
        <v>3509.23</v>
      </c>
      <c r="V6" s="385"/>
      <c r="W6" s="384"/>
      <c r="X6" s="385"/>
      <c r="Y6" s="386"/>
      <c r="Z6" s="385"/>
      <c r="AA6" s="386">
        <v>71.42</v>
      </c>
      <c r="AB6" s="385"/>
      <c r="AC6" s="384"/>
      <c r="AD6" s="385"/>
      <c r="AE6" s="386"/>
      <c r="AF6" s="385"/>
      <c r="AG6" s="386">
        <v>1760.92</v>
      </c>
      <c r="AH6" s="385"/>
      <c r="AI6" s="384"/>
      <c r="AJ6" s="385"/>
      <c r="AK6" s="386"/>
      <c r="AL6" s="385"/>
      <c r="AM6" s="386">
        <v>5221.43</v>
      </c>
      <c r="AN6" s="385"/>
      <c r="AO6" s="384"/>
      <c r="AP6" s="385"/>
      <c r="AQ6" s="386"/>
      <c r="AR6" s="385"/>
      <c r="AS6" s="386">
        <v>427.42</v>
      </c>
      <c r="AT6" s="385"/>
      <c r="AU6" s="384"/>
      <c r="AV6" s="385"/>
      <c r="AW6" s="386"/>
      <c r="AX6" s="385"/>
      <c r="AY6" s="386">
        <v>3354.63</v>
      </c>
      <c r="AZ6" s="385"/>
      <c r="BA6" s="384"/>
      <c r="BB6" s="385"/>
      <c r="BC6" s="385"/>
      <c r="BD6" s="385"/>
      <c r="BE6" s="386">
        <v>7195.15</v>
      </c>
      <c r="BF6" s="385"/>
      <c r="BG6" s="384"/>
      <c r="BH6" s="385"/>
      <c r="BI6" s="386"/>
      <c r="BJ6" s="385"/>
      <c r="BK6" s="386">
        <v>283.70999999999998</v>
      </c>
      <c r="BL6" s="385"/>
      <c r="BM6" s="384"/>
      <c r="BN6" s="385"/>
      <c r="BO6" s="386"/>
      <c r="BP6" s="385"/>
      <c r="BQ6" s="386">
        <v>2584.65</v>
      </c>
      <c r="BR6" s="385"/>
      <c r="BS6" s="384"/>
      <c r="BT6" s="385"/>
      <c r="BU6" s="386"/>
      <c r="BV6" s="385"/>
      <c r="BW6" s="386">
        <v>291.60000000000002</v>
      </c>
      <c r="BX6" s="385"/>
      <c r="BY6" s="385"/>
      <c r="BZ6" s="386">
        <f t="shared" si="0"/>
        <v>30128.21</v>
      </c>
    </row>
    <row r="7" spans="1:78">
      <c r="A7" s="374"/>
      <c r="B7" s="374" t="s">
        <v>601</v>
      </c>
      <c r="C7" s="374"/>
      <c r="D7" s="374"/>
      <c r="E7" s="384"/>
      <c r="F7" s="385"/>
      <c r="G7" s="386"/>
      <c r="H7" s="385"/>
      <c r="I7" s="386">
        <v>13.63</v>
      </c>
      <c r="J7" s="385"/>
      <c r="K7" s="384"/>
      <c r="L7" s="385"/>
      <c r="M7" s="386"/>
      <c r="N7" s="385"/>
      <c r="O7" s="386">
        <v>52.7</v>
      </c>
      <c r="P7" s="385"/>
      <c r="Q7" s="384"/>
      <c r="R7" s="385"/>
      <c r="S7" s="386"/>
      <c r="T7" s="385"/>
      <c r="U7" s="386">
        <v>52.7</v>
      </c>
      <c r="V7" s="385"/>
      <c r="W7" s="384"/>
      <c r="X7" s="385"/>
      <c r="Y7" s="386"/>
      <c r="Z7" s="385"/>
      <c r="AA7" s="386">
        <v>1.1499999999999999</v>
      </c>
      <c r="AB7" s="385"/>
      <c r="AC7" s="384"/>
      <c r="AD7" s="385"/>
      <c r="AE7" s="386"/>
      <c r="AF7" s="385"/>
      <c r="AG7" s="386">
        <v>28.4</v>
      </c>
      <c r="AH7" s="385"/>
      <c r="AI7" s="384"/>
      <c r="AJ7" s="385"/>
      <c r="AK7" s="386"/>
      <c r="AL7" s="385"/>
      <c r="AM7" s="386">
        <v>52.7</v>
      </c>
      <c r="AN7" s="385"/>
      <c r="AO7" s="384"/>
      <c r="AP7" s="385"/>
      <c r="AQ7" s="386"/>
      <c r="AR7" s="385"/>
      <c r="AS7" s="386">
        <v>6.89</v>
      </c>
      <c r="AT7" s="385"/>
      <c r="AU7" s="384"/>
      <c r="AV7" s="385"/>
      <c r="AW7" s="386"/>
      <c r="AX7" s="385"/>
      <c r="AY7" s="386">
        <v>52.7</v>
      </c>
      <c r="AZ7" s="385"/>
      <c r="BA7" s="384"/>
      <c r="BB7" s="385"/>
      <c r="BC7" s="385"/>
      <c r="BD7" s="385"/>
      <c r="BE7" s="386">
        <v>0</v>
      </c>
      <c r="BF7" s="385"/>
      <c r="BG7" s="384"/>
      <c r="BH7" s="385"/>
      <c r="BI7" s="386"/>
      <c r="BJ7" s="385"/>
      <c r="BK7" s="386">
        <v>4.58</v>
      </c>
      <c r="BL7" s="385"/>
      <c r="BM7" s="384"/>
      <c r="BN7" s="385"/>
      <c r="BO7" s="386"/>
      <c r="BP7" s="385"/>
      <c r="BQ7" s="386">
        <v>41.69</v>
      </c>
      <c r="BR7" s="385"/>
      <c r="BS7" s="384"/>
      <c r="BT7" s="385"/>
      <c r="BU7" s="386"/>
      <c r="BV7" s="385"/>
      <c r="BW7" s="386">
        <v>4.7</v>
      </c>
      <c r="BX7" s="385"/>
      <c r="BY7" s="385"/>
      <c r="BZ7" s="386">
        <f t="shared" si="0"/>
        <v>311.83999999999997</v>
      </c>
    </row>
    <row r="8" spans="1:78">
      <c r="A8" s="374"/>
      <c r="B8" s="374" t="s">
        <v>602</v>
      </c>
      <c r="C8" s="374"/>
      <c r="D8" s="374"/>
      <c r="E8" s="384"/>
      <c r="F8" s="385"/>
      <c r="G8" s="386"/>
      <c r="H8" s="385"/>
      <c r="I8" s="386">
        <v>0</v>
      </c>
      <c r="J8" s="385"/>
      <c r="K8" s="384"/>
      <c r="L8" s="385"/>
      <c r="M8" s="386"/>
      <c r="N8" s="385"/>
      <c r="O8" s="386">
        <v>2151.1</v>
      </c>
      <c r="P8" s="385"/>
      <c r="Q8" s="384"/>
      <c r="R8" s="385"/>
      <c r="S8" s="386"/>
      <c r="T8" s="385"/>
      <c r="U8" s="386">
        <v>1621.67</v>
      </c>
      <c r="V8" s="385"/>
      <c r="W8" s="384"/>
      <c r="X8" s="385"/>
      <c r="Y8" s="386"/>
      <c r="Z8" s="385"/>
      <c r="AA8" s="386">
        <v>34.56</v>
      </c>
      <c r="AB8" s="385"/>
      <c r="AC8" s="384"/>
      <c r="AD8" s="385"/>
      <c r="AE8" s="386"/>
      <c r="AF8" s="385"/>
      <c r="AG8" s="386">
        <v>816</v>
      </c>
      <c r="AH8" s="385"/>
      <c r="AI8" s="384"/>
      <c r="AJ8" s="385"/>
      <c r="AK8" s="386"/>
      <c r="AL8" s="385"/>
      <c r="AM8" s="386">
        <v>2426.61</v>
      </c>
      <c r="AN8" s="385"/>
      <c r="AO8" s="384"/>
      <c r="AP8" s="385"/>
      <c r="AQ8" s="386"/>
      <c r="AR8" s="385"/>
      <c r="AS8" s="386">
        <v>0</v>
      </c>
      <c r="AT8" s="385"/>
      <c r="AU8" s="384"/>
      <c r="AV8" s="385"/>
      <c r="AW8" s="386"/>
      <c r="AX8" s="385"/>
      <c r="AY8" s="386">
        <v>1545.24</v>
      </c>
      <c r="AZ8" s="385"/>
      <c r="BA8" s="384"/>
      <c r="BB8" s="385"/>
      <c r="BC8" s="385"/>
      <c r="BD8" s="385"/>
      <c r="BE8" s="386">
        <v>0</v>
      </c>
      <c r="BF8" s="385"/>
      <c r="BG8" s="384"/>
      <c r="BH8" s="385"/>
      <c r="BI8" s="386"/>
      <c r="BJ8" s="385"/>
      <c r="BK8" s="386">
        <v>137.28</v>
      </c>
      <c r="BL8" s="385"/>
      <c r="BM8" s="384"/>
      <c r="BN8" s="385"/>
      <c r="BO8" s="386"/>
      <c r="BP8" s="385"/>
      <c r="BQ8" s="386">
        <v>441.6</v>
      </c>
      <c r="BR8" s="385"/>
      <c r="BS8" s="384"/>
      <c r="BT8" s="385"/>
      <c r="BU8" s="386"/>
      <c r="BV8" s="385"/>
      <c r="BW8" s="386">
        <v>0</v>
      </c>
      <c r="BX8" s="385"/>
      <c r="BY8" s="385"/>
      <c r="BZ8" s="386">
        <f t="shared" si="0"/>
        <v>9174.06</v>
      </c>
    </row>
    <row r="9" spans="1:78">
      <c r="A9" s="374"/>
      <c r="B9" s="374" t="s">
        <v>603</v>
      </c>
      <c r="C9" s="374"/>
      <c r="D9" s="374"/>
      <c r="E9" s="384"/>
      <c r="F9" s="385"/>
      <c r="G9" s="386"/>
      <c r="H9" s="385"/>
      <c r="I9" s="386">
        <v>0</v>
      </c>
      <c r="J9" s="385"/>
      <c r="K9" s="384"/>
      <c r="L9" s="385"/>
      <c r="M9" s="386"/>
      <c r="N9" s="385"/>
      <c r="O9" s="386">
        <v>0</v>
      </c>
      <c r="P9" s="385"/>
      <c r="Q9" s="384"/>
      <c r="R9" s="385"/>
      <c r="S9" s="386"/>
      <c r="T9" s="385"/>
      <c r="U9" s="386">
        <v>0</v>
      </c>
      <c r="V9" s="385"/>
      <c r="W9" s="384"/>
      <c r="X9" s="385"/>
      <c r="Y9" s="386"/>
      <c r="Z9" s="385"/>
      <c r="AA9" s="386">
        <v>0</v>
      </c>
      <c r="AB9" s="385"/>
      <c r="AC9" s="384"/>
      <c r="AD9" s="385"/>
      <c r="AE9" s="386"/>
      <c r="AF9" s="385"/>
      <c r="AG9" s="386">
        <v>0</v>
      </c>
      <c r="AH9" s="385"/>
      <c r="AI9" s="384"/>
      <c r="AJ9" s="385"/>
      <c r="AK9" s="386"/>
      <c r="AL9" s="385"/>
      <c r="AM9" s="386">
        <v>0</v>
      </c>
      <c r="AN9" s="385"/>
      <c r="AO9" s="384"/>
      <c r="AP9" s="385"/>
      <c r="AQ9" s="386"/>
      <c r="AR9" s="385"/>
      <c r="AS9" s="386">
        <v>0</v>
      </c>
      <c r="AT9" s="385"/>
      <c r="AU9" s="384"/>
      <c r="AV9" s="385"/>
      <c r="AW9" s="386"/>
      <c r="AX9" s="385"/>
      <c r="AY9" s="386">
        <v>0</v>
      </c>
      <c r="AZ9" s="385"/>
      <c r="BA9" s="384"/>
      <c r="BB9" s="385"/>
      <c r="BC9" s="385"/>
      <c r="BD9" s="385"/>
      <c r="BE9" s="386">
        <v>0</v>
      </c>
      <c r="BF9" s="385"/>
      <c r="BG9" s="384"/>
      <c r="BH9" s="385"/>
      <c r="BI9" s="386"/>
      <c r="BJ9" s="385"/>
      <c r="BK9" s="386">
        <v>0</v>
      </c>
      <c r="BL9" s="385"/>
      <c r="BM9" s="384"/>
      <c r="BN9" s="385"/>
      <c r="BO9" s="386"/>
      <c r="BP9" s="385"/>
      <c r="BQ9" s="386">
        <v>0</v>
      </c>
      <c r="BR9" s="385"/>
      <c r="BS9" s="384"/>
      <c r="BT9" s="385"/>
      <c r="BU9" s="386"/>
      <c r="BV9" s="385"/>
      <c r="BW9" s="386">
        <v>0</v>
      </c>
      <c r="BX9" s="385"/>
      <c r="BY9" s="385"/>
      <c r="BZ9" s="386">
        <f t="shared" si="0"/>
        <v>0</v>
      </c>
    </row>
    <row r="10" spans="1:78">
      <c r="A10" s="374"/>
      <c r="B10" s="374" t="s">
        <v>604</v>
      </c>
      <c r="C10" s="374"/>
      <c r="D10" s="374"/>
      <c r="E10" s="384"/>
      <c r="F10" s="385"/>
      <c r="G10" s="386"/>
      <c r="H10" s="385"/>
      <c r="I10" s="386">
        <v>102.74</v>
      </c>
      <c r="J10" s="385"/>
      <c r="K10" s="384"/>
      <c r="L10" s="385"/>
      <c r="M10" s="386"/>
      <c r="N10" s="385"/>
      <c r="O10" s="386">
        <v>307.42</v>
      </c>
      <c r="P10" s="385"/>
      <c r="Q10" s="384"/>
      <c r="R10" s="385"/>
      <c r="S10" s="386"/>
      <c r="T10" s="385"/>
      <c r="U10" s="386">
        <v>0</v>
      </c>
      <c r="V10" s="385"/>
      <c r="W10" s="384"/>
      <c r="X10" s="385"/>
      <c r="Y10" s="386"/>
      <c r="Z10" s="385"/>
      <c r="AA10" s="386">
        <v>0</v>
      </c>
      <c r="AB10" s="385"/>
      <c r="AC10" s="384"/>
      <c r="AD10" s="385"/>
      <c r="AE10" s="386"/>
      <c r="AF10" s="385"/>
      <c r="AG10" s="386">
        <v>0</v>
      </c>
      <c r="AH10" s="385"/>
      <c r="AI10" s="384"/>
      <c r="AJ10" s="385"/>
      <c r="AK10" s="386"/>
      <c r="AL10" s="385"/>
      <c r="AM10" s="386">
        <v>0</v>
      </c>
      <c r="AN10" s="385"/>
      <c r="AO10" s="384"/>
      <c r="AP10" s="385"/>
      <c r="AQ10" s="386"/>
      <c r="AR10" s="385"/>
      <c r="AS10" s="386">
        <v>0</v>
      </c>
      <c r="AT10" s="385"/>
      <c r="AU10" s="384"/>
      <c r="AV10" s="385"/>
      <c r="AW10" s="386"/>
      <c r="AX10" s="385"/>
      <c r="AY10" s="386">
        <v>0</v>
      </c>
      <c r="AZ10" s="385"/>
      <c r="BA10" s="384"/>
      <c r="BB10" s="385"/>
      <c r="BC10" s="385"/>
      <c r="BD10" s="385"/>
      <c r="BE10" s="386">
        <v>0</v>
      </c>
      <c r="BF10" s="385"/>
      <c r="BG10" s="384"/>
      <c r="BH10" s="385"/>
      <c r="BI10" s="386"/>
      <c r="BJ10" s="385"/>
      <c r="BK10" s="386">
        <v>0</v>
      </c>
      <c r="BL10" s="385"/>
      <c r="BM10" s="384"/>
      <c r="BN10" s="385"/>
      <c r="BO10" s="386"/>
      <c r="BP10" s="385"/>
      <c r="BQ10" s="386">
        <v>0</v>
      </c>
      <c r="BR10" s="385"/>
      <c r="BS10" s="384"/>
      <c r="BT10" s="385"/>
      <c r="BU10" s="386"/>
      <c r="BV10" s="385"/>
      <c r="BW10" s="386">
        <v>32.42</v>
      </c>
      <c r="BX10" s="385"/>
      <c r="BY10" s="385"/>
      <c r="BZ10" s="386">
        <f t="shared" si="0"/>
        <v>442.58</v>
      </c>
    </row>
    <row r="11" spans="1:78">
      <c r="A11" s="374"/>
      <c r="B11" s="374" t="s">
        <v>605</v>
      </c>
      <c r="C11" s="374"/>
      <c r="D11" s="374"/>
      <c r="E11" s="384"/>
      <c r="F11" s="385"/>
      <c r="G11" s="386"/>
      <c r="H11" s="385"/>
      <c r="I11" s="386">
        <v>0</v>
      </c>
      <c r="J11" s="385"/>
      <c r="K11" s="384"/>
      <c r="L11" s="385"/>
      <c r="M11" s="386"/>
      <c r="N11" s="385"/>
      <c r="O11" s="386">
        <v>0</v>
      </c>
      <c r="P11" s="385"/>
      <c r="Q11" s="384"/>
      <c r="R11" s="385"/>
      <c r="S11" s="386"/>
      <c r="T11" s="385"/>
      <c r="U11" s="386">
        <v>3717.78</v>
      </c>
      <c r="V11" s="385"/>
      <c r="W11" s="384"/>
      <c r="X11" s="385"/>
      <c r="Y11" s="386"/>
      <c r="Z11" s="385"/>
      <c r="AA11" s="386">
        <v>112.36</v>
      </c>
      <c r="AB11" s="385"/>
      <c r="AC11" s="384"/>
      <c r="AD11" s="385"/>
      <c r="AE11" s="386"/>
      <c r="AF11" s="385"/>
      <c r="AG11" s="386">
        <v>1840.02</v>
      </c>
      <c r="AH11" s="385"/>
      <c r="AI11" s="384"/>
      <c r="AJ11" s="385"/>
      <c r="AK11" s="386"/>
      <c r="AL11" s="385"/>
      <c r="AM11" s="386">
        <v>3627.34</v>
      </c>
      <c r="AN11" s="385"/>
      <c r="AO11" s="384"/>
      <c r="AP11" s="385"/>
      <c r="AQ11" s="386"/>
      <c r="AR11" s="385"/>
      <c r="AS11" s="386">
        <v>736.52</v>
      </c>
      <c r="AT11" s="385"/>
      <c r="AU11" s="384"/>
      <c r="AV11" s="385"/>
      <c r="AW11" s="386"/>
      <c r="AX11" s="385"/>
      <c r="AY11" s="386">
        <v>3686.17</v>
      </c>
      <c r="AZ11" s="385"/>
      <c r="BA11" s="384"/>
      <c r="BB11" s="385"/>
      <c r="BC11" s="385"/>
      <c r="BD11" s="385"/>
      <c r="BE11" s="386">
        <v>0</v>
      </c>
      <c r="BF11" s="385"/>
      <c r="BG11" s="384"/>
      <c r="BH11" s="385"/>
      <c r="BI11" s="386"/>
      <c r="BJ11" s="385"/>
      <c r="BK11" s="386">
        <v>351.15</v>
      </c>
      <c r="BL11" s="385"/>
      <c r="BM11" s="384"/>
      <c r="BN11" s="385"/>
      <c r="BO11" s="386"/>
      <c r="BP11" s="385"/>
      <c r="BQ11" s="386">
        <v>3374.17</v>
      </c>
      <c r="BR11" s="385"/>
      <c r="BS11" s="384"/>
      <c r="BT11" s="385"/>
      <c r="BU11" s="386"/>
      <c r="BV11" s="385"/>
      <c r="BW11" s="386">
        <v>0</v>
      </c>
      <c r="BX11" s="385"/>
      <c r="BY11" s="385"/>
      <c r="BZ11" s="386">
        <f t="shared" si="0"/>
        <v>17445.509999999998</v>
      </c>
    </row>
    <row r="12" spans="1:78">
      <c r="A12" s="374"/>
      <c r="B12" s="374" t="s">
        <v>606</v>
      </c>
      <c r="C12" s="374"/>
      <c r="D12" s="374"/>
      <c r="E12" s="384"/>
      <c r="F12" s="385"/>
      <c r="G12" s="386"/>
      <c r="H12" s="385"/>
      <c r="I12" s="386">
        <v>0</v>
      </c>
      <c r="J12" s="385"/>
      <c r="K12" s="384"/>
      <c r="L12" s="385"/>
      <c r="M12" s="386"/>
      <c r="N12" s="385"/>
      <c r="O12" s="386">
        <v>0</v>
      </c>
      <c r="P12" s="385"/>
      <c r="Q12" s="384"/>
      <c r="R12" s="385"/>
      <c r="S12" s="386"/>
      <c r="T12" s="385"/>
      <c r="U12" s="386">
        <v>0</v>
      </c>
      <c r="V12" s="385"/>
      <c r="W12" s="384"/>
      <c r="X12" s="385"/>
      <c r="Y12" s="386"/>
      <c r="Z12" s="385"/>
      <c r="AA12" s="386">
        <v>0</v>
      </c>
      <c r="AB12" s="385"/>
      <c r="AC12" s="384"/>
      <c r="AD12" s="385"/>
      <c r="AE12" s="386"/>
      <c r="AF12" s="385"/>
      <c r="AG12" s="386">
        <v>0</v>
      </c>
      <c r="AH12" s="385"/>
      <c r="AI12" s="384"/>
      <c r="AJ12" s="385"/>
      <c r="AK12" s="386"/>
      <c r="AL12" s="385"/>
      <c r="AM12" s="386">
        <v>0</v>
      </c>
      <c r="AN12" s="385"/>
      <c r="AO12" s="384"/>
      <c r="AP12" s="385"/>
      <c r="AQ12" s="386"/>
      <c r="AR12" s="385"/>
      <c r="AS12" s="386">
        <v>0</v>
      </c>
      <c r="AT12" s="385"/>
      <c r="AU12" s="384"/>
      <c r="AV12" s="385"/>
      <c r="AW12" s="386"/>
      <c r="AX12" s="385"/>
      <c r="AY12" s="386">
        <v>0</v>
      </c>
      <c r="AZ12" s="385"/>
      <c r="BA12" s="384"/>
      <c r="BB12" s="385"/>
      <c r="BC12" s="385"/>
      <c r="BD12" s="385"/>
      <c r="BE12" s="386">
        <v>345.25</v>
      </c>
      <c r="BF12" s="385"/>
      <c r="BG12" s="384"/>
      <c r="BH12" s="385"/>
      <c r="BI12" s="386"/>
      <c r="BJ12" s="385"/>
      <c r="BK12" s="386">
        <v>0</v>
      </c>
      <c r="BL12" s="385"/>
      <c r="BM12" s="384"/>
      <c r="BN12" s="385"/>
      <c r="BO12" s="386"/>
      <c r="BP12" s="385"/>
      <c r="BQ12" s="386">
        <v>0</v>
      </c>
      <c r="BR12" s="385"/>
      <c r="BS12" s="384"/>
      <c r="BT12" s="385"/>
      <c r="BU12" s="386"/>
      <c r="BV12" s="385"/>
      <c r="BW12" s="386">
        <v>0</v>
      </c>
      <c r="BX12" s="385"/>
      <c r="BY12" s="385"/>
      <c r="BZ12" s="386">
        <f t="shared" si="0"/>
        <v>345.25</v>
      </c>
    </row>
    <row r="13" spans="1:78">
      <c r="A13" s="374"/>
      <c r="B13" s="374" t="s">
        <v>607</v>
      </c>
      <c r="C13" s="374"/>
      <c r="D13" s="374"/>
      <c r="E13" s="384"/>
      <c r="F13" s="385"/>
      <c r="G13" s="386"/>
      <c r="H13" s="385"/>
      <c r="I13" s="386">
        <v>4.09</v>
      </c>
      <c r="J13" s="385"/>
      <c r="K13" s="384"/>
      <c r="L13" s="385"/>
      <c r="M13" s="386"/>
      <c r="N13" s="385"/>
      <c r="O13" s="386">
        <v>15.81</v>
      </c>
      <c r="P13" s="385"/>
      <c r="Q13" s="384"/>
      <c r="R13" s="385"/>
      <c r="S13" s="386"/>
      <c r="T13" s="385"/>
      <c r="U13" s="386">
        <v>15.81</v>
      </c>
      <c r="V13" s="385"/>
      <c r="W13" s="384"/>
      <c r="X13" s="385"/>
      <c r="Y13" s="386"/>
      <c r="Z13" s="385"/>
      <c r="AA13" s="386">
        <v>0.35</v>
      </c>
      <c r="AB13" s="385"/>
      <c r="AC13" s="384"/>
      <c r="AD13" s="385"/>
      <c r="AE13" s="386"/>
      <c r="AF13" s="385"/>
      <c r="AG13" s="386">
        <v>8.52</v>
      </c>
      <c r="AH13" s="385"/>
      <c r="AI13" s="384"/>
      <c r="AJ13" s="385"/>
      <c r="AK13" s="386"/>
      <c r="AL13" s="385"/>
      <c r="AM13" s="386">
        <v>15.81</v>
      </c>
      <c r="AN13" s="385"/>
      <c r="AO13" s="384"/>
      <c r="AP13" s="385"/>
      <c r="AQ13" s="386"/>
      <c r="AR13" s="385"/>
      <c r="AS13" s="386">
        <v>2.0699999999999998</v>
      </c>
      <c r="AT13" s="385"/>
      <c r="AU13" s="384"/>
      <c r="AV13" s="385"/>
      <c r="AW13" s="386"/>
      <c r="AX13" s="385"/>
      <c r="AY13" s="386">
        <v>15.81</v>
      </c>
      <c r="AZ13" s="385"/>
      <c r="BA13" s="384"/>
      <c r="BB13" s="385"/>
      <c r="BC13" s="385"/>
      <c r="BD13" s="385"/>
      <c r="BE13" s="386">
        <v>15.81</v>
      </c>
      <c r="BF13" s="385"/>
      <c r="BG13" s="384"/>
      <c r="BH13" s="385"/>
      <c r="BI13" s="386"/>
      <c r="BJ13" s="385"/>
      <c r="BK13" s="386">
        <v>1.37</v>
      </c>
      <c r="BL13" s="385"/>
      <c r="BM13" s="384"/>
      <c r="BN13" s="385"/>
      <c r="BO13" s="386"/>
      <c r="BP13" s="385"/>
      <c r="BQ13" s="386">
        <v>12.51</v>
      </c>
      <c r="BR13" s="385"/>
      <c r="BS13" s="384"/>
      <c r="BT13" s="385"/>
      <c r="BU13" s="386"/>
      <c r="BV13" s="385"/>
      <c r="BW13" s="386">
        <v>1.41</v>
      </c>
      <c r="BX13" s="385"/>
      <c r="BY13" s="385"/>
      <c r="BZ13" s="386">
        <f t="shared" si="0"/>
        <v>109.37</v>
      </c>
    </row>
    <row r="14" spans="1:78" ht="15.75" thickBot="1">
      <c r="A14" s="374"/>
      <c r="B14" s="374" t="s">
        <v>608</v>
      </c>
      <c r="C14" s="374"/>
      <c r="D14" s="374"/>
      <c r="E14" s="384"/>
      <c r="F14" s="385"/>
      <c r="G14" s="386"/>
      <c r="H14" s="385"/>
      <c r="I14" s="386">
        <v>34.520000000000003</v>
      </c>
      <c r="J14" s="385"/>
      <c r="K14" s="384"/>
      <c r="L14" s="385"/>
      <c r="M14" s="386"/>
      <c r="N14" s="385"/>
      <c r="O14" s="386">
        <v>187.26</v>
      </c>
      <c r="P14" s="385"/>
      <c r="Q14" s="384"/>
      <c r="R14" s="385"/>
      <c r="S14" s="386"/>
      <c r="T14" s="385"/>
      <c r="U14" s="386">
        <v>143.38</v>
      </c>
      <c r="V14" s="385"/>
      <c r="W14" s="384"/>
      <c r="X14" s="385"/>
      <c r="Y14" s="386"/>
      <c r="Z14" s="385"/>
      <c r="AA14" s="386">
        <v>2.92</v>
      </c>
      <c r="AB14" s="385"/>
      <c r="AC14" s="384"/>
      <c r="AD14" s="385"/>
      <c r="AE14" s="386"/>
      <c r="AF14" s="385"/>
      <c r="AG14" s="386">
        <v>71.95</v>
      </c>
      <c r="AH14" s="385"/>
      <c r="AI14" s="384"/>
      <c r="AJ14" s="385"/>
      <c r="AK14" s="386"/>
      <c r="AL14" s="385"/>
      <c r="AM14" s="386">
        <v>213.34</v>
      </c>
      <c r="AN14" s="385"/>
      <c r="AO14" s="384"/>
      <c r="AP14" s="385"/>
      <c r="AQ14" s="386"/>
      <c r="AR14" s="385"/>
      <c r="AS14" s="386">
        <v>17.47</v>
      </c>
      <c r="AT14" s="385"/>
      <c r="AU14" s="384"/>
      <c r="AV14" s="385"/>
      <c r="AW14" s="386"/>
      <c r="AX14" s="385"/>
      <c r="AY14" s="386">
        <v>137.07</v>
      </c>
      <c r="AZ14" s="385"/>
      <c r="BA14" s="384"/>
      <c r="BB14" s="385"/>
      <c r="BC14" s="385"/>
      <c r="BD14" s="385"/>
      <c r="BE14" s="386">
        <v>293.98</v>
      </c>
      <c r="BF14" s="385"/>
      <c r="BG14" s="384"/>
      <c r="BH14" s="385"/>
      <c r="BI14" s="386"/>
      <c r="BJ14" s="385"/>
      <c r="BK14" s="386">
        <v>11.59</v>
      </c>
      <c r="BL14" s="385"/>
      <c r="BM14" s="384"/>
      <c r="BN14" s="385"/>
      <c r="BO14" s="386"/>
      <c r="BP14" s="385"/>
      <c r="BQ14" s="386">
        <v>105.6</v>
      </c>
      <c r="BR14" s="385"/>
      <c r="BS14" s="384"/>
      <c r="BT14" s="385"/>
      <c r="BU14" s="386"/>
      <c r="BV14" s="385"/>
      <c r="BW14" s="386">
        <v>11.91</v>
      </c>
      <c r="BX14" s="385"/>
      <c r="BY14" s="385"/>
      <c r="BZ14" s="386">
        <f t="shared" si="0"/>
        <v>1230.99</v>
      </c>
    </row>
    <row r="15" spans="1:78" ht="15.75" thickBot="1">
      <c r="A15" s="374" t="s">
        <v>609</v>
      </c>
      <c r="B15" s="374"/>
      <c r="C15" s="374"/>
      <c r="D15" s="374"/>
      <c r="E15" s="387"/>
      <c r="F15" s="374"/>
      <c r="G15" s="388"/>
      <c r="H15" s="374"/>
      <c r="I15" s="389">
        <f>ROUND(SUM(I3:I14),5)</f>
        <v>1239.3900000000001</v>
      </c>
      <c r="J15" s="374"/>
      <c r="K15" s="387"/>
      <c r="L15" s="374"/>
      <c r="M15" s="388"/>
      <c r="N15" s="374"/>
      <c r="O15" s="389">
        <f>ROUND(SUM(O3:O14),5)</f>
        <v>8411.39</v>
      </c>
      <c r="P15" s="374"/>
      <c r="Q15" s="387"/>
      <c r="R15" s="374"/>
      <c r="S15" s="388"/>
      <c r="T15" s="374"/>
      <c r="U15" s="389">
        <f>ROUND(SUM(U3:U14),5)</f>
        <v>9923.2800000000007</v>
      </c>
      <c r="V15" s="374"/>
      <c r="W15" s="387"/>
      <c r="X15" s="374"/>
      <c r="Y15" s="388"/>
      <c r="Z15" s="374"/>
      <c r="AA15" s="389">
        <f>ROUND(SUM(AA3:AA14),5)</f>
        <v>246.37</v>
      </c>
      <c r="AB15" s="374"/>
      <c r="AC15" s="387"/>
      <c r="AD15" s="374"/>
      <c r="AE15" s="388"/>
      <c r="AF15" s="374"/>
      <c r="AG15" s="389">
        <f>ROUND(SUM(AG3:AG14),5)</f>
        <v>4979.6400000000003</v>
      </c>
      <c r="AH15" s="374"/>
      <c r="AI15" s="387"/>
      <c r="AJ15" s="374"/>
      <c r="AK15" s="388"/>
      <c r="AL15" s="374"/>
      <c r="AM15" s="389">
        <f>ROUND(SUM(AM3:AM14),5)</f>
        <v>12820.37</v>
      </c>
      <c r="AN15" s="374"/>
      <c r="AO15" s="387"/>
      <c r="AP15" s="374"/>
      <c r="AQ15" s="388"/>
      <c r="AR15" s="374"/>
      <c r="AS15" s="389">
        <f>ROUND(SUM(AS3:AS14),5)</f>
        <v>1331.69</v>
      </c>
      <c r="AT15" s="374"/>
      <c r="AU15" s="387"/>
      <c r="AV15" s="374"/>
      <c r="AW15" s="388"/>
      <c r="AX15" s="374"/>
      <c r="AY15" s="389">
        <f>ROUND(SUM(AY3:AY14),5)</f>
        <v>9618.17</v>
      </c>
      <c r="AZ15" s="374"/>
      <c r="BA15" s="387"/>
      <c r="BB15" s="374"/>
      <c r="BC15" s="374"/>
      <c r="BD15" s="374"/>
      <c r="BE15" s="389">
        <f>ROUND(SUM(BE3:BE14),5)</f>
        <v>9574.93</v>
      </c>
      <c r="BF15" s="374"/>
      <c r="BG15" s="387"/>
      <c r="BH15" s="374"/>
      <c r="BI15" s="388"/>
      <c r="BJ15" s="374"/>
      <c r="BK15" s="389">
        <f>ROUND(SUM(BK3:BK14),5)</f>
        <v>883.49</v>
      </c>
      <c r="BL15" s="374"/>
      <c r="BM15" s="387"/>
      <c r="BN15" s="374"/>
      <c r="BO15" s="388"/>
      <c r="BP15" s="374"/>
      <c r="BQ15" s="389">
        <f>ROUND(SUM(BQ3:BQ14),5)</f>
        <v>7206.7</v>
      </c>
      <c r="BR15" s="374"/>
      <c r="BS15" s="387"/>
      <c r="BT15" s="374"/>
      <c r="BU15" s="388"/>
      <c r="BV15" s="374"/>
      <c r="BW15" s="389">
        <f>ROUND(SUM(BW3:BW14),5)</f>
        <v>438.46</v>
      </c>
      <c r="BX15" s="374"/>
      <c r="BY15" s="374"/>
      <c r="BZ15" s="389">
        <f t="shared" si="0"/>
        <v>66673.88</v>
      </c>
    </row>
    <row r="16" spans="1:78" ht="16.5" thickTop="1">
      <c r="A16" s="390"/>
      <c r="B16" s="390"/>
      <c r="C16" s="390"/>
      <c r="D16" s="390"/>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5"/>
      <c r="BO16" s="225"/>
      <c r="BP16" s="225"/>
      <c r="BQ16" s="225"/>
      <c r="BR16" s="225"/>
      <c r="BS16" s="225"/>
      <c r="BT16" s="225"/>
      <c r="BU16" s="225"/>
      <c r="BV16" s="225"/>
      <c r="BW16" s="225"/>
      <c r="BX16" s="225"/>
      <c r="BY16" s="225"/>
      <c r="BZ16" s="225"/>
    </row>
    <row r="17" spans="1:78" ht="15.75">
      <c r="A17" s="225"/>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5"/>
      <c r="BG17" s="225"/>
      <c r="BH17" s="225"/>
      <c r="BI17" s="225"/>
      <c r="BJ17" s="225"/>
      <c r="BK17" s="225"/>
      <c r="BL17" s="225"/>
      <c r="BM17" s="225"/>
      <c r="BN17" s="225"/>
      <c r="BO17" s="225"/>
      <c r="BP17" s="225"/>
      <c r="BQ17" s="225"/>
      <c r="BR17" s="225"/>
      <c r="BS17" s="225"/>
      <c r="BT17" s="225"/>
      <c r="BU17" s="225"/>
      <c r="BV17" s="225"/>
      <c r="BW17" s="225"/>
      <c r="BX17" s="225"/>
      <c r="BY17" s="225"/>
      <c r="BZ17" s="225"/>
    </row>
    <row r="18" spans="1:78" ht="15.75">
      <c r="A18" s="225"/>
      <c r="B18" s="225" t="s">
        <v>610</v>
      </c>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5"/>
      <c r="BA18" s="225"/>
      <c r="BB18" s="225"/>
      <c r="BC18" s="225"/>
      <c r="BD18" s="225"/>
      <c r="BE18" s="225"/>
      <c r="BF18" s="225"/>
      <c r="BG18" s="225"/>
      <c r="BH18" s="225"/>
      <c r="BI18" s="225"/>
      <c r="BJ18" s="225"/>
      <c r="BK18" s="225"/>
      <c r="BL18" s="225"/>
      <c r="BM18" s="225"/>
      <c r="BN18" s="225"/>
      <c r="BO18" s="225"/>
      <c r="BP18" s="225"/>
      <c r="BQ18" s="225"/>
      <c r="BR18" s="225"/>
      <c r="BS18" s="225"/>
      <c r="BT18" s="225"/>
      <c r="BU18" s="225"/>
      <c r="BV18" s="225"/>
      <c r="BW18" s="225"/>
      <c r="BX18" s="225"/>
      <c r="BY18" s="225"/>
      <c r="BZ18" s="225"/>
    </row>
    <row r="19" spans="1:78" ht="15.75">
      <c r="A19" s="225"/>
      <c r="B19" s="225"/>
      <c r="C19" s="225"/>
      <c r="D19" s="225"/>
      <c r="E19" s="225"/>
      <c r="F19" s="225"/>
      <c r="G19" s="225"/>
      <c r="H19" s="225"/>
      <c r="I19" s="225"/>
      <c r="J19" s="225"/>
      <c r="K19" s="225" t="s">
        <v>565</v>
      </c>
      <c r="L19" s="225"/>
      <c r="M19" s="225"/>
      <c r="N19" s="225"/>
      <c r="O19" s="225" t="s">
        <v>611</v>
      </c>
      <c r="P19" s="225"/>
      <c r="Q19" s="225"/>
      <c r="R19" s="225"/>
      <c r="S19" s="225"/>
      <c r="T19" s="225"/>
      <c r="U19" s="225" t="s">
        <v>612</v>
      </c>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5"/>
      <c r="BA19" s="225"/>
      <c r="BB19" s="225"/>
      <c r="BC19" s="225"/>
      <c r="BD19" s="225"/>
      <c r="BE19" s="225"/>
      <c r="BF19" s="225"/>
      <c r="BG19" s="225"/>
      <c r="BH19" s="225"/>
      <c r="BI19" s="225"/>
      <c r="BJ19" s="225"/>
      <c r="BK19" s="225"/>
      <c r="BL19" s="225"/>
      <c r="BM19" s="225"/>
      <c r="BN19" s="225"/>
      <c r="BO19" s="225"/>
      <c r="BP19" s="225"/>
      <c r="BQ19" s="225"/>
      <c r="BR19" s="225"/>
      <c r="BS19" s="225"/>
      <c r="BT19" s="225"/>
      <c r="BU19" s="225"/>
      <c r="BV19" s="225"/>
      <c r="BW19" s="225"/>
      <c r="BX19" s="225"/>
      <c r="BY19" s="225"/>
      <c r="BZ19" s="225"/>
    </row>
    <row r="20" spans="1:78" ht="15.75">
      <c r="A20" s="225"/>
      <c r="B20" s="225" t="s">
        <v>613</v>
      </c>
      <c r="C20" s="225"/>
      <c r="D20" s="225"/>
      <c r="E20" s="225"/>
      <c r="F20" s="225"/>
      <c r="G20" s="225"/>
      <c r="H20" s="225"/>
      <c r="I20" s="225"/>
      <c r="J20" s="225"/>
      <c r="K20" s="224">
        <f>+[1]Payroll!AD7+[1]Payroll!AD8+[1]Payroll!AD9+[1]Payroll!AD10+[1]Payroll!AD11+[1]Payroll!AD15+[1]Payroll!AD17+[1]Payroll!AD18</f>
        <v>10344.299999999999</v>
      </c>
      <c r="L20" s="225"/>
      <c r="M20" s="225"/>
      <c r="N20" s="225"/>
      <c r="O20" s="225">
        <v>1.7557</v>
      </c>
      <c r="P20" s="225"/>
      <c r="Q20" s="224">
        <f>+K20*O20</f>
        <v>18161.487509999999</v>
      </c>
      <c r="R20" s="225"/>
      <c r="S20" s="225"/>
      <c r="T20" s="225"/>
      <c r="U20" s="225">
        <v>1.7337</v>
      </c>
      <c r="V20" s="225"/>
      <c r="W20" s="224">
        <f>+U20*K20</f>
        <v>17933.912909999999</v>
      </c>
      <c r="X20" s="225"/>
      <c r="Y20" s="225"/>
      <c r="Z20" s="225"/>
      <c r="AA20" s="224">
        <f>+W20-Q20</f>
        <v>-227.57459999999992</v>
      </c>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25"/>
      <c r="BW20" s="225"/>
      <c r="BX20" s="225"/>
      <c r="BY20" s="225"/>
      <c r="BZ20" s="225"/>
    </row>
    <row r="21" spans="1:78" ht="15.75">
      <c r="A21" s="225"/>
      <c r="B21" s="225" t="s">
        <v>614</v>
      </c>
      <c r="C21" s="225"/>
      <c r="D21" s="225"/>
      <c r="E21" s="225"/>
      <c r="F21" s="225"/>
      <c r="G21" s="225"/>
      <c r="H21" s="225"/>
      <c r="I21" s="225"/>
      <c r="J21" s="225"/>
      <c r="K21" s="224">
        <f>+[1]Payroll!AD12+[1]Payroll!AD13+[1]Payroll!AD14</f>
        <v>3105.5</v>
      </c>
      <c r="L21" s="225"/>
      <c r="M21" s="225"/>
      <c r="N21" s="225"/>
      <c r="O21" s="225">
        <v>0.14710000000000001</v>
      </c>
      <c r="P21" s="225"/>
      <c r="Q21" s="224">
        <f t="shared" ref="Q21:Q22" si="1">+K21*O21</f>
        <v>456.81905</v>
      </c>
      <c r="R21" s="225"/>
      <c r="S21" s="225"/>
      <c r="T21" s="225"/>
      <c r="U21" s="225">
        <v>0.16020000000000001</v>
      </c>
      <c r="V21" s="225"/>
      <c r="W21" s="224">
        <f t="shared" ref="W21:W22" si="2">+U21*K21</f>
        <v>497.50110000000001</v>
      </c>
      <c r="X21" s="225"/>
      <c r="Y21" s="225"/>
      <c r="Z21" s="225"/>
      <c r="AA21" s="224">
        <f t="shared" ref="AA21:AA22" si="3">+W21-Q21</f>
        <v>40.682050000000004</v>
      </c>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5"/>
      <c r="BJ21" s="225"/>
      <c r="BK21" s="225"/>
      <c r="BL21" s="225"/>
      <c r="BM21" s="225"/>
      <c r="BN21" s="225"/>
      <c r="BO21" s="225"/>
      <c r="BP21" s="225"/>
      <c r="BQ21" s="225"/>
      <c r="BR21" s="225"/>
      <c r="BS21" s="225"/>
      <c r="BT21" s="225"/>
      <c r="BU21" s="225"/>
      <c r="BV21" s="225"/>
      <c r="BW21" s="225"/>
      <c r="BX21" s="225"/>
      <c r="BY21" s="225"/>
      <c r="BZ21" s="225"/>
    </row>
    <row r="22" spans="1:78" ht="15.75">
      <c r="A22" s="225"/>
      <c r="B22" s="225" t="s">
        <v>615</v>
      </c>
      <c r="C22" s="225"/>
      <c r="D22" s="225"/>
      <c r="E22" s="225"/>
      <c r="F22" s="225"/>
      <c r="G22" s="225"/>
      <c r="H22" s="225"/>
      <c r="I22" s="225"/>
      <c r="J22" s="225"/>
      <c r="K22" s="322">
        <f>+[1]Payroll!AD16</f>
        <v>2180</v>
      </c>
      <c r="L22" s="225"/>
      <c r="M22" s="225"/>
      <c r="N22" s="225"/>
      <c r="O22" s="225">
        <v>0.1583</v>
      </c>
      <c r="P22" s="225"/>
      <c r="Q22" s="322">
        <f t="shared" si="1"/>
        <v>345.09399999999999</v>
      </c>
      <c r="R22" s="225"/>
      <c r="S22" s="225"/>
      <c r="T22" s="225"/>
      <c r="U22" s="225">
        <v>0.17219999999999999</v>
      </c>
      <c r="V22" s="225"/>
      <c r="W22" s="322">
        <f t="shared" si="2"/>
        <v>375.39599999999996</v>
      </c>
      <c r="X22" s="297"/>
      <c r="Y22" s="297"/>
      <c r="Z22" s="297"/>
      <c r="AA22" s="322">
        <f t="shared" si="3"/>
        <v>30.301999999999964</v>
      </c>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row>
    <row r="23" spans="1:78" ht="15.75">
      <c r="A23" s="225"/>
      <c r="B23" s="225"/>
      <c r="C23" s="225"/>
      <c r="D23" s="225" t="s">
        <v>103</v>
      </c>
      <c r="E23" s="225"/>
      <c r="F23" s="225"/>
      <c r="G23" s="225"/>
      <c r="H23" s="225"/>
      <c r="I23" s="225"/>
      <c r="J23" s="225"/>
      <c r="K23" s="224">
        <f>SUM(K20:K22)</f>
        <v>15629.8</v>
      </c>
      <c r="L23" s="225"/>
      <c r="M23" s="225"/>
      <c r="N23" s="225"/>
      <c r="O23" s="225"/>
      <c r="P23" s="225"/>
      <c r="Q23" s="224">
        <f>SUM(Q20:Q22)</f>
        <v>18963.400559999998</v>
      </c>
      <c r="R23" s="225"/>
      <c r="S23" s="225"/>
      <c r="T23" s="225"/>
      <c r="U23" s="225"/>
      <c r="V23" s="225"/>
      <c r="W23" s="224">
        <f>SUM(W20:W22)</f>
        <v>18806.810010000001</v>
      </c>
      <c r="X23" s="225"/>
      <c r="Y23" s="225"/>
      <c r="Z23" s="225"/>
      <c r="AA23" s="224">
        <f>SUM(AA20:AA22)</f>
        <v>-156.59054999999995</v>
      </c>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c r="BH23" s="225"/>
      <c r="BI23" s="225"/>
      <c r="BJ23" s="225"/>
      <c r="BK23" s="225"/>
      <c r="BL23" s="225"/>
      <c r="BM23" s="225"/>
      <c r="BN23" s="225"/>
      <c r="BO23" s="225"/>
      <c r="BP23" s="225"/>
      <c r="BQ23" s="225"/>
      <c r="BR23" s="225"/>
      <c r="BS23" s="225"/>
      <c r="BT23" s="225"/>
      <c r="BU23" s="225"/>
      <c r="BV23" s="225"/>
      <c r="BW23" s="225"/>
      <c r="BX23" s="225"/>
      <c r="BY23" s="225"/>
      <c r="BZ23" s="225"/>
    </row>
    <row r="24" spans="1:78" ht="15.75">
      <c r="A24" s="225"/>
      <c r="B24" s="225"/>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row>
    <row r="25" spans="1:78" ht="15.75">
      <c r="A25" s="225"/>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25"/>
      <c r="BH25" s="225"/>
      <c r="BI25" s="225"/>
      <c r="BJ25" s="225"/>
      <c r="BK25" s="225"/>
      <c r="BL25" s="225"/>
      <c r="BM25" s="225"/>
      <c r="BN25" s="225"/>
      <c r="BO25" s="225"/>
      <c r="BP25" s="225"/>
      <c r="BQ25" s="225"/>
      <c r="BR25" s="225"/>
      <c r="BS25" s="225"/>
      <c r="BT25" s="225"/>
      <c r="BU25" s="225"/>
      <c r="BV25" s="225"/>
      <c r="BW25" s="225"/>
      <c r="BX25" s="225"/>
      <c r="BY25" s="225"/>
      <c r="BZ25" s="225"/>
    </row>
    <row r="26" spans="1:78" ht="15.75">
      <c r="A26" s="225"/>
      <c r="B26" s="225" t="s">
        <v>616</v>
      </c>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5"/>
      <c r="BV26" s="225"/>
      <c r="BW26" s="225"/>
      <c r="BX26" s="225"/>
      <c r="BY26" s="225"/>
      <c r="BZ26" s="225"/>
    </row>
    <row r="27" spans="1:78" ht="15.75">
      <c r="A27" s="225"/>
      <c r="B27" s="225" t="s">
        <v>567</v>
      </c>
      <c r="C27" s="225"/>
      <c r="D27" s="225"/>
      <c r="E27" s="225"/>
      <c r="F27" s="225"/>
      <c r="G27" s="225"/>
      <c r="H27" s="225"/>
      <c r="I27" s="225"/>
      <c r="J27" s="225"/>
      <c r="K27" s="225"/>
      <c r="L27" s="225"/>
      <c r="M27" s="225"/>
      <c r="N27" s="225"/>
      <c r="O27" s="224">
        <f>+[1]Payroll!AG19</f>
        <v>25000</v>
      </c>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5"/>
      <c r="BP27" s="225"/>
      <c r="BQ27" s="225"/>
      <c r="BR27" s="225"/>
      <c r="BS27" s="225"/>
      <c r="BT27" s="225"/>
      <c r="BU27" s="225"/>
      <c r="BV27" s="225"/>
      <c r="BW27" s="225"/>
      <c r="BX27" s="225"/>
      <c r="BY27" s="225"/>
      <c r="BZ27" s="225"/>
    </row>
    <row r="28" spans="1:78" ht="15.75">
      <c r="A28" s="225"/>
      <c r="B28" s="225" t="s">
        <v>617</v>
      </c>
      <c r="C28" s="225"/>
      <c r="D28" s="225"/>
      <c r="E28" s="225"/>
      <c r="F28" s="225"/>
      <c r="G28" s="225"/>
      <c r="H28" s="225"/>
      <c r="I28" s="225"/>
      <c r="J28" s="225"/>
      <c r="K28" s="225"/>
      <c r="L28" s="225"/>
      <c r="M28" s="225"/>
      <c r="N28" s="225"/>
      <c r="O28" s="322">
        <f>+[1]Payroll!AK19</f>
        <v>3384.5639999999999</v>
      </c>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row>
    <row r="29" spans="1:78" ht="15.75">
      <c r="A29" s="225"/>
      <c r="B29" s="225"/>
      <c r="C29" s="225"/>
      <c r="D29" s="225"/>
      <c r="E29" s="225"/>
      <c r="F29" s="225"/>
      <c r="G29" s="225"/>
      <c r="H29" s="225"/>
      <c r="I29" s="225"/>
      <c r="J29" s="225"/>
      <c r="K29" s="225"/>
      <c r="L29" s="225"/>
      <c r="M29" s="225"/>
      <c r="N29" s="225"/>
      <c r="O29" s="224">
        <f>SUM(O27:O28)</f>
        <v>28384.563999999998</v>
      </c>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25"/>
      <c r="BW29" s="225"/>
      <c r="BX29" s="225"/>
      <c r="BY29" s="225"/>
      <c r="BZ29" s="225"/>
    </row>
    <row r="30" spans="1:78" ht="15.75">
      <c r="A30" s="225"/>
      <c r="B30" s="225" t="s">
        <v>618</v>
      </c>
      <c r="C30" s="225"/>
      <c r="D30" s="225"/>
      <c r="E30" s="225"/>
      <c r="F30" s="225"/>
      <c r="G30" s="225"/>
      <c r="H30" s="225"/>
      <c r="I30" s="225"/>
      <c r="J30" s="225"/>
      <c r="K30" s="225"/>
      <c r="L30" s="225"/>
      <c r="M30" s="225"/>
      <c r="N30" s="225"/>
      <c r="O30" s="233">
        <v>7.6499999999999999E-2</v>
      </c>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c r="BQ30" s="225"/>
      <c r="BR30" s="225"/>
      <c r="BS30" s="225"/>
      <c r="BT30" s="225"/>
      <c r="BU30" s="225"/>
      <c r="BV30" s="225"/>
      <c r="BW30" s="225"/>
      <c r="BX30" s="225"/>
      <c r="BY30" s="225"/>
      <c r="BZ30" s="225"/>
    </row>
    <row r="31" spans="1:78" ht="15.75">
      <c r="A31" s="225"/>
      <c r="B31" s="225" t="s">
        <v>619</v>
      </c>
      <c r="C31" s="225"/>
      <c r="D31" s="225"/>
      <c r="E31" s="225"/>
      <c r="F31" s="225"/>
      <c r="G31" s="225"/>
      <c r="H31" s="225"/>
      <c r="I31" s="225"/>
      <c r="J31" s="225"/>
      <c r="K31" s="225"/>
      <c r="L31" s="225"/>
      <c r="M31" s="225"/>
      <c r="N31" s="225"/>
      <c r="O31" s="224">
        <f>ROUND(O30*O29,2)</f>
        <v>2171.42</v>
      </c>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S31" s="225"/>
      <c r="BT31" s="225"/>
      <c r="BU31" s="225"/>
      <c r="BV31" s="225"/>
      <c r="BW31" s="225"/>
      <c r="BX31" s="225"/>
      <c r="BY31" s="225"/>
      <c r="BZ31" s="225"/>
    </row>
    <row r="32" spans="1:78" ht="15.75">
      <c r="A32" s="225"/>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S32" s="225"/>
      <c r="BT32" s="225"/>
      <c r="BU32" s="225"/>
      <c r="BV32" s="225"/>
      <c r="BW32" s="225"/>
      <c r="BX32" s="225"/>
      <c r="BY32" s="225"/>
      <c r="BZ32" s="225"/>
    </row>
    <row r="33" spans="1:78" ht="15.75">
      <c r="A33" s="225"/>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225"/>
      <c r="BT33" s="225"/>
      <c r="BU33" s="225"/>
      <c r="BV33" s="225"/>
      <c r="BW33" s="225"/>
      <c r="BX33" s="225"/>
      <c r="BY33" s="225"/>
      <c r="BZ33" s="22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347B-8877-46D7-B853-808AD17C1028}">
  <dimension ref="A1:AL321"/>
  <sheetViews>
    <sheetView topLeftCell="A280" workbookViewId="0">
      <selection activeCell="B6" sqref="B6"/>
    </sheetView>
  </sheetViews>
  <sheetFormatPr defaultRowHeight="15"/>
  <cols>
    <col min="1" max="1" width="10.33203125" customWidth="1"/>
    <col min="2" max="2" width="33.6640625" bestFit="1" customWidth="1"/>
    <col min="3" max="3" width="7.6640625" customWidth="1"/>
    <col min="4" max="4" width="6.33203125" customWidth="1"/>
    <col min="5" max="5" width="6.88671875" customWidth="1"/>
    <col min="6" max="6" width="6.21875" customWidth="1"/>
    <col min="7" max="7" width="5.77734375" customWidth="1"/>
    <col min="8" max="8" width="9" customWidth="1"/>
    <col min="9" max="10" width="0" hidden="1" customWidth="1"/>
    <col min="11" max="11" width="8.6640625" bestFit="1" customWidth="1"/>
    <col min="12" max="12" width="8" customWidth="1"/>
    <col min="13" max="13" width="9.6640625" customWidth="1"/>
    <col min="14" max="14" width="11.44140625" customWidth="1"/>
    <col min="15" max="15" width="8.6640625" customWidth="1"/>
    <col min="16" max="20" width="0" hidden="1" customWidth="1"/>
    <col min="21" max="21" width="11.77734375" customWidth="1"/>
    <col min="22" max="24" width="0" hidden="1" customWidth="1"/>
    <col min="25" max="25" width="12.21875" customWidth="1"/>
    <col min="26" max="27" width="10.44140625" customWidth="1"/>
  </cols>
  <sheetData>
    <row r="1" spans="1:38" ht="15.75">
      <c r="A1" s="307"/>
      <c r="B1" s="391" t="s">
        <v>620</v>
      </c>
      <c r="C1" s="392"/>
      <c r="D1" s="392"/>
      <c r="E1" s="392"/>
      <c r="F1" s="392"/>
      <c r="G1" s="392"/>
      <c r="H1" s="392"/>
      <c r="I1" s="392"/>
      <c r="J1" s="392"/>
      <c r="K1" s="392"/>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07"/>
      <c r="AK1" s="307"/>
      <c r="AL1" s="307"/>
    </row>
    <row r="2" spans="1:38" ht="15.75">
      <c r="A2" s="307"/>
      <c r="B2" s="394" t="s">
        <v>621</v>
      </c>
      <c r="C2" s="392"/>
      <c r="D2" s="392"/>
      <c r="E2" s="392"/>
      <c r="F2" s="392"/>
      <c r="G2" s="392"/>
      <c r="H2" s="392"/>
      <c r="I2" s="392"/>
      <c r="J2" s="392"/>
      <c r="K2" s="392"/>
      <c r="L2" s="393"/>
      <c r="M2" s="393">
        <v>0</v>
      </c>
      <c r="N2" s="393"/>
      <c r="O2" s="395" t="s">
        <v>622</v>
      </c>
      <c r="P2" s="393"/>
      <c r="Q2" s="393"/>
      <c r="R2" s="393"/>
      <c r="S2" s="393"/>
      <c r="T2" s="393"/>
      <c r="U2" s="393"/>
      <c r="V2" s="393"/>
      <c r="W2" s="393"/>
      <c r="X2" s="393"/>
      <c r="Y2" s="393"/>
      <c r="Z2" s="393"/>
      <c r="AA2" s="393"/>
      <c r="AB2" s="393"/>
      <c r="AC2" s="393"/>
      <c r="AD2" s="393"/>
      <c r="AE2" s="393"/>
      <c r="AF2" s="393"/>
      <c r="AG2" s="393"/>
      <c r="AH2" s="393"/>
      <c r="AI2" s="393"/>
      <c r="AJ2" s="307"/>
      <c r="AK2" s="307"/>
      <c r="AL2" s="307"/>
    </row>
    <row r="3" spans="1:38" ht="15.75">
      <c r="A3" s="307"/>
      <c r="B3" s="396">
        <v>44104</v>
      </c>
      <c r="C3" s="392"/>
      <c r="D3" s="392"/>
      <c r="E3" s="392"/>
      <c r="F3" s="392"/>
      <c r="G3" s="392"/>
      <c r="H3" s="392"/>
      <c r="I3" s="392"/>
      <c r="J3" s="392"/>
      <c r="K3" s="392"/>
      <c r="L3" s="393"/>
      <c r="M3" s="393">
        <v>12</v>
      </c>
      <c r="N3" s="393"/>
      <c r="O3" s="395" t="s">
        <v>623</v>
      </c>
      <c r="P3" s="393"/>
      <c r="Q3" s="393"/>
      <c r="R3" s="393"/>
      <c r="S3" s="393"/>
      <c r="T3" s="393"/>
      <c r="U3" s="393"/>
      <c r="V3" s="393"/>
      <c r="W3" s="393"/>
      <c r="X3" s="393"/>
      <c r="Y3" s="393"/>
      <c r="Z3" s="393"/>
      <c r="AA3" s="393"/>
      <c r="AB3" s="393"/>
      <c r="AC3" s="393"/>
      <c r="AD3" s="393"/>
      <c r="AE3" s="393"/>
      <c r="AF3" s="395" t="s">
        <v>624</v>
      </c>
      <c r="AG3" s="395" t="s">
        <v>625</v>
      </c>
      <c r="AH3" s="393"/>
      <c r="AI3" s="393"/>
      <c r="AJ3" s="307"/>
      <c r="AK3" s="307"/>
      <c r="AL3" s="307"/>
    </row>
    <row r="4" spans="1:38" ht="15.75">
      <c r="A4" s="307"/>
      <c r="B4" s="393"/>
      <c r="C4" s="397"/>
      <c r="D4" s="397"/>
      <c r="E4" s="393"/>
      <c r="F4" s="397"/>
      <c r="G4" s="393"/>
      <c r="H4" s="393"/>
      <c r="I4" s="393"/>
      <c r="J4" s="393"/>
      <c r="K4" s="393"/>
      <c r="L4" s="393"/>
      <c r="M4" s="398">
        <v>2019</v>
      </c>
      <c r="N4" s="393"/>
      <c r="O4" s="395" t="s">
        <v>626</v>
      </c>
      <c r="P4" s="393"/>
      <c r="Q4" s="393"/>
      <c r="R4" s="393"/>
      <c r="S4" s="393"/>
      <c r="T4" s="393"/>
      <c r="U4" s="393"/>
      <c r="V4" s="393"/>
      <c r="W4" s="393"/>
      <c r="X4" s="393"/>
      <c r="Y4" s="393"/>
      <c r="Z4" s="393"/>
      <c r="AA4" s="393"/>
      <c r="AB4" s="393"/>
      <c r="AC4" s="393"/>
      <c r="AD4" s="393"/>
      <c r="AE4" s="393"/>
      <c r="AF4" s="395" t="s">
        <v>627</v>
      </c>
      <c r="AG4" s="395" t="s">
        <v>628</v>
      </c>
      <c r="AH4" s="393"/>
      <c r="AI4" s="393"/>
      <c r="AJ4" s="307"/>
      <c r="AK4" s="307"/>
      <c r="AL4" s="307"/>
    </row>
    <row r="5" spans="1:38" ht="15.75">
      <c r="A5" s="307"/>
      <c r="B5" s="393"/>
      <c r="C5" s="397"/>
      <c r="D5" s="397"/>
      <c r="E5" s="393"/>
      <c r="F5" s="397"/>
      <c r="G5" s="393"/>
      <c r="H5" s="393"/>
      <c r="I5" s="393"/>
      <c r="J5" s="393"/>
      <c r="K5" s="393"/>
      <c r="L5" s="393"/>
      <c r="M5" s="398">
        <v>2020</v>
      </c>
      <c r="N5" s="393"/>
      <c r="O5" s="395" t="s">
        <v>629</v>
      </c>
      <c r="P5" s="393"/>
      <c r="Q5" s="393"/>
      <c r="R5" s="393"/>
      <c r="S5" s="393"/>
      <c r="T5" s="393"/>
      <c r="U5" s="393"/>
      <c r="V5" s="393"/>
      <c r="W5" s="393"/>
      <c r="X5" s="393"/>
      <c r="Y5" s="393"/>
      <c r="Z5" s="393"/>
      <c r="AA5" s="393"/>
      <c r="AB5" s="393"/>
      <c r="AC5" s="393"/>
      <c r="AD5" s="393"/>
      <c r="AE5" s="393"/>
      <c r="AF5" s="395" t="s">
        <v>630</v>
      </c>
      <c r="AG5" s="395" t="s">
        <v>631</v>
      </c>
      <c r="AH5" s="393"/>
      <c r="AI5" s="393"/>
      <c r="AJ5" s="307"/>
      <c r="AK5" s="307"/>
      <c r="AL5" s="307"/>
    </row>
    <row r="6" spans="1:38" ht="15.75">
      <c r="A6" s="307"/>
      <c r="B6" s="393"/>
      <c r="C6" s="397"/>
      <c r="D6" s="397"/>
      <c r="E6" s="393"/>
      <c r="F6" s="397"/>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5" t="s">
        <v>632</v>
      </c>
      <c r="AG6" s="395" t="s">
        <v>633</v>
      </c>
      <c r="AH6" s="393"/>
      <c r="AI6" s="393"/>
      <c r="AJ6" s="307"/>
      <c r="AK6" s="307"/>
      <c r="AL6" s="307"/>
    </row>
    <row r="7" spans="1:38" ht="15.75">
      <c r="A7" s="307"/>
      <c r="B7" s="393"/>
      <c r="C7" s="397"/>
      <c r="D7" s="397"/>
      <c r="E7" s="393"/>
      <c r="F7" s="397"/>
      <c r="G7" s="393"/>
      <c r="H7" s="393"/>
      <c r="I7" s="393"/>
      <c r="J7" s="393"/>
      <c r="K7" s="393"/>
      <c r="L7" s="393"/>
      <c r="M7" s="393"/>
      <c r="N7" s="393"/>
      <c r="O7" s="393"/>
      <c r="P7" s="393"/>
      <c r="Q7" s="393"/>
      <c r="R7" s="393"/>
      <c r="S7" s="397" t="s">
        <v>103</v>
      </c>
      <c r="T7" s="393"/>
      <c r="U7" s="399" t="s">
        <v>634</v>
      </c>
      <c r="V7" s="399" t="s">
        <v>635</v>
      </c>
      <c r="W7" s="400"/>
      <c r="X7" s="399" t="s">
        <v>635</v>
      </c>
      <c r="Y7" s="399" t="s">
        <v>636</v>
      </c>
      <c r="Z7" s="393"/>
      <c r="AA7" s="393"/>
      <c r="AB7" s="393"/>
      <c r="AC7" s="393"/>
      <c r="AD7" s="393"/>
      <c r="AE7" s="393"/>
      <c r="AF7" s="395" t="s">
        <v>637</v>
      </c>
      <c r="AG7" s="395" t="s">
        <v>638</v>
      </c>
      <c r="AH7" s="393"/>
      <c r="AI7" s="393"/>
      <c r="AJ7" s="307"/>
      <c r="AK7" s="307"/>
      <c r="AL7" s="307"/>
    </row>
    <row r="8" spans="1:38" ht="15.75">
      <c r="A8" s="307"/>
      <c r="B8" s="400"/>
      <c r="C8" s="394" t="s">
        <v>639</v>
      </c>
      <c r="D8" s="394"/>
      <c r="E8" s="399" t="s">
        <v>640</v>
      </c>
      <c r="F8" s="399"/>
      <c r="G8" s="400"/>
      <c r="H8" s="399" t="s">
        <v>641</v>
      </c>
      <c r="I8" s="400"/>
      <c r="J8" s="400"/>
      <c r="K8" s="400"/>
      <c r="L8" s="400"/>
      <c r="M8" s="400"/>
      <c r="N8" s="400"/>
      <c r="O8" s="400"/>
      <c r="P8" s="399" t="s">
        <v>642</v>
      </c>
      <c r="Q8" s="399" t="s">
        <v>103</v>
      </c>
      <c r="R8" s="400"/>
      <c r="S8" s="399" t="s">
        <v>635</v>
      </c>
      <c r="T8" s="400"/>
      <c r="U8" s="399" t="s">
        <v>643</v>
      </c>
      <c r="V8" s="399" t="s">
        <v>643</v>
      </c>
      <c r="W8" s="399" t="s">
        <v>644</v>
      </c>
      <c r="X8" s="399" t="s">
        <v>645</v>
      </c>
      <c r="Y8" s="399" t="s">
        <v>643</v>
      </c>
      <c r="Z8" s="400"/>
      <c r="AA8" s="400"/>
      <c r="AB8" s="393"/>
      <c r="AC8" s="393"/>
      <c r="AD8" s="393"/>
      <c r="AE8" s="393"/>
      <c r="AF8" s="393"/>
      <c r="AG8" s="393"/>
      <c r="AH8" s="393"/>
      <c r="AI8" s="393"/>
      <c r="AJ8" s="307"/>
      <c r="AK8" s="307"/>
      <c r="AL8" s="307"/>
    </row>
    <row r="9" spans="1:38" ht="15.75">
      <c r="A9" s="307"/>
      <c r="B9" s="400"/>
      <c r="C9" s="399"/>
      <c r="D9" s="399"/>
      <c r="E9" s="399" t="s">
        <v>646</v>
      </c>
      <c r="F9" s="399" t="s">
        <v>647</v>
      </c>
      <c r="G9" s="399" t="s">
        <v>648</v>
      </c>
      <c r="H9" s="399" t="s">
        <v>649</v>
      </c>
      <c r="I9" s="399" t="s">
        <v>642</v>
      </c>
      <c r="J9" s="400"/>
      <c r="K9" s="399" t="s">
        <v>650</v>
      </c>
      <c r="L9" s="399" t="s">
        <v>650</v>
      </c>
      <c r="M9" s="399" t="s">
        <v>651</v>
      </c>
      <c r="N9" s="399" t="s">
        <v>652</v>
      </c>
      <c r="O9" s="399" t="s">
        <v>653</v>
      </c>
      <c r="P9" s="399" t="s">
        <v>641</v>
      </c>
      <c r="Q9" s="399" t="s">
        <v>654</v>
      </c>
      <c r="R9" s="399" t="s">
        <v>655</v>
      </c>
      <c r="S9" s="399" t="s">
        <v>653</v>
      </c>
      <c r="T9" s="400"/>
      <c r="U9" s="399" t="s">
        <v>260</v>
      </c>
      <c r="V9" s="399" t="s">
        <v>260</v>
      </c>
      <c r="W9" s="399" t="s">
        <v>656</v>
      </c>
      <c r="X9" s="399" t="s">
        <v>657</v>
      </c>
      <c r="Y9" s="399" t="s">
        <v>260</v>
      </c>
      <c r="Z9" s="399" t="s">
        <v>439</v>
      </c>
      <c r="AA9" s="399"/>
      <c r="AB9" s="397"/>
      <c r="AC9" s="397"/>
      <c r="AD9" s="397"/>
      <c r="AE9" s="393"/>
      <c r="AF9" s="393"/>
      <c r="AG9" s="393"/>
      <c r="AH9" s="393"/>
      <c r="AI9" s="393"/>
      <c r="AJ9" s="307"/>
      <c r="AK9" s="307"/>
      <c r="AL9" s="307"/>
    </row>
    <row r="10" spans="1:38" ht="15.75">
      <c r="A10" s="401" t="s">
        <v>260</v>
      </c>
      <c r="B10" s="399" t="s">
        <v>658</v>
      </c>
      <c r="C10" s="402" t="s">
        <v>641</v>
      </c>
      <c r="D10" s="402" t="s">
        <v>659</v>
      </c>
      <c r="E10" s="402" t="s">
        <v>655</v>
      </c>
      <c r="F10" s="402"/>
      <c r="G10" s="402"/>
      <c r="H10" s="402" t="s">
        <v>660</v>
      </c>
      <c r="I10" s="402" t="s">
        <v>661</v>
      </c>
      <c r="J10" s="402" t="s">
        <v>662</v>
      </c>
      <c r="K10" s="402" t="s">
        <v>76</v>
      </c>
      <c r="L10" s="402" t="s">
        <v>642</v>
      </c>
      <c r="M10" s="402" t="s">
        <v>76</v>
      </c>
      <c r="N10" s="402" t="s">
        <v>260</v>
      </c>
      <c r="O10" s="402" t="s">
        <v>260</v>
      </c>
      <c r="P10" s="402" t="s">
        <v>657</v>
      </c>
      <c r="Q10" s="402" t="s">
        <v>657</v>
      </c>
      <c r="R10" s="402" t="s">
        <v>656</v>
      </c>
      <c r="S10" s="402" t="s">
        <v>657</v>
      </c>
      <c r="T10" s="403"/>
      <c r="U10" s="404">
        <v>43831</v>
      </c>
      <c r="V10" s="402">
        <v>39814</v>
      </c>
      <c r="W10" s="402" t="s">
        <v>655</v>
      </c>
      <c r="X10" s="402">
        <v>39814</v>
      </c>
      <c r="Y10" s="405">
        <v>44196</v>
      </c>
      <c r="Z10" s="402" t="s">
        <v>104</v>
      </c>
      <c r="AA10" s="402"/>
      <c r="AB10" s="397"/>
      <c r="AC10" s="397"/>
      <c r="AD10" s="397"/>
      <c r="AE10" s="397" t="s">
        <v>624</v>
      </c>
      <c r="AF10" s="397" t="s">
        <v>663</v>
      </c>
      <c r="AG10" s="397" t="s">
        <v>664</v>
      </c>
      <c r="AH10" s="397" t="s">
        <v>632</v>
      </c>
      <c r="AI10" s="397" t="s">
        <v>637</v>
      </c>
      <c r="AJ10" s="307"/>
      <c r="AK10" s="307"/>
      <c r="AL10" s="307"/>
    </row>
    <row r="11" spans="1:38" ht="15.75">
      <c r="A11" s="401" t="s">
        <v>665</v>
      </c>
      <c r="B11" s="406"/>
      <c r="C11" s="407"/>
      <c r="D11" s="397"/>
      <c r="E11" s="393"/>
      <c r="F11" s="397"/>
      <c r="G11" s="393"/>
      <c r="H11" s="398"/>
      <c r="I11" s="393"/>
      <c r="J11" s="393"/>
      <c r="K11" s="393"/>
      <c r="L11" s="393"/>
      <c r="M11" s="393"/>
      <c r="N11" s="393"/>
      <c r="O11" s="393"/>
      <c r="P11" s="393"/>
      <c r="Q11" s="393"/>
      <c r="R11" s="393"/>
      <c r="S11" s="393"/>
      <c r="T11" s="393"/>
      <c r="U11" s="393"/>
      <c r="V11" s="393"/>
      <c r="W11" s="393"/>
      <c r="X11" s="393"/>
      <c r="Y11" s="393"/>
      <c r="Z11" s="393"/>
      <c r="AA11" s="393"/>
      <c r="AB11" s="393"/>
      <c r="AC11" s="393"/>
      <c r="AD11" s="393"/>
      <c r="AE11" s="408"/>
      <c r="AF11" s="408"/>
      <c r="AG11" s="408"/>
      <c r="AH11" s="408"/>
      <c r="AI11" s="408"/>
      <c r="AJ11" s="307"/>
      <c r="AK11" s="307"/>
      <c r="AL11" s="307"/>
    </row>
    <row r="12" spans="1:38" ht="15.75">
      <c r="A12" s="307"/>
      <c r="B12" s="409" t="s">
        <v>666</v>
      </c>
      <c r="C12" s="410"/>
      <c r="D12" s="407"/>
      <c r="E12" s="411"/>
      <c r="F12" s="397"/>
      <c r="G12" s="393"/>
      <c r="H12" s="398"/>
      <c r="I12" s="393"/>
      <c r="J12" s="393"/>
      <c r="K12" s="412"/>
      <c r="L12" s="393"/>
      <c r="M12" s="235"/>
      <c r="N12" s="235"/>
      <c r="O12" s="235"/>
      <c r="P12" s="235"/>
      <c r="Q12" s="235"/>
      <c r="R12" s="393"/>
      <c r="S12" s="235"/>
      <c r="T12" s="393"/>
      <c r="U12" s="235"/>
      <c r="V12" s="235"/>
      <c r="W12" s="393"/>
      <c r="X12" s="235"/>
      <c r="Y12" s="235"/>
      <c r="Z12" s="235"/>
      <c r="AA12" s="235"/>
      <c r="AB12" s="235"/>
      <c r="AC12" s="235"/>
      <c r="AD12" s="235"/>
      <c r="AE12" s="413"/>
      <c r="AF12" s="413"/>
      <c r="AG12" s="413"/>
      <c r="AH12" s="413"/>
      <c r="AI12" s="413"/>
      <c r="AJ12" s="307"/>
      <c r="AK12" s="307"/>
      <c r="AL12" s="307"/>
    </row>
    <row r="13" spans="1:38" ht="15.75">
      <c r="A13" s="414">
        <v>5</v>
      </c>
      <c r="B13" s="415" t="s">
        <v>667</v>
      </c>
      <c r="C13" s="410">
        <v>2008</v>
      </c>
      <c r="D13" s="407">
        <v>9</v>
      </c>
      <c r="E13" s="416">
        <v>0.33</v>
      </c>
      <c r="F13" s="397" t="s">
        <v>668</v>
      </c>
      <c r="G13" s="397">
        <v>5</v>
      </c>
      <c r="H13" s="407">
        <f t="shared" ref="H13:H40" si="0">+C13+G13</f>
        <v>2013</v>
      </c>
      <c r="I13" s="393"/>
      <c r="J13" s="393"/>
      <c r="K13" s="417">
        <v>72210</v>
      </c>
      <c r="L13" s="393"/>
      <c r="M13" s="235">
        <f t="shared" ref="M13:M40" si="1">K13-K13*E13</f>
        <v>48380.7</v>
      </c>
      <c r="N13" s="235">
        <f t="shared" ref="N13:N40" si="2">M13/G13/12</f>
        <v>806.34499999999991</v>
      </c>
      <c r="O13" s="235">
        <f t="shared" ref="O13:O40" si="3">IF(L13&gt;0,0,IF((OR((AB13&gt;AC13),(AD13&lt;AE13))),0,IF((AND((AD13&gt;=AE13),(AD13&lt;=AC13))),N13*((AD13-AE13)*12),IF((AND((AE13&lt;=AB13),(AC13&gt;=AB13))),((AC13-AB13)*12)*N13,IF(AD13&gt;AC13,12*N13,0)))))</f>
        <v>0</v>
      </c>
      <c r="P13" s="235">
        <f t="shared" ref="P13:P40" si="4">IF(L13=0,0,IF((AND((AF13&gt;=AE13),(AF13&lt;=AD13))),((AF13-AE13)*12)*N13,0))</f>
        <v>0</v>
      </c>
      <c r="Q13" s="235">
        <f t="shared" ref="Q13:Q40" si="5">IF(P13&gt;0,P13,O13)</f>
        <v>0</v>
      </c>
      <c r="R13" s="393">
        <v>1</v>
      </c>
      <c r="S13" s="235">
        <f t="shared" ref="S13:S40" si="6">R13*SUM(O13:P13)</f>
        <v>0</v>
      </c>
      <c r="T13" s="393"/>
      <c r="U13" s="235">
        <f t="shared" ref="U13:U40" si="7">IF(AB13&gt;AC13,0,IF(AD13&lt;AE13,M13,IF((AND((AD13&gt;=AE13),(AD13&lt;=AC13))),(M13-Q13),IF((AND((AE13&lt;=AB13),(AC13&gt;=AB13))),0,IF(AD13&gt;AC13,((AE13-AB13)*12)*N13,0)))))</f>
        <v>48380.7</v>
      </c>
      <c r="V13" s="235">
        <f t="shared" ref="V13:V40" si="8">U13*R13</f>
        <v>48380.7</v>
      </c>
      <c r="W13" s="393">
        <v>1</v>
      </c>
      <c r="X13" s="235">
        <f t="shared" ref="X13:X40" si="9">V13*W13</f>
        <v>48380.7</v>
      </c>
      <c r="Y13" s="235">
        <f t="shared" ref="Y13:Y40" si="10">IF(L13&gt;0,0,X13+S13*W13)*W13</f>
        <v>48380.7</v>
      </c>
      <c r="Z13" s="235">
        <f t="shared" ref="Z13:Z24" si="11">+M13-Y13</f>
        <v>0</v>
      </c>
      <c r="AA13" s="235"/>
      <c r="AB13" s="235">
        <f t="shared" ref="AB13:AB40" si="12">$C13+(($D13-1)/12)</f>
        <v>2008.6666666666667</v>
      </c>
      <c r="AC13" s="235">
        <f t="shared" ref="AC13:AC40" si="13">($M$5+1)-($M$2/12)</f>
        <v>2021</v>
      </c>
      <c r="AD13" s="235">
        <f t="shared" ref="AD13:AD40" si="14">$H13+(($D13-1)/12)</f>
        <v>2013.6666666666667</v>
      </c>
      <c r="AE13" s="413">
        <f t="shared" ref="AE13:AE40" si="15">$M$4+($M$3/12)</f>
        <v>2020</v>
      </c>
      <c r="AF13" s="413">
        <f t="shared" ref="AF13:AF40" si="16">$I13+(($J13-1)/12)</f>
        <v>-8.3333333333333329E-2</v>
      </c>
      <c r="AG13" s="413">
        <f t="shared" ref="AG13:AG40" si="17">$H13+(($D13-1)/12)</f>
        <v>2013.6666666666667</v>
      </c>
      <c r="AH13" s="413">
        <f t="shared" ref="AH13:AH40" si="18">$M$4+($M$3/12)</f>
        <v>2020</v>
      </c>
      <c r="AI13" s="413">
        <f t="shared" ref="AI13:AI40" si="19">$I13+(($J13-1)/12)</f>
        <v>-8.3333333333333329E-2</v>
      </c>
      <c r="AJ13" s="307"/>
      <c r="AK13" s="307"/>
      <c r="AL13" s="307"/>
    </row>
    <row r="14" spans="1:38" ht="15.75">
      <c r="A14" s="414" t="s">
        <v>669</v>
      </c>
      <c r="B14" s="415" t="s">
        <v>667</v>
      </c>
      <c r="C14" s="410">
        <v>2020</v>
      </c>
      <c r="D14" s="407">
        <v>1</v>
      </c>
      <c r="E14" s="416"/>
      <c r="F14" s="397" t="s">
        <v>668</v>
      </c>
      <c r="G14" s="397">
        <v>3</v>
      </c>
      <c r="H14" s="407">
        <f t="shared" si="0"/>
        <v>2023</v>
      </c>
      <c r="I14" s="393"/>
      <c r="J14" s="393"/>
      <c r="K14" s="417">
        <f>72210-M13</f>
        <v>23829.300000000003</v>
      </c>
      <c r="L14" s="393"/>
      <c r="M14" s="235">
        <f t="shared" si="1"/>
        <v>23829.300000000003</v>
      </c>
      <c r="N14" s="235">
        <f t="shared" si="2"/>
        <v>661.92500000000007</v>
      </c>
      <c r="O14" s="235">
        <f t="shared" si="3"/>
        <v>7943.1</v>
      </c>
      <c r="P14" s="235">
        <f t="shared" si="4"/>
        <v>0</v>
      </c>
      <c r="Q14" s="235">
        <f t="shared" si="5"/>
        <v>7943.1</v>
      </c>
      <c r="R14" s="393">
        <v>1</v>
      </c>
      <c r="S14" s="235">
        <f t="shared" si="6"/>
        <v>7943.1</v>
      </c>
      <c r="T14" s="393"/>
      <c r="U14" s="235">
        <f t="shared" si="7"/>
        <v>0</v>
      </c>
      <c r="V14" s="235">
        <f t="shared" si="8"/>
        <v>0</v>
      </c>
      <c r="W14" s="393">
        <v>1</v>
      </c>
      <c r="X14" s="235">
        <f t="shared" si="9"/>
        <v>0</v>
      </c>
      <c r="Y14" s="235">
        <f t="shared" si="10"/>
        <v>7943.1</v>
      </c>
      <c r="Z14" s="235">
        <f t="shared" si="11"/>
        <v>15886.200000000003</v>
      </c>
      <c r="AA14" s="235"/>
      <c r="AB14" s="235">
        <f t="shared" si="12"/>
        <v>2020</v>
      </c>
      <c r="AC14" s="235">
        <f t="shared" si="13"/>
        <v>2021</v>
      </c>
      <c r="AD14" s="235">
        <f t="shared" si="14"/>
        <v>2023</v>
      </c>
      <c r="AE14" s="413">
        <f t="shared" si="15"/>
        <v>2020</v>
      </c>
      <c r="AF14" s="413">
        <f t="shared" si="16"/>
        <v>-8.3333333333333329E-2</v>
      </c>
      <c r="AG14" s="413">
        <f t="shared" si="17"/>
        <v>2023</v>
      </c>
      <c r="AH14" s="413">
        <f t="shared" si="18"/>
        <v>2020</v>
      </c>
      <c r="AI14" s="413">
        <f t="shared" si="19"/>
        <v>-8.3333333333333329E-2</v>
      </c>
      <c r="AJ14" s="307"/>
      <c r="AK14" s="307"/>
      <c r="AL14" s="307"/>
    </row>
    <row r="15" spans="1:38" ht="15.75">
      <c r="A15" s="414">
        <v>178</v>
      </c>
      <c r="B15" s="415" t="s">
        <v>670</v>
      </c>
      <c r="C15" s="410">
        <v>2009</v>
      </c>
      <c r="D15" s="407">
        <v>2</v>
      </c>
      <c r="E15" s="416">
        <v>0.2</v>
      </c>
      <c r="F15" s="397" t="s">
        <v>668</v>
      </c>
      <c r="G15" s="397">
        <v>7</v>
      </c>
      <c r="H15" s="407">
        <f>+C15+G15</f>
        <v>2016</v>
      </c>
      <c r="I15" s="393"/>
      <c r="J15" s="393"/>
      <c r="K15" s="417">
        <v>262971</v>
      </c>
      <c r="L15" s="393"/>
      <c r="M15" s="235">
        <f>K15-K15*E15</f>
        <v>210376.8</v>
      </c>
      <c r="N15" s="235">
        <f>M15/G15/12</f>
        <v>2504.485714285714</v>
      </c>
      <c r="O15" s="235">
        <f t="shared" si="3"/>
        <v>0</v>
      </c>
      <c r="P15" s="235">
        <f>IF(L15=0,0,IF((AND((AF15&gt;=AE15),(AF15&lt;=AD15))),((AF15-AE15)*12)*N15,0))</f>
        <v>0</v>
      </c>
      <c r="Q15" s="235">
        <f>IF(P15&gt;0,P15,O15)</f>
        <v>0</v>
      </c>
      <c r="R15" s="393">
        <v>1</v>
      </c>
      <c r="S15" s="235">
        <f>R15*SUM(O15:P15)</f>
        <v>0</v>
      </c>
      <c r="T15" s="393"/>
      <c r="U15" s="235">
        <f t="shared" si="7"/>
        <v>210376.8</v>
      </c>
      <c r="V15" s="235">
        <f t="shared" si="8"/>
        <v>210376.8</v>
      </c>
      <c r="W15" s="393">
        <v>1</v>
      </c>
      <c r="X15" s="235">
        <f t="shared" si="9"/>
        <v>210376.8</v>
      </c>
      <c r="Y15" s="235">
        <f t="shared" si="10"/>
        <v>210376.8</v>
      </c>
      <c r="Z15" s="235">
        <f t="shared" si="11"/>
        <v>0</v>
      </c>
      <c r="AA15" s="235"/>
      <c r="AB15" s="235">
        <f t="shared" si="12"/>
        <v>2009.0833333333333</v>
      </c>
      <c r="AC15" s="235">
        <f t="shared" si="13"/>
        <v>2021</v>
      </c>
      <c r="AD15" s="235">
        <f t="shared" si="14"/>
        <v>2016.0833333333333</v>
      </c>
      <c r="AE15" s="413">
        <f t="shared" si="15"/>
        <v>2020</v>
      </c>
      <c r="AF15" s="413">
        <f t="shared" si="16"/>
        <v>-8.3333333333333329E-2</v>
      </c>
      <c r="AG15" s="413">
        <f t="shared" si="17"/>
        <v>2016.0833333333333</v>
      </c>
      <c r="AH15" s="413">
        <f t="shared" si="18"/>
        <v>2020</v>
      </c>
      <c r="AI15" s="413">
        <f t="shared" si="19"/>
        <v>-8.3333333333333329E-2</v>
      </c>
      <c r="AJ15" s="307"/>
      <c r="AK15" s="307"/>
      <c r="AL15" s="307"/>
    </row>
    <row r="16" spans="1:38" ht="15.75">
      <c r="A16" s="414" t="s">
        <v>671</v>
      </c>
      <c r="B16" s="415" t="s">
        <v>670</v>
      </c>
      <c r="C16" s="410">
        <v>2020</v>
      </c>
      <c r="D16" s="407">
        <v>1</v>
      </c>
      <c r="E16" s="416"/>
      <c r="F16" s="397" t="s">
        <v>668</v>
      </c>
      <c r="G16" s="397">
        <v>3</v>
      </c>
      <c r="H16" s="407">
        <f>+C16+G16</f>
        <v>2023</v>
      </c>
      <c r="I16" s="393"/>
      <c r="J16" s="393"/>
      <c r="K16" s="417">
        <f>+K15-M15</f>
        <v>52594.200000000012</v>
      </c>
      <c r="L16" s="393"/>
      <c r="M16" s="235">
        <f>K16-K16*E16</f>
        <v>52594.200000000012</v>
      </c>
      <c r="N16" s="235">
        <f>M16/G16/12</f>
        <v>1460.9500000000005</v>
      </c>
      <c r="O16" s="235">
        <f t="shared" si="3"/>
        <v>17531.400000000005</v>
      </c>
      <c r="P16" s="235">
        <f>IF(L16=0,0,IF((AND((AF16&gt;=AE16),(AF16&lt;=AD16))),((AF16-AE16)*12)*N16,0))</f>
        <v>0</v>
      </c>
      <c r="Q16" s="235">
        <f>IF(P16&gt;0,P16,O16)</f>
        <v>17531.400000000005</v>
      </c>
      <c r="R16" s="393">
        <v>1</v>
      </c>
      <c r="S16" s="235">
        <f>R16*SUM(O16:P16)</f>
        <v>17531.400000000005</v>
      </c>
      <c r="T16" s="393"/>
      <c r="U16" s="235">
        <f t="shared" si="7"/>
        <v>0</v>
      </c>
      <c r="V16" s="235">
        <f t="shared" si="8"/>
        <v>0</v>
      </c>
      <c r="W16" s="393">
        <v>1</v>
      </c>
      <c r="X16" s="235">
        <f t="shared" si="9"/>
        <v>0</v>
      </c>
      <c r="Y16" s="235">
        <f t="shared" si="10"/>
        <v>17531.400000000005</v>
      </c>
      <c r="Z16" s="235">
        <f t="shared" si="11"/>
        <v>35062.800000000003</v>
      </c>
      <c r="AA16" s="235"/>
      <c r="AB16" s="235">
        <f t="shared" si="12"/>
        <v>2020</v>
      </c>
      <c r="AC16" s="235">
        <f t="shared" si="13"/>
        <v>2021</v>
      </c>
      <c r="AD16" s="235">
        <f t="shared" si="14"/>
        <v>2023</v>
      </c>
      <c r="AE16" s="413">
        <f t="shared" si="15"/>
        <v>2020</v>
      </c>
      <c r="AF16" s="413">
        <f t="shared" si="16"/>
        <v>-8.3333333333333329E-2</v>
      </c>
      <c r="AG16" s="413">
        <f t="shared" si="17"/>
        <v>2023</v>
      </c>
      <c r="AH16" s="413">
        <f t="shared" si="18"/>
        <v>2020</v>
      </c>
      <c r="AI16" s="413">
        <f t="shared" si="19"/>
        <v>-8.3333333333333329E-2</v>
      </c>
      <c r="AJ16" s="307"/>
      <c r="AK16" s="307"/>
      <c r="AL16" s="307"/>
    </row>
    <row r="17" spans="1:38" ht="15.75">
      <c r="A17" s="414">
        <v>184</v>
      </c>
      <c r="B17" s="415" t="s">
        <v>672</v>
      </c>
      <c r="C17" s="410">
        <v>2011</v>
      </c>
      <c r="D17" s="407">
        <v>8</v>
      </c>
      <c r="E17" s="416">
        <v>0.2</v>
      </c>
      <c r="F17" s="397" t="s">
        <v>668</v>
      </c>
      <c r="G17" s="397">
        <v>7</v>
      </c>
      <c r="H17" s="407">
        <f t="shared" si="0"/>
        <v>2018</v>
      </c>
      <c r="I17" s="393"/>
      <c r="J17" s="393"/>
      <c r="K17" s="417">
        <v>139994.79999999999</v>
      </c>
      <c r="L17" s="393"/>
      <c r="M17" s="235">
        <f t="shared" si="1"/>
        <v>111995.84</v>
      </c>
      <c r="N17" s="235">
        <f t="shared" si="2"/>
        <v>1333.2838095238096</v>
      </c>
      <c r="O17" s="235">
        <f t="shared" si="3"/>
        <v>0</v>
      </c>
      <c r="P17" s="235">
        <f t="shared" si="4"/>
        <v>0</v>
      </c>
      <c r="Q17" s="235">
        <f t="shared" si="5"/>
        <v>0</v>
      </c>
      <c r="R17" s="393">
        <v>1</v>
      </c>
      <c r="S17" s="235">
        <f t="shared" si="6"/>
        <v>0</v>
      </c>
      <c r="T17" s="393"/>
      <c r="U17" s="235">
        <f t="shared" si="7"/>
        <v>111995.84</v>
      </c>
      <c r="V17" s="235">
        <f t="shared" si="8"/>
        <v>111995.84</v>
      </c>
      <c r="W17" s="393">
        <v>1</v>
      </c>
      <c r="X17" s="235">
        <f t="shared" si="9"/>
        <v>111995.84</v>
      </c>
      <c r="Y17" s="235">
        <f t="shared" si="10"/>
        <v>111995.84</v>
      </c>
      <c r="Z17" s="235">
        <f t="shared" si="11"/>
        <v>0</v>
      </c>
      <c r="AA17" s="235"/>
      <c r="AB17" s="235">
        <f t="shared" si="12"/>
        <v>2011.5833333333333</v>
      </c>
      <c r="AC17" s="235">
        <f t="shared" si="13"/>
        <v>2021</v>
      </c>
      <c r="AD17" s="235">
        <f t="shared" si="14"/>
        <v>2018.5833333333333</v>
      </c>
      <c r="AE17" s="413">
        <f t="shared" si="15"/>
        <v>2020</v>
      </c>
      <c r="AF17" s="413">
        <f t="shared" si="16"/>
        <v>-8.3333333333333329E-2</v>
      </c>
      <c r="AG17" s="413">
        <f t="shared" si="17"/>
        <v>2018.5833333333333</v>
      </c>
      <c r="AH17" s="413">
        <f t="shared" si="18"/>
        <v>2020</v>
      </c>
      <c r="AI17" s="413">
        <f t="shared" si="19"/>
        <v>-8.3333333333333329E-2</v>
      </c>
      <c r="AJ17" s="307"/>
      <c r="AK17" s="307"/>
      <c r="AL17" s="307"/>
    </row>
    <row r="18" spans="1:38" ht="15.75">
      <c r="A18" s="414" t="s">
        <v>673</v>
      </c>
      <c r="B18" s="415" t="s">
        <v>672</v>
      </c>
      <c r="C18" s="410">
        <v>2020</v>
      </c>
      <c r="D18" s="407">
        <v>1</v>
      </c>
      <c r="E18" s="416"/>
      <c r="F18" s="397" t="s">
        <v>668</v>
      </c>
      <c r="G18" s="397">
        <v>3</v>
      </c>
      <c r="H18" s="407">
        <f t="shared" si="0"/>
        <v>2023</v>
      </c>
      <c r="I18" s="393"/>
      <c r="J18" s="393"/>
      <c r="K18" s="417">
        <f>+K17-M17</f>
        <v>27998.959999999992</v>
      </c>
      <c r="L18" s="393"/>
      <c r="M18" s="235">
        <f t="shared" si="1"/>
        <v>27998.959999999992</v>
      </c>
      <c r="N18" s="235">
        <f t="shared" si="2"/>
        <v>777.7488888888887</v>
      </c>
      <c r="O18" s="235">
        <f t="shared" si="3"/>
        <v>9332.986666666664</v>
      </c>
      <c r="P18" s="235">
        <f t="shared" si="4"/>
        <v>0</v>
      </c>
      <c r="Q18" s="235">
        <f t="shared" si="5"/>
        <v>9332.986666666664</v>
      </c>
      <c r="R18" s="393">
        <v>1</v>
      </c>
      <c r="S18" s="235">
        <f t="shared" si="6"/>
        <v>9332.986666666664</v>
      </c>
      <c r="T18" s="393"/>
      <c r="U18" s="235">
        <f t="shared" si="7"/>
        <v>0</v>
      </c>
      <c r="V18" s="235">
        <f t="shared" si="8"/>
        <v>0</v>
      </c>
      <c r="W18" s="393">
        <v>1</v>
      </c>
      <c r="X18" s="235">
        <f t="shared" si="9"/>
        <v>0</v>
      </c>
      <c r="Y18" s="235">
        <f t="shared" si="10"/>
        <v>9332.986666666664</v>
      </c>
      <c r="Z18" s="235">
        <f t="shared" si="11"/>
        <v>18665.973333333328</v>
      </c>
      <c r="AA18" s="235"/>
      <c r="AB18" s="235">
        <f t="shared" si="12"/>
        <v>2020</v>
      </c>
      <c r="AC18" s="235">
        <f t="shared" si="13"/>
        <v>2021</v>
      </c>
      <c r="AD18" s="235">
        <f t="shared" si="14"/>
        <v>2023</v>
      </c>
      <c r="AE18" s="413">
        <f t="shared" si="15"/>
        <v>2020</v>
      </c>
      <c r="AF18" s="413">
        <f t="shared" si="16"/>
        <v>-8.3333333333333329E-2</v>
      </c>
      <c r="AG18" s="413">
        <f t="shared" si="17"/>
        <v>2023</v>
      </c>
      <c r="AH18" s="413">
        <f t="shared" si="18"/>
        <v>2020</v>
      </c>
      <c r="AI18" s="413">
        <f t="shared" si="19"/>
        <v>-8.3333333333333329E-2</v>
      </c>
      <c r="AJ18" s="307"/>
      <c r="AK18" s="307"/>
      <c r="AL18" s="307"/>
    </row>
    <row r="19" spans="1:38" ht="15.75">
      <c r="A19" s="414">
        <v>185</v>
      </c>
      <c r="B19" s="415" t="s">
        <v>674</v>
      </c>
      <c r="C19" s="410">
        <v>2011</v>
      </c>
      <c r="D19" s="407">
        <v>5</v>
      </c>
      <c r="E19" s="416">
        <v>0.33</v>
      </c>
      <c r="F19" s="397" t="s">
        <v>668</v>
      </c>
      <c r="G19" s="397">
        <v>5</v>
      </c>
      <c r="H19" s="407">
        <f>+C19+G19</f>
        <v>2016</v>
      </c>
      <c r="I19" s="393"/>
      <c r="J19" s="393"/>
      <c r="K19" s="417">
        <v>126850</v>
      </c>
      <c r="L19" s="393"/>
      <c r="M19" s="235">
        <f>K19-K19*E19</f>
        <v>84989.5</v>
      </c>
      <c r="N19" s="235">
        <f>M19/G19/12</f>
        <v>1416.4916666666668</v>
      </c>
      <c r="O19" s="235">
        <f t="shared" si="3"/>
        <v>0</v>
      </c>
      <c r="P19" s="235">
        <f>IF(L19=0,0,IF((AND((AF19&gt;=AE19),(AF19&lt;=AD19))),((AF19-AE19)*12)*N19,0))</f>
        <v>0</v>
      </c>
      <c r="Q19" s="235">
        <f>IF(P19&gt;0,P19,O19)</f>
        <v>0</v>
      </c>
      <c r="R19" s="393">
        <v>1</v>
      </c>
      <c r="S19" s="235">
        <f>R19*SUM(O19:P19)</f>
        <v>0</v>
      </c>
      <c r="T19" s="393"/>
      <c r="U19" s="235">
        <f t="shared" si="7"/>
        <v>84989.5</v>
      </c>
      <c r="V19" s="235">
        <f t="shared" si="8"/>
        <v>84989.5</v>
      </c>
      <c r="W19" s="393">
        <v>1</v>
      </c>
      <c r="X19" s="235">
        <f t="shared" si="9"/>
        <v>84989.5</v>
      </c>
      <c r="Y19" s="235">
        <f t="shared" si="10"/>
        <v>84989.5</v>
      </c>
      <c r="Z19" s="235">
        <f t="shared" si="11"/>
        <v>0</v>
      </c>
      <c r="AA19" s="235"/>
      <c r="AB19" s="235">
        <f t="shared" si="12"/>
        <v>2011.3333333333333</v>
      </c>
      <c r="AC19" s="235">
        <f t="shared" si="13"/>
        <v>2021</v>
      </c>
      <c r="AD19" s="235">
        <f t="shared" si="14"/>
        <v>2016.3333333333333</v>
      </c>
      <c r="AE19" s="413">
        <f t="shared" si="15"/>
        <v>2020</v>
      </c>
      <c r="AF19" s="413">
        <f t="shared" si="16"/>
        <v>-8.3333333333333329E-2</v>
      </c>
      <c r="AG19" s="413">
        <f t="shared" si="17"/>
        <v>2016.3333333333333</v>
      </c>
      <c r="AH19" s="413">
        <f t="shared" si="18"/>
        <v>2020</v>
      </c>
      <c r="AI19" s="413">
        <f t="shared" si="19"/>
        <v>-8.3333333333333329E-2</v>
      </c>
      <c r="AJ19" s="307"/>
      <c r="AK19" s="307"/>
      <c r="AL19" s="307"/>
    </row>
    <row r="20" spans="1:38" ht="15.75">
      <c r="A20" s="414" t="s">
        <v>675</v>
      </c>
      <c r="B20" s="415" t="s">
        <v>674</v>
      </c>
      <c r="C20" s="410">
        <v>2020</v>
      </c>
      <c r="D20" s="407">
        <v>1</v>
      </c>
      <c r="E20" s="416">
        <v>0</v>
      </c>
      <c r="F20" s="397" t="s">
        <v>668</v>
      </c>
      <c r="G20" s="397">
        <v>3</v>
      </c>
      <c r="H20" s="407">
        <f>+C20+G20</f>
        <v>2023</v>
      </c>
      <c r="I20" s="393"/>
      <c r="J20" s="393"/>
      <c r="K20" s="417">
        <f>+K19-M19</f>
        <v>41860.5</v>
      </c>
      <c r="L20" s="393"/>
      <c r="M20" s="235">
        <f>K20-K20*E20</f>
        <v>41860.5</v>
      </c>
      <c r="N20" s="235">
        <f>M20/G20/12</f>
        <v>1162.7916666666667</v>
      </c>
      <c r="O20" s="235">
        <f t="shared" si="3"/>
        <v>13953.5</v>
      </c>
      <c r="P20" s="235">
        <f>IF(L20=0,0,IF((AND((AF20&gt;=AE20),(AF20&lt;=AD20))),((AF20-AE20)*12)*N20,0))</f>
        <v>0</v>
      </c>
      <c r="Q20" s="235">
        <f>IF(P20&gt;0,P20,O20)</f>
        <v>13953.5</v>
      </c>
      <c r="R20" s="393">
        <v>1</v>
      </c>
      <c r="S20" s="235">
        <f>R20*SUM(O20:P20)</f>
        <v>13953.5</v>
      </c>
      <c r="T20" s="393"/>
      <c r="U20" s="235">
        <f t="shared" si="7"/>
        <v>0</v>
      </c>
      <c r="V20" s="235">
        <f t="shared" si="8"/>
        <v>0</v>
      </c>
      <c r="W20" s="393">
        <v>1</v>
      </c>
      <c r="X20" s="235">
        <f t="shared" si="9"/>
        <v>0</v>
      </c>
      <c r="Y20" s="235">
        <f t="shared" si="10"/>
        <v>13953.5</v>
      </c>
      <c r="Z20" s="235">
        <f t="shared" si="11"/>
        <v>27907</v>
      </c>
      <c r="AA20" s="235"/>
      <c r="AB20" s="235">
        <f t="shared" si="12"/>
        <v>2020</v>
      </c>
      <c r="AC20" s="235">
        <f t="shared" si="13"/>
        <v>2021</v>
      </c>
      <c r="AD20" s="235">
        <f t="shared" si="14"/>
        <v>2023</v>
      </c>
      <c r="AE20" s="413">
        <f t="shared" si="15"/>
        <v>2020</v>
      </c>
      <c r="AF20" s="413">
        <f t="shared" si="16"/>
        <v>-8.3333333333333329E-2</v>
      </c>
      <c r="AG20" s="413">
        <f t="shared" si="17"/>
        <v>2023</v>
      </c>
      <c r="AH20" s="413">
        <f t="shared" si="18"/>
        <v>2020</v>
      </c>
      <c r="AI20" s="413">
        <f t="shared" si="19"/>
        <v>-8.3333333333333329E-2</v>
      </c>
      <c r="AJ20" s="307"/>
      <c r="AK20" s="307"/>
      <c r="AL20" s="307"/>
    </row>
    <row r="21" spans="1:38" ht="15.75">
      <c r="A21" s="414">
        <v>222</v>
      </c>
      <c r="B21" s="415" t="s">
        <v>676</v>
      </c>
      <c r="C21" s="410">
        <v>2015</v>
      </c>
      <c r="D21" s="407">
        <v>6</v>
      </c>
      <c r="E21" s="416">
        <v>0.2</v>
      </c>
      <c r="F21" s="397" t="s">
        <v>668</v>
      </c>
      <c r="G21" s="397">
        <v>7</v>
      </c>
      <c r="H21" s="407">
        <f t="shared" si="0"/>
        <v>2022</v>
      </c>
      <c r="I21" s="393"/>
      <c r="J21" s="393"/>
      <c r="K21" s="417">
        <v>155182</v>
      </c>
      <c r="L21" s="393"/>
      <c r="M21" s="235">
        <f t="shared" si="1"/>
        <v>124145.60000000001</v>
      </c>
      <c r="N21" s="235">
        <f t="shared" si="2"/>
        <v>1477.9238095238097</v>
      </c>
      <c r="O21" s="235">
        <f t="shared" si="3"/>
        <v>17735.085714285717</v>
      </c>
      <c r="P21" s="235">
        <f t="shared" si="4"/>
        <v>0</v>
      </c>
      <c r="Q21" s="235">
        <f t="shared" si="5"/>
        <v>17735.085714285717</v>
      </c>
      <c r="R21" s="393">
        <v>1</v>
      </c>
      <c r="S21" s="235">
        <f t="shared" si="6"/>
        <v>17735.085714285717</v>
      </c>
      <c r="T21" s="393"/>
      <c r="U21" s="235">
        <f t="shared" si="7"/>
        <v>81285.809523808188</v>
      </c>
      <c r="V21" s="235">
        <f t="shared" si="8"/>
        <v>81285.809523808188</v>
      </c>
      <c r="W21" s="393">
        <v>1</v>
      </c>
      <c r="X21" s="235">
        <f t="shared" si="9"/>
        <v>81285.809523808188</v>
      </c>
      <c r="Y21" s="235">
        <f t="shared" si="10"/>
        <v>99020.895238093901</v>
      </c>
      <c r="Z21" s="235">
        <f t="shared" si="11"/>
        <v>25124.704761906105</v>
      </c>
      <c r="AA21" s="235"/>
      <c r="AB21" s="235">
        <f t="shared" si="12"/>
        <v>2015.4166666666667</v>
      </c>
      <c r="AC21" s="235">
        <f t="shared" si="13"/>
        <v>2021</v>
      </c>
      <c r="AD21" s="235">
        <f t="shared" si="14"/>
        <v>2022.4166666666667</v>
      </c>
      <c r="AE21" s="413">
        <f t="shared" si="15"/>
        <v>2020</v>
      </c>
      <c r="AF21" s="413">
        <f t="shared" si="16"/>
        <v>-8.3333333333333329E-2</v>
      </c>
      <c r="AG21" s="413">
        <f t="shared" si="17"/>
        <v>2022.4166666666667</v>
      </c>
      <c r="AH21" s="413">
        <f t="shared" si="18"/>
        <v>2020</v>
      </c>
      <c r="AI21" s="413">
        <f t="shared" si="19"/>
        <v>-8.3333333333333329E-2</v>
      </c>
      <c r="AJ21" s="307"/>
      <c r="AK21" s="307"/>
      <c r="AL21" s="307"/>
    </row>
    <row r="22" spans="1:38" ht="15.75">
      <c r="A22" s="414" t="s">
        <v>677</v>
      </c>
      <c r="B22" s="415" t="s">
        <v>676</v>
      </c>
      <c r="C22" s="410">
        <v>2020</v>
      </c>
      <c r="D22" s="407">
        <v>1</v>
      </c>
      <c r="E22" s="416">
        <v>0</v>
      </c>
      <c r="F22" s="397" t="s">
        <v>668</v>
      </c>
      <c r="G22" s="397">
        <v>3</v>
      </c>
      <c r="H22" s="407">
        <f t="shared" si="0"/>
        <v>2023</v>
      </c>
      <c r="I22" s="393"/>
      <c r="J22" s="393"/>
      <c r="K22" s="417">
        <f>+K21-M21</f>
        <v>31036.399999999994</v>
      </c>
      <c r="L22" s="393"/>
      <c r="M22" s="235">
        <f t="shared" si="1"/>
        <v>31036.399999999994</v>
      </c>
      <c r="N22" s="235">
        <f t="shared" si="2"/>
        <v>862.12222222222215</v>
      </c>
      <c r="O22" s="235">
        <f t="shared" si="3"/>
        <v>10345.466666666665</v>
      </c>
      <c r="P22" s="235">
        <f t="shared" si="4"/>
        <v>0</v>
      </c>
      <c r="Q22" s="235">
        <f t="shared" si="5"/>
        <v>10345.466666666665</v>
      </c>
      <c r="R22" s="393">
        <v>1</v>
      </c>
      <c r="S22" s="235">
        <f t="shared" si="6"/>
        <v>10345.466666666665</v>
      </c>
      <c r="T22" s="393"/>
      <c r="U22" s="235">
        <f t="shared" si="7"/>
        <v>0</v>
      </c>
      <c r="V22" s="235">
        <f t="shared" si="8"/>
        <v>0</v>
      </c>
      <c r="W22" s="393">
        <v>1</v>
      </c>
      <c r="X22" s="235">
        <f t="shared" si="9"/>
        <v>0</v>
      </c>
      <c r="Y22" s="235">
        <f t="shared" si="10"/>
        <v>10345.466666666665</v>
      </c>
      <c r="Z22" s="235">
        <f t="shared" si="11"/>
        <v>20690.933333333327</v>
      </c>
      <c r="AA22" s="235"/>
      <c r="AB22" s="235">
        <f t="shared" si="12"/>
        <v>2020</v>
      </c>
      <c r="AC22" s="235">
        <f t="shared" si="13"/>
        <v>2021</v>
      </c>
      <c r="AD22" s="235">
        <f t="shared" si="14"/>
        <v>2023</v>
      </c>
      <c r="AE22" s="413">
        <f t="shared" si="15"/>
        <v>2020</v>
      </c>
      <c r="AF22" s="413">
        <f t="shared" si="16"/>
        <v>-8.3333333333333329E-2</v>
      </c>
      <c r="AG22" s="413">
        <f t="shared" si="17"/>
        <v>2023</v>
      </c>
      <c r="AH22" s="413">
        <f t="shared" si="18"/>
        <v>2020</v>
      </c>
      <c r="AI22" s="413">
        <f t="shared" si="19"/>
        <v>-8.3333333333333329E-2</v>
      </c>
      <c r="AJ22" s="307"/>
      <c r="AK22" s="307"/>
      <c r="AL22" s="307"/>
    </row>
    <row r="23" spans="1:38" ht="15.75">
      <c r="A23" s="414">
        <v>223</v>
      </c>
      <c r="B23" s="415" t="s">
        <v>678</v>
      </c>
      <c r="C23" s="410">
        <v>2015</v>
      </c>
      <c r="D23" s="407">
        <v>8</v>
      </c>
      <c r="E23" s="416">
        <v>0.2</v>
      </c>
      <c r="F23" s="397" t="s">
        <v>668</v>
      </c>
      <c r="G23" s="397">
        <v>7</v>
      </c>
      <c r="H23" s="407">
        <f>+C23+G23</f>
        <v>2022</v>
      </c>
      <c r="I23" s="393"/>
      <c r="J23" s="393"/>
      <c r="K23" s="417">
        <v>323570</v>
      </c>
      <c r="L23" s="393"/>
      <c r="M23" s="235">
        <f>K23-K23*E23</f>
        <v>258856</v>
      </c>
      <c r="N23" s="235">
        <f>M23/G23/12</f>
        <v>3081.6190476190477</v>
      </c>
      <c r="O23" s="235">
        <f t="shared" si="3"/>
        <v>36979.428571428572</v>
      </c>
      <c r="P23" s="235">
        <f>IF(L23=0,0,IF((AND((AF23&gt;=AE23),(AF23&lt;=AD23))),((AF23-AE23)*12)*N23,0))</f>
        <v>0</v>
      </c>
      <c r="Q23" s="235">
        <f>IF(P23&gt;0,P23,O23)</f>
        <v>36979.428571428572</v>
      </c>
      <c r="R23" s="393">
        <v>1</v>
      </c>
      <c r="S23" s="235">
        <f>R23*SUM(O23:P23)</f>
        <v>36979.428571428572</v>
      </c>
      <c r="T23" s="393"/>
      <c r="U23" s="235">
        <f t="shared" si="7"/>
        <v>163325.80952381232</v>
      </c>
      <c r="V23" s="235">
        <f t="shared" si="8"/>
        <v>163325.80952381232</v>
      </c>
      <c r="W23" s="393">
        <v>1</v>
      </c>
      <c r="X23" s="235">
        <f t="shared" si="9"/>
        <v>163325.80952381232</v>
      </c>
      <c r="Y23" s="235">
        <f t="shared" si="10"/>
        <v>200305.2380952409</v>
      </c>
      <c r="Z23" s="235">
        <f t="shared" si="11"/>
        <v>58550.7619047591</v>
      </c>
      <c r="AA23" s="235"/>
      <c r="AB23" s="235">
        <f t="shared" si="12"/>
        <v>2015.5833333333333</v>
      </c>
      <c r="AC23" s="235">
        <f t="shared" si="13"/>
        <v>2021</v>
      </c>
      <c r="AD23" s="235">
        <f t="shared" si="14"/>
        <v>2022.5833333333333</v>
      </c>
      <c r="AE23" s="413">
        <f t="shared" si="15"/>
        <v>2020</v>
      </c>
      <c r="AF23" s="413">
        <f t="shared" si="16"/>
        <v>-8.3333333333333329E-2</v>
      </c>
      <c r="AG23" s="413">
        <f t="shared" si="17"/>
        <v>2022.5833333333333</v>
      </c>
      <c r="AH23" s="413">
        <f t="shared" si="18"/>
        <v>2020</v>
      </c>
      <c r="AI23" s="413">
        <f t="shared" si="19"/>
        <v>-8.3333333333333329E-2</v>
      </c>
      <c r="AJ23" s="307"/>
      <c r="AK23" s="307"/>
      <c r="AL23" s="307"/>
    </row>
    <row r="24" spans="1:38" ht="15.75">
      <c r="A24" s="414" t="s">
        <v>679</v>
      </c>
      <c r="B24" s="415" t="s">
        <v>678</v>
      </c>
      <c r="C24" s="410">
        <v>2020</v>
      </c>
      <c r="D24" s="407">
        <v>1</v>
      </c>
      <c r="E24" s="416">
        <v>0</v>
      </c>
      <c r="F24" s="397" t="s">
        <v>668</v>
      </c>
      <c r="G24" s="397">
        <v>3</v>
      </c>
      <c r="H24" s="407">
        <f>+C24+G24</f>
        <v>2023</v>
      </c>
      <c r="I24" s="393"/>
      <c r="J24" s="393"/>
      <c r="K24" s="417">
        <f>+K23-M23</f>
        <v>64714</v>
      </c>
      <c r="L24" s="393"/>
      <c r="M24" s="235">
        <f>K24-K24*E24</f>
        <v>64714</v>
      </c>
      <c r="N24" s="235">
        <f>M24/G24/12</f>
        <v>1797.6111111111111</v>
      </c>
      <c r="O24" s="235">
        <f t="shared" si="3"/>
        <v>21571.333333333332</v>
      </c>
      <c r="P24" s="235">
        <f>IF(L24=0,0,IF((AND((AF24&gt;=AE24),(AF24&lt;=AD24))),((AF24-AE24)*12)*N24,0))</f>
        <v>0</v>
      </c>
      <c r="Q24" s="235">
        <f>IF(P24&gt;0,P24,O24)</f>
        <v>21571.333333333332</v>
      </c>
      <c r="R24" s="393">
        <v>1</v>
      </c>
      <c r="S24" s="235">
        <f>R24*SUM(O24:P24)</f>
        <v>21571.333333333332</v>
      </c>
      <c r="T24" s="393"/>
      <c r="U24" s="235">
        <f t="shared" si="7"/>
        <v>0</v>
      </c>
      <c r="V24" s="235">
        <f t="shared" si="8"/>
        <v>0</v>
      </c>
      <c r="W24" s="393">
        <v>1</v>
      </c>
      <c r="X24" s="235">
        <f t="shared" si="9"/>
        <v>0</v>
      </c>
      <c r="Y24" s="235">
        <f t="shared" si="10"/>
        <v>21571.333333333332</v>
      </c>
      <c r="Z24" s="235">
        <f t="shared" si="11"/>
        <v>43142.666666666672</v>
      </c>
      <c r="AA24" s="235"/>
      <c r="AB24" s="235">
        <f t="shared" si="12"/>
        <v>2020</v>
      </c>
      <c r="AC24" s="235">
        <f t="shared" si="13"/>
        <v>2021</v>
      </c>
      <c r="AD24" s="235">
        <f t="shared" si="14"/>
        <v>2023</v>
      </c>
      <c r="AE24" s="413">
        <f t="shared" si="15"/>
        <v>2020</v>
      </c>
      <c r="AF24" s="413">
        <f t="shared" si="16"/>
        <v>-8.3333333333333329E-2</v>
      </c>
      <c r="AG24" s="413">
        <f t="shared" si="17"/>
        <v>2023</v>
      </c>
      <c r="AH24" s="413">
        <f t="shared" si="18"/>
        <v>2020</v>
      </c>
      <c r="AI24" s="413">
        <f t="shared" si="19"/>
        <v>-8.3333333333333329E-2</v>
      </c>
      <c r="AJ24" s="307"/>
      <c r="AK24" s="307"/>
      <c r="AL24" s="307"/>
    </row>
    <row r="25" spans="1:38" ht="15.75">
      <c r="A25" s="414">
        <v>229</v>
      </c>
      <c r="B25" s="415" t="s">
        <v>680</v>
      </c>
      <c r="C25" s="410">
        <v>2017</v>
      </c>
      <c r="D25" s="407">
        <v>1</v>
      </c>
      <c r="E25" s="416"/>
      <c r="F25" s="397" t="s">
        <v>668</v>
      </c>
      <c r="G25" s="397">
        <v>5</v>
      </c>
      <c r="H25" s="407">
        <f t="shared" si="0"/>
        <v>2022</v>
      </c>
      <c r="I25" s="393"/>
      <c r="J25" s="393"/>
      <c r="K25" s="417">
        <v>14576.38</v>
      </c>
      <c r="L25" s="393"/>
      <c r="M25" s="235">
        <f t="shared" si="1"/>
        <v>14576.38</v>
      </c>
      <c r="N25" s="235">
        <f t="shared" si="2"/>
        <v>242.93966666666665</v>
      </c>
      <c r="O25" s="235">
        <f t="shared" si="3"/>
        <v>2915.2759999999998</v>
      </c>
      <c r="P25" s="235">
        <f t="shared" si="4"/>
        <v>0</v>
      </c>
      <c r="Q25" s="235">
        <f t="shared" si="5"/>
        <v>2915.2759999999998</v>
      </c>
      <c r="R25" s="393">
        <v>1</v>
      </c>
      <c r="S25" s="235">
        <f t="shared" si="6"/>
        <v>2915.2759999999998</v>
      </c>
      <c r="T25" s="393"/>
      <c r="U25" s="235">
        <f t="shared" si="7"/>
        <v>8745.8279999999995</v>
      </c>
      <c r="V25" s="235">
        <f t="shared" si="8"/>
        <v>8745.8279999999995</v>
      </c>
      <c r="W25" s="393">
        <v>1</v>
      </c>
      <c r="X25" s="235">
        <f t="shared" si="9"/>
        <v>8745.8279999999995</v>
      </c>
      <c r="Y25" s="235">
        <f t="shared" si="10"/>
        <v>11661.103999999999</v>
      </c>
      <c r="Z25" s="235">
        <f t="shared" ref="Z25:Z27" si="20">IF(L25&gt;0,(K25-X25)/2,IF(AB25&gt;=AE25,(((K25*R25)*W25)-Y25)/2,((((K25*R25)*W25)-X25)+(((K25*R25)*W25)-Y25))/2))</f>
        <v>4372.9139999999998</v>
      </c>
      <c r="AA25" s="235"/>
      <c r="AB25" s="235">
        <f t="shared" si="12"/>
        <v>2017</v>
      </c>
      <c r="AC25" s="235">
        <f t="shared" si="13"/>
        <v>2021</v>
      </c>
      <c r="AD25" s="235">
        <f t="shared" si="14"/>
        <v>2022</v>
      </c>
      <c r="AE25" s="413">
        <f t="shared" si="15"/>
        <v>2020</v>
      </c>
      <c r="AF25" s="413">
        <f t="shared" si="16"/>
        <v>-8.3333333333333329E-2</v>
      </c>
      <c r="AG25" s="413">
        <f t="shared" si="17"/>
        <v>2022</v>
      </c>
      <c r="AH25" s="413">
        <f t="shared" si="18"/>
        <v>2020</v>
      </c>
      <c r="AI25" s="413">
        <f t="shared" si="19"/>
        <v>-8.3333333333333329E-2</v>
      </c>
      <c r="AJ25" s="307"/>
      <c r="AK25" s="307"/>
      <c r="AL25" s="307"/>
    </row>
    <row r="26" spans="1:38" ht="15.75">
      <c r="A26" s="414">
        <v>241</v>
      </c>
      <c r="B26" s="415" t="s">
        <v>681</v>
      </c>
      <c r="C26" s="410">
        <v>2018</v>
      </c>
      <c r="D26" s="407">
        <v>1</v>
      </c>
      <c r="E26" s="416"/>
      <c r="F26" s="397" t="s">
        <v>668</v>
      </c>
      <c r="G26" s="397">
        <v>5</v>
      </c>
      <c r="H26" s="407">
        <f>+C26+G26</f>
        <v>2023</v>
      </c>
      <c r="I26" s="393"/>
      <c r="J26" s="393"/>
      <c r="K26" s="417">
        <v>124260</v>
      </c>
      <c r="L26" s="393"/>
      <c r="M26" s="235">
        <f>K26-K26*E26</f>
        <v>124260</v>
      </c>
      <c r="N26" s="235">
        <f>M26/G26/12</f>
        <v>2071</v>
      </c>
      <c r="O26" s="235">
        <f t="shared" si="3"/>
        <v>24852</v>
      </c>
      <c r="P26" s="235">
        <f>IF(L26=0,0,IF((AND((AF26&gt;=AE26),(AF26&lt;=AD26))),((AF26-AE26)*12)*N26,0))</f>
        <v>0</v>
      </c>
      <c r="Q26" s="235">
        <f>IF(P26&gt;0,P26,O26)</f>
        <v>24852</v>
      </c>
      <c r="R26" s="393">
        <v>1</v>
      </c>
      <c r="S26" s="235">
        <f>R26*SUM(O26:P26)</f>
        <v>24852</v>
      </c>
      <c r="T26" s="393"/>
      <c r="U26" s="235">
        <f t="shared" si="7"/>
        <v>49704</v>
      </c>
      <c r="V26" s="235">
        <f t="shared" si="8"/>
        <v>49704</v>
      </c>
      <c r="W26" s="393">
        <v>1</v>
      </c>
      <c r="X26" s="235">
        <f t="shared" si="9"/>
        <v>49704</v>
      </c>
      <c r="Y26" s="235">
        <f t="shared" si="10"/>
        <v>74556</v>
      </c>
      <c r="Z26" s="235">
        <f t="shared" si="20"/>
        <v>62130</v>
      </c>
      <c r="AA26" s="235"/>
      <c r="AB26" s="235">
        <f t="shared" si="12"/>
        <v>2018</v>
      </c>
      <c r="AC26" s="235">
        <f t="shared" si="13"/>
        <v>2021</v>
      </c>
      <c r="AD26" s="235">
        <f t="shared" si="14"/>
        <v>2023</v>
      </c>
      <c r="AE26" s="413">
        <f t="shared" si="15"/>
        <v>2020</v>
      </c>
      <c r="AF26" s="413">
        <f t="shared" si="16"/>
        <v>-8.3333333333333329E-2</v>
      </c>
      <c r="AG26" s="413">
        <f t="shared" si="17"/>
        <v>2023</v>
      </c>
      <c r="AH26" s="413">
        <f t="shared" si="18"/>
        <v>2020</v>
      </c>
      <c r="AI26" s="413">
        <f t="shared" si="19"/>
        <v>-8.3333333333333329E-2</v>
      </c>
      <c r="AJ26" s="307"/>
      <c r="AK26" s="307"/>
      <c r="AL26" s="307"/>
    </row>
    <row r="27" spans="1:38" ht="15.75">
      <c r="A27" s="414">
        <v>242</v>
      </c>
      <c r="B27" s="415" t="s">
        <v>682</v>
      </c>
      <c r="C27" s="410">
        <v>2019</v>
      </c>
      <c r="D27" s="407">
        <v>8</v>
      </c>
      <c r="E27" s="416"/>
      <c r="F27" s="397" t="s">
        <v>668</v>
      </c>
      <c r="G27" s="397">
        <v>5</v>
      </c>
      <c r="H27" s="407">
        <f t="shared" si="0"/>
        <v>2024</v>
      </c>
      <c r="I27" s="393"/>
      <c r="J27" s="393"/>
      <c r="K27" s="417">
        <v>203463</v>
      </c>
      <c r="L27" s="393"/>
      <c r="M27" s="235">
        <f t="shared" si="1"/>
        <v>203463</v>
      </c>
      <c r="N27" s="235">
        <f t="shared" si="2"/>
        <v>3391.0499999999997</v>
      </c>
      <c r="O27" s="235">
        <f t="shared" si="3"/>
        <v>40692.6</v>
      </c>
      <c r="P27" s="235">
        <f t="shared" si="4"/>
        <v>0</v>
      </c>
      <c r="Q27" s="235">
        <f t="shared" si="5"/>
        <v>40692.6</v>
      </c>
      <c r="R27" s="393">
        <v>1</v>
      </c>
      <c r="S27" s="235">
        <f t="shared" si="6"/>
        <v>40692.6</v>
      </c>
      <c r="T27" s="393"/>
      <c r="U27" s="235">
        <f t="shared" si="7"/>
        <v>16955.250000003081</v>
      </c>
      <c r="V27" s="235">
        <f t="shared" si="8"/>
        <v>16955.250000003081</v>
      </c>
      <c r="W27" s="393">
        <v>1</v>
      </c>
      <c r="X27" s="235">
        <f t="shared" si="9"/>
        <v>16955.250000003081</v>
      </c>
      <c r="Y27" s="235">
        <f t="shared" si="10"/>
        <v>57647.850000003076</v>
      </c>
      <c r="Z27" s="235">
        <f t="shared" si="20"/>
        <v>166161.44999999693</v>
      </c>
      <c r="AA27" s="235"/>
      <c r="AB27" s="235">
        <f t="shared" si="12"/>
        <v>2019.5833333333333</v>
      </c>
      <c r="AC27" s="235">
        <f t="shared" si="13"/>
        <v>2021</v>
      </c>
      <c r="AD27" s="235">
        <f t="shared" si="14"/>
        <v>2024.5833333333333</v>
      </c>
      <c r="AE27" s="413">
        <f t="shared" si="15"/>
        <v>2020</v>
      </c>
      <c r="AF27" s="413">
        <f t="shared" si="16"/>
        <v>-8.3333333333333329E-2</v>
      </c>
      <c r="AG27" s="413">
        <f t="shared" si="17"/>
        <v>2024.5833333333333</v>
      </c>
      <c r="AH27" s="413">
        <f t="shared" si="18"/>
        <v>2020</v>
      </c>
      <c r="AI27" s="413">
        <f t="shared" si="19"/>
        <v>-8.3333333333333329E-2</v>
      </c>
      <c r="AJ27" s="307"/>
      <c r="AK27" s="307"/>
      <c r="AL27" s="307"/>
    </row>
    <row r="28" spans="1:38" ht="15.75">
      <c r="A28" s="414">
        <v>254</v>
      </c>
      <c r="B28" s="415" t="s">
        <v>683</v>
      </c>
      <c r="C28" s="410">
        <v>2020</v>
      </c>
      <c r="D28" s="407">
        <v>9</v>
      </c>
      <c r="E28" s="416"/>
      <c r="F28" s="397" t="s">
        <v>668</v>
      </c>
      <c r="G28" s="397">
        <v>3</v>
      </c>
      <c r="H28" s="407">
        <f>+C28+G28</f>
        <v>2023</v>
      </c>
      <c r="I28" s="393"/>
      <c r="J28" s="393"/>
      <c r="K28" s="417">
        <v>25789</v>
      </c>
      <c r="L28" s="393"/>
      <c r="M28" s="235">
        <f>K28-K28*E28</f>
        <v>25789</v>
      </c>
      <c r="N28" s="235">
        <f>M28/G28/12</f>
        <v>716.3611111111112</v>
      </c>
      <c r="O28" s="235">
        <f>+N28*12</f>
        <v>8596.3333333333339</v>
      </c>
      <c r="P28" s="235">
        <f>IF(L28=0,0,IF((AND((AF28&gt;=AE28),(AF28&lt;=AD28))),((AF28-AE28)*12)*N28,0))</f>
        <v>0</v>
      </c>
      <c r="Q28" s="235">
        <f>IF(P28&gt;0,P28,O28)</f>
        <v>8596.3333333333339</v>
      </c>
      <c r="R28" s="393">
        <v>1</v>
      </c>
      <c r="S28" s="235">
        <f>R28*SUM(O28:P28)</f>
        <v>8596.3333333333339</v>
      </c>
      <c r="T28" s="393"/>
      <c r="U28" s="235">
        <f t="shared" si="7"/>
        <v>0</v>
      </c>
      <c r="V28" s="235">
        <f t="shared" si="8"/>
        <v>0</v>
      </c>
      <c r="W28" s="393">
        <v>1</v>
      </c>
      <c r="X28" s="235">
        <f t="shared" si="9"/>
        <v>0</v>
      </c>
      <c r="Y28" s="235">
        <f t="shared" si="10"/>
        <v>8596.3333333333339</v>
      </c>
      <c r="Z28" s="235">
        <f>+M28-(Y28/2)</f>
        <v>21490.833333333332</v>
      </c>
      <c r="AA28" s="235"/>
      <c r="AB28" s="235">
        <f t="shared" si="12"/>
        <v>2020.6666666666667</v>
      </c>
      <c r="AC28" s="235">
        <f t="shared" si="13"/>
        <v>2021</v>
      </c>
      <c r="AD28" s="235">
        <f t="shared" si="14"/>
        <v>2023.6666666666667</v>
      </c>
      <c r="AE28" s="413">
        <f t="shared" si="15"/>
        <v>2020</v>
      </c>
      <c r="AF28" s="413">
        <f t="shared" si="16"/>
        <v>-8.3333333333333329E-2</v>
      </c>
      <c r="AG28" s="413">
        <f t="shared" si="17"/>
        <v>2023.6666666666667</v>
      </c>
      <c r="AH28" s="413">
        <f t="shared" si="18"/>
        <v>2020</v>
      </c>
      <c r="AI28" s="413">
        <f t="shared" si="19"/>
        <v>-8.3333333333333329E-2</v>
      </c>
      <c r="AJ28" s="307"/>
      <c r="AK28" s="307"/>
      <c r="AL28" s="307"/>
    </row>
    <row r="29" spans="1:38" ht="15.75">
      <c r="A29" s="414">
        <v>255</v>
      </c>
      <c r="B29" s="415" t="s">
        <v>684</v>
      </c>
      <c r="C29" s="410">
        <v>2020</v>
      </c>
      <c r="D29" s="407">
        <v>12</v>
      </c>
      <c r="E29" s="416"/>
      <c r="F29" s="397" t="s">
        <v>668</v>
      </c>
      <c r="G29" s="397">
        <v>3</v>
      </c>
      <c r="H29" s="407">
        <f t="shared" si="0"/>
        <v>2023</v>
      </c>
      <c r="I29" s="393"/>
      <c r="J29" s="393"/>
      <c r="K29" s="417">
        <v>8034</v>
      </c>
      <c r="L29" s="393"/>
      <c r="M29" s="235">
        <f t="shared" si="1"/>
        <v>8034</v>
      </c>
      <c r="N29" s="235">
        <f t="shared" ref="N29:N30" si="21">M29/G29/12</f>
        <v>223.16666666666666</v>
      </c>
      <c r="O29" s="235">
        <f t="shared" ref="O29:O30" si="22">+N29*12</f>
        <v>2678</v>
      </c>
      <c r="P29" s="235">
        <f t="shared" ref="P29:P30" si="23">IF(L29=0,0,IF((AND((AF29&gt;=AE29),(AF29&lt;=AD29))),((AF29-AE29)*12)*N29,0))</f>
        <v>0</v>
      </c>
      <c r="Q29" s="235">
        <f t="shared" ref="Q29:Q30" si="24">IF(P29&gt;0,P29,O29)</f>
        <v>2678</v>
      </c>
      <c r="R29" s="393">
        <v>1</v>
      </c>
      <c r="S29" s="235">
        <f t="shared" ref="S29:S30" si="25">R29*SUM(O29:P29)</f>
        <v>2678</v>
      </c>
      <c r="T29" s="393"/>
      <c r="U29" s="235">
        <f t="shared" si="7"/>
        <v>0</v>
      </c>
      <c r="V29" s="235">
        <f t="shared" si="8"/>
        <v>0</v>
      </c>
      <c r="W29" s="393">
        <v>1</v>
      </c>
      <c r="X29" s="235">
        <f t="shared" si="9"/>
        <v>0</v>
      </c>
      <c r="Y29" s="235">
        <f t="shared" si="10"/>
        <v>2678</v>
      </c>
      <c r="Z29" s="235">
        <f t="shared" ref="Z29:Z30" si="26">+M29-(Y29/2)</f>
        <v>6695</v>
      </c>
      <c r="AA29" s="235"/>
      <c r="AB29" s="235">
        <f t="shared" si="12"/>
        <v>2020.9166666666667</v>
      </c>
      <c r="AC29" s="235">
        <f t="shared" si="13"/>
        <v>2021</v>
      </c>
      <c r="AD29" s="235">
        <f t="shared" si="14"/>
        <v>2023.9166666666667</v>
      </c>
      <c r="AE29" s="413">
        <f t="shared" si="15"/>
        <v>2020</v>
      </c>
      <c r="AF29" s="413">
        <f t="shared" si="16"/>
        <v>-8.3333333333333329E-2</v>
      </c>
      <c r="AG29" s="413">
        <f t="shared" si="17"/>
        <v>2023.9166666666667</v>
      </c>
      <c r="AH29" s="413">
        <f t="shared" si="18"/>
        <v>2020</v>
      </c>
      <c r="AI29" s="413">
        <f t="shared" si="19"/>
        <v>-8.3333333333333329E-2</v>
      </c>
      <c r="AJ29" s="307"/>
      <c r="AK29" s="307"/>
      <c r="AL29" s="307"/>
    </row>
    <row r="30" spans="1:38" ht="15.75">
      <c r="A30" s="414">
        <v>256</v>
      </c>
      <c r="B30" s="415" t="s">
        <v>685</v>
      </c>
      <c r="C30" s="410">
        <v>2020</v>
      </c>
      <c r="D30" s="407">
        <v>1</v>
      </c>
      <c r="E30" s="416"/>
      <c r="F30" s="397" t="s">
        <v>668</v>
      </c>
      <c r="G30" s="397">
        <v>3</v>
      </c>
      <c r="H30" s="407">
        <f>+C30+G30</f>
        <v>2023</v>
      </c>
      <c r="I30" s="393"/>
      <c r="J30" s="393"/>
      <c r="K30" s="418">
        <v>6010</v>
      </c>
      <c r="L30" s="393"/>
      <c r="M30" s="419">
        <f>K30-K30*E30</f>
        <v>6010</v>
      </c>
      <c r="N30" s="419">
        <f t="shared" si="21"/>
        <v>166.94444444444443</v>
      </c>
      <c r="O30" s="419">
        <f t="shared" si="22"/>
        <v>2003.333333333333</v>
      </c>
      <c r="P30" s="419">
        <f t="shared" si="23"/>
        <v>0</v>
      </c>
      <c r="Q30" s="419">
        <f t="shared" si="24"/>
        <v>2003.333333333333</v>
      </c>
      <c r="R30" s="420">
        <v>1</v>
      </c>
      <c r="S30" s="419">
        <f t="shared" si="25"/>
        <v>2003.333333333333</v>
      </c>
      <c r="T30" s="420"/>
      <c r="U30" s="419">
        <f t="shared" si="7"/>
        <v>0</v>
      </c>
      <c r="V30" s="419">
        <f t="shared" si="8"/>
        <v>0</v>
      </c>
      <c r="W30" s="420">
        <v>1</v>
      </c>
      <c r="X30" s="419">
        <f t="shared" si="9"/>
        <v>0</v>
      </c>
      <c r="Y30" s="419">
        <f t="shared" si="10"/>
        <v>2003.333333333333</v>
      </c>
      <c r="Z30" s="419">
        <f t="shared" si="26"/>
        <v>5008.3333333333339</v>
      </c>
      <c r="AA30" s="235"/>
      <c r="AB30" s="235">
        <f t="shared" si="12"/>
        <v>2020</v>
      </c>
      <c r="AC30" s="235">
        <f t="shared" si="13"/>
        <v>2021</v>
      </c>
      <c r="AD30" s="235">
        <f t="shared" si="14"/>
        <v>2023</v>
      </c>
      <c r="AE30" s="413">
        <f t="shared" si="15"/>
        <v>2020</v>
      </c>
      <c r="AF30" s="413">
        <f t="shared" si="16"/>
        <v>-8.3333333333333329E-2</v>
      </c>
      <c r="AG30" s="413">
        <f t="shared" si="17"/>
        <v>2023</v>
      </c>
      <c r="AH30" s="413">
        <f t="shared" si="18"/>
        <v>2020</v>
      </c>
      <c r="AI30" s="413">
        <f t="shared" si="19"/>
        <v>-8.3333333333333329E-2</v>
      </c>
      <c r="AJ30" s="307"/>
      <c r="AK30" s="307"/>
      <c r="AL30" s="307"/>
    </row>
    <row r="31" spans="1:38" ht="15.75">
      <c r="A31" s="414"/>
      <c r="B31" s="307" t="s">
        <v>207</v>
      </c>
      <c r="C31" s="410"/>
      <c r="D31" s="407"/>
      <c r="E31" s="416"/>
      <c r="F31" s="397"/>
      <c r="G31" s="397"/>
      <c r="H31" s="407"/>
      <c r="I31" s="393"/>
      <c r="J31" s="393"/>
      <c r="K31" s="235">
        <f>SUM(K13:K30)</f>
        <v>1704943.54</v>
      </c>
      <c r="L31" s="393"/>
      <c r="M31" s="235">
        <f t="shared" ref="M31:Z31" si="27">SUM(M13:M30)</f>
        <v>1462910.1799999997</v>
      </c>
      <c r="N31" s="235">
        <f t="shared" si="27"/>
        <v>24154.759825396821</v>
      </c>
      <c r="O31" s="235">
        <f t="shared" si="27"/>
        <v>217129.84361904766</v>
      </c>
      <c r="P31" s="235">
        <f t="shared" si="27"/>
        <v>0</v>
      </c>
      <c r="Q31" s="235">
        <f t="shared" si="27"/>
        <v>217129.84361904766</v>
      </c>
      <c r="R31" s="235">
        <f t="shared" si="27"/>
        <v>18</v>
      </c>
      <c r="S31" s="235">
        <f t="shared" si="27"/>
        <v>217129.84361904766</v>
      </c>
      <c r="T31" s="235">
        <f t="shared" si="27"/>
        <v>0</v>
      </c>
      <c r="U31" s="235">
        <f t="shared" si="27"/>
        <v>775759.53704762342</v>
      </c>
      <c r="V31" s="235">
        <f t="shared" si="27"/>
        <v>775759.53704762342</v>
      </c>
      <c r="W31" s="235">
        <f t="shared" si="27"/>
        <v>18</v>
      </c>
      <c r="X31" s="235">
        <f t="shared" si="27"/>
        <v>775759.53704762342</v>
      </c>
      <c r="Y31" s="235">
        <f t="shared" si="27"/>
        <v>992889.38066667144</v>
      </c>
      <c r="Z31" s="235">
        <f t="shared" si="27"/>
        <v>510889.57066666207</v>
      </c>
      <c r="AA31" s="235"/>
      <c r="AB31" s="235"/>
      <c r="AC31" s="235"/>
      <c r="AD31" s="235"/>
      <c r="AE31" s="413"/>
      <c r="AF31" s="413"/>
      <c r="AG31" s="413"/>
      <c r="AH31" s="413"/>
      <c r="AI31" s="413"/>
      <c r="AJ31" s="307"/>
      <c r="AK31" s="307"/>
      <c r="AL31" s="307"/>
    </row>
    <row r="32" spans="1:38" ht="15.75">
      <c r="A32" s="307"/>
      <c r="B32" s="307"/>
      <c r="C32" s="410"/>
      <c r="D32" s="407"/>
      <c r="E32" s="416"/>
      <c r="F32" s="397"/>
      <c r="G32" s="397"/>
      <c r="H32" s="407"/>
      <c r="I32" s="393"/>
      <c r="J32" s="393"/>
      <c r="K32" s="235"/>
      <c r="L32" s="393"/>
      <c r="M32" s="235"/>
      <c r="N32" s="235"/>
      <c r="O32" s="235"/>
      <c r="P32" s="235"/>
      <c r="Q32" s="235"/>
      <c r="R32" s="393"/>
      <c r="S32" s="235"/>
      <c r="T32" s="393"/>
      <c r="U32" s="235"/>
      <c r="V32" s="235"/>
      <c r="W32" s="393"/>
      <c r="X32" s="235"/>
      <c r="Y32" s="235"/>
      <c r="Z32" s="235"/>
      <c r="AA32" s="235"/>
      <c r="AB32" s="235"/>
      <c r="AC32" s="235"/>
      <c r="AD32" s="235"/>
      <c r="AE32" s="413"/>
      <c r="AF32" s="413"/>
      <c r="AG32" s="413"/>
      <c r="AH32" s="413"/>
      <c r="AI32" s="413"/>
      <c r="AJ32" s="307"/>
      <c r="AK32" s="307"/>
      <c r="AL32" s="307"/>
    </row>
    <row r="33" spans="1:38" ht="15.75">
      <c r="A33" s="307" t="s">
        <v>686</v>
      </c>
      <c r="B33" s="307"/>
      <c r="C33" s="410"/>
      <c r="D33" s="407"/>
      <c r="E33" s="416"/>
      <c r="F33" s="397"/>
      <c r="G33" s="397"/>
      <c r="H33" s="407"/>
      <c r="I33" s="393"/>
      <c r="J33" s="393"/>
      <c r="K33" s="235"/>
      <c r="L33" s="393"/>
      <c r="M33" s="235"/>
      <c r="N33" s="235"/>
      <c r="O33" s="235"/>
      <c r="P33" s="235"/>
      <c r="Q33" s="235"/>
      <c r="R33" s="393"/>
      <c r="S33" s="235"/>
      <c r="T33" s="393"/>
      <c r="U33" s="235"/>
      <c r="V33" s="235"/>
      <c r="W33" s="393"/>
      <c r="X33" s="235"/>
      <c r="Y33" s="235"/>
      <c r="Z33" s="235"/>
      <c r="AA33" s="235"/>
      <c r="AB33" s="235"/>
      <c r="AC33" s="235"/>
      <c r="AD33" s="235"/>
      <c r="AE33" s="413"/>
      <c r="AF33" s="413"/>
      <c r="AG33" s="413"/>
      <c r="AH33" s="413"/>
      <c r="AI33" s="413"/>
      <c r="AJ33" s="307"/>
      <c r="AK33" s="307"/>
      <c r="AL33" s="307"/>
    </row>
    <row r="34" spans="1:38" ht="15.75">
      <c r="A34" s="307"/>
      <c r="B34" s="307" t="s">
        <v>687</v>
      </c>
      <c r="C34" s="410">
        <v>2014</v>
      </c>
      <c r="D34" s="407">
        <v>11</v>
      </c>
      <c r="E34" s="416"/>
      <c r="F34" s="397" t="s">
        <v>668</v>
      </c>
      <c r="G34" s="397">
        <v>5</v>
      </c>
      <c r="H34" s="407">
        <f t="shared" ref="H34:H35" si="28">+C34+G34</f>
        <v>2019</v>
      </c>
      <c r="I34" s="393"/>
      <c r="J34" s="393"/>
      <c r="K34" s="235">
        <v>17963</v>
      </c>
      <c r="L34" s="393"/>
      <c r="M34" s="235">
        <f t="shared" ref="M34:M35" si="29">K34-K34*E34</f>
        <v>17963</v>
      </c>
      <c r="N34" s="235">
        <f t="shared" ref="N34:N35" si="30">M34/G34/12</f>
        <v>299.38333333333333</v>
      </c>
      <c r="O34" s="235">
        <f t="shared" ref="O34:O35" si="31">IF(L34&gt;0,0,IF((OR((AB34&gt;AC34),(AD34&lt;AE34))),0,IF((AND((AD34&gt;=AE34),(AD34&lt;=AC34))),N34*((AD34-AE34)*12),IF((AND((AE34&lt;=AB34),(AC34&gt;=AB34))),((AC34-AB34)*12)*N34,IF(AD34&gt;AC34,12*N34,0)))))</f>
        <v>0</v>
      </c>
      <c r="P34" s="235">
        <f t="shared" ref="P34:P35" si="32">IF(L34=0,0,IF((AND((AF34&gt;=AE34),(AF34&lt;=AD34))),((AF34-AE34)*12)*N34,0))</f>
        <v>0</v>
      </c>
      <c r="Q34" s="235">
        <f t="shared" ref="Q34:Q35" si="33">IF(P34&gt;0,P34,O34)</f>
        <v>0</v>
      </c>
      <c r="R34" s="393">
        <v>1</v>
      </c>
      <c r="S34" s="235">
        <f t="shared" ref="S34:S35" si="34">R34*SUM(O34:P34)</f>
        <v>0</v>
      </c>
      <c r="T34" s="393"/>
      <c r="U34" s="235">
        <f t="shared" ref="U34:U35" si="35">IF(AB34&gt;AC34,0,IF(AD34&lt;AE34,M34,IF((AND((AD34&gt;=AE34),(AD34&lt;=AC34))),(M34-Q34),IF((AND((AE34&lt;=AB34),(AC34&gt;=AB34))),0,IF(AD34&gt;AC34,((AE34-AB34)*12)*N34,0)))))</f>
        <v>17963</v>
      </c>
      <c r="V34" s="235">
        <f t="shared" ref="V34:V35" si="36">U34*R34</f>
        <v>17963</v>
      </c>
      <c r="W34" s="393">
        <v>1</v>
      </c>
      <c r="X34" s="235">
        <f t="shared" ref="X34:X35" si="37">V34*W34</f>
        <v>17963</v>
      </c>
      <c r="Y34" s="235">
        <f t="shared" ref="Y34:Y35" si="38">IF(L34&gt;0,0,X34+S34*W34)*W34</f>
        <v>17963</v>
      </c>
      <c r="Z34" s="235">
        <f t="shared" ref="Z34:Z35" si="39">IF(L34&gt;0,(K34-X34)/2,IF(AB34&gt;=AE34,(((K34*R34)*W34)-Y34)/2,((((K34*R34)*W34)-X34)+(((K34*R34)*W34)-Y34))/2))</f>
        <v>0</v>
      </c>
      <c r="AA34" s="235"/>
      <c r="AB34" s="235">
        <f t="shared" si="12"/>
        <v>2014.8333333333333</v>
      </c>
      <c r="AC34" s="235">
        <f t="shared" si="13"/>
        <v>2021</v>
      </c>
      <c r="AD34" s="235">
        <f t="shared" si="14"/>
        <v>2019.8333333333333</v>
      </c>
      <c r="AE34" s="413">
        <f t="shared" si="15"/>
        <v>2020</v>
      </c>
      <c r="AF34" s="413">
        <f t="shared" si="16"/>
        <v>-8.3333333333333329E-2</v>
      </c>
      <c r="AG34" s="413">
        <f t="shared" si="17"/>
        <v>2019.8333333333333</v>
      </c>
      <c r="AH34" s="413">
        <f t="shared" si="18"/>
        <v>2020</v>
      </c>
      <c r="AI34" s="413">
        <f t="shared" si="19"/>
        <v>-8.3333333333333329E-2</v>
      </c>
      <c r="AJ34" s="307"/>
      <c r="AK34" s="307"/>
      <c r="AL34" s="307"/>
    </row>
    <row r="35" spans="1:38" ht="15.75">
      <c r="A35" s="307"/>
      <c r="B35" s="307" t="s">
        <v>688</v>
      </c>
      <c r="C35" s="410">
        <v>2014</v>
      </c>
      <c r="D35" s="407">
        <v>4</v>
      </c>
      <c r="E35" s="416"/>
      <c r="F35" s="397" t="s">
        <v>668</v>
      </c>
      <c r="G35" s="397">
        <v>5</v>
      </c>
      <c r="H35" s="407">
        <f t="shared" si="28"/>
        <v>2019</v>
      </c>
      <c r="I35" s="393"/>
      <c r="J35" s="393"/>
      <c r="K35" s="419">
        <v>9882</v>
      </c>
      <c r="L35" s="420"/>
      <c r="M35" s="419">
        <f t="shared" si="29"/>
        <v>9882</v>
      </c>
      <c r="N35" s="419">
        <f t="shared" si="30"/>
        <v>164.70000000000002</v>
      </c>
      <c r="O35" s="419">
        <f t="shared" si="31"/>
        <v>0</v>
      </c>
      <c r="P35" s="419">
        <f t="shared" si="32"/>
        <v>0</v>
      </c>
      <c r="Q35" s="419">
        <f t="shared" si="33"/>
        <v>0</v>
      </c>
      <c r="R35" s="420">
        <v>1</v>
      </c>
      <c r="S35" s="419">
        <f t="shared" si="34"/>
        <v>0</v>
      </c>
      <c r="T35" s="420"/>
      <c r="U35" s="419">
        <f t="shared" si="35"/>
        <v>9882</v>
      </c>
      <c r="V35" s="419">
        <f t="shared" si="36"/>
        <v>9882</v>
      </c>
      <c r="W35" s="420">
        <v>1</v>
      </c>
      <c r="X35" s="419">
        <f t="shared" si="37"/>
        <v>9882</v>
      </c>
      <c r="Y35" s="419">
        <f t="shared" si="38"/>
        <v>9882</v>
      </c>
      <c r="Z35" s="419">
        <f t="shared" si="39"/>
        <v>0</v>
      </c>
      <c r="AA35" s="235"/>
      <c r="AB35" s="235">
        <f t="shared" si="12"/>
        <v>2014.25</v>
      </c>
      <c r="AC35" s="235">
        <f t="shared" si="13"/>
        <v>2021</v>
      </c>
      <c r="AD35" s="235">
        <f t="shared" si="14"/>
        <v>2019.25</v>
      </c>
      <c r="AE35" s="413">
        <f t="shared" si="15"/>
        <v>2020</v>
      </c>
      <c r="AF35" s="413">
        <f t="shared" si="16"/>
        <v>-8.3333333333333329E-2</v>
      </c>
      <c r="AG35" s="413">
        <f t="shared" si="17"/>
        <v>2019.25</v>
      </c>
      <c r="AH35" s="413">
        <f t="shared" si="18"/>
        <v>2020</v>
      </c>
      <c r="AI35" s="413">
        <f t="shared" si="19"/>
        <v>-8.3333333333333329E-2</v>
      </c>
      <c r="AJ35" s="307"/>
      <c r="AK35" s="307"/>
      <c r="AL35" s="307"/>
    </row>
    <row r="36" spans="1:38" ht="15.75">
      <c r="A36" s="307"/>
      <c r="B36" s="307"/>
      <c r="C36" s="410"/>
      <c r="D36" s="407"/>
      <c r="E36" s="416"/>
      <c r="F36" s="397"/>
      <c r="G36" s="397"/>
      <c r="H36" s="407"/>
      <c r="I36" s="393"/>
      <c r="J36" s="393"/>
      <c r="K36" s="235">
        <f t="shared" ref="K36:Z36" si="40">SUM(K34:K35)</f>
        <v>27845</v>
      </c>
      <c r="L36" s="235">
        <f t="shared" si="40"/>
        <v>0</v>
      </c>
      <c r="M36" s="235">
        <f t="shared" si="40"/>
        <v>27845</v>
      </c>
      <c r="N36" s="235">
        <f t="shared" si="40"/>
        <v>464.08333333333337</v>
      </c>
      <c r="O36" s="235">
        <f t="shared" si="40"/>
        <v>0</v>
      </c>
      <c r="P36" s="235">
        <f t="shared" si="40"/>
        <v>0</v>
      </c>
      <c r="Q36" s="235">
        <f t="shared" si="40"/>
        <v>0</v>
      </c>
      <c r="R36" s="235">
        <f t="shared" si="40"/>
        <v>2</v>
      </c>
      <c r="S36" s="235">
        <f t="shared" si="40"/>
        <v>0</v>
      </c>
      <c r="T36" s="235">
        <f t="shared" si="40"/>
        <v>0</v>
      </c>
      <c r="U36" s="235">
        <f t="shared" si="40"/>
        <v>27845</v>
      </c>
      <c r="V36" s="235">
        <f t="shared" si="40"/>
        <v>27845</v>
      </c>
      <c r="W36" s="235">
        <f t="shared" si="40"/>
        <v>2</v>
      </c>
      <c r="X36" s="235">
        <f t="shared" si="40"/>
        <v>27845</v>
      </c>
      <c r="Y36" s="235">
        <f t="shared" si="40"/>
        <v>27845</v>
      </c>
      <c r="Z36" s="235">
        <f t="shared" si="40"/>
        <v>0</v>
      </c>
      <c r="AA36" s="235"/>
      <c r="AB36" s="235"/>
      <c r="AC36" s="235"/>
      <c r="AD36" s="235"/>
      <c r="AE36" s="413"/>
      <c r="AF36" s="413"/>
      <c r="AG36" s="413"/>
      <c r="AH36" s="413"/>
      <c r="AI36" s="413"/>
      <c r="AJ36" s="307"/>
      <c r="AK36" s="307"/>
      <c r="AL36" s="307"/>
    </row>
    <row r="37" spans="1:38" ht="15.75">
      <c r="A37" s="307" t="s">
        <v>689</v>
      </c>
      <c r="B37" s="307"/>
      <c r="C37" s="410"/>
      <c r="D37" s="407"/>
      <c r="E37" s="416"/>
      <c r="F37" s="397"/>
      <c r="G37" s="397"/>
      <c r="H37" s="407"/>
      <c r="I37" s="393"/>
      <c r="J37" s="393"/>
      <c r="K37" s="235"/>
      <c r="L37" s="393"/>
      <c r="M37" s="235"/>
      <c r="N37" s="235"/>
      <c r="O37" s="235"/>
      <c r="P37" s="235"/>
      <c r="Q37" s="235"/>
      <c r="R37" s="393"/>
      <c r="S37" s="235"/>
      <c r="T37" s="393"/>
      <c r="U37" s="235"/>
      <c r="V37" s="235"/>
      <c r="W37" s="393"/>
      <c r="X37" s="235"/>
      <c r="Y37" s="235"/>
      <c r="Z37" s="235"/>
      <c r="AA37" s="235"/>
      <c r="AB37" s="235"/>
      <c r="AC37" s="235"/>
      <c r="AD37" s="235"/>
      <c r="AE37" s="413"/>
      <c r="AF37" s="413"/>
      <c r="AG37" s="413"/>
      <c r="AH37" s="413"/>
      <c r="AI37" s="413"/>
      <c r="AJ37" s="307"/>
      <c r="AK37" s="307"/>
      <c r="AL37" s="307"/>
    </row>
    <row r="38" spans="1:38" ht="15.75">
      <c r="A38" s="414">
        <v>214</v>
      </c>
      <c r="B38" s="415" t="s">
        <v>690</v>
      </c>
      <c r="C38" s="410">
        <v>2012</v>
      </c>
      <c r="D38" s="407">
        <v>5</v>
      </c>
      <c r="E38" s="416">
        <v>0.33</v>
      </c>
      <c r="F38" s="397" t="s">
        <v>668</v>
      </c>
      <c r="G38" s="397">
        <v>5</v>
      </c>
      <c r="H38" s="407">
        <f>+C38+G38</f>
        <v>2017</v>
      </c>
      <c r="I38" s="393"/>
      <c r="J38" s="393"/>
      <c r="K38" s="417">
        <v>36420</v>
      </c>
      <c r="L38" s="393"/>
      <c r="M38" s="235">
        <f>K38-K38*E38</f>
        <v>24401.4</v>
      </c>
      <c r="N38" s="235">
        <f t="shared" ref="N38:N39" si="41">M38/G38/12</f>
        <v>406.69000000000005</v>
      </c>
      <c r="O38" s="235">
        <f>IF(L38&gt;0,0,IF((OR((AB38&gt;AC38),(AD38&lt;AE38))),0,IF((AND((AD38&gt;=AE38),(AD38&lt;=AC38))),N38*((AD38-AE38)*12),IF((AND((AE38&lt;=AB38),(AC38&gt;=AB38))),((AC38-AB38)*12)*N38,IF(AD38&gt;AC38,12*N38,0)))))</f>
        <v>0</v>
      </c>
      <c r="P38" s="235">
        <f t="shared" ref="P38:P39" si="42">IF(L38=0,0,IF((AND((AF38&gt;=AE38),(AF38&lt;=AD38))),((AF38-AE38)*12)*N38,0))</f>
        <v>0</v>
      </c>
      <c r="Q38" s="235">
        <f t="shared" ref="Q38:Q39" si="43">IF(P38&gt;0,P38,O38)</f>
        <v>0</v>
      </c>
      <c r="R38" s="393">
        <v>1</v>
      </c>
      <c r="S38" s="235">
        <f t="shared" ref="S38:S39" si="44">R38*SUM(O38:P38)</f>
        <v>0</v>
      </c>
      <c r="T38" s="393"/>
      <c r="U38" s="235">
        <f t="shared" ref="U38:U39" si="45">IF(AB38&gt;AC38,0,IF(AD38&lt;AE38,M38,IF((AND((AD38&gt;=AE38),(AD38&lt;=AC38))),(M38-Q38),IF((AND((AE38&lt;=AB38),(AC38&gt;=AB38))),0,IF(AD38&gt;AC38,((AE38-AB38)*12)*N38,0)))))</f>
        <v>24401.4</v>
      </c>
      <c r="V38" s="235">
        <f t="shared" ref="V38:V39" si="46">U38*R38</f>
        <v>24401.4</v>
      </c>
      <c r="W38" s="393">
        <v>1</v>
      </c>
      <c r="X38" s="235">
        <f t="shared" ref="X38:X39" si="47">V38*W38</f>
        <v>24401.4</v>
      </c>
      <c r="Y38" s="235">
        <f t="shared" ref="Y38:Y39" si="48">IF(L38&gt;0,0,X38+S38*W38)*W38</f>
        <v>24401.4</v>
      </c>
      <c r="Z38" s="235">
        <f t="shared" ref="Z38:Z39" si="49">+M38-Y38</f>
        <v>0</v>
      </c>
      <c r="AA38" s="235"/>
      <c r="AB38" s="235">
        <f t="shared" si="12"/>
        <v>2012.3333333333333</v>
      </c>
      <c r="AC38" s="235">
        <f t="shared" ref="AC38:AC39" si="50">($M$5+1)-($M$2/12)</f>
        <v>2021</v>
      </c>
      <c r="AD38" s="235">
        <f t="shared" si="14"/>
        <v>2017.3333333333333</v>
      </c>
      <c r="AE38" s="413">
        <f t="shared" ref="AE38:AE39" si="51">$M$4+($M$3/12)</f>
        <v>2020</v>
      </c>
      <c r="AF38" s="413">
        <f t="shared" si="16"/>
        <v>-8.3333333333333329E-2</v>
      </c>
      <c r="AG38" s="413">
        <f t="shared" si="17"/>
        <v>2017.3333333333333</v>
      </c>
      <c r="AH38" s="413">
        <f t="shared" ref="AH38:AH39" si="52">$M$4+($M$3/12)</f>
        <v>2020</v>
      </c>
      <c r="AI38" s="413">
        <f t="shared" si="19"/>
        <v>-8.3333333333333329E-2</v>
      </c>
      <c r="AJ38" s="307"/>
      <c r="AK38" s="307"/>
      <c r="AL38" s="307"/>
    </row>
    <row r="39" spans="1:38" ht="15.75">
      <c r="A39" s="414" t="s">
        <v>691</v>
      </c>
      <c r="B39" s="415" t="s">
        <v>690</v>
      </c>
      <c r="C39" s="410">
        <v>2020</v>
      </c>
      <c r="D39" s="407">
        <v>5</v>
      </c>
      <c r="E39" s="416">
        <v>0</v>
      </c>
      <c r="F39" s="397" t="s">
        <v>668</v>
      </c>
      <c r="G39" s="397">
        <v>3</v>
      </c>
      <c r="H39" s="407">
        <f>+C39+G39</f>
        <v>2023</v>
      </c>
      <c r="I39" s="393"/>
      <c r="J39" s="393"/>
      <c r="K39" s="417">
        <f>+K38-M38</f>
        <v>12018.599999999999</v>
      </c>
      <c r="L39" s="393"/>
      <c r="M39" s="235">
        <f>K39-K39*E39</f>
        <v>12018.599999999999</v>
      </c>
      <c r="N39" s="235">
        <f t="shared" si="41"/>
        <v>333.84999999999997</v>
      </c>
      <c r="O39" s="235">
        <f>IF(L39&gt;0,0,IF((OR((AB39&gt;AC39),(AD39&lt;AE39))),0,IF((AND((AD39&gt;=AE39),(AD39&lt;=AC39))),N39*((AD39-AE39)*12),IF((AND((AE39&lt;=AB39),(AC39&gt;=AB39))),((AC39-AB39)*12)*N39,IF(AD39&gt;AC39,12*N39,0)))))</f>
        <v>2670.8000000003035</v>
      </c>
      <c r="P39" s="235">
        <f t="shared" si="42"/>
        <v>0</v>
      </c>
      <c r="Q39" s="235">
        <f t="shared" si="43"/>
        <v>2670.8000000003035</v>
      </c>
      <c r="R39" s="393">
        <v>1</v>
      </c>
      <c r="S39" s="235">
        <f t="shared" si="44"/>
        <v>2670.8000000003035</v>
      </c>
      <c r="T39" s="393"/>
      <c r="U39" s="235">
        <f t="shared" si="45"/>
        <v>0</v>
      </c>
      <c r="V39" s="235">
        <f t="shared" si="46"/>
        <v>0</v>
      </c>
      <c r="W39" s="393">
        <v>1</v>
      </c>
      <c r="X39" s="235">
        <f t="shared" si="47"/>
        <v>0</v>
      </c>
      <c r="Y39" s="235">
        <f t="shared" si="48"/>
        <v>2670.8000000003035</v>
      </c>
      <c r="Z39" s="235">
        <f t="shared" si="49"/>
        <v>9347.7999999996955</v>
      </c>
      <c r="AA39" s="235"/>
      <c r="AB39" s="235">
        <f t="shared" si="12"/>
        <v>2020.3333333333333</v>
      </c>
      <c r="AC39" s="235">
        <f t="shared" si="50"/>
        <v>2021</v>
      </c>
      <c r="AD39" s="235">
        <f t="shared" si="14"/>
        <v>2023.3333333333333</v>
      </c>
      <c r="AE39" s="413">
        <f t="shared" si="51"/>
        <v>2020</v>
      </c>
      <c r="AF39" s="413">
        <f t="shared" si="16"/>
        <v>-8.3333333333333329E-2</v>
      </c>
      <c r="AG39" s="413">
        <f t="shared" si="17"/>
        <v>2023.3333333333333</v>
      </c>
      <c r="AH39" s="413">
        <f t="shared" si="52"/>
        <v>2020</v>
      </c>
      <c r="AI39" s="413">
        <f t="shared" si="19"/>
        <v>-8.3333333333333329E-2</v>
      </c>
      <c r="AJ39" s="307"/>
      <c r="AK39" s="307"/>
      <c r="AL39" s="307"/>
    </row>
    <row r="40" spans="1:38" ht="15.75">
      <c r="A40" s="414">
        <v>221</v>
      </c>
      <c r="B40" s="415" t="s">
        <v>692</v>
      </c>
      <c r="C40" s="410">
        <v>2015</v>
      </c>
      <c r="D40" s="407">
        <v>5</v>
      </c>
      <c r="E40" s="416"/>
      <c r="F40" s="397" t="s">
        <v>668</v>
      </c>
      <c r="G40" s="397">
        <v>5</v>
      </c>
      <c r="H40" s="407">
        <f t="shared" si="0"/>
        <v>2020</v>
      </c>
      <c r="I40" s="393"/>
      <c r="J40" s="393"/>
      <c r="K40" s="418">
        <v>63805</v>
      </c>
      <c r="L40" s="393"/>
      <c r="M40" s="419">
        <f t="shared" si="1"/>
        <v>63805</v>
      </c>
      <c r="N40" s="419">
        <f t="shared" si="2"/>
        <v>1063.4166666666667</v>
      </c>
      <c r="O40" s="419">
        <f t="shared" si="3"/>
        <v>4253.6666666657002</v>
      </c>
      <c r="P40" s="419">
        <f t="shared" si="4"/>
        <v>0</v>
      </c>
      <c r="Q40" s="419">
        <f t="shared" si="5"/>
        <v>4253.6666666657002</v>
      </c>
      <c r="R40" s="420">
        <v>1</v>
      </c>
      <c r="S40" s="419">
        <f t="shared" si="6"/>
        <v>4253.6666666657002</v>
      </c>
      <c r="T40" s="420"/>
      <c r="U40" s="419">
        <f t="shared" si="7"/>
        <v>59551.333333334303</v>
      </c>
      <c r="V40" s="419">
        <f t="shared" si="8"/>
        <v>59551.333333334303</v>
      </c>
      <c r="W40" s="420">
        <v>1</v>
      </c>
      <c r="X40" s="419">
        <f t="shared" si="9"/>
        <v>59551.333333334303</v>
      </c>
      <c r="Y40" s="419">
        <f t="shared" si="10"/>
        <v>63805</v>
      </c>
      <c r="Z40" s="419">
        <f t="shared" ref="Z40" si="53">IF(L40&gt;0,(K40-X40)/2,IF(AB40&gt;=AE40,(((K40*R40)*W40)-Y40)/2,((((K40*R40)*W40)-X40)+(((K40*R40)*W40)-Y40))/2))</f>
        <v>2126.8333333328483</v>
      </c>
      <c r="AA40" s="235"/>
      <c r="AB40" s="235">
        <f t="shared" si="12"/>
        <v>2015.3333333333333</v>
      </c>
      <c r="AC40" s="235">
        <f t="shared" si="13"/>
        <v>2021</v>
      </c>
      <c r="AD40" s="235">
        <f t="shared" si="14"/>
        <v>2020.3333333333333</v>
      </c>
      <c r="AE40" s="413">
        <f t="shared" si="15"/>
        <v>2020</v>
      </c>
      <c r="AF40" s="413">
        <f t="shared" si="16"/>
        <v>-8.3333333333333329E-2</v>
      </c>
      <c r="AG40" s="413">
        <f t="shared" si="17"/>
        <v>2020.3333333333333</v>
      </c>
      <c r="AH40" s="413">
        <f t="shared" si="18"/>
        <v>2020</v>
      </c>
      <c r="AI40" s="413">
        <f t="shared" si="19"/>
        <v>-8.3333333333333329E-2</v>
      </c>
      <c r="AJ40" s="307"/>
      <c r="AK40" s="307"/>
      <c r="AL40" s="307"/>
    </row>
    <row r="41" spans="1:38" ht="15.75">
      <c r="A41" s="307"/>
      <c r="B41" s="307"/>
      <c r="C41" s="410"/>
      <c r="D41" s="407"/>
      <c r="E41" s="416"/>
      <c r="F41" s="397"/>
      <c r="G41" s="397"/>
      <c r="H41" s="407"/>
      <c r="I41" s="393"/>
      <c r="J41" s="393"/>
      <c r="K41" s="235">
        <f t="shared" ref="K41:Z41" si="54">SUM(K38:K40)</f>
        <v>112243.6</v>
      </c>
      <c r="L41" s="393">
        <f t="shared" si="54"/>
        <v>0</v>
      </c>
      <c r="M41" s="235">
        <f t="shared" si="54"/>
        <v>100225</v>
      </c>
      <c r="N41" s="235">
        <f t="shared" si="54"/>
        <v>1803.9566666666667</v>
      </c>
      <c r="O41" s="235">
        <f t="shared" si="54"/>
        <v>6924.4666666660032</v>
      </c>
      <c r="P41" s="235">
        <f t="shared" si="54"/>
        <v>0</v>
      </c>
      <c r="Q41" s="235">
        <f t="shared" si="54"/>
        <v>6924.4666666660032</v>
      </c>
      <c r="R41" s="393">
        <f t="shared" si="54"/>
        <v>3</v>
      </c>
      <c r="S41" s="235">
        <f t="shared" si="54"/>
        <v>6924.4666666660032</v>
      </c>
      <c r="T41" s="393">
        <f t="shared" si="54"/>
        <v>0</v>
      </c>
      <c r="U41" s="235">
        <f t="shared" si="54"/>
        <v>83952.733333334298</v>
      </c>
      <c r="V41" s="235">
        <f t="shared" si="54"/>
        <v>83952.733333334298</v>
      </c>
      <c r="W41" s="393">
        <f t="shared" si="54"/>
        <v>3</v>
      </c>
      <c r="X41" s="235">
        <f t="shared" si="54"/>
        <v>83952.733333334298</v>
      </c>
      <c r="Y41" s="235">
        <f t="shared" si="54"/>
        <v>90877.200000000303</v>
      </c>
      <c r="Z41" s="235">
        <f t="shared" si="54"/>
        <v>11474.633333332544</v>
      </c>
      <c r="AA41" s="235"/>
      <c r="AB41" s="235"/>
      <c r="AC41" s="235"/>
      <c r="AD41" s="235"/>
      <c r="AE41" s="413"/>
      <c r="AF41" s="413"/>
      <c r="AG41" s="413"/>
      <c r="AH41" s="413"/>
      <c r="AI41" s="413"/>
      <c r="AJ41" s="307"/>
      <c r="AK41" s="307"/>
      <c r="AL41" s="307"/>
    </row>
    <row r="42" spans="1:38" ht="15.75">
      <c r="A42" s="307"/>
      <c r="B42" s="421"/>
      <c r="C42" s="410"/>
      <c r="D42" s="407"/>
      <c r="E42" s="411"/>
      <c r="F42" s="397"/>
      <c r="G42" s="397"/>
      <c r="H42" s="407"/>
      <c r="I42" s="393"/>
      <c r="J42" s="393"/>
      <c r="K42" s="412"/>
      <c r="L42" s="393"/>
      <c r="M42" s="393"/>
      <c r="N42" s="393"/>
      <c r="O42" s="393"/>
      <c r="P42" s="393"/>
      <c r="Q42" s="393"/>
      <c r="R42" s="393"/>
      <c r="S42" s="393"/>
      <c r="T42" s="393"/>
      <c r="U42" s="393"/>
      <c r="V42" s="393"/>
      <c r="W42" s="393"/>
      <c r="X42" s="393"/>
      <c r="Y42" s="393"/>
      <c r="Z42" s="393"/>
      <c r="AA42" s="393"/>
      <c r="AB42" s="393"/>
      <c r="AC42" s="393"/>
      <c r="AD42" s="393"/>
      <c r="AE42" s="408"/>
      <c r="AF42" s="408"/>
      <c r="AG42" s="408"/>
      <c r="AH42" s="408"/>
      <c r="AI42" s="408"/>
      <c r="AJ42" s="307"/>
      <c r="AK42" s="307"/>
      <c r="AL42" s="307"/>
    </row>
    <row r="43" spans="1:38" ht="15.75">
      <c r="A43" s="307"/>
      <c r="B43" s="422" t="s">
        <v>693</v>
      </c>
      <c r="C43" s="410"/>
      <c r="D43" s="407"/>
      <c r="E43" s="411"/>
      <c r="F43" s="397"/>
      <c r="G43" s="397"/>
      <c r="H43" s="407"/>
      <c r="I43" s="393"/>
      <c r="J43" s="393"/>
      <c r="K43" s="412"/>
      <c r="L43" s="393"/>
      <c r="M43" s="393"/>
      <c r="N43" s="393"/>
      <c r="O43" s="393"/>
      <c r="P43" s="393"/>
      <c r="Q43" s="393"/>
      <c r="R43" s="393"/>
      <c r="S43" s="393"/>
      <c r="T43" s="393"/>
      <c r="U43" s="393"/>
      <c r="V43" s="393"/>
      <c r="W43" s="393"/>
      <c r="X43" s="393"/>
      <c r="Y43" s="393"/>
      <c r="Z43" s="393"/>
      <c r="AA43" s="393"/>
      <c r="AB43" s="393"/>
      <c r="AC43" s="393"/>
      <c r="AD43" s="393"/>
      <c r="AE43" s="408"/>
      <c r="AF43" s="408"/>
      <c r="AG43" s="408"/>
      <c r="AH43" s="408"/>
      <c r="AI43" s="408"/>
      <c r="AJ43" s="307"/>
      <c r="AK43" s="307"/>
      <c r="AL43" s="307"/>
    </row>
    <row r="44" spans="1:38" ht="15.75">
      <c r="A44" s="307">
        <v>82</v>
      </c>
      <c r="B44" s="415" t="s">
        <v>694</v>
      </c>
      <c r="C44" s="410">
        <v>1984</v>
      </c>
      <c r="D44" s="407">
        <v>1</v>
      </c>
      <c r="E44" s="411"/>
      <c r="F44" s="397" t="s">
        <v>668</v>
      </c>
      <c r="G44" s="397">
        <v>10</v>
      </c>
      <c r="H44" s="407">
        <f t="shared" ref="H44:H107" si="55">+C44+G44</f>
        <v>1994</v>
      </c>
      <c r="I44" s="393"/>
      <c r="J44" s="393"/>
      <c r="K44" s="417">
        <v>3424</v>
      </c>
      <c r="L44" s="393"/>
      <c r="M44" s="235">
        <f t="shared" ref="M44:M107" si="56">K44-K44*E44</f>
        <v>3424</v>
      </c>
      <c r="N44" s="235">
        <f t="shared" ref="N44:N107" si="57">M44/G44/12</f>
        <v>28.533333333333331</v>
      </c>
      <c r="O44" s="235">
        <f t="shared" ref="O44:O107" si="58">IF(L44&gt;0,0,IF((OR((AB44&gt;AC44),(AD44&lt;AE44))),0,IF((AND((AD44&gt;=AE44),(AD44&lt;=AC44))),N44*((AD44-AE44)*12),IF((AND((AE44&lt;=AB44),(AC44&gt;=AB44))),((AC44-AB44)*12)*N44,IF(AD44&gt;AC44,12*N44,0)))))</f>
        <v>0</v>
      </c>
      <c r="P44" s="235">
        <f t="shared" ref="P44:P107" si="59">IF(L44=0,0,IF((AND((AF44&gt;=AE44),(AF44&lt;=AD44))),((AF44-AE44)*12)*N44,0))</f>
        <v>0</v>
      </c>
      <c r="Q44" s="235">
        <f t="shared" ref="Q44:Q107" si="60">IF(P44&gt;0,P44,O44)</f>
        <v>0</v>
      </c>
      <c r="R44" s="393">
        <v>1</v>
      </c>
      <c r="S44" s="235">
        <f t="shared" ref="S44:S107" si="61">R44*SUM(O44:P44)</f>
        <v>0</v>
      </c>
      <c r="T44" s="393"/>
      <c r="U44" s="235">
        <f t="shared" ref="U44:U107" si="62">IF(AB44&gt;AC44,0,IF(AD44&lt;AE44,M44,IF((AND((AD44&gt;=AE44),(AD44&lt;=AC44))),(M44-Q44),IF((AND((AE44&lt;=AB44),(AC44&gt;=AB44))),0,IF(AD44&gt;AC44,((AE44-AB44)*12)*N44,0)))))</f>
        <v>3424</v>
      </c>
      <c r="V44" s="235">
        <f t="shared" ref="V44:V107" si="63">U44*R44</f>
        <v>3424</v>
      </c>
      <c r="W44" s="393">
        <v>1</v>
      </c>
      <c r="X44" s="235">
        <f t="shared" ref="X44:X107" si="64">V44*W44</f>
        <v>3424</v>
      </c>
      <c r="Y44" s="235">
        <f t="shared" ref="Y44:Y107" si="65">IF(L44&gt;0,0,X44+S44*W44)*W44</f>
        <v>3424</v>
      </c>
      <c r="Z44" s="235">
        <f>IF(L44&gt;0,(K44-X44)/2,IF(AB44&gt;=AE44,(((K44*R44)*W44)-Y44)/2,((((K44*R44)*W44)-X44)+(((K44*R44)*W44)-Y44))/2))</f>
        <v>0</v>
      </c>
      <c r="AA44" s="235"/>
      <c r="AB44" s="235">
        <f t="shared" ref="AB44:AB107" si="66">$C44+(($D44-1)/12)</f>
        <v>1984</v>
      </c>
      <c r="AC44" s="235">
        <f t="shared" ref="AC44:AC107" si="67">($M$5+1)-($M$2/12)</f>
        <v>2021</v>
      </c>
      <c r="AD44" s="235">
        <f t="shared" ref="AD44:AD107" si="68">$H44+(($D44-1)/12)</f>
        <v>1994</v>
      </c>
      <c r="AE44" s="413">
        <f t="shared" ref="AE44:AE107" si="69">$M$4+($M$3/12)</f>
        <v>2020</v>
      </c>
      <c r="AF44" s="413">
        <f t="shared" ref="AF44:AF107" si="70">$I44+(($J44-1)/12)</f>
        <v>-8.3333333333333329E-2</v>
      </c>
      <c r="AG44" s="413">
        <f t="shared" ref="AG44:AG107" si="71">$H44+(($D44-1)/12)</f>
        <v>1994</v>
      </c>
      <c r="AH44" s="413">
        <f t="shared" ref="AH44:AH107" si="72">$M$4+($M$3/12)</f>
        <v>2020</v>
      </c>
      <c r="AI44" s="413">
        <f t="shared" ref="AI44:AI107" si="73">$I44+(($J44-1)/12)</f>
        <v>-8.3333333333333329E-2</v>
      </c>
      <c r="AJ44" s="307"/>
      <c r="AK44" s="307"/>
      <c r="AL44" s="307"/>
    </row>
    <row r="45" spans="1:38" ht="15.75">
      <c r="A45" s="307">
        <v>16</v>
      </c>
      <c r="B45" s="415" t="s">
        <v>695</v>
      </c>
      <c r="C45" s="410">
        <v>1986</v>
      </c>
      <c r="D45" s="407">
        <v>6</v>
      </c>
      <c r="E45" s="411"/>
      <c r="F45" s="397" t="s">
        <v>668</v>
      </c>
      <c r="G45" s="397">
        <v>10</v>
      </c>
      <c r="H45" s="407">
        <f t="shared" si="55"/>
        <v>1996</v>
      </c>
      <c r="I45" s="393"/>
      <c r="J45" s="393"/>
      <c r="K45" s="417">
        <v>1082</v>
      </c>
      <c r="L45" s="393"/>
      <c r="M45" s="235">
        <f t="shared" si="56"/>
        <v>1082</v>
      </c>
      <c r="N45" s="235">
        <f t="shared" si="57"/>
        <v>9.0166666666666675</v>
      </c>
      <c r="O45" s="235">
        <f t="shared" si="58"/>
        <v>0</v>
      </c>
      <c r="P45" s="235">
        <f t="shared" si="59"/>
        <v>0</v>
      </c>
      <c r="Q45" s="235">
        <f t="shared" si="60"/>
        <v>0</v>
      </c>
      <c r="R45" s="393">
        <v>1</v>
      </c>
      <c r="S45" s="235">
        <f t="shared" si="61"/>
        <v>0</v>
      </c>
      <c r="T45" s="393"/>
      <c r="U45" s="235">
        <f t="shared" si="62"/>
        <v>1082</v>
      </c>
      <c r="V45" s="235">
        <f t="shared" si="63"/>
        <v>1082</v>
      </c>
      <c r="W45" s="393">
        <v>1</v>
      </c>
      <c r="X45" s="235">
        <f t="shared" si="64"/>
        <v>1082</v>
      </c>
      <c r="Y45" s="235">
        <f t="shared" si="65"/>
        <v>1082</v>
      </c>
      <c r="Z45" s="235">
        <f>IF(L45&gt;0,(K45-X45)/2,IF(AB45&gt;=AE45,(((K45*R45)*W45)-Y45)/2,((((K45*R45)*W45)-X45)+(((K45*R45)*W45)-Y45))/2))</f>
        <v>0</v>
      </c>
      <c r="AA45" s="235"/>
      <c r="AB45" s="235">
        <f t="shared" si="66"/>
        <v>1986.4166666666667</v>
      </c>
      <c r="AC45" s="235">
        <f t="shared" si="67"/>
        <v>2021</v>
      </c>
      <c r="AD45" s="235">
        <f t="shared" si="68"/>
        <v>1996.4166666666667</v>
      </c>
      <c r="AE45" s="413">
        <f t="shared" si="69"/>
        <v>2020</v>
      </c>
      <c r="AF45" s="413">
        <f t="shared" si="70"/>
        <v>-8.3333333333333329E-2</v>
      </c>
      <c r="AG45" s="413">
        <f t="shared" si="71"/>
        <v>1996.4166666666667</v>
      </c>
      <c r="AH45" s="413">
        <f t="shared" si="72"/>
        <v>2020</v>
      </c>
      <c r="AI45" s="413">
        <f t="shared" si="73"/>
        <v>-8.3333333333333329E-2</v>
      </c>
      <c r="AJ45" s="307"/>
      <c r="AK45" s="307"/>
      <c r="AL45" s="307"/>
    </row>
    <row r="46" spans="1:38" ht="15.75">
      <c r="A46" s="307">
        <v>12</v>
      </c>
      <c r="B46" s="415" t="s">
        <v>696</v>
      </c>
      <c r="C46" s="410">
        <v>1987</v>
      </c>
      <c r="D46" s="407">
        <v>5</v>
      </c>
      <c r="E46" s="411"/>
      <c r="F46" s="397" t="s">
        <v>668</v>
      </c>
      <c r="G46" s="397">
        <v>10</v>
      </c>
      <c r="H46" s="407">
        <f t="shared" si="55"/>
        <v>1997</v>
      </c>
      <c r="I46" s="393"/>
      <c r="J46" s="393"/>
      <c r="K46" s="417">
        <v>899</v>
      </c>
      <c r="L46" s="393"/>
      <c r="M46" s="235">
        <f t="shared" si="56"/>
        <v>899</v>
      </c>
      <c r="N46" s="235">
        <f t="shared" si="57"/>
        <v>7.4916666666666671</v>
      </c>
      <c r="O46" s="235">
        <f t="shared" si="58"/>
        <v>0</v>
      </c>
      <c r="P46" s="235">
        <f t="shared" si="59"/>
        <v>0</v>
      </c>
      <c r="Q46" s="235">
        <f t="shared" si="60"/>
        <v>0</v>
      </c>
      <c r="R46" s="393">
        <v>1</v>
      </c>
      <c r="S46" s="235">
        <f t="shared" si="61"/>
        <v>0</v>
      </c>
      <c r="T46" s="393"/>
      <c r="U46" s="235">
        <f t="shared" si="62"/>
        <v>899</v>
      </c>
      <c r="V46" s="235">
        <f t="shared" si="63"/>
        <v>899</v>
      </c>
      <c r="W46" s="393">
        <v>1</v>
      </c>
      <c r="X46" s="235">
        <f t="shared" si="64"/>
        <v>899</v>
      </c>
      <c r="Y46" s="235">
        <f t="shared" si="65"/>
        <v>899</v>
      </c>
      <c r="Z46" s="235">
        <f>IF(L46&gt;0,(K46-X46)/2,IF(AB46&gt;=AE46,(((K46*R46)*W46)-Y46)/2,((((K46*R46)*W46)-X46)+(((K46*R46)*W46)-Y46))/2))</f>
        <v>0</v>
      </c>
      <c r="AA46" s="235"/>
      <c r="AB46" s="235">
        <f t="shared" si="66"/>
        <v>1987.3333333333333</v>
      </c>
      <c r="AC46" s="235">
        <f t="shared" si="67"/>
        <v>2021</v>
      </c>
      <c r="AD46" s="235">
        <f t="shared" si="68"/>
        <v>1997.3333333333333</v>
      </c>
      <c r="AE46" s="413">
        <f t="shared" si="69"/>
        <v>2020</v>
      </c>
      <c r="AF46" s="413">
        <f t="shared" si="70"/>
        <v>-8.3333333333333329E-2</v>
      </c>
      <c r="AG46" s="413">
        <f t="shared" si="71"/>
        <v>1997.3333333333333</v>
      </c>
      <c r="AH46" s="413">
        <f t="shared" si="72"/>
        <v>2020</v>
      </c>
      <c r="AI46" s="413">
        <f t="shared" si="73"/>
        <v>-8.3333333333333329E-2</v>
      </c>
      <c r="AJ46" s="307"/>
      <c r="AK46" s="307"/>
      <c r="AL46" s="307"/>
    </row>
    <row r="47" spans="1:38" ht="15.75">
      <c r="A47" s="307">
        <v>17</v>
      </c>
      <c r="B47" s="415" t="s">
        <v>695</v>
      </c>
      <c r="C47" s="410">
        <v>1987</v>
      </c>
      <c r="D47" s="407">
        <v>7</v>
      </c>
      <c r="E47" s="411"/>
      <c r="F47" s="397" t="s">
        <v>668</v>
      </c>
      <c r="G47" s="397">
        <v>10</v>
      </c>
      <c r="H47" s="407">
        <f t="shared" si="55"/>
        <v>1997</v>
      </c>
      <c r="I47" s="393"/>
      <c r="J47" s="393"/>
      <c r="K47" s="417">
        <v>626</v>
      </c>
      <c r="L47" s="393"/>
      <c r="M47" s="235">
        <f t="shared" si="56"/>
        <v>626</v>
      </c>
      <c r="N47" s="235">
        <f t="shared" si="57"/>
        <v>5.2166666666666668</v>
      </c>
      <c r="O47" s="235">
        <f t="shared" si="58"/>
        <v>0</v>
      </c>
      <c r="P47" s="235">
        <f t="shared" si="59"/>
        <v>0</v>
      </c>
      <c r="Q47" s="235">
        <f t="shared" si="60"/>
        <v>0</v>
      </c>
      <c r="R47" s="393">
        <v>1</v>
      </c>
      <c r="S47" s="235">
        <f t="shared" si="61"/>
        <v>0</v>
      </c>
      <c r="T47" s="393"/>
      <c r="U47" s="235">
        <f t="shared" si="62"/>
        <v>626</v>
      </c>
      <c r="V47" s="235">
        <f t="shared" si="63"/>
        <v>626</v>
      </c>
      <c r="W47" s="393">
        <v>1</v>
      </c>
      <c r="X47" s="235">
        <f t="shared" si="64"/>
        <v>626</v>
      </c>
      <c r="Y47" s="235">
        <f t="shared" si="65"/>
        <v>626</v>
      </c>
      <c r="Z47" s="235">
        <f>IF(L47&gt;0,(K47-X47)/2,IF(AB47&gt;=AE47,(((K47*R47)*W47)-Y47)/2,((((K47*R47)*W47)-X47)+(((K47*R47)*W47)-Y47))/2))</f>
        <v>0</v>
      </c>
      <c r="AA47" s="235"/>
      <c r="AB47" s="235">
        <f t="shared" si="66"/>
        <v>1987.5</v>
      </c>
      <c r="AC47" s="235">
        <f t="shared" si="67"/>
        <v>2021</v>
      </c>
      <c r="AD47" s="235">
        <f t="shared" si="68"/>
        <v>1997.5</v>
      </c>
      <c r="AE47" s="413">
        <f t="shared" si="69"/>
        <v>2020</v>
      </c>
      <c r="AF47" s="413">
        <f t="shared" si="70"/>
        <v>-8.3333333333333329E-2</v>
      </c>
      <c r="AG47" s="413">
        <f t="shared" si="71"/>
        <v>1997.5</v>
      </c>
      <c r="AH47" s="413">
        <f t="shared" si="72"/>
        <v>2020</v>
      </c>
      <c r="AI47" s="413">
        <f t="shared" si="73"/>
        <v>-8.3333333333333329E-2</v>
      </c>
      <c r="AJ47" s="307"/>
      <c r="AK47" s="307"/>
      <c r="AL47" s="307"/>
    </row>
    <row r="48" spans="1:38" ht="15.75">
      <c r="A48" s="307">
        <v>76</v>
      </c>
      <c r="B48" s="415" t="s">
        <v>694</v>
      </c>
      <c r="C48" s="410">
        <v>1988</v>
      </c>
      <c r="D48" s="407">
        <v>4</v>
      </c>
      <c r="E48" s="411"/>
      <c r="F48" s="397" t="s">
        <v>668</v>
      </c>
      <c r="G48" s="397">
        <v>10</v>
      </c>
      <c r="H48" s="407">
        <f t="shared" si="55"/>
        <v>1998</v>
      </c>
      <c r="I48" s="393"/>
      <c r="J48" s="393"/>
      <c r="K48" s="417">
        <v>1863</v>
      </c>
      <c r="L48" s="393"/>
      <c r="M48" s="235">
        <f t="shared" si="56"/>
        <v>1863</v>
      </c>
      <c r="N48" s="235">
        <f t="shared" si="57"/>
        <v>15.525</v>
      </c>
      <c r="O48" s="235">
        <f t="shared" si="58"/>
        <v>0</v>
      </c>
      <c r="P48" s="235">
        <f t="shared" si="59"/>
        <v>0</v>
      </c>
      <c r="Q48" s="235">
        <f t="shared" si="60"/>
        <v>0</v>
      </c>
      <c r="R48" s="393">
        <v>1</v>
      </c>
      <c r="S48" s="235">
        <f t="shared" si="61"/>
        <v>0</v>
      </c>
      <c r="T48" s="393"/>
      <c r="U48" s="235">
        <f t="shared" si="62"/>
        <v>1863</v>
      </c>
      <c r="V48" s="235">
        <f t="shared" si="63"/>
        <v>1863</v>
      </c>
      <c r="W48" s="393">
        <v>1</v>
      </c>
      <c r="X48" s="235">
        <f t="shared" si="64"/>
        <v>1863</v>
      </c>
      <c r="Y48" s="235">
        <f t="shared" si="65"/>
        <v>1863</v>
      </c>
      <c r="Z48" s="235">
        <f>IF(L48&gt;0,(K48-X48)/2,IF(AB48&gt;=AE48,(((K48*R48)*W48)-Y48)/2,((((K48*R48)*W48)-X48)+(((K48*R48)*W48)-Y48))/2))</f>
        <v>0</v>
      </c>
      <c r="AA48" s="235"/>
      <c r="AB48" s="235">
        <f t="shared" si="66"/>
        <v>1988.25</v>
      </c>
      <c r="AC48" s="235">
        <f t="shared" si="67"/>
        <v>2021</v>
      </c>
      <c r="AD48" s="235">
        <f t="shared" si="68"/>
        <v>1998.25</v>
      </c>
      <c r="AE48" s="413">
        <f t="shared" si="69"/>
        <v>2020</v>
      </c>
      <c r="AF48" s="413">
        <f t="shared" si="70"/>
        <v>-8.3333333333333329E-2</v>
      </c>
      <c r="AG48" s="413">
        <f t="shared" si="71"/>
        <v>1998.25</v>
      </c>
      <c r="AH48" s="413">
        <f t="shared" si="72"/>
        <v>2020</v>
      </c>
      <c r="AI48" s="413">
        <f t="shared" si="73"/>
        <v>-8.3333333333333329E-2</v>
      </c>
      <c r="AJ48" s="307"/>
      <c r="AK48" s="307"/>
      <c r="AL48" s="307"/>
    </row>
    <row r="49" spans="1:38" ht="15.75">
      <c r="A49" s="307">
        <v>122</v>
      </c>
      <c r="B49" s="415" t="s">
        <v>694</v>
      </c>
      <c r="C49" s="410">
        <v>1988</v>
      </c>
      <c r="D49" s="407">
        <v>5</v>
      </c>
      <c r="E49" s="411"/>
      <c r="F49" s="397" t="s">
        <v>668</v>
      </c>
      <c r="G49" s="397">
        <v>10</v>
      </c>
      <c r="H49" s="407">
        <f t="shared" si="55"/>
        <v>1998</v>
      </c>
      <c r="I49" s="393"/>
      <c r="J49" s="393"/>
      <c r="K49" s="417">
        <v>621</v>
      </c>
      <c r="L49" s="393"/>
      <c r="M49" s="235">
        <f t="shared" si="56"/>
        <v>621</v>
      </c>
      <c r="N49" s="235">
        <f t="shared" si="57"/>
        <v>5.1749999999999998</v>
      </c>
      <c r="O49" s="235">
        <f t="shared" si="58"/>
        <v>0</v>
      </c>
      <c r="P49" s="235">
        <f t="shared" si="59"/>
        <v>0</v>
      </c>
      <c r="Q49" s="235">
        <f t="shared" si="60"/>
        <v>0</v>
      </c>
      <c r="R49" s="393">
        <v>1</v>
      </c>
      <c r="S49" s="235">
        <f t="shared" si="61"/>
        <v>0</v>
      </c>
      <c r="T49" s="393"/>
      <c r="U49" s="235">
        <f t="shared" si="62"/>
        <v>621</v>
      </c>
      <c r="V49" s="235">
        <f t="shared" si="63"/>
        <v>621</v>
      </c>
      <c r="W49" s="393">
        <v>1</v>
      </c>
      <c r="X49" s="235">
        <f t="shared" si="64"/>
        <v>621</v>
      </c>
      <c r="Y49" s="235">
        <f t="shared" si="65"/>
        <v>621</v>
      </c>
      <c r="Z49" s="235">
        <f>+M49-Y49</f>
        <v>0</v>
      </c>
      <c r="AA49" s="235"/>
      <c r="AB49" s="235">
        <f t="shared" si="66"/>
        <v>1988.3333333333333</v>
      </c>
      <c r="AC49" s="235">
        <f t="shared" si="67"/>
        <v>2021</v>
      </c>
      <c r="AD49" s="235">
        <f t="shared" si="68"/>
        <v>1998.3333333333333</v>
      </c>
      <c r="AE49" s="413">
        <f t="shared" si="69"/>
        <v>2020</v>
      </c>
      <c r="AF49" s="413">
        <f t="shared" si="70"/>
        <v>-8.3333333333333329E-2</v>
      </c>
      <c r="AG49" s="413">
        <f t="shared" si="71"/>
        <v>1998.3333333333333</v>
      </c>
      <c r="AH49" s="413">
        <f t="shared" si="72"/>
        <v>2020</v>
      </c>
      <c r="AI49" s="413">
        <f t="shared" si="73"/>
        <v>-8.3333333333333329E-2</v>
      </c>
      <c r="AJ49" s="307"/>
      <c r="AK49" s="307"/>
      <c r="AL49" s="307"/>
    </row>
    <row r="50" spans="1:38" ht="15.75">
      <c r="A50" s="307">
        <v>20</v>
      </c>
      <c r="B50" s="415" t="s">
        <v>697</v>
      </c>
      <c r="C50" s="410">
        <v>1989</v>
      </c>
      <c r="D50" s="407">
        <v>5</v>
      </c>
      <c r="E50" s="411"/>
      <c r="F50" s="397" t="s">
        <v>668</v>
      </c>
      <c r="G50" s="397">
        <v>10</v>
      </c>
      <c r="H50" s="407">
        <f t="shared" si="55"/>
        <v>1999</v>
      </c>
      <c r="I50" s="393"/>
      <c r="J50" s="393"/>
      <c r="K50" s="417">
        <v>2324</v>
      </c>
      <c r="L50" s="393"/>
      <c r="M50" s="235">
        <f t="shared" si="56"/>
        <v>2324</v>
      </c>
      <c r="N50" s="235">
        <f t="shared" si="57"/>
        <v>19.366666666666667</v>
      </c>
      <c r="O50" s="235">
        <f t="shared" si="58"/>
        <v>0</v>
      </c>
      <c r="P50" s="235">
        <f t="shared" si="59"/>
        <v>0</v>
      </c>
      <c r="Q50" s="235">
        <f t="shared" si="60"/>
        <v>0</v>
      </c>
      <c r="R50" s="393">
        <v>1</v>
      </c>
      <c r="S50" s="235">
        <f t="shared" si="61"/>
        <v>0</v>
      </c>
      <c r="T50" s="393"/>
      <c r="U50" s="235">
        <f t="shared" si="62"/>
        <v>2324</v>
      </c>
      <c r="V50" s="235">
        <f t="shared" si="63"/>
        <v>2324</v>
      </c>
      <c r="W50" s="393">
        <v>1</v>
      </c>
      <c r="X50" s="235">
        <f t="shared" si="64"/>
        <v>2324</v>
      </c>
      <c r="Y50" s="235">
        <f t="shared" si="65"/>
        <v>2324</v>
      </c>
      <c r="Z50" s="235">
        <f>IF(L50&gt;0,(K50-X50)/2,IF(AB50&gt;=AE50,(((K50*R50)*W50)-Y50)/2,((((K50*R50)*W50)-X50)+(((K50*R50)*W50)-Y50))/2))</f>
        <v>0</v>
      </c>
      <c r="AA50" s="235"/>
      <c r="AB50" s="235">
        <f t="shared" si="66"/>
        <v>1989.3333333333333</v>
      </c>
      <c r="AC50" s="235">
        <f t="shared" si="67"/>
        <v>2021</v>
      </c>
      <c r="AD50" s="235">
        <f t="shared" si="68"/>
        <v>1999.3333333333333</v>
      </c>
      <c r="AE50" s="413">
        <f t="shared" si="69"/>
        <v>2020</v>
      </c>
      <c r="AF50" s="413">
        <f t="shared" si="70"/>
        <v>-8.3333333333333329E-2</v>
      </c>
      <c r="AG50" s="413">
        <f t="shared" si="71"/>
        <v>1999.3333333333333</v>
      </c>
      <c r="AH50" s="413">
        <f t="shared" si="72"/>
        <v>2020</v>
      </c>
      <c r="AI50" s="413">
        <f t="shared" si="73"/>
        <v>-8.3333333333333329E-2</v>
      </c>
      <c r="AJ50" s="307"/>
      <c r="AK50" s="307"/>
      <c r="AL50" s="307"/>
    </row>
    <row r="51" spans="1:38" ht="15.75">
      <c r="A51" s="307">
        <v>73</v>
      </c>
      <c r="B51" s="415" t="s">
        <v>694</v>
      </c>
      <c r="C51" s="410">
        <v>1989</v>
      </c>
      <c r="D51" s="407">
        <v>6</v>
      </c>
      <c r="E51" s="411"/>
      <c r="F51" s="397" t="s">
        <v>668</v>
      </c>
      <c r="G51" s="397">
        <v>10</v>
      </c>
      <c r="H51" s="407">
        <f t="shared" si="55"/>
        <v>1999</v>
      </c>
      <c r="I51" s="393"/>
      <c r="J51" s="393"/>
      <c r="K51" s="417">
        <v>846</v>
      </c>
      <c r="L51" s="393"/>
      <c r="M51" s="235">
        <f t="shared" si="56"/>
        <v>846</v>
      </c>
      <c r="N51" s="235">
        <f t="shared" si="57"/>
        <v>7.05</v>
      </c>
      <c r="O51" s="235">
        <f t="shared" si="58"/>
        <v>0</v>
      </c>
      <c r="P51" s="235">
        <f t="shared" si="59"/>
        <v>0</v>
      </c>
      <c r="Q51" s="235">
        <f t="shared" si="60"/>
        <v>0</v>
      </c>
      <c r="R51" s="393">
        <v>1</v>
      </c>
      <c r="S51" s="235">
        <f t="shared" si="61"/>
        <v>0</v>
      </c>
      <c r="T51" s="393"/>
      <c r="U51" s="235">
        <f t="shared" si="62"/>
        <v>846</v>
      </c>
      <c r="V51" s="235">
        <f t="shared" si="63"/>
        <v>846</v>
      </c>
      <c r="W51" s="393">
        <v>1</v>
      </c>
      <c r="X51" s="235">
        <f t="shared" si="64"/>
        <v>846</v>
      </c>
      <c r="Y51" s="235">
        <f t="shared" si="65"/>
        <v>846</v>
      </c>
      <c r="Z51" s="235">
        <f>IF(L51&gt;0,(K51-X51)/2,IF(AB51&gt;=AE51,(((K51*R51)*W51)-Y51)/2,((((K51*R51)*W51)-X51)+(((K51*R51)*W51)-Y51))/2))</f>
        <v>0</v>
      </c>
      <c r="AA51" s="235"/>
      <c r="AB51" s="235">
        <f t="shared" si="66"/>
        <v>1989.4166666666667</v>
      </c>
      <c r="AC51" s="235">
        <f t="shared" si="67"/>
        <v>2021</v>
      </c>
      <c r="AD51" s="235">
        <f t="shared" si="68"/>
        <v>1999.4166666666667</v>
      </c>
      <c r="AE51" s="413">
        <f t="shared" si="69"/>
        <v>2020</v>
      </c>
      <c r="AF51" s="413">
        <f t="shared" si="70"/>
        <v>-8.3333333333333329E-2</v>
      </c>
      <c r="AG51" s="413">
        <f t="shared" si="71"/>
        <v>1999.4166666666667</v>
      </c>
      <c r="AH51" s="413">
        <f t="shared" si="72"/>
        <v>2020</v>
      </c>
      <c r="AI51" s="413">
        <f t="shared" si="73"/>
        <v>-8.3333333333333329E-2</v>
      </c>
      <c r="AJ51" s="307"/>
      <c r="AK51" s="307"/>
      <c r="AL51" s="307"/>
    </row>
    <row r="52" spans="1:38" ht="15.75">
      <c r="A52" s="307">
        <v>83</v>
      </c>
      <c r="B52" s="415" t="s">
        <v>694</v>
      </c>
      <c r="C52" s="410">
        <v>1989</v>
      </c>
      <c r="D52" s="407">
        <v>11</v>
      </c>
      <c r="E52" s="411"/>
      <c r="F52" s="397" t="s">
        <v>668</v>
      </c>
      <c r="G52" s="397">
        <v>10</v>
      </c>
      <c r="H52" s="407">
        <f t="shared" si="55"/>
        <v>1999</v>
      </c>
      <c r="I52" s="393"/>
      <c r="J52" s="393"/>
      <c r="K52" s="417">
        <v>180</v>
      </c>
      <c r="L52" s="393"/>
      <c r="M52" s="235">
        <f t="shared" si="56"/>
        <v>180</v>
      </c>
      <c r="N52" s="235">
        <f t="shared" si="57"/>
        <v>1.5</v>
      </c>
      <c r="O52" s="235">
        <f t="shared" si="58"/>
        <v>0</v>
      </c>
      <c r="P52" s="235">
        <f t="shared" si="59"/>
        <v>0</v>
      </c>
      <c r="Q52" s="235">
        <f t="shared" si="60"/>
        <v>0</v>
      </c>
      <c r="R52" s="393">
        <v>1</v>
      </c>
      <c r="S52" s="235">
        <f t="shared" si="61"/>
        <v>0</v>
      </c>
      <c r="T52" s="393"/>
      <c r="U52" s="235">
        <f t="shared" si="62"/>
        <v>180</v>
      </c>
      <c r="V52" s="235">
        <f t="shared" si="63"/>
        <v>180</v>
      </c>
      <c r="W52" s="393">
        <v>1</v>
      </c>
      <c r="X52" s="235">
        <f t="shared" si="64"/>
        <v>180</v>
      </c>
      <c r="Y52" s="235">
        <f t="shared" si="65"/>
        <v>180</v>
      </c>
      <c r="Z52" s="235">
        <f>+M52-Y52</f>
        <v>0</v>
      </c>
      <c r="AA52" s="235"/>
      <c r="AB52" s="235">
        <f t="shared" si="66"/>
        <v>1989.8333333333333</v>
      </c>
      <c r="AC52" s="235">
        <f t="shared" si="67"/>
        <v>2021</v>
      </c>
      <c r="AD52" s="235">
        <f t="shared" si="68"/>
        <v>1999.8333333333333</v>
      </c>
      <c r="AE52" s="413">
        <f t="shared" si="69"/>
        <v>2020</v>
      </c>
      <c r="AF52" s="413">
        <f t="shared" si="70"/>
        <v>-8.3333333333333329E-2</v>
      </c>
      <c r="AG52" s="413">
        <f t="shared" si="71"/>
        <v>1999.8333333333333</v>
      </c>
      <c r="AH52" s="413">
        <f t="shared" si="72"/>
        <v>2020</v>
      </c>
      <c r="AI52" s="413">
        <f t="shared" si="73"/>
        <v>-8.3333333333333329E-2</v>
      </c>
      <c r="AJ52" s="307"/>
      <c r="AK52" s="307"/>
      <c r="AL52" s="307"/>
    </row>
    <row r="53" spans="1:38" ht="15.75">
      <c r="A53" s="307">
        <v>87</v>
      </c>
      <c r="B53" s="415" t="s">
        <v>694</v>
      </c>
      <c r="C53" s="410">
        <v>1990</v>
      </c>
      <c r="D53" s="407">
        <v>7</v>
      </c>
      <c r="E53" s="411"/>
      <c r="F53" s="397" t="s">
        <v>668</v>
      </c>
      <c r="G53" s="397">
        <v>10</v>
      </c>
      <c r="H53" s="407">
        <f t="shared" si="55"/>
        <v>2000</v>
      </c>
      <c r="I53" s="393"/>
      <c r="J53" s="393"/>
      <c r="K53" s="417">
        <v>859</v>
      </c>
      <c r="L53" s="393"/>
      <c r="M53" s="235">
        <f t="shared" si="56"/>
        <v>859</v>
      </c>
      <c r="N53" s="235">
        <f t="shared" si="57"/>
        <v>7.1583333333333341</v>
      </c>
      <c r="O53" s="235">
        <f t="shared" si="58"/>
        <v>0</v>
      </c>
      <c r="P53" s="235">
        <f t="shared" si="59"/>
        <v>0</v>
      </c>
      <c r="Q53" s="235">
        <f t="shared" si="60"/>
        <v>0</v>
      </c>
      <c r="R53" s="393">
        <v>1</v>
      </c>
      <c r="S53" s="235">
        <f t="shared" si="61"/>
        <v>0</v>
      </c>
      <c r="T53" s="393"/>
      <c r="U53" s="235">
        <f t="shared" si="62"/>
        <v>859</v>
      </c>
      <c r="V53" s="235">
        <f t="shared" si="63"/>
        <v>859</v>
      </c>
      <c r="W53" s="393">
        <v>1</v>
      </c>
      <c r="X53" s="235">
        <f t="shared" si="64"/>
        <v>859</v>
      </c>
      <c r="Y53" s="235">
        <f t="shared" si="65"/>
        <v>859</v>
      </c>
      <c r="Z53" s="235">
        <f>+M53-Y53</f>
        <v>0</v>
      </c>
      <c r="AA53" s="235"/>
      <c r="AB53" s="235">
        <f t="shared" si="66"/>
        <v>1990.5</v>
      </c>
      <c r="AC53" s="235">
        <f t="shared" si="67"/>
        <v>2021</v>
      </c>
      <c r="AD53" s="235">
        <f t="shared" si="68"/>
        <v>2000.5</v>
      </c>
      <c r="AE53" s="413">
        <f t="shared" si="69"/>
        <v>2020</v>
      </c>
      <c r="AF53" s="413">
        <f t="shared" si="70"/>
        <v>-8.3333333333333329E-2</v>
      </c>
      <c r="AG53" s="413">
        <f t="shared" si="71"/>
        <v>2000.5</v>
      </c>
      <c r="AH53" s="413">
        <f t="shared" si="72"/>
        <v>2020</v>
      </c>
      <c r="AI53" s="413">
        <f t="shared" si="73"/>
        <v>-8.3333333333333329E-2</v>
      </c>
      <c r="AJ53" s="307"/>
      <c r="AK53" s="307"/>
      <c r="AL53" s="307"/>
    </row>
    <row r="54" spans="1:38" ht="15.75">
      <c r="A54" s="307">
        <v>127</v>
      </c>
      <c r="B54" s="415" t="s">
        <v>694</v>
      </c>
      <c r="C54" s="410">
        <v>1990</v>
      </c>
      <c r="D54" s="407">
        <v>5</v>
      </c>
      <c r="E54" s="411"/>
      <c r="F54" s="397" t="s">
        <v>668</v>
      </c>
      <c r="G54" s="397">
        <v>10</v>
      </c>
      <c r="H54" s="407">
        <f t="shared" si="55"/>
        <v>2000</v>
      </c>
      <c r="I54" s="393"/>
      <c r="J54" s="393"/>
      <c r="K54" s="417">
        <v>1960</v>
      </c>
      <c r="L54" s="393"/>
      <c r="M54" s="235">
        <f t="shared" si="56"/>
        <v>1960</v>
      </c>
      <c r="N54" s="235">
        <f t="shared" si="57"/>
        <v>16.333333333333332</v>
      </c>
      <c r="O54" s="235">
        <f t="shared" si="58"/>
        <v>0</v>
      </c>
      <c r="P54" s="235">
        <f t="shared" si="59"/>
        <v>0</v>
      </c>
      <c r="Q54" s="235">
        <f t="shared" si="60"/>
        <v>0</v>
      </c>
      <c r="R54" s="393">
        <v>1</v>
      </c>
      <c r="S54" s="235">
        <f t="shared" si="61"/>
        <v>0</v>
      </c>
      <c r="T54" s="393"/>
      <c r="U54" s="235">
        <f t="shared" si="62"/>
        <v>1960</v>
      </c>
      <c r="V54" s="235">
        <f t="shared" si="63"/>
        <v>1960</v>
      </c>
      <c r="W54" s="393">
        <v>1</v>
      </c>
      <c r="X54" s="235">
        <f t="shared" si="64"/>
        <v>1960</v>
      </c>
      <c r="Y54" s="235">
        <f t="shared" si="65"/>
        <v>1960</v>
      </c>
      <c r="Z54" s="235">
        <f>+M54-Y54</f>
        <v>0</v>
      </c>
      <c r="AA54" s="235"/>
      <c r="AB54" s="235">
        <f t="shared" si="66"/>
        <v>1990.3333333333333</v>
      </c>
      <c r="AC54" s="235">
        <f t="shared" si="67"/>
        <v>2021</v>
      </c>
      <c r="AD54" s="235">
        <f t="shared" si="68"/>
        <v>2000.3333333333333</v>
      </c>
      <c r="AE54" s="413">
        <f t="shared" si="69"/>
        <v>2020</v>
      </c>
      <c r="AF54" s="413">
        <f t="shared" si="70"/>
        <v>-8.3333333333333329E-2</v>
      </c>
      <c r="AG54" s="413">
        <f t="shared" si="71"/>
        <v>2000.3333333333333</v>
      </c>
      <c r="AH54" s="413">
        <f t="shared" si="72"/>
        <v>2020</v>
      </c>
      <c r="AI54" s="413">
        <f t="shared" si="73"/>
        <v>-8.3333333333333329E-2</v>
      </c>
      <c r="AJ54" s="307"/>
      <c r="AK54" s="307"/>
      <c r="AL54" s="307"/>
    </row>
    <row r="55" spans="1:38" ht="15.75">
      <c r="A55" s="307">
        <v>132</v>
      </c>
      <c r="B55" s="415" t="s">
        <v>694</v>
      </c>
      <c r="C55" s="410">
        <v>1990</v>
      </c>
      <c r="D55" s="407">
        <v>8</v>
      </c>
      <c r="E55" s="411"/>
      <c r="F55" s="397" t="s">
        <v>668</v>
      </c>
      <c r="G55" s="397">
        <v>10</v>
      </c>
      <c r="H55" s="407">
        <f t="shared" si="55"/>
        <v>2000</v>
      </c>
      <c r="I55" s="393"/>
      <c r="J55" s="393"/>
      <c r="K55" s="417">
        <v>1628</v>
      </c>
      <c r="L55" s="393"/>
      <c r="M55" s="235">
        <f t="shared" si="56"/>
        <v>1628</v>
      </c>
      <c r="N55" s="235">
        <f t="shared" si="57"/>
        <v>13.566666666666668</v>
      </c>
      <c r="O55" s="235">
        <f t="shared" si="58"/>
        <v>0</v>
      </c>
      <c r="P55" s="235">
        <f t="shared" si="59"/>
        <v>0</v>
      </c>
      <c r="Q55" s="235">
        <f t="shared" si="60"/>
        <v>0</v>
      </c>
      <c r="R55" s="393">
        <v>1</v>
      </c>
      <c r="S55" s="235">
        <f t="shared" si="61"/>
        <v>0</v>
      </c>
      <c r="T55" s="393"/>
      <c r="U55" s="235">
        <f t="shared" si="62"/>
        <v>1628</v>
      </c>
      <c r="V55" s="235">
        <f t="shared" si="63"/>
        <v>1628</v>
      </c>
      <c r="W55" s="393">
        <v>1</v>
      </c>
      <c r="X55" s="235">
        <f t="shared" si="64"/>
        <v>1628</v>
      </c>
      <c r="Y55" s="235">
        <f t="shared" si="65"/>
        <v>1628</v>
      </c>
      <c r="Z55" s="235">
        <f>+M55-Y55</f>
        <v>0</v>
      </c>
      <c r="AA55" s="235"/>
      <c r="AB55" s="235">
        <f t="shared" si="66"/>
        <v>1990.5833333333333</v>
      </c>
      <c r="AC55" s="235">
        <f t="shared" si="67"/>
        <v>2021</v>
      </c>
      <c r="AD55" s="235">
        <f t="shared" si="68"/>
        <v>2000.5833333333333</v>
      </c>
      <c r="AE55" s="413">
        <f t="shared" si="69"/>
        <v>2020</v>
      </c>
      <c r="AF55" s="413">
        <f t="shared" si="70"/>
        <v>-8.3333333333333329E-2</v>
      </c>
      <c r="AG55" s="413">
        <f t="shared" si="71"/>
        <v>2000.5833333333333</v>
      </c>
      <c r="AH55" s="413">
        <f t="shared" si="72"/>
        <v>2020</v>
      </c>
      <c r="AI55" s="413">
        <f t="shared" si="73"/>
        <v>-8.3333333333333329E-2</v>
      </c>
      <c r="AJ55" s="307"/>
      <c r="AK55" s="307"/>
      <c r="AL55" s="307"/>
    </row>
    <row r="56" spans="1:38" ht="15.75">
      <c r="A56" s="307">
        <v>79</v>
      </c>
      <c r="B56" s="415" t="s">
        <v>694</v>
      </c>
      <c r="C56" s="410">
        <v>1991</v>
      </c>
      <c r="D56" s="407">
        <v>5</v>
      </c>
      <c r="E56" s="411"/>
      <c r="F56" s="397" t="s">
        <v>668</v>
      </c>
      <c r="G56" s="397">
        <v>10</v>
      </c>
      <c r="H56" s="407">
        <f t="shared" si="55"/>
        <v>2001</v>
      </c>
      <c r="I56" s="393"/>
      <c r="J56" s="393"/>
      <c r="K56" s="417">
        <v>1807</v>
      </c>
      <c r="L56" s="393"/>
      <c r="M56" s="235">
        <f t="shared" si="56"/>
        <v>1807</v>
      </c>
      <c r="N56" s="235">
        <f t="shared" si="57"/>
        <v>15.058333333333332</v>
      </c>
      <c r="O56" s="235">
        <f t="shared" si="58"/>
        <v>0</v>
      </c>
      <c r="P56" s="235">
        <f t="shared" si="59"/>
        <v>0</v>
      </c>
      <c r="Q56" s="235">
        <f t="shared" si="60"/>
        <v>0</v>
      </c>
      <c r="R56" s="393">
        <v>1</v>
      </c>
      <c r="S56" s="235">
        <f t="shared" si="61"/>
        <v>0</v>
      </c>
      <c r="T56" s="393"/>
      <c r="U56" s="235">
        <f t="shared" si="62"/>
        <v>1807</v>
      </c>
      <c r="V56" s="235">
        <f t="shared" si="63"/>
        <v>1807</v>
      </c>
      <c r="W56" s="393">
        <v>1</v>
      </c>
      <c r="X56" s="235">
        <f t="shared" si="64"/>
        <v>1807</v>
      </c>
      <c r="Y56" s="235">
        <f t="shared" si="65"/>
        <v>1807</v>
      </c>
      <c r="Z56" s="235">
        <f>IF(L56&gt;0,(K56-X56)/2,IF(AB56&gt;=AE56,(((K56*R56)*W56)-Y56)/2,((((K56*R56)*W56)-X56)+(((K56*R56)*W56)-Y56))/2))</f>
        <v>0</v>
      </c>
      <c r="AA56" s="235"/>
      <c r="AB56" s="235">
        <f t="shared" si="66"/>
        <v>1991.3333333333333</v>
      </c>
      <c r="AC56" s="235">
        <f t="shared" si="67"/>
        <v>2021</v>
      </c>
      <c r="AD56" s="235">
        <f t="shared" si="68"/>
        <v>2001.3333333333333</v>
      </c>
      <c r="AE56" s="413">
        <f t="shared" si="69"/>
        <v>2020</v>
      </c>
      <c r="AF56" s="413">
        <f t="shared" si="70"/>
        <v>-8.3333333333333329E-2</v>
      </c>
      <c r="AG56" s="413">
        <f t="shared" si="71"/>
        <v>2001.3333333333333</v>
      </c>
      <c r="AH56" s="413">
        <f t="shared" si="72"/>
        <v>2020</v>
      </c>
      <c r="AI56" s="413">
        <f t="shared" si="73"/>
        <v>-8.3333333333333329E-2</v>
      </c>
      <c r="AJ56" s="307"/>
      <c r="AK56" s="307"/>
      <c r="AL56" s="307"/>
    </row>
    <row r="57" spans="1:38" ht="15.75">
      <c r="A57" s="307">
        <v>126</v>
      </c>
      <c r="B57" s="415" t="s">
        <v>694</v>
      </c>
      <c r="C57" s="410">
        <v>1992</v>
      </c>
      <c r="D57" s="407">
        <v>6</v>
      </c>
      <c r="E57" s="411"/>
      <c r="F57" s="397" t="s">
        <v>668</v>
      </c>
      <c r="G57" s="397">
        <v>10</v>
      </c>
      <c r="H57" s="407">
        <f t="shared" si="55"/>
        <v>2002</v>
      </c>
      <c r="I57" s="393"/>
      <c r="J57" s="393"/>
      <c r="K57" s="417">
        <v>2850</v>
      </c>
      <c r="L57" s="393"/>
      <c r="M57" s="235">
        <f t="shared" si="56"/>
        <v>2850</v>
      </c>
      <c r="N57" s="235">
        <f t="shared" si="57"/>
        <v>23.75</v>
      </c>
      <c r="O57" s="235">
        <f t="shared" si="58"/>
        <v>0</v>
      </c>
      <c r="P57" s="235">
        <f t="shared" si="59"/>
        <v>0</v>
      </c>
      <c r="Q57" s="235">
        <f t="shared" si="60"/>
        <v>0</v>
      </c>
      <c r="R57" s="393">
        <v>1</v>
      </c>
      <c r="S57" s="235">
        <f t="shared" si="61"/>
        <v>0</v>
      </c>
      <c r="T57" s="393"/>
      <c r="U57" s="235">
        <f t="shared" si="62"/>
        <v>2850</v>
      </c>
      <c r="V57" s="235">
        <f t="shared" si="63"/>
        <v>2850</v>
      </c>
      <c r="W57" s="393">
        <v>1</v>
      </c>
      <c r="X57" s="235">
        <f t="shared" si="64"/>
        <v>2850</v>
      </c>
      <c r="Y57" s="235">
        <f t="shared" si="65"/>
        <v>2850</v>
      </c>
      <c r="Z57" s="235">
        <f>+M57-Y57</f>
        <v>0</v>
      </c>
      <c r="AA57" s="235"/>
      <c r="AB57" s="235">
        <f t="shared" si="66"/>
        <v>1992.4166666666667</v>
      </c>
      <c r="AC57" s="235">
        <f t="shared" si="67"/>
        <v>2021</v>
      </c>
      <c r="AD57" s="235">
        <f t="shared" si="68"/>
        <v>2002.4166666666667</v>
      </c>
      <c r="AE57" s="413">
        <f t="shared" si="69"/>
        <v>2020</v>
      </c>
      <c r="AF57" s="413">
        <f t="shared" si="70"/>
        <v>-8.3333333333333329E-2</v>
      </c>
      <c r="AG57" s="413">
        <f t="shared" si="71"/>
        <v>2002.4166666666667</v>
      </c>
      <c r="AH57" s="413">
        <f t="shared" si="72"/>
        <v>2020</v>
      </c>
      <c r="AI57" s="413">
        <f t="shared" si="73"/>
        <v>-8.3333333333333329E-2</v>
      </c>
      <c r="AJ57" s="307"/>
      <c r="AK57" s="307"/>
      <c r="AL57" s="307"/>
    </row>
    <row r="58" spans="1:38" ht="15.75">
      <c r="A58" s="307">
        <v>143</v>
      </c>
      <c r="B58" s="415" t="s">
        <v>694</v>
      </c>
      <c r="C58" s="410">
        <v>1992</v>
      </c>
      <c r="D58" s="407">
        <v>11</v>
      </c>
      <c r="E58" s="411"/>
      <c r="F58" s="397" t="s">
        <v>668</v>
      </c>
      <c r="G58" s="397">
        <v>10</v>
      </c>
      <c r="H58" s="407">
        <f t="shared" si="55"/>
        <v>2002</v>
      </c>
      <c r="I58" s="393"/>
      <c r="J58" s="393"/>
      <c r="K58" s="417">
        <v>2660</v>
      </c>
      <c r="L58" s="393"/>
      <c r="M58" s="235">
        <f t="shared" si="56"/>
        <v>2660</v>
      </c>
      <c r="N58" s="235">
        <f t="shared" si="57"/>
        <v>22.166666666666668</v>
      </c>
      <c r="O58" s="235">
        <f t="shared" si="58"/>
        <v>0</v>
      </c>
      <c r="P58" s="235">
        <f t="shared" si="59"/>
        <v>0</v>
      </c>
      <c r="Q58" s="235">
        <f t="shared" si="60"/>
        <v>0</v>
      </c>
      <c r="R58" s="393">
        <v>1</v>
      </c>
      <c r="S58" s="235">
        <f t="shared" si="61"/>
        <v>0</v>
      </c>
      <c r="T58" s="393"/>
      <c r="U58" s="235">
        <f t="shared" si="62"/>
        <v>2660</v>
      </c>
      <c r="V58" s="235">
        <f t="shared" si="63"/>
        <v>2660</v>
      </c>
      <c r="W58" s="393">
        <v>1</v>
      </c>
      <c r="X58" s="235">
        <f t="shared" si="64"/>
        <v>2660</v>
      </c>
      <c r="Y58" s="235">
        <f t="shared" si="65"/>
        <v>2660</v>
      </c>
      <c r="Z58" s="235">
        <f>+M58-Y58</f>
        <v>0</v>
      </c>
      <c r="AA58" s="235"/>
      <c r="AB58" s="235">
        <f t="shared" si="66"/>
        <v>1992.8333333333333</v>
      </c>
      <c r="AC58" s="235">
        <f t="shared" si="67"/>
        <v>2021</v>
      </c>
      <c r="AD58" s="235">
        <f t="shared" si="68"/>
        <v>2002.8333333333333</v>
      </c>
      <c r="AE58" s="413">
        <f t="shared" si="69"/>
        <v>2020</v>
      </c>
      <c r="AF58" s="413">
        <f t="shared" si="70"/>
        <v>-8.3333333333333329E-2</v>
      </c>
      <c r="AG58" s="413">
        <f t="shared" si="71"/>
        <v>2002.8333333333333</v>
      </c>
      <c r="AH58" s="413">
        <f t="shared" si="72"/>
        <v>2020</v>
      </c>
      <c r="AI58" s="413">
        <f t="shared" si="73"/>
        <v>-8.3333333333333329E-2</v>
      </c>
      <c r="AJ58" s="307"/>
      <c r="AK58" s="307"/>
      <c r="AL58" s="307"/>
    </row>
    <row r="59" spans="1:38" ht="15.75">
      <c r="A59" s="307">
        <v>63</v>
      </c>
      <c r="B59" s="415" t="s">
        <v>698</v>
      </c>
      <c r="C59" s="410">
        <v>1995</v>
      </c>
      <c r="D59" s="407">
        <v>11</v>
      </c>
      <c r="E59" s="411"/>
      <c r="F59" s="397" t="s">
        <v>668</v>
      </c>
      <c r="G59" s="397">
        <v>10</v>
      </c>
      <c r="H59" s="407">
        <f t="shared" si="55"/>
        <v>2005</v>
      </c>
      <c r="I59" s="393"/>
      <c r="J59" s="393"/>
      <c r="K59" s="417">
        <v>356</v>
      </c>
      <c r="L59" s="393"/>
      <c r="M59" s="235">
        <f t="shared" si="56"/>
        <v>356</v>
      </c>
      <c r="N59" s="235">
        <f t="shared" si="57"/>
        <v>2.9666666666666668</v>
      </c>
      <c r="O59" s="235">
        <f t="shared" si="58"/>
        <v>0</v>
      </c>
      <c r="P59" s="235">
        <f t="shared" si="59"/>
        <v>0</v>
      </c>
      <c r="Q59" s="235">
        <f t="shared" si="60"/>
        <v>0</v>
      </c>
      <c r="R59" s="393">
        <v>1</v>
      </c>
      <c r="S59" s="235">
        <f t="shared" si="61"/>
        <v>0</v>
      </c>
      <c r="T59" s="393"/>
      <c r="U59" s="235">
        <f t="shared" si="62"/>
        <v>356</v>
      </c>
      <c r="V59" s="235">
        <f t="shared" si="63"/>
        <v>356</v>
      </c>
      <c r="W59" s="393">
        <v>1</v>
      </c>
      <c r="X59" s="235">
        <f t="shared" si="64"/>
        <v>356</v>
      </c>
      <c r="Y59" s="235">
        <f t="shared" si="65"/>
        <v>356</v>
      </c>
      <c r="Z59" s="235">
        <f>IF(L59&gt;0,(K59-X59)/2,IF(AB59&gt;=AE59,(((K59*R59)*W59)-Y59)/2,((((K59*R59)*W59)-X59)+(((K59*R59)*W59)-Y59))/2))</f>
        <v>0</v>
      </c>
      <c r="AA59" s="235"/>
      <c r="AB59" s="235">
        <f t="shared" si="66"/>
        <v>1995.8333333333333</v>
      </c>
      <c r="AC59" s="235">
        <f t="shared" si="67"/>
        <v>2021</v>
      </c>
      <c r="AD59" s="235">
        <f t="shared" si="68"/>
        <v>2005.8333333333333</v>
      </c>
      <c r="AE59" s="413">
        <f t="shared" si="69"/>
        <v>2020</v>
      </c>
      <c r="AF59" s="413">
        <f t="shared" si="70"/>
        <v>-8.3333333333333329E-2</v>
      </c>
      <c r="AG59" s="413">
        <f t="shared" si="71"/>
        <v>2005.8333333333333</v>
      </c>
      <c r="AH59" s="413">
        <f t="shared" si="72"/>
        <v>2020</v>
      </c>
      <c r="AI59" s="413">
        <f t="shared" si="73"/>
        <v>-8.3333333333333329E-2</v>
      </c>
      <c r="AJ59" s="307"/>
      <c r="AK59" s="307"/>
      <c r="AL59" s="307"/>
    </row>
    <row r="60" spans="1:38" ht="15.75">
      <c r="A60" s="307">
        <v>80</v>
      </c>
      <c r="B60" s="415" t="s">
        <v>694</v>
      </c>
      <c r="C60" s="410">
        <v>1995</v>
      </c>
      <c r="D60" s="407">
        <v>2</v>
      </c>
      <c r="E60" s="411"/>
      <c r="F60" s="397" t="s">
        <v>668</v>
      </c>
      <c r="G60" s="397">
        <v>10</v>
      </c>
      <c r="H60" s="407">
        <f t="shared" si="55"/>
        <v>2005</v>
      </c>
      <c r="I60" s="393"/>
      <c r="J60" s="393"/>
      <c r="K60" s="417">
        <v>787</v>
      </c>
      <c r="L60" s="393"/>
      <c r="M60" s="235">
        <f t="shared" si="56"/>
        <v>787</v>
      </c>
      <c r="N60" s="235">
        <f t="shared" si="57"/>
        <v>6.5583333333333336</v>
      </c>
      <c r="O60" s="235">
        <f t="shared" si="58"/>
        <v>0</v>
      </c>
      <c r="P60" s="235">
        <f t="shared" si="59"/>
        <v>0</v>
      </c>
      <c r="Q60" s="235">
        <f t="shared" si="60"/>
        <v>0</v>
      </c>
      <c r="R60" s="393">
        <v>1</v>
      </c>
      <c r="S60" s="235">
        <f t="shared" si="61"/>
        <v>0</v>
      </c>
      <c r="T60" s="393"/>
      <c r="U60" s="235">
        <f t="shared" si="62"/>
        <v>787</v>
      </c>
      <c r="V60" s="235">
        <f t="shared" si="63"/>
        <v>787</v>
      </c>
      <c r="W60" s="393">
        <v>1</v>
      </c>
      <c r="X60" s="235">
        <f t="shared" si="64"/>
        <v>787</v>
      </c>
      <c r="Y60" s="235">
        <f t="shared" si="65"/>
        <v>787</v>
      </c>
      <c r="Z60" s="235">
        <f>IF(L60&gt;0,(K60-X60)/2,IF(AB60&gt;=AE60,(((K60*R60)*W60)-Y60)/2,((((K60*R60)*W60)-X60)+(((K60*R60)*W60)-Y60))/2))</f>
        <v>0</v>
      </c>
      <c r="AA60" s="235"/>
      <c r="AB60" s="235">
        <f t="shared" si="66"/>
        <v>1995.0833333333333</v>
      </c>
      <c r="AC60" s="235">
        <f t="shared" si="67"/>
        <v>2021</v>
      </c>
      <c r="AD60" s="235">
        <f t="shared" si="68"/>
        <v>2005.0833333333333</v>
      </c>
      <c r="AE60" s="413">
        <f t="shared" si="69"/>
        <v>2020</v>
      </c>
      <c r="AF60" s="413">
        <f t="shared" si="70"/>
        <v>-8.3333333333333329E-2</v>
      </c>
      <c r="AG60" s="413">
        <f t="shared" si="71"/>
        <v>2005.0833333333333</v>
      </c>
      <c r="AH60" s="413">
        <f t="shared" si="72"/>
        <v>2020</v>
      </c>
      <c r="AI60" s="413">
        <f t="shared" si="73"/>
        <v>-8.3333333333333329E-2</v>
      </c>
      <c r="AJ60" s="307"/>
      <c r="AK60" s="307"/>
      <c r="AL60" s="307"/>
    </row>
    <row r="61" spans="1:38" ht="15.75">
      <c r="A61" s="307">
        <v>85</v>
      </c>
      <c r="B61" s="415" t="s">
        <v>694</v>
      </c>
      <c r="C61" s="410">
        <v>1995</v>
      </c>
      <c r="D61" s="407">
        <v>6</v>
      </c>
      <c r="E61" s="411"/>
      <c r="F61" s="397" t="s">
        <v>668</v>
      </c>
      <c r="G61" s="397">
        <v>10</v>
      </c>
      <c r="H61" s="407">
        <f t="shared" si="55"/>
        <v>2005</v>
      </c>
      <c r="I61" s="393"/>
      <c r="J61" s="393"/>
      <c r="K61" s="417">
        <v>850</v>
      </c>
      <c r="L61" s="393"/>
      <c r="M61" s="235">
        <f t="shared" si="56"/>
        <v>850</v>
      </c>
      <c r="N61" s="235">
        <f t="shared" si="57"/>
        <v>7.083333333333333</v>
      </c>
      <c r="O61" s="235">
        <f t="shared" si="58"/>
        <v>0</v>
      </c>
      <c r="P61" s="235">
        <f t="shared" si="59"/>
        <v>0</v>
      </c>
      <c r="Q61" s="235">
        <f t="shared" si="60"/>
        <v>0</v>
      </c>
      <c r="R61" s="393">
        <v>1</v>
      </c>
      <c r="S61" s="235">
        <f t="shared" si="61"/>
        <v>0</v>
      </c>
      <c r="T61" s="393"/>
      <c r="U61" s="235">
        <f t="shared" si="62"/>
        <v>850</v>
      </c>
      <c r="V61" s="235">
        <f t="shared" si="63"/>
        <v>850</v>
      </c>
      <c r="W61" s="393">
        <v>1</v>
      </c>
      <c r="X61" s="235">
        <f t="shared" si="64"/>
        <v>850</v>
      </c>
      <c r="Y61" s="235">
        <f t="shared" si="65"/>
        <v>850</v>
      </c>
      <c r="Z61" s="235">
        <f>+M61-Y61</f>
        <v>0</v>
      </c>
      <c r="AA61" s="235"/>
      <c r="AB61" s="235">
        <f t="shared" si="66"/>
        <v>1995.4166666666667</v>
      </c>
      <c r="AC61" s="235">
        <f t="shared" si="67"/>
        <v>2021</v>
      </c>
      <c r="AD61" s="235">
        <f t="shared" si="68"/>
        <v>2005.4166666666667</v>
      </c>
      <c r="AE61" s="413">
        <f t="shared" si="69"/>
        <v>2020</v>
      </c>
      <c r="AF61" s="413">
        <f t="shared" si="70"/>
        <v>-8.3333333333333329E-2</v>
      </c>
      <c r="AG61" s="413">
        <f t="shared" si="71"/>
        <v>2005.4166666666667</v>
      </c>
      <c r="AH61" s="413">
        <f t="shared" si="72"/>
        <v>2020</v>
      </c>
      <c r="AI61" s="413">
        <f t="shared" si="73"/>
        <v>-8.3333333333333329E-2</v>
      </c>
      <c r="AJ61" s="307"/>
      <c r="AK61" s="307"/>
      <c r="AL61" s="307"/>
    </row>
    <row r="62" spans="1:38" ht="15.75">
      <c r="A62" s="307">
        <v>100</v>
      </c>
      <c r="B62" s="415" t="s">
        <v>694</v>
      </c>
      <c r="C62" s="410">
        <v>1995</v>
      </c>
      <c r="D62" s="407">
        <v>4</v>
      </c>
      <c r="E62" s="411"/>
      <c r="F62" s="397" t="s">
        <v>668</v>
      </c>
      <c r="G62" s="397">
        <v>10</v>
      </c>
      <c r="H62" s="407">
        <f t="shared" si="55"/>
        <v>2005</v>
      </c>
      <c r="I62" s="393"/>
      <c r="J62" s="393"/>
      <c r="K62" s="417">
        <v>21415</v>
      </c>
      <c r="L62" s="393"/>
      <c r="M62" s="235">
        <f t="shared" si="56"/>
        <v>21415</v>
      </c>
      <c r="N62" s="235">
        <f t="shared" si="57"/>
        <v>178.45833333333334</v>
      </c>
      <c r="O62" s="235">
        <f t="shared" si="58"/>
        <v>0</v>
      </c>
      <c r="P62" s="235">
        <f t="shared" si="59"/>
        <v>0</v>
      </c>
      <c r="Q62" s="235">
        <f t="shared" si="60"/>
        <v>0</v>
      </c>
      <c r="R62" s="393">
        <v>1</v>
      </c>
      <c r="S62" s="235">
        <f t="shared" si="61"/>
        <v>0</v>
      </c>
      <c r="T62" s="393"/>
      <c r="U62" s="235">
        <f t="shared" si="62"/>
        <v>21415</v>
      </c>
      <c r="V62" s="235">
        <f t="shared" si="63"/>
        <v>21415</v>
      </c>
      <c r="W62" s="393">
        <v>1</v>
      </c>
      <c r="X62" s="235">
        <f t="shared" si="64"/>
        <v>21415</v>
      </c>
      <c r="Y62" s="235">
        <f t="shared" si="65"/>
        <v>21415</v>
      </c>
      <c r="Z62" s="235">
        <f>+M62-Y62</f>
        <v>0</v>
      </c>
      <c r="AA62" s="235"/>
      <c r="AB62" s="235">
        <f t="shared" si="66"/>
        <v>1995.25</v>
      </c>
      <c r="AC62" s="235">
        <f t="shared" si="67"/>
        <v>2021</v>
      </c>
      <c r="AD62" s="235">
        <f t="shared" si="68"/>
        <v>2005.25</v>
      </c>
      <c r="AE62" s="413">
        <f t="shared" si="69"/>
        <v>2020</v>
      </c>
      <c r="AF62" s="413">
        <f t="shared" si="70"/>
        <v>-8.3333333333333329E-2</v>
      </c>
      <c r="AG62" s="413">
        <f t="shared" si="71"/>
        <v>2005.25</v>
      </c>
      <c r="AH62" s="413">
        <f t="shared" si="72"/>
        <v>2020</v>
      </c>
      <c r="AI62" s="413">
        <f t="shared" si="73"/>
        <v>-8.3333333333333329E-2</v>
      </c>
      <c r="AJ62" s="307"/>
      <c r="AK62" s="307"/>
      <c r="AL62" s="307"/>
    </row>
    <row r="63" spans="1:38" ht="15.75">
      <c r="A63" s="307">
        <v>102</v>
      </c>
      <c r="B63" s="415" t="s">
        <v>694</v>
      </c>
      <c r="C63" s="410">
        <v>1995</v>
      </c>
      <c r="D63" s="407">
        <v>6</v>
      </c>
      <c r="E63" s="411"/>
      <c r="F63" s="397" t="s">
        <v>668</v>
      </c>
      <c r="G63" s="397">
        <v>10</v>
      </c>
      <c r="H63" s="407">
        <f t="shared" si="55"/>
        <v>2005</v>
      </c>
      <c r="I63" s="393"/>
      <c r="J63" s="393"/>
      <c r="K63" s="417">
        <v>2250</v>
      </c>
      <c r="L63" s="393"/>
      <c r="M63" s="235">
        <f t="shared" si="56"/>
        <v>2250</v>
      </c>
      <c r="N63" s="235">
        <f t="shared" si="57"/>
        <v>18.75</v>
      </c>
      <c r="O63" s="235">
        <f t="shared" si="58"/>
        <v>0</v>
      </c>
      <c r="P63" s="235">
        <f t="shared" si="59"/>
        <v>0</v>
      </c>
      <c r="Q63" s="235">
        <f t="shared" si="60"/>
        <v>0</v>
      </c>
      <c r="R63" s="393">
        <v>1</v>
      </c>
      <c r="S63" s="235">
        <f t="shared" si="61"/>
        <v>0</v>
      </c>
      <c r="T63" s="393"/>
      <c r="U63" s="235">
        <f t="shared" si="62"/>
        <v>2250</v>
      </c>
      <c r="V63" s="235">
        <f t="shared" si="63"/>
        <v>2250</v>
      </c>
      <c r="W63" s="393">
        <v>1</v>
      </c>
      <c r="X63" s="235">
        <f t="shared" si="64"/>
        <v>2250</v>
      </c>
      <c r="Y63" s="235">
        <f t="shared" si="65"/>
        <v>2250</v>
      </c>
      <c r="Z63" s="235">
        <f>+M63-Y63</f>
        <v>0</v>
      </c>
      <c r="AA63" s="235"/>
      <c r="AB63" s="235">
        <f t="shared" si="66"/>
        <v>1995.4166666666667</v>
      </c>
      <c r="AC63" s="235">
        <f t="shared" si="67"/>
        <v>2021</v>
      </c>
      <c r="AD63" s="235">
        <f t="shared" si="68"/>
        <v>2005.4166666666667</v>
      </c>
      <c r="AE63" s="413">
        <f t="shared" si="69"/>
        <v>2020</v>
      </c>
      <c r="AF63" s="413">
        <f t="shared" si="70"/>
        <v>-8.3333333333333329E-2</v>
      </c>
      <c r="AG63" s="413">
        <f t="shared" si="71"/>
        <v>2005.4166666666667</v>
      </c>
      <c r="AH63" s="413">
        <f t="shared" si="72"/>
        <v>2020</v>
      </c>
      <c r="AI63" s="413">
        <f t="shared" si="73"/>
        <v>-8.3333333333333329E-2</v>
      </c>
      <c r="AJ63" s="307"/>
      <c r="AK63" s="307"/>
      <c r="AL63" s="307"/>
    </row>
    <row r="64" spans="1:38" ht="15.75">
      <c r="A64" s="307">
        <v>115</v>
      </c>
      <c r="B64" s="415" t="s">
        <v>694</v>
      </c>
      <c r="C64" s="410">
        <v>1995</v>
      </c>
      <c r="D64" s="407">
        <v>7</v>
      </c>
      <c r="E64" s="411"/>
      <c r="F64" s="397" t="s">
        <v>668</v>
      </c>
      <c r="G64" s="397">
        <v>10</v>
      </c>
      <c r="H64" s="407">
        <f t="shared" si="55"/>
        <v>2005</v>
      </c>
      <c r="I64" s="393"/>
      <c r="J64" s="393"/>
      <c r="K64" s="417">
        <v>691</v>
      </c>
      <c r="L64" s="393"/>
      <c r="M64" s="235">
        <f t="shared" si="56"/>
        <v>691</v>
      </c>
      <c r="N64" s="235">
        <f t="shared" si="57"/>
        <v>5.7583333333333329</v>
      </c>
      <c r="O64" s="235">
        <f t="shared" si="58"/>
        <v>0</v>
      </c>
      <c r="P64" s="235">
        <f t="shared" si="59"/>
        <v>0</v>
      </c>
      <c r="Q64" s="235">
        <f t="shared" si="60"/>
        <v>0</v>
      </c>
      <c r="R64" s="393">
        <v>1</v>
      </c>
      <c r="S64" s="235">
        <f t="shared" si="61"/>
        <v>0</v>
      </c>
      <c r="T64" s="393"/>
      <c r="U64" s="235">
        <f t="shared" si="62"/>
        <v>691</v>
      </c>
      <c r="V64" s="235">
        <f t="shared" si="63"/>
        <v>691</v>
      </c>
      <c r="W64" s="393">
        <v>1</v>
      </c>
      <c r="X64" s="235">
        <f t="shared" si="64"/>
        <v>691</v>
      </c>
      <c r="Y64" s="235">
        <f t="shared" si="65"/>
        <v>691</v>
      </c>
      <c r="Z64" s="235">
        <f>+M64-Y64</f>
        <v>0</v>
      </c>
      <c r="AA64" s="235"/>
      <c r="AB64" s="235">
        <f t="shared" si="66"/>
        <v>1995.5</v>
      </c>
      <c r="AC64" s="235">
        <f t="shared" si="67"/>
        <v>2021</v>
      </c>
      <c r="AD64" s="235">
        <f t="shared" si="68"/>
        <v>2005.5</v>
      </c>
      <c r="AE64" s="413">
        <f t="shared" si="69"/>
        <v>2020</v>
      </c>
      <c r="AF64" s="413">
        <f t="shared" si="70"/>
        <v>-8.3333333333333329E-2</v>
      </c>
      <c r="AG64" s="413">
        <f t="shared" si="71"/>
        <v>2005.5</v>
      </c>
      <c r="AH64" s="413">
        <f t="shared" si="72"/>
        <v>2020</v>
      </c>
      <c r="AI64" s="413">
        <f t="shared" si="73"/>
        <v>-8.3333333333333329E-2</v>
      </c>
      <c r="AJ64" s="307"/>
      <c r="AK64" s="307"/>
      <c r="AL64" s="307"/>
    </row>
    <row r="65" spans="1:38" ht="15.75">
      <c r="A65" s="307">
        <v>116</v>
      </c>
      <c r="B65" s="415" t="s">
        <v>694</v>
      </c>
      <c r="C65" s="410">
        <v>1995</v>
      </c>
      <c r="D65" s="407">
        <v>6</v>
      </c>
      <c r="E65" s="411"/>
      <c r="F65" s="397" t="s">
        <v>668</v>
      </c>
      <c r="G65" s="397">
        <v>10</v>
      </c>
      <c r="H65" s="407">
        <f t="shared" si="55"/>
        <v>2005</v>
      </c>
      <c r="I65" s="393"/>
      <c r="J65" s="393"/>
      <c r="K65" s="417">
        <v>3995</v>
      </c>
      <c r="L65" s="393"/>
      <c r="M65" s="235">
        <f t="shared" si="56"/>
        <v>3995</v>
      </c>
      <c r="N65" s="235">
        <f t="shared" si="57"/>
        <v>33.291666666666664</v>
      </c>
      <c r="O65" s="235">
        <f t="shared" si="58"/>
        <v>0</v>
      </c>
      <c r="P65" s="235">
        <f t="shared" si="59"/>
        <v>0</v>
      </c>
      <c r="Q65" s="235">
        <f t="shared" si="60"/>
        <v>0</v>
      </c>
      <c r="R65" s="393">
        <v>1</v>
      </c>
      <c r="S65" s="235">
        <f t="shared" si="61"/>
        <v>0</v>
      </c>
      <c r="T65" s="393"/>
      <c r="U65" s="235">
        <f t="shared" si="62"/>
        <v>3995</v>
      </c>
      <c r="V65" s="235">
        <f t="shared" si="63"/>
        <v>3995</v>
      </c>
      <c r="W65" s="393">
        <v>1</v>
      </c>
      <c r="X65" s="235">
        <f t="shared" si="64"/>
        <v>3995</v>
      </c>
      <c r="Y65" s="235">
        <f t="shared" si="65"/>
        <v>3995</v>
      </c>
      <c r="Z65" s="235">
        <f>+M65-Y65</f>
        <v>0</v>
      </c>
      <c r="AA65" s="235"/>
      <c r="AB65" s="235">
        <f t="shared" si="66"/>
        <v>1995.4166666666667</v>
      </c>
      <c r="AC65" s="235">
        <f t="shared" si="67"/>
        <v>2021</v>
      </c>
      <c r="AD65" s="235">
        <f t="shared" si="68"/>
        <v>2005.4166666666667</v>
      </c>
      <c r="AE65" s="413">
        <f t="shared" si="69"/>
        <v>2020</v>
      </c>
      <c r="AF65" s="413">
        <f t="shared" si="70"/>
        <v>-8.3333333333333329E-2</v>
      </c>
      <c r="AG65" s="413">
        <f t="shared" si="71"/>
        <v>2005.4166666666667</v>
      </c>
      <c r="AH65" s="413">
        <f t="shared" si="72"/>
        <v>2020</v>
      </c>
      <c r="AI65" s="413">
        <f t="shared" si="73"/>
        <v>-8.3333333333333329E-2</v>
      </c>
      <c r="AJ65" s="307"/>
      <c r="AK65" s="307"/>
      <c r="AL65" s="307"/>
    </row>
    <row r="66" spans="1:38" ht="15.75">
      <c r="A66" s="307">
        <v>68</v>
      </c>
      <c r="B66" s="415" t="s">
        <v>694</v>
      </c>
      <c r="C66" s="410">
        <v>1996</v>
      </c>
      <c r="D66" s="407">
        <v>10</v>
      </c>
      <c r="E66" s="411"/>
      <c r="F66" s="397" t="s">
        <v>668</v>
      </c>
      <c r="G66" s="397">
        <v>10</v>
      </c>
      <c r="H66" s="407">
        <f t="shared" si="55"/>
        <v>2006</v>
      </c>
      <c r="I66" s="393"/>
      <c r="J66" s="393"/>
      <c r="K66" s="417">
        <v>3437</v>
      </c>
      <c r="L66" s="393"/>
      <c r="M66" s="235">
        <f t="shared" si="56"/>
        <v>3437</v>
      </c>
      <c r="N66" s="235">
        <f t="shared" si="57"/>
        <v>28.641666666666666</v>
      </c>
      <c r="O66" s="235">
        <f t="shared" si="58"/>
        <v>0</v>
      </c>
      <c r="P66" s="235">
        <f t="shared" si="59"/>
        <v>0</v>
      </c>
      <c r="Q66" s="235">
        <f t="shared" si="60"/>
        <v>0</v>
      </c>
      <c r="R66" s="393">
        <v>1</v>
      </c>
      <c r="S66" s="235">
        <f t="shared" si="61"/>
        <v>0</v>
      </c>
      <c r="T66" s="393"/>
      <c r="U66" s="235">
        <f t="shared" si="62"/>
        <v>3437</v>
      </c>
      <c r="V66" s="235">
        <f t="shared" si="63"/>
        <v>3437</v>
      </c>
      <c r="W66" s="393">
        <v>1</v>
      </c>
      <c r="X66" s="235">
        <f t="shared" si="64"/>
        <v>3437</v>
      </c>
      <c r="Y66" s="235">
        <f t="shared" si="65"/>
        <v>3437</v>
      </c>
      <c r="Z66" s="235">
        <f>IF(L66&gt;0,(K66-X66)/2,IF(AB66&gt;=AE66,(((K66*R66)*W66)-Y66)/2,((((K66*R66)*W66)-X66)+(((K66*R66)*W66)-Y66))/2))</f>
        <v>0</v>
      </c>
      <c r="AA66" s="235"/>
      <c r="AB66" s="235">
        <f t="shared" si="66"/>
        <v>1996.75</v>
      </c>
      <c r="AC66" s="235">
        <f t="shared" si="67"/>
        <v>2021</v>
      </c>
      <c r="AD66" s="235">
        <f t="shared" si="68"/>
        <v>2006.75</v>
      </c>
      <c r="AE66" s="413">
        <f t="shared" si="69"/>
        <v>2020</v>
      </c>
      <c r="AF66" s="413">
        <f t="shared" si="70"/>
        <v>-8.3333333333333329E-2</v>
      </c>
      <c r="AG66" s="413">
        <f t="shared" si="71"/>
        <v>2006.75</v>
      </c>
      <c r="AH66" s="413">
        <f t="shared" si="72"/>
        <v>2020</v>
      </c>
      <c r="AI66" s="413">
        <f t="shared" si="73"/>
        <v>-8.3333333333333329E-2</v>
      </c>
      <c r="AJ66" s="307"/>
      <c r="AK66" s="307"/>
      <c r="AL66" s="307"/>
    </row>
    <row r="67" spans="1:38" ht="15.75">
      <c r="A67" s="307">
        <v>72</v>
      </c>
      <c r="B67" s="415" t="s">
        <v>694</v>
      </c>
      <c r="C67" s="410">
        <v>1996</v>
      </c>
      <c r="D67" s="407">
        <v>2</v>
      </c>
      <c r="E67" s="411"/>
      <c r="F67" s="397" t="s">
        <v>668</v>
      </c>
      <c r="G67" s="397">
        <v>10</v>
      </c>
      <c r="H67" s="407">
        <f t="shared" si="55"/>
        <v>2006</v>
      </c>
      <c r="I67" s="393"/>
      <c r="J67" s="393"/>
      <c r="K67" s="417">
        <v>851</v>
      </c>
      <c r="L67" s="393"/>
      <c r="M67" s="235">
        <f t="shared" si="56"/>
        <v>851</v>
      </c>
      <c r="N67" s="235">
        <f t="shared" si="57"/>
        <v>7.0916666666666659</v>
      </c>
      <c r="O67" s="235">
        <f t="shared" si="58"/>
        <v>0</v>
      </c>
      <c r="P67" s="235">
        <f t="shared" si="59"/>
        <v>0</v>
      </c>
      <c r="Q67" s="235">
        <f t="shared" si="60"/>
        <v>0</v>
      </c>
      <c r="R67" s="393">
        <v>1</v>
      </c>
      <c r="S67" s="235">
        <f t="shared" si="61"/>
        <v>0</v>
      </c>
      <c r="T67" s="393"/>
      <c r="U67" s="235">
        <f t="shared" si="62"/>
        <v>851</v>
      </c>
      <c r="V67" s="235">
        <f t="shared" si="63"/>
        <v>851</v>
      </c>
      <c r="W67" s="393">
        <v>1</v>
      </c>
      <c r="X67" s="235">
        <f t="shared" si="64"/>
        <v>851</v>
      </c>
      <c r="Y67" s="235">
        <f t="shared" si="65"/>
        <v>851</v>
      </c>
      <c r="Z67" s="235">
        <f>IF(L67&gt;0,(K67-X67)/2,IF(AB67&gt;=AE67,(((K67*R67)*W67)-Y67)/2,((((K67*R67)*W67)-X67)+(((K67*R67)*W67)-Y67))/2))</f>
        <v>0</v>
      </c>
      <c r="AA67" s="235"/>
      <c r="AB67" s="235">
        <f t="shared" si="66"/>
        <v>1996.0833333333333</v>
      </c>
      <c r="AC67" s="235">
        <f t="shared" si="67"/>
        <v>2021</v>
      </c>
      <c r="AD67" s="235">
        <f t="shared" si="68"/>
        <v>2006.0833333333333</v>
      </c>
      <c r="AE67" s="413">
        <f t="shared" si="69"/>
        <v>2020</v>
      </c>
      <c r="AF67" s="413">
        <f t="shared" si="70"/>
        <v>-8.3333333333333329E-2</v>
      </c>
      <c r="AG67" s="413">
        <f t="shared" si="71"/>
        <v>2006.0833333333333</v>
      </c>
      <c r="AH67" s="413">
        <f t="shared" si="72"/>
        <v>2020</v>
      </c>
      <c r="AI67" s="413">
        <f t="shared" si="73"/>
        <v>-8.3333333333333329E-2</v>
      </c>
      <c r="AJ67" s="307"/>
      <c r="AK67" s="307"/>
      <c r="AL67" s="307"/>
    </row>
    <row r="68" spans="1:38" ht="15.75">
      <c r="A68" s="307">
        <v>91</v>
      </c>
      <c r="B68" s="415" t="s">
        <v>694</v>
      </c>
      <c r="C68" s="410">
        <v>1996</v>
      </c>
      <c r="D68" s="407">
        <v>8</v>
      </c>
      <c r="E68" s="411"/>
      <c r="F68" s="397" t="s">
        <v>668</v>
      </c>
      <c r="G68" s="397">
        <v>10</v>
      </c>
      <c r="H68" s="407">
        <f t="shared" si="55"/>
        <v>2006</v>
      </c>
      <c r="I68" s="393"/>
      <c r="J68" s="393"/>
      <c r="K68" s="417">
        <v>1533</v>
      </c>
      <c r="L68" s="393"/>
      <c r="M68" s="235">
        <f t="shared" si="56"/>
        <v>1533</v>
      </c>
      <c r="N68" s="235">
        <f t="shared" si="57"/>
        <v>12.775</v>
      </c>
      <c r="O68" s="235">
        <f t="shared" si="58"/>
        <v>0</v>
      </c>
      <c r="P68" s="235">
        <f t="shared" si="59"/>
        <v>0</v>
      </c>
      <c r="Q68" s="235">
        <f t="shared" si="60"/>
        <v>0</v>
      </c>
      <c r="R68" s="393">
        <v>1</v>
      </c>
      <c r="S68" s="235">
        <f t="shared" si="61"/>
        <v>0</v>
      </c>
      <c r="T68" s="393"/>
      <c r="U68" s="235">
        <f t="shared" si="62"/>
        <v>1533</v>
      </c>
      <c r="V68" s="235">
        <f t="shared" si="63"/>
        <v>1533</v>
      </c>
      <c r="W68" s="393">
        <v>1</v>
      </c>
      <c r="X68" s="235">
        <f t="shared" si="64"/>
        <v>1533</v>
      </c>
      <c r="Y68" s="235">
        <f t="shared" si="65"/>
        <v>1533</v>
      </c>
      <c r="Z68" s="235">
        <f>+M68-Y68</f>
        <v>0</v>
      </c>
      <c r="AA68" s="235"/>
      <c r="AB68" s="235">
        <f t="shared" si="66"/>
        <v>1996.5833333333333</v>
      </c>
      <c r="AC68" s="235">
        <f t="shared" si="67"/>
        <v>2021</v>
      </c>
      <c r="AD68" s="235">
        <f t="shared" si="68"/>
        <v>2006.5833333333333</v>
      </c>
      <c r="AE68" s="413">
        <f t="shared" si="69"/>
        <v>2020</v>
      </c>
      <c r="AF68" s="413">
        <f t="shared" si="70"/>
        <v>-8.3333333333333329E-2</v>
      </c>
      <c r="AG68" s="413">
        <f t="shared" si="71"/>
        <v>2006.5833333333333</v>
      </c>
      <c r="AH68" s="413">
        <f t="shared" si="72"/>
        <v>2020</v>
      </c>
      <c r="AI68" s="413">
        <f t="shared" si="73"/>
        <v>-8.3333333333333329E-2</v>
      </c>
      <c r="AJ68" s="307"/>
      <c r="AK68" s="307"/>
      <c r="AL68" s="307"/>
    </row>
    <row r="69" spans="1:38" ht="15.75">
      <c r="A69" s="307">
        <v>141</v>
      </c>
      <c r="B69" s="415" t="s">
        <v>694</v>
      </c>
      <c r="C69" s="410">
        <v>1996</v>
      </c>
      <c r="D69" s="407">
        <v>5</v>
      </c>
      <c r="E69" s="411"/>
      <c r="F69" s="397" t="s">
        <v>668</v>
      </c>
      <c r="G69" s="397">
        <v>10</v>
      </c>
      <c r="H69" s="407">
        <f t="shared" si="55"/>
        <v>2006</v>
      </c>
      <c r="I69" s="393"/>
      <c r="J69" s="393"/>
      <c r="K69" s="417">
        <v>4377</v>
      </c>
      <c r="L69" s="393"/>
      <c r="M69" s="235">
        <f t="shared" si="56"/>
        <v>4377</v>
      </c>
      <c r="N69" s="235">
        <f t="shared" si="57"/>
        <v>36.475000000000001</v>
      </c>
      <c r="O69" s="235">
        <f t="shared" si="58"/>
        <v>0</v>
      </c>
      <c r="P69" s="235">
        <f t="shared" si="59"/>
        <v>0</v>
      </c>
      <c r="Q69" s="235">
        <f t="shared" si="60"/>
        <v>0</v>
      </c>
      <c r="R69" s="393">
        <v>1</v>
      </c>
      <c r="S69" s="235">
        <f t="shared" si="61"/>
        <v>0</v>
      </c>
      <c r="T69" s="393"/>
      <c r="U69" s="235">
        <f t="shared" si="62"/>
        <v>4377</v>
      </c>
      <c r="V69" s="235">
        <f t="shared" si="63"/>
        <v>4377</v>
      </c>
      <c r="W69" s="393">
        <v>1</v>
      </c>
      <c r="X69" s="235">
        <f t="shared" si="64"/>
        <v>4377</v>
      </c>
      <c r="Y69" s="235">
        <f t="shared" si="65"/>
        <v>4377</v>
      </c>
      <c r="Z69" s="235">
        <f>+M69-Y69</f>
        <v>0</v>
      </c>
      <c r="AA69" s="235"/>
      <c r="AB69" s="235">
        <f t="shared" si="66"/>
        <v>1996.3333333333333</v>
      </c>
      <c r="AC69" s="235">
        <f t="shared" si="67"/>
        <v>2021</v>
      </c>
      <c r="AD69" s="235">
        <f t="shared" si="68"/>
        <v>2006.3333333333333</v>
      </c>
      <c r="AE69" s="413">
        <f t="shared" si="69"/>
        <v>2020</v>
      </c>
      <c r="AF69" s="413">
        <f t="shared" si="70"/>
        <v>-8.3333333333333329E-2</v>
      </c>
      <c r="AG69" s="413">
        <f t="shared" si="71"/>
        <v>2006.3333333333333</v>
      </c>
      <c r="AH69" s="413">
        <f t="shared" si="72"/>
        <v>2020</v>
      </c>
      <c r="AI69" s="413">
        <f t="shared" si="73"/>
        <v>-8.3333333333333329E-2</v>
      </c>
      <c r="AJ69" s="307"/>
      <c r="AK69" s="307"/>
      <c r="AL69" s="307"/>
    </row>
    <row r="70" spans="1:38" ht="15.75">
      <c r="A70" s="307">
        <v>142</v>
      </c>
      <c r="B70" s="415" t="s">
        <v>694</v>
      </c>
      <c r="C70" s="410">
        <v>1996</v>
      </c>
      <c r="D70" s="407">
        <v>11</v>
      </c>
      <c r="E70" s="411"/>
      <c r="F70" s="397" t="s">
        <v>668</v>
      </c>
      <c r="G70" s="397">
        <v>10</v>
      </c>
      <c r="H70" s="407">
        <f t="shared" si="55"/>
        <v>2006</v>
      </c>
      <c r="I70" s="393"/>
      <c r="J70" s="393"/>
      <c r="K70" s="417">
        <v>685</v>
      </c>
      <c r="L70" s="393"/>
      <c r="M70" s="235">
        <f t="shared" si="56"/>
        <v>685</v>
      </c>
      <c r="N70" s="235">
        <f t="shared" si="57"/>
        <v>5.708333333333333</v>
      </c>
      <c r="O70" s="235">
        <f t="shared" si="58"/>
        <v>0</v>
      </c>
      <c r="P70" s="235">
        <f t="shared" si="59"/>
        <v>0</v>
      </c>
      <c r="Q70" s="235">
        <f t="shared" si="60"/>
        <v>0</v>
      </c>
      <c r="R70" s="393">
        <v>1</v>
      </c>
      <c r="S70" s="235">
        <f t="shared" si="61"/>
        <v>0</v>
      </c>
      <c r="T70" s="393"/>
      <c r="U70" s="235">
        <f t="shared" si="62"/>
        <v>685</v>
      </c>
      <c r="V70" s="235">
        <f t="shared" si="63"/>
        <v>685</v>
      </c>
      <c r="W70" s="393">
        <v>1</v>
      </c>
      <c r="X70" s="235">
        <f t="shared" si="64"/>
        <v>685</v>
      </c>
      <c r="Y70" s="235">
        <f t="shared" si="65"/>
        <v>685</v>
      </c>
      <c r="Z70" s="235">
        <f>+M70-Y70</f>
        <v>0</v>
      </c>
      <c r="AA70" s="235"/>
      <c r="AB70" s="235">
        <f t="shared" si="66"/>
        <v>1996.8333333333333</v>
      </c>
      <c r="AC70" s="235">
        <f t="shared" si="67"/>
        <v>2021</v>
      </c>
      <c r="AD70" s="235">
        <f t="shared" si="68"/>
        <v>2006.8333333333333</v>
      </c>
      <c r="AE70" s="413">
        <f t="shared" si="69"/>
        <v>2020</v>
      </c>
      <c r="AF70" s="413">
        <f t="shared" si="70"/>
        <v>-8.3333333333333329E-2</v>
      </c>
      <c r="AG70" s="413">
        <f t="shared" si="71"/>
        <v>2006.8333333333333</v>
      </c>
      <c r="AH70" s="413">
        <f t="shared" si="72"/>
        <v>2020</v>
      </c>
      <c r="AI70" s="413">
        <f t="shared" si="73"/>
        <v>-8.3333333333333329E-2</v>
      </c>
      <c r="AJ70" s="307"/>
      <c r="AK70" s="307"/>
      <c r="AL70" s="307"/>
    </row>
    <row r="71" spans="1:38" ht="15.75">
      <c r="A71" s="307">
        <v>77</v>
      </c>
      <c r="B71" s="415" t="s">
        <v>694</v>
      </c>
      <c r="C71" s="410">
        <v>1997</v>
      </c>
      <c r="D71" s="407">
        <v>8</v>
      </c>
      <c r="E71" s="411"/>
      <c r="F71" s="397" t="s">
        <v>668</v>
      </c>
      <c r="G71" s="397">
        <v>10</v>
      </c>
      <c r="H71" s="407">
        <f t="shared" si="55"/>
        <v>2007</v>
      </c>
      <c r="I71" s="393"/>
      <c r="J71" s="393"/>
      <c r="K71" s="417">
        <v>960</v>
      </c>
      <c r="L71" s="393"/>
      <c r="M71" s="235">
        <f t="shared" si="56"/>
        <v>960</v>
      </c>
      <c r="N71" s="235">
        <f t="shared" si="57"/>
        <v>8</v>
      </c>
      <c r="O71" s="235">
        <f t="shared" si="58"/>
        <v>0</v>
      </c>
      <c r="P71" s="235">
        <f t="shared" si="59"/>
        <v>0</v>
      </c>
      <c r="Q71" s="235">
        <f t="shared" si="60"/>
        <v>0</v>
      </c>
      <c r="R71" s="393">
        <v>1</v>
      </c>
      <c r="S71" s="235">
        <f t="shared" si="61"/>
        <v>0</v>
      </c>
      <c r="T71" s="393"/>
      <c r="U71" s="235">
        <f t="shared" si="62"/>
        <v>960</v>
      </c>
      <c r="V71" s="235">
        <f t="shared" si="63"/>
        <v>960</v>
      </c>
      <c r="W71" s="393">
        <v>1</v>
      </c>
      <c r="X71" s="235">
        <f t="shared" si="64"/>
        <v>960</v>
      </c>
      <c r="Y71" s="235">
        <f t="shared" si="65"/>
        <v>960</v>
      </c>
      <c r="Z71" s="235">
        <f>IF(L71&gt;0,(K71-X71)/2,IF(AB71&gt;=AE71,(((K71*R71)*W71)-Y71)/2,((((K71*R71)*W71)-X71)+(((K71*R71)*W71)-Y71))/2))</f>
        <v>0</v>
      </c>
      <c r="AA71" s="235"/>
      <c r="AB71" s="235">
        <f t="shared" si="66"/>
        <v>1997.5833333333333</v>
      </c>
      <c r="AC71" s="235">
        <f t="shared" si="67"/>
        <v>2021</v>
      </c>
      <c r="AD71" s="235">
        <f t="shared" si="68"/>
        <v>2007.5833333333333</v>
      </c>
      <c r="AE71" s="413">
        <f t="shared" si="69"/>
        <v>2020</v>
      </c>
      <c r="AF71" s="413">
        <f t="shared" si="70"/>
        <v>-8.3333333333333329E-2</v>
      </c>
      <c r="AG71" s="413">
        <f t="shared" si="71"/>
        <v>2007.5833333333333</v>
      </c>
      <c r="AH71" s="413">
        <f t="shared" si="72"/>
        <v>2020</v>
      </c>
      <c r="AI71" s="413">
        <f t="shared" si="73"/>
        <v>-8.3333333333333329E-2</v>
      </c>
      <c r="AJ71" s="307"/>
      <c r="AK71" s="307"/>
      <c r="AL71" s="307"/>
    </row>
    <row r="72" spans="1:38" ht="15.75">
      <c r="A72" s="307">
        <v>110</v>
      </c>
      <c r="B72" s="415" t="s">
        <v>694</v>
      </c>
      <c r="C72" s="410">
        <v>1997</v>
      </c>
      <c r="D72" s="407">
        <v>10</v>
      </c>
      <c r="E72" s="411"/>
      <c r="F72" s="397" t="s">
        <v>668</v>
      </c>
      <c r="G72" s="397">
        <v>10</v>
      </c>
      <c r="H72" s="407">
        <f t="shared" si="55"/>
        <v>2007</v>
      </c>
      <c r="I72" s="393"/>
      <c r="J72" s="393"/>
      <c r="K72" s="417">
        <v>1938</v>
      </c>
      <c r="L72" s="393"/>
      <c r="M72" s="235">
        <f t="shared" si="56"/>
        <v>1938</v>
      </c>
      <c r="N72" s="235">
        <f t="shared" si="57"/>
        <v>16.150000000000002</v>
      </c>
      <c r="O72" s="235">
        <f t="shared" si="58"/>
        <v>0</v>
      </c>
      <c r="P72" s="235">
        <f t="shared" si="59"/>
        <v>0</v>
      </c>
      <c r="Q72" s="235">
        <f t="shared" si="60"/>
        <v>0</v>
      </c>
      <c r="R72" s="393">
        <v>1</v>
      </c>
      <c r="S72" s="235">
        <f t="shared" si="61"/>
        <v>0</v>
      </c>
      <c r="T72" s="393"/>
      <c r="U72" s="235">
        <f t="shared" si="62"/>
        <v>1938</v>
      </c>
      <c r="V72" s="235">
        <f t="shared" si="63"/>
        <v>1938</v>
      </c>
      <c r="W72" s="393">
        <v>1</v>
      </c>
      <c r="X72" s="235">
        <f t="shared" si="64"/>
        <v>1938</v>
      </c>
      <c r="Y72" s="235">
        <f t="shared" si="65"/>
        <v>1938</v>
      </c>
      <c r="Z72" s="235">
        <f>+M72-Y72</f>
        <v>0</v>
      </c>
      <c r="AA72" s="235"/>
      <c r="AB72" s="235">
        <f t="shared" si="66"/>
        <v>1997.75</v>
      </c>
      <c r="AC72" s="235">
        <f t="shared" si="67"/>
        <v>2021</v>
      </c>
      <c r="AD72" s="235">
        <f t="shared" si="68"/>
        <v>2007.75</v>
      </c>
      <c r="AE72" s="413">
        <f t="shared" si="69"/>
        <v>2020</v>
      </c>
      <c r="AF72" s="413">
        <f t="shared" si="70"/>
        <v>-8.3333333333333329E-2</v>
      </c>
      <c r="AG72" s="413">
        <f t="shared" si="71"/>
        <v>2007.75</v>
      </c>
      <c r="AH72" s="413">
        <f t="shared" si="72"/>
        <v>2020</v>
      </c>
      <c r="AI72" s="413">
        <f t="shared" si="73"/>
        <v>-8.3333333333333329E-2</v>
      </c>
      <c r="AJ72" s="307"/>
      <c r="AK72" s="307"/>
      <c r="AL72" s="307"/>
    </row>
    <row r="73" spans="1:38" ht="15.75">
      <c r="A73" s="307">
        <v>123</v>
      </c>
      <c r="B73" s="415" t="s">
        <v>694</v>
      </c>
      <c r="C73" s="410">
        <v>1997</v>
      </c>
      <c r="D73" s="407">
        <v>4</v>
      </c>
      <c r="E73" s="411"/>
      <c r="F73" s="397" t="s">
        <v>668</v>
      </c>
      <c r="G73" s="397">
        <v>10</v>
      </c>
      <c r="H73" s="407">
        <f t="shared" si="55"/>
        <v>2007</v>
      </c>
      <c r="I73" s="393"/>
      <c r="J73" s="393"/>
      <c r="K73" s="417">
        <v>3704</v>
      </c>
      <c r="L73" s="393"/>
      <c r="M73" s="235">
        <f t="shared" si="56"/>
        <v>3704</v>
      </c>
      <c r="N73" s="235">
        <f t="shared" si="57"/>
        <v>30.866666666666664</v>
      </c>
      <c r="O73" s="235">
        <f t="shared" si="58"/>
        <v>0</v>
      </c>
      <c r="P73" s="235">
        <f t="shared" si="59"/>
        <v>0</v>
      </c>
      <c r="Q73" s="235">
        <f t="shared" si="60"/>
        <v>0</v>
      </c>
      <c r="R73" s="393">
        <v>1</v>
      </c>
      <c r="S73" s="235">
        <f t="shared" si="61"/>
        <v>0</v>
      </c>
      <c r="T73" s="393"/>
      <c r="U73" s="235">
        <f t="shared" si="62"/>
        <v>3704</v>
      </c>
      <c r="V73" s="235">
        <f t="shared" si="63"/>
        <v>3704</v>
      </c>
      <c r="W73" s="393">
        <v>1</v>
      </c>
      <c r="X73" s="235">
        <f t="shared" si="64"/>
        <v>3704</v>
      </c>
      <c r="Y73" s="235">
        <f t="shared" si="65"/>
        <v>3704</v>
      </c>
      <c r="Z73" s="235">
        <f>+M73-Y73</f>
        <v>0</v>
      </c>
      <c r="AA73" s="235"/>
      <c r="AB73" s="235">
        <f t="shared" si="66"/>
        <v>1997.25</v>
      </c>
      <c r="AC73" s="235">
        <f t="shared" si="67"/>
        <v>2021</v>
      </c>
      <c r="AD73" s="235">
        <f t="shared" si="68"/>
        <v>2007.25</v>
      </c>
      <c r="AE73" s="413">
        <f t="shared" si="69"/>
        <v>2020</v>
      </c>
      <c r="AF73" s="413">
        <f t="shared" si="70"/>
        <v>-8.3333333333333329E-2</v>
      </c>
      <c r="AG73" s="413">
        <f t="shared" si="71"/>
        <v>2007.25</v>
      </c>
      <c r="AH73" s="413">
        <f t="shared" si="72"/>
        <v>2020</v>
      </c>
      <c r="AI73" s="413">
        <f t="shared" si="73"/>
        <v>-8.3333333333333329E-2</v>
      </c>
      <c r="AJ73" s="307"/>
      <c r="AK73" s="307"/>
      <c r="AL73" s="307"/>
    </row>
    <row r="74" spans="1:38" ht="15.75">
      <c r="A74" s="307">
        <v>129</v>
      </c>
      <c r="B74" s="415" t="s">
        <v>694</v>
      </c>
      <c r="C74" s="410">
        <v>1997</v>
      </c>
      <c r="D74" s="407">
        <v>4</v>
      </c>
      <c r="E74" s="411"/>
      <c r="F74" s="397" t="s">
        <v>668</v>
      </c>
      <c r="G74" s="397">
        <v>10</v>
      </c>
      <c r="H74" s="407">
        <f t="shared" si="55"/>
        <v>2007</v>
      </c>
      <c r="I74" s="393"/>
      <c r="J74" s="393"/>
      <c r="K74" s="417">
        <v>1576</v>
      </c>
      <c r="L74" s="393"/>
      <c r="M74" s="235">
        <f t="shared" si="56"/>
        <v>1576</v>
      </c>
      <c r="N74" s="235">
        <f t="shared" si="57"/>
        <v>13.133333333333333</v>
      </c>
      <c r="O74" s="235">
        <f t="shared" si="58"/>
        <v>0</v>
      </c>
      <c r="P74" s="235">
        <f t="shared" si="59"/>
        <v>0</v>
      </c>
      <c r="Q74" s="235">
        <f t="shared" si="60"/>
        <v>0</v>
      </c>
      <c r="R74" s="393">
        <v>1</v>
      </c>
      <c r="S74" s="235">
        <f t="shared" si="61"/>
        <v>0</v>
      </c>
      <c r="T74" s="393"/>
      <c r="U74" s="235">
        <f t="shared" si="62"/>
        <v>1576</v>
      </c>
      <c r="V74" s="235">
        <f t="shared" si="63"/>
        <v>1576</v>
      </c>
      <c r="W74" s="393">
        <v>1</v>
      </c>
      <c r="X74" s="235">
        <f t="shared" si="64"/>
        <v>1576</v>
      </c>
      <c r="Y74" s="235">
        <f t="shared" si="65"/>
        <v>1576</v>
      </c>
      <c r="Z74" s="235">
        <f>+M74-Y74</f>
        <v>0</v>
      </c>
      <c r="AA74" s="235"/>
      <c r="AB74" s="235">
        <f t="shared" si="66"/>
        <v>1997.25</v>
      </c>
      <c r="AC74" s="235">
        <f t="shared" si="67"/>
        <v>2021</v>
      </c>
      <c r="AD74" s="235">
        <f t="shared" si="68"/>
        <v>2007.25</v>
      </c>
      <c r="AE74" s="413">
        <f t="shared" si="69"/>
        <v>2020</v>
      </c>
      <c r="AF74" s="413">
        <f t="shared" si="70"/>
        <v>-8.3333333333333329E-2</v>
      </c>
      <c r="AG74" s="413">
        <f t="shared" si="71"/>
        <v>2007.25</v>
      </c>
      <c r="AH74" s="413">
        <f t="shared" si="72"/>
        <v>2020</v>
      </c>
      <c r="AI74" s="413">
        <f t="shared" si="73"/>
        <v>-8.3333333333333329E-2</v>
      </c>
      <c r="AJ74" s="307"/>
      <c r="AK74" s="307"/>
      <c r="AL74" s="307"/>
    </row>
    <row r="75" spans="1:38" ht="15.75">
      <c r="A75" s="307">
        <v>139</v>
      </c>
      <c r="B75" s="415" t="s">
        <v>694</v>
      </c>
      <c r="C75" s="410">
        <v>1997</v>
      </c>
      <c r="D75" s="407">
        <v>6</v>
      </c>
      <c r="E75" s="411"/>
      <c r="F75" s="397" t="s">
        <v>668</v>
      </c>
      <c r="G75" s="397">
        <v>10</v>
      </c>
      <c r="H75" s="407">
        <f t="shared" si="55"/>
        <v>2007</v>
      </c>
      <c r="I75" s="393"/>
      <c r="J75" s="393"/>
      <c r="K75" s="417">
        <v>1135</v>
      </c>
      <c r="L75" s="393"/>
      <c r="M75" s="235">
        <f t="shared" si="56"/>
        <v>1135</v>
      </c>
      <c r="N75" s="235">
        <f t="shared" si="57"/>
        <v>9.4583333333333339</v>
      </c>
      <c r="O75" s="235">
        <f t="shared" si="58"/>
        <v>0</v>
      </c>
      <c r="P75" s="235">
        <f t="shared" si="59"/>
        <v>0</v>
      </c>
      <c r="Q75" s="235">
        <f t="shared" si="60"/>
        <v>0</v>
      </c>
      <c r="R75" s="393">
        <v>1</v>
      </c>
      <c r="S75" s="235">
        <f t="shared" si="61"/>
        <v>0</v>
      </c>
      <c r="T75" s="393"/>
      <c r="U75" s="235">
        <f t="shared" si="62"/>
        <v>1135</v>
      </c>
      <c r="V75" s="235">
        <f t="shared" si="63"/>
        <v>1135</v>
      </c>
      <c r="W75" s="393">
        <v>1</v>
      </c>
      <c r="X75" s="235">
        <f t="shared" si="64"/>
        <v>1135</v>
      </c>
      <c r="Y75" s="235">
        <f t="shared" si="65"/>
        <v>1135</v>
      </c>
      <c r="Z75" s="235">
        <f>+M75-Y75</f>
        <v>0</v>
      </c>
      <c r="AA75" s="235"/>
      <c r="AB75" s="235">
        <f t="shared" si="66"/>
        <v>1997.4166666666667</v>
      </c>
      <c r="AC75" s="235">
        <f t="shared" si="67"/>
        <v>2021</v>
      </c>
      <c r="AD75" s="235">
        <f t="shared" si="68"/>
        <v>2007.4166666666667</v>
      </c>
      <c r="AE75" s="413">
        <f t="shared" si="69"/>
        <v>2020</v>
      </c>
      <c r="AF75" s="413">
        <f t="shared" si="70"/>
        <v>-8.3333333333333329E-2</v>
      </c>
      <c r="AG75" s="413">
        <f t="shared" si="71"/>
        <v>2007.4166666666667</v>
      </c>
      <c r="AH75" s="413">
        <f t="shared" si="72"/>
        <v>2020</v>
      </c>
      <c r="AI75" s="413">
        <f t="shared" si="73"/>
        <v>-8.3333333333333329E-2</v>
      </c>
      <c r="AJ75" s="307"/>
      <c r="AK75" s="307"/>
      <c r="AL75" s="307"/>
    </row>
    <row r="76" spans="1:38" ht="15.75">
      <c r="A76" s="307">
        <v>70</v>
      </c>
      <c r="B76" s="415" t="s">
        <v>694</v>
      </c>
      <c r="C76" s="410">
        <v>1998</v>
      </c>
      <c r="D76" s="407">
        <v>5</v>
      </c>
      <c r="E76" s="411"/>
      <c r="F76" s="397" t="s">
        <v>668</v>
      </c>
      <c r="G76" s="397">
        <v>10</v>
      </c>
      <c r="H76" s="407">
        <f t="shared" si="55"/>
        <v>2008</v>
      </c>
      <c r="I76" s="393"/>
      <c r="J76" s="393"/>
      <c r="K76" s="417">
        <v>2000</v>
      </c>
      <c r="L76" s="393"/>
      <c r="M76" s="235">
        <f t="shared" si="56"/>
        <v>2000</v>
      </c>
      <c r="N76" s="235">
        <f t="shared" si="57"/>
        <v>16.666666666666668</v>
      </c>
      <c r="O76" s="235">
        <f t="shared" si="58"/>
        <v>0</v>
      </c>
      <c r="P76" s="235">
        <f t="shared" si="59"/>
        <v>0</v>
      </c>
      <c r="Q76" s="235">
        <f t="shared" si="60"/>
        <v>0</v>
      </c>
      <c r="R76" s="393">
        <v>1</v>
      </c>
      <c r="S76" s="235">
        <f t="shared" si="61"/>
        <v>0</v>
      </c>
      <c r="T76" s="393"/>
      <c r="U76" s="235">
        <f t="shared" si="62"/>
        <v>2000</v>
      </c>
      <c r="V76" s="235">
        <f t="shared" si="63"/>
        <v>2000</v>
      </c>
      <c r="W76" s="393">
        <v>1</v>
      </c>
      <c r="X76" s="235">
        <f t="shared" si="64"/>
        <v>2000</v>
      </c>
      <c r="Y76" s="235">
        <f t="shared" si="65"/>
        <v>2000</v>
      </c>
      <c r="Z76" s="235">
        <f>IF(L76&gt;0,(K76-X76)/2,IF(AB76&gt;=AE76,(((K76*R76)*W76)-Y76)/2,((((K76*R76)*W76)-X76)+(((K76*R76)*W76)-Y76))/2))</f>
        <v>0</v>
      </c>
      <c r="AA76" s="235"/>
      <c r="AB76" s="235">
        <f t="shared" si="66"/>
        <v>1998.3333333333333</v>
      </c>
      <c r="AC76" s="235">
        <f t="shared" si="67"/>
        <v>2021</v>
      </c>
      <c r="AD76" s="235">
        <f t="shared" si="68"/>
        <v>2008.3333333333333</v>
      </c>
      <c r="AE76" s="413">
        <f t="shared" si="69"/>
        <v>2020</v>
      </c>
      <c r="AF76" s="413">
        <f t="shared" si="70"/>
        <v>-8.3333333333333329E-2</v>
      </c>
      <c r="AG76" s="413">
        <f t="shared" si="71"/>
        <v>2008.3333333333333</v>
      </c>
      <c r="AH76" s="413">
        <f t="shared" si="72"/>
        <v>2020</v>
      </c>
      <c r="AI76" s="413">
        <f t="shared" si="73"/>
        <v>-8.3333333333333329E-2</v>
      </c>
      <c r="AJ76" s="307"/>
      <c r="AK76" s="307"/>
      <c r="AL76" s="307"/>
    </row>
    <row r="77" spans="1:38" ht="15.75">
      <c r="A77" s="307">
        <v>74</v>
      </c>
      <c r="B77" s="415" t="s">
        <v>694</v>
      </c>
      <c r="C77" s="410">
        <v>1998</v>
      </c>
      <c r="D77" s="407">
        <v>6</v>
      </c>
      <c r="E77" s="411"/>
      <c r="F77" s="397" t="s">
        <v>668</v>
      </c>
      <c r="G77" s="397">
        <v>10</v>
      </c>
      <c r="H77" s="407">
        <f t="shared" si="55"/>
        <v>2008</v>
      </c>
      <c r="I77" s="393"/>
      <c r="J77" s="393"/>
      <c r="K77" s="417">
        <v>3291</v>
      </c>
      <c r="L77" s="393"/>
      <c r="M77" s="235">
        <f t="shared" si="56"/>
        <v>3291</v>
      </c>
      <c r="N77" s="235">
        <f t="shared" si="57"/>
        <v>27.425000000000001</v>
      </c>
      <c r="O77" s="235">
        <f t="shared" si="58"/>
        <v>0</v>
      </c>
      <c r="P77" s="235">
        <f t="shared" si="59"/>
        <v>0</v>
      </c>
      <c r="Q77" s="235">
        <f t="shared" si="60"/>
        <v>0</v>
      </c>
      <c r="R77" s="393">
        <v>1</v>
      </c>
      <c r="S77" s="235">
        <f t="shared" si="61"/>
        <v>0</v>
      </c>
      <c r="T77" s="393"/>
      <c r="U77" s="235">
        <f t="shared" si="62"/>
        <v>3291</v>
      </c>
      <c r="V77" s="235">
        <f t="shared" si="63"/>
        <v>3291</v>
      </c>
      <c r="W77" s="393">
        <v>1</v>
      </c>
      <c r="X77" s="235">
        <f t="shared" si="64"/>
        <v>3291</v>
      </c>
      <c r="Y77" s="235">
        <f t="shared" si="65"/>
        <v>3291</v>
      </c>
      <c r="Z77" s="235">
        <f>IF(L77&gt;0,(K77-X77)/2,IF(AB77&gt;=AE77,(((K77*R77)*W77)-Y77)/2,((((K77*R77)*W77)-X77)+(((K77*R77)*W77)-Y77))/2))</f>
        <v>0</v>
      </c>
      <c r="AA77" s="235"/>
      <c r="AB77" s="235">
        <f t="shared" si="66"/>
        <v>1998.4166666666667</v>
      </c>
      <c r="AC77" s="235">
        <f t="shared" si="67"/>
        <v>2021</v>
      </c>
      <c r="AD77" s="235">
        <f t="shared" si="68"/>
        <v>2008.4166666666667</v>
      </c>
      <c r="AE77" s="413">
        <f t="shared" si="69"/>
        <v>2020</v>
      </c>
      <c r="AF77" s="413">
        <f t="shared" si="70"/>
        <v>-8.3333333333333329E-2</v>
      </c>
      <c r="AG77" s="413">
        <f t="shared" si="71"/>
        <v>2008.4166666666667</v>
      </c>
      <c r="AH77" s="413">
        <f t="shared" si="72"/>
        <v>2020</v>
      </c>
      <c r="AI77" s="413">
        <f t="shared" si="73"/>
        <v>-8.3333333333333329E-2</v>
      </c>
      <c r="AJ77" s="307"/>
      <c r="AK77" s="307"/>
      <c r="AL77" s="307"/>
    </row>
    <row r="78" spans="1:38" ht="15.75">
      <c r="A78" s="307">
        <v>75</v>
      </c>
      <c r="B78" s="415" t="s">
        <v>694</v>
      </c>
      <c r="C78" s="410">
        <v>1998</v>
      </c>
      <c r="D78" s="407">
        <v>7</v>
      </c>
      <c r="E78" s="411"/>
      <c r="F78" s="397" t="s">
        <v>668</v>
      </c>
      <c r="G78" s="397">
        <v>10</v>
      </c>
      <c r="H78" s="407">
        <f t="shared" si="55"/>
        <v>2008</v>
      </c>
      <c r="I78" s="393"/>
      <c r="J78" s="393"/>
      <c r="K78" s="417">
        <v>363</v>
      </c>
      <c r="L78" s="393"/>
      <c r="M78" s="235">
        <f t="shared" si="56"/>
        <v>363</v>
      </c>
      <c r="N78" s="235">
        <f t="shared" si="57"/>
        <v>3.0249999999999999</v>
      </c>
      <c r="O78" s="235">
        <f t="shared" si="58"/>
        <v>0</v>
      </c>
      <c r="P78" s="235">
        <f t="shared" si="59"/>
        <v>0</v>
      </c>
      <c r="Q78" s="235">
        <f t="shared" si="60"/>
        <v>0</v>
      </c>
      <c r="R78" s="393">
        <v>1</v>
      </c>
      <c r="S78" s="235">
        <f t="shared" si="61"/>
        <v>0</v>
      </c>
      <c r="T78" s="393"/>
      <c r="U78" s="235">
        <f t="shared" si="62"/>
        <v>363</v>
      </c>
      <c r="V78" s="235">
        <f t="shared" si="63"/>
        <v>363</v>
      </c>
      <c r="W78" s="393">
        <v>1</v>
      </c>
      <c r="X78" s="235">
        <f t="shared" si="64"/>
        <v>363</v>
      </c>
      <c r="Y78" s="235">
        <f t="shared" si="65"/>
        <v>363</v>
      </c>
      <c r="Z78" s="235">
        <f>IF(L78&gt;0,(K78-X78)/2,IF(AB78&gt;=AE78,(((K78*R78)*W78)-Y78)/2,((((K78*R78)*W78)-X78)+(((K78*R78)*W78)-Y78))/2))</f>
        <v>0</v>
      </c>
      <c r="AA78" s="235"/>
      <c r="AB78" s="235">
        <f t="shared" si="66"/>
        <v>1998.5</v>
      </c>
      <c r="AC78" s="235">
        <f t="shared" si="67"/>
        <v>2021</v>
      </c>
      <c r="AD78" s="235">
        <f t="shared" si="68"/>
        <v>2008.5</v>
      </c>
      <c r="AE78" s="413">
        <f t="shared" si="69"/>
        <v>2020</v>
      </c>
      <c r="AF78" s="413">
        <f t="shared" si="70"/>
        <v>-8.3333333333333329E-2</v>
      </c>
      <c r="AG78" s="413">
        <f t="shared" si="71"/>
        <v>2008.5</v>
      </c>
      <c r="AH78" s="413">
        <f t="shared" si="72"/>
        <v>2020</v>
      </c>
      <c r="AI78" s="413">
        <f t="shared" si="73"/>
        <v>-8.3333333333333329E-2</v>
      </c>
      <c r="AJ78" s="307"/>
      <c r="AK78" s="307"/>
      <c r="AL78" s="307"/>
    </row>
    <row r="79" spans="1:38" ht="15.75">
      <c r="A79" s="307">
        <v>89</v>
      </c>
      <c r="B79" s="415" t="s">
        <v>694</v>
      </c>
      <c r="C79" s="410">
        <v>1998</v>
      </c>
      <c r="D79" s="407">
        <v>5</v>
      </c>
      <c r="E79" s="411"/>
      <c r="F79" s="397" t="s">
        <v>668</v>
      </c>
      <c r="G79" s="397">
        <v>10</v>
      </c>
      <c r="H79" s="407">
        <f t="shared" si="55"/>
        <v>2008</v>
      </c>
      <c r="I79" s="393"/>
      <c r="J79" s="393"/>
      <c r="K79" s="417">
        <v>1000</v>
      </c>
      <c r="L79" s="393"/>
      <c r="M79" s="235">
        <f t="shared" si="56"/>
        <v>1000</v>
      </c>
      <c r="N79" s="235">
        <f t="shared" si="57"/>
        <v>8.3333333333333339</v>
      </c>
      <c r="O79" s="235">
        <f t="shared" si="58"/>
        <v>0</v>
      </c>
      <c r="P79" s="235">
        <f t="shared" si="59"/>
        <v>0</v>
      </c>
      <c r="Q79" s="235">
        <f t="shared" si="60"/>
        <v>0</v>
      </c>
      <c r="R79" s="393">
        <v>1</v>
      </c>
      <c r="S79" s="235">
        <f t="shared" si="61"/>
        <v>0</v>
      </c>
      <c r="T79" s="393"/>
      <c r="U79" s="235">
        <f t="shared" si="62"/>
        <v>1000</v>
      </c>
      <c r="V79" s="235">
        <f t="shared" si="63"/>
        <v>1000</v>
      </c>
      <c r="W79" s="393">
        <v>1</v>
      </c>
      <c r="X79" s="235">
        <f t="shared" si="64"/>
        <v>1000</v>
      </c>
      <c r="Y79" s="235">
        <f t="shared" si="65"/>
        <v>1000</v>
      </c>
      <c r="Z79" s="235">
        <f>+M79-Y79</f>
        <v>0</v>
      </c>
      <c r="AA79" s="235"/>
      <c r="AB79" s="235">
        <f t="shared" si="66"/>
        <v>1998.3333333333333</v>
      </c>
      <c r="AC79" s="235">
        <f t="shared" si="67"/>
        <v>2021</v>
      </c>
      <c r="AD79" s="235">
        <f t="shared" si="68"/>
        <v>2008.3333333333333</v>
      </c>
      <c r="AE79" s="413">
        <f t="shared" si="69"/>
        <v>2020</v>
      </c>
      <c r="AF79" s="413">
        <f t="shared" si="70"/>
        <v>-8.3333333333333329E-2</v>
      </c>
      <c r="AG79" s="413">
        <f t="shared" si="71"/>
        <v>2008.3333333333333</v>
      </c>
      <c r="AH79" s="413">
        <f t="shared" si="72"/>
        <v>2020</v>
      </c>
      <c r="AI79" s="413">
        <f t="shared" si="73"/>
        <v>-8.3333333333333329E-2</v>
      </c>
      <c r="AJ79" s="307"/>
      <c r="AK79" s="307"/>
      <c r="AL79" s="307"/>
    </row>
    <row r="80" spans="1:38" ht="15.75">
      <c r="A80" s="307">
        <v>101</v>
      </c>
      <c r="B80" s="415" t="s">
        <v>694</v>
      </c>
      <c r="C80" s="410">
        <v>1998</v>
      </c>
      <c r="D80" s="407">
        <v>8</v>
      </c>
      <c r="E80" s="411"/>
      <c r="F80" s="397" t="s">
        <v>668</v>
      </c>
      <c r="G80" s="397">
        <v>10</v>
      </c>
      <c r="H80" s="407">
        <f t="shared" si="55"/>
        <v>2008</v>
      </c>
      <c r="I80" s="393"/>
      <c r="J80" s="393"/>
      <c r="K80" s="417">
        <v>335</v>
      </c>
      <c r="L80" s="393"/>
      <c r="M80" s="235">
        <f t="shared" si="56"/>
        <v>335</v>
      </c>
      <c r="N80" s="235">
        <f t="shared" si="57"/>
        <v>2.7916666666666665</v>
      </c>
      <c r="O80" s="235">
        <f t="shared" si="58"/>
        <v>0</v>
      </c>
      <c r="P80" s="235">
        <f t="shared" si="59"/>
        <v>0</v>
      </c>
      <c r="Q80" s="235">
        <f t="shared" si="60"/>
        <v>0</v>
      </c>
      <c r="R80" s="393">
        <v>1</v>
      </c>
      <c r="S80" s="235">
        <f t="shared" si="61"/>
        <v>0</v>
      </c>
      <c r="T80" s="393"/>
      <c r="U80" s="235">
        <f t="shared" si="62"/>
        <v>335</v>
      </c>
      <c r="V80" s="235">
        <f t="shared" si="63"/>
        <v>335</v>
      </c>
      <c r="W80" s="393">
        <v>1</v>
      </c>
      <c r="X80" s="235">
        <f t="shared" si="64"/>
        <v>335</v>
      </c>
      <c r="Y80" s="235">
        <f t="shared" si="65"/>
        <v>335</v>
      </c>
      <c r="Z80" s="235">
        <f>+M80-Y80</f>
        <v>0</v>
      </c>
      <c r="AA80" s="235"/>
      <c r="AB80" s="235">
        <f t="shared" si="66"/>
        <v>1998.5833333333333</v>
      </c>
      <c r="AC80" s="235">
        <f t="shared" si="67"/>
        <v>2021</v>
      </c>
      <c r="AD80" s="235">
        <f t="shared" si="68"/>
        <v>2008.5833333333333</v>
      </c>
      <c r="AE80" s="413">
        <f t="shared" si="69"/>
        <v>2020</v>
      </c>
      <c r="AF80" s="413">
        <f t="shared" si="70"/>
        <v>-8.3333333333333329E-2</v>
      </c>
      <c r="AG80" s="413">
        <f t="shared" si="71"/>
        <v>2008.5833333333333</v>
      </c>
      <c r="AH80" s="413">
        <f t="shared" si="72"/>
        <v>2020</v>
      </c>
      <c r="AI80" s="413">
        <f t="shared" si="73"/>
        <v>-8.3333333333333329E-2</v>
      </c>
      <c r="AJ80" s="307"/>
      <c r="AK80" s="307"/>
      <c r="AL80" s="307"/>
    </row>
    <row r="81" spans="1:38" ht="15.75">
      <c r="A81" s="307">
        <v>133</v>
      </c>
      <c r="B81" s="415" t="s">
        <v>694</v>
      </c>
      <c r="C81" s="410">
        <v>1998</v>
      </c>
      <c r="D81" s="407">
        <v>8</v>
      </c>
      <c r="E81" s="411"/>
      <c r="F81" s="397" t="s">
        <v>668</v>
      </c>
      <c r="G81" s="397">
        <v>10</v>
      </c>
      <c r="H81" s="407">
        <f t="shared" si="55"/>
        <v>2008</v>
      </c>
      <c r="I81" s="393"/>
      <c r="J81" s="393"/>
      <c r="K81" s="417">
        <v>1005</v>
      </c>
      <c r="L81" s="393"/>
      <c r="M81" s="235">
        <f t="shared" si="56"/>
        <v>1005</v>
      </c>
      <c r="N81" s="235">
        <f t="shared" si="57"/>
        <v>8.375</v>
      </c>
      <c r="O81" s="235">
        <f t="shared" si="58"/>
        <v>0</v>
      </c>
      <c r="P81" s="235">
        <f t="shared" si="59"/>
        <v>0</v>
      </c>
      <c r="Q81" s="235">
        <f t="shared" si="60"/>
        <v>0</v>
      </c>
      <c r="R81" s="393">
        <v>1</v>
      </c>
      <c r="S81" s="235">
        <f t="shared" si="61"/>
        <v>0</v>
      </c>
      <c r="T81" s="393"/>
      <c r="U81" s="235">
        <f t="shared" si="62"/>
        <v>1005</v>
      </c>
      <c r="V81" s="235">
        <f t="shared" si="63"/>
        <v>1005</v>
      </c>
      <c r="W81" s="393">
        <v>1</v>
      </c>
      <c r="X81" s="235">
        <f t="shared" si="64"/>
        <v>1005</v>
      </c>
      <c r="Y81" s="235">
        <f t="shared" si="65"/>
        <v>1005</v>
      </c>
      <c r="Z81" s="235">
        <f>+M81-Y81</f>
        <v>0</v>
      </c>
      <c r="AA81" s="235"/>
      <c r="AB81" s="235">
        <f t="shared" si="66"/>
        <v>1998.5833333333333</v>
      </c>
      <c r="AC81" s="235">
        <f t="shared" si="67"/>
        <v>2021</v>
      </c>
      <c r="AD81" s="235">
        <f t="shared" si="68"/>
        <v>2008.5833333333333</v>
      </c>
      <c r="AE81" s="413">
        <f t="shared" si="69"/>
        <v>2020</v>
      </c>
      <c r="AF81" s="413">
        <f t="shared" si="70"/>
        <v>-8.3333333333333329E-2</v>
      </c>
      <c r="AG81" s="413">
        <f t="shared" si="71"/>
        <v>2008.5833333333333</v>
      </c>
      <c r="AH81" s="413">
        <f t="shared" si="72"/>
        <v>2020</v>
      </c>
      <c r="AI81" s="413">
        <f t="shared" si="73"/>
        <v>-8.3333333333333329E-2</v>
      </c>
      <c r="AJ81" s="307"/>
      <c r="AK81" s="307"/>
      <c r="AL81" s="307"/>
    </row>
    <row r="82" spans="1:38" ht="15.75">
      <c r="A82" s="307">
        <v>144</v>
      </c>
      <c r="B82" s="415" t="s">
        <v>694</v>
      </c>
      <c r="C82" s="410">
        <v>1998</v>
      </c>
      <c r="D82" s="407">
        <v>7</v>
      </c>
      <c r="E82" s="411"/>
      <c r="F82" s="397" t="s">
        <v>668</v>
      </c>
      <c r="G82" s="397">
        <v>10</v>
      </c>
      <c r="H82" s="407">
        <f t="shared" si="55"/>
        <v>2008</v>
      </c>
      <c r="I82" s="393"/>
      <c r="J82" s="393"/>
      <c r="K82" s="417">
        <v>486</v>
      </c>
      <c r="L82" s="393"/>
      <c r="M82" s="235">
        <f t="shared" si="56"/>
        <v>486</v>
      </c>
      <c r="N82" s="235">
        <f t="shared" si="57"/>
        <v>4.05</v>
      </c>
      <c r="O82" s="235">
        <f t="shared" si="58"/>
        <v>0</v>
      </c>
      <c r="P82" s="235">
        <f t="shared" si="59"/>
        <v>0</v>
      </c>
      <c r="Q82" s="235">
        <f t="shared" si="60"/>
        <v>0</v>
      </c>
      <c r="R82" s="393">
        <v>1</v>
      </c>
      <c r="S82" s="235">
        <f t="shared" si="61"/>
        <v>0</v>
      </c>
      <c r="T82" s="393"/>
      <c r="U82" s="235">
        <f t="shared" si="62"/>
        <v>486</v>
      </c>
      <c r="V82" s="235">
        <f t="shared" si="63"/>
        <v>486</v>
      </c>
      <c r="W82" s="393">
        <v>1</v>
      </c>
      <c r="X82" s="235">
        <f t="shared" si="64"/>
        <v>486</v>
      </c>
      <c r="Y82" s="235">
        <f t="shared" si="65"/>
        <v>486</v>
      </c>
      <c r="Z82" s="235">
        <f>+M82-Y82</f>
        <v>0</v>
      </c>
      <c r="AA82" s="235"/>
      <c r="AB82" s="235">
        <f t="shared" si="66"/>
        <v>1998.5</v>
      </c>
      <c r="AC82" s="235">
        <f t="shared" si="67"/>
        <v>2021</v>
      </c>
      <c r="AD82" s="235">
        <f t="shared" si="68"/>
        <v>2008.5</v>
      </c>
      <c r="AE82" s="413">
        <f t="shared" si="69"/>
        <v>2020</v>
      </c>
      <c r="AF82" s="413">
        <f t="shared" si="70"/>
        <v>-8.3333333333333329E-2</v>
      </c>
      <c r="AG82" s="413">
        <f t="shared" si="71"/>
        <v>2008.5</v>
      </c>
      <c r="AH82" s="413">
        <f t="shared" si="72"/>
        <v>2020</v>
      </c>
      <c r="AI82" s="413">
        <f t="shared" si="73"/>
        <v>-8.3333333333333329E-2</v>
      </c>
      <c r="AJ82" s="307"/>
      <c r="AK82" s="307"/>
      <c r="AL82" s="307"/>
    </row>
    <row r="83" spans="1:38" ht="15.75">
      <c r="A83" s="307">
        <v>7</v>
      </c>
      <c r="B83" s="415" t="s">
        <v>699</v>
      </c>
      <c r="C83" s="410">
        <v>1999</v>
      </c>
      <c r="D83" s="407">
        <v>7</v>
      </c>
      <c r="E83" s="411"/>
      <c r="F83" s="397" t="s">
        <v>668</v>
      </c>
      <c r="G83" s="397">
        <v>10</v>
      </c>
      <c r="H83" s="407">
        <f t="shared" si="55"/>
        <v>2009</v>
      </c>
      <c r="I83" s="393"/>
      <c r="J83" s="393"/>
      <c r="K83" s="417">
        <v>724</v>
      </c>
      <c r="L83" s="393"/>
      <c r="M83" s="235">
        <f t="shared" si="56"/>
        <v>724</v>
      </c>
      <c r="N83" s="235">
        <f t="shared" si="57"/>
        <v>6.0333333333333341</v>
      </c>
      <c r="O83" s="235">
        <f t="shared" si="58"/>
        <v>0</v>
      </c>
      <c r="P83" s="235">
        <f t="shared" si="59"/>
        <v>0</v>
      </c>
      <c r="Q83" s="235">
        <f t="shared" si="60"/>
        <v>0</v>
      </c>
      <c r="R83" s="393">
        <v>1</v>
      </c>
      <c r="S83" s="235">
        <f t="shared" si="61"/>
        <v>0</v>
      </c>
      <c r="T83" s="393"/>
      <c r="U83" s="235">
        <f t="shared" si="62"/>
        <v>724</v>
      </c>
      <c r="V83" s="235">
        <f t="shared" si="63"/>
        <v>724</v>
      </c>
      <c r="W83" s="393">
        <v>1</v>
      </c>
      <c r="X83" s="235">
        <f t="shared" si="64"/>
        <v>724</v>
      </c>
      <c r="Y83" s="235">
        <f t="shared" si="65"/>
        <v>724</v>
      </c>
      <c r="Z83" s="235">
        <f>IF(L83&gt;0,(K83-X83)/2,IF(AB83&gt;=AE83,(((K83*R83)*W83)-Y83)/2,((((K83*R83)*W83)-X83)+(((K83*R83)*W83)-Y83))/2))</f>
        <v>0</v>
      </c>
      <c r="AA83" s="235"/>
      <c r="AB83" s="235">
        <f t="shared" si="66"/>
        <v>1999.5</v>
      </c>
      <c r="AC83" s="235">
        <f t="shared" si="67"/>
        <v>2021</v>
      </c>
      <c r="AD83" s="235">
        <f t="shared" si="68"/>
        <v>2009.5</v>
      </c>
      <c r="AE83" s="413">
        <f t="shared" si="69"/>
        <v>2020</v>
      </c>
      <c r="AF83" s="413">
        <f t="shared" si="70"/>
        <v>-8.3333333333333329E-2</v>
      </c>
      <c r="AG83" s="413">
        <f t="shared" si="71"/>
        <v>2009.5</v>
      </c>
      <c r="AH83" s="413">
        <f t="shared" si="72"/>
        <v>2020</v>
      </c>
      <c r="AI83" s="413">
        <f t="shared" si="73"/>
        <v>-8.3333333333333329E-2</v>
      </c>
      <c r="AJ83" s="307"/>
      <c r="AK83" s="307"/>
      <c r="AL83" s="307"/>
    </row>
    <row r="84" spans="1:38" ht="15.75">
      <c r="A84" s="307">
        <v>8</v>
      </c>
      <c r="B84" s="415" t="s">
        <v>700</v>
      </c>
      <c r="C84" s="410">
        <v>1999</v>
      </c>
      <c r="D84" s="407">
        <v>9</v>
      </c>
      <c r="E84" s="411"/>
      <c r="F84" s="397" t="s">
        <v>668</v>
      </c>
      <c r="G84" s="397">
        <v>10</v>
      </c>
      <c r="H84" s="407">
        <f t="shared" si="55"/>
        <v>2009</v>
      </c>
      <c r="I84" s="393"/>
      <c r="J84" s="393"/>
      <c r="K84" s="417">
        <v>1843</v>
      </c>
      <c r="L84" s="393"/>
      <c r="M84" s="235">
        <f t="shared" si="56"/>
        <v>1843</v>
      </c>
      <c r="N84" s="235">
        <f t="shared" si="57"/>
        <v>15.358333333333334</v>
      </c>
      <c r="O84" s="235">
        <f t="shared" si="58"/>
        <v>0</v>
      </c>
      <c r="P84" s="235">
        <f t="shared" si="59"/>
        <v>0</v>
      </c>
      <c r="Q84" s="235">
        <f t="shared" si="60"/>
        <v>0</v>
      </c>
      <c r="R84" s="393">
        <v>1</v>
      </c>
      <c r="S84" s="235">
        <f t="shared" si="61"/>
        <v>0</v>
      </c>
      <c r="T84" s="393"/>
      <c r="U84" s="235">
        <f t="shared" si="62"/>
        <v>1843</v>
      </c>
      <c r="V84" s="235">
        <f t="shared" si="63"/>
        <v>1843</v>
      </c>
      <c r="W84" s="393">
        <v>1</v>
      </c>
      <c r="X84" s="235">
        <f t="shared" si="64"/>
        <v>1843</v>
      </c>
      <c r="Y84" s="235">
        <f t="shared" si="65"/>
        <v>1843</v>
      </c>
      <c r="Z84" s="235">
        <f>IF(L84&gt;0,(K84-X84)/2,IF(AB84&gt;=AE84,(((K84*R84)*W84)-Y84)/2,((((K84*R84)*W84)-X84)+(((K84*R84)*W84)-Y84))/2))</f>
        <v>0</v>
      </c>
      <c r="AA84" s="235"/>
      <c r="AB84" s="235">
        <f t="shared" si="66"/>
        <v>1999.6666666666667</v>
      </c>
      <c r="AC84" s="235">
        <f t="shared" si="67"/>
        <v>2021</v>
      </c>
      <c r="AD84" s="235">
        <f t="shared" si="68"/>
        <v>2009.6666666666667</v>
      </c>
      <c r="AE84" s="413">
        <f t="shared" si="69"/>
        <v>2020</v>
      </c>
      <c r="AF84" s="413">
        <f t="shared" si="70"/>
        <v>-8.3333333333333329E-2</v>
      </c>
      <c r="AG84" s="413">
        <f t="shared" si="71"/>
        <v>2009.6666666666667</v>
      </c>
      <c r="AH84" s="413">
        <f t="shared" si="72"/>
        <v>2020</v>
      </c>
      <c r="AI84" s="413">
        <f t="shared" si="73"/>
        <v>-8.3333333333333329E-2</v>
      </c>
      <c r="AJ84" s="307"/>
      <c r="AK84" s="307"/>
      <c r="AL84" s="307"/>
    </row>
    <row r="85" spans="1:38" ht="15.75">
      <c r="A85" s="307">
        <v>9</v>
      </c>
      <c r="B85" s="415" t="s">
        <v>701</v>
      </c>
      <c r="C85" s="410">
        <v>1999</v>
      </c>
      <c r="D85" s="407">
        <v>5</v>
      </c>
      <c r="E85" s="411"/>
      <c r="F85" s="397" t="s">
        <v>668</v>
      </c>
      <c r="G85" s="397">
        <v>10</v>
      </c>
      <c r="H85" s="407">
        <f t="shared" si="55"/>
        <v>2009</v>
      </c>
      <c r="I85" s="393"/>
      <c r="J85" s="393"/>
      <c r="K85" s="417">
        <v>2562</v>
      </c>
      <c r="L85" s="393"/>
      <c r="M85" s="235">
        <f t="shared" si="56"/>
        <v>2562</v>
      </c>
      <c r="N85" s="235">
        <f t="shared" si="57"/>
        <v>21.349999999999998</v>
      </c>
      <c r="O85" s="235">
        <f t="shared" si="58"/>
        <v>0</v>
      </c>
      <c r="P85" s="235">
        <f t="shared" si="59"/>
        <v>0</v>
      </c>
      <c r="Q85" s="235">
        <f t="shared" si="60"/>
        <v>0</v>
      </c>
      <c r="R85" s="393">
        <v>1</v>
      </c>
      <c r="S85" s="235">
        <f t="shared" si="61"/>
        <v>0</v>
      </c>
      <c r="T85" s="393"/>
      <c r="U85" s="235">
        <f t="shared" si="62"/>
        <v>2562</v>
      </c>
      <c r="V85" s="235">
        <f t="shared" si="63"/>
        <v>2562</v>
      </c>
      <c r="W85" s="393">
        <v>1</v>
      </c>
      <c r="X85" s="235">
        <f t="shared" si="64"/>
        <v>2562</v>
      </c>
      <c r="Y85" s="235">
        <f t="shared" si="65"/>
        <v>2562</v>
      </c>
      <c r="Z85" s="235">
        <f>IF(L85&gt;0,(K85-X85)/2,IF(AB85&gt;=AE85,(((K85*R85)*W85)-Y85)/2,((((K85*R85)*W85)-X85)+(((K85*R85)*W85)-Y85))/2))</f>
        <v>0</v>
      </c>
      <c r="AA85" s="235"/>
      <c r="AB85" s="235">
        <f t="shared" si="66"/>
        <v>1999.3333333333333</v>
      </c>
      <c r="AC85" s="235">
        <f t="shared" si="67"/>
        <v>2021</v>
      </c>
      <c r="AD85" s="235">
        <f t="shared" si="68"/>
        <v>2009.3333333333333</v>
      </c>
      <c r="AE85" s="413">
        <f t="shared" si="69"/>
        <v>2020</v>
      </c>
      <c r="AF85" s="413">
        <f t="shared" si="70"/>
        <v>-8.3333333333333329E-2</v>
      </c>
      <c r="AG85" s="413">
        <f t="shared" si="71"/>
        <v>2009.3333333333333</v>
      </c>
      <c r="AH85" s="413">
        <f t="shared" si="72"/>
        <v>2020</v>
      </c>
      <c r="AI85" s="413">
        <f t="shared" si="73"/>
        <v>-8.3333333333333329E-2</v>
      </c>
      <c r="AJ85" s="307"/>
      <c r="AK85" s="307"/>
      <c r="AL85" s="307"/>
    </row>
    <row r="86" spans="1:38" ht="15.75">
      <c r="A86" s="307">
        <v>14</v>
      </c>
      <c r="B86" s="415" t="s">
        <v>702</v>
      </c>
      <c r="C86" s="410">
        <v>1999</v>
      </c>
      <c r="D86" s="407">
        <v>5</v>
      </c>
      <c r="E86" s="411"/>
      <c r="F86" s="397" t="s">
        <v>668</v>
      </c>
      <c r="G86" s="397">
        <v>10</v>
      </c>
      <c r="H86" s="407">
        <f t="shared" si="55"/>
        <v>2009</v>
      </c>
      <c r="I86" s="393"/>
      <c r="J86" s="393"/>
      <c r="K86" s="417">
        <v>1119</v>
      </c>
      <c r="L86" s="393"/>
      <c r="M86" s="235">
        <f t="shared" si="56"/>
        <v>1119</v>
      </c>
      <c r="N86" s="235">
        <f t="shared" si="57"/>
        <v>9.3250000000000011</v>
      </c>
      <c r="O86" s="235">
        <f t="shared" si="58"/>
        <v>0</v>
      </c>
      <c r="P86" s="235">
        <f t="shared" si="59"/>
        <v>0</v>
      </c>
      <c r="Q86" s="235">
        <f t="shared" si="60"/>
        <v>0</v>
      </c>
      <c r="R86" s="393">
        <v>1</v>
      </c>
      <c r="S86" s="235">
        <f t="shared" si="61"/>
        <v>0</v>
      </c>
      <c r="T86" s="393"/>
      <c r="U86" s="235">
        <f t="shared" si="62"/>
        <v>1119</v>
      </c>
      <c r="V86" s="235">
        <f t="shared" si="63"/>
        <v>1119</v>
      </c>
      <c r="W86" s="393">
        <v>1</v>
      </c>
      <c r="X86" s="235">
        <f t="shared" si="64"/>
        <v>1119</v>
      </c>
      <c r="Y86" s="235">
        <f t="shared" si="65"/>
        <v>1119</v>
      </c>
      <c r="Z86" s="235">
        <f>IF(L86&gt;0,(K86-X86)/2,IF(AB86&gt;=AE86,(((K86*R86)*W86)-Y86)/2,((((K86*R86)*W86)-X86)+(((K86*R86)*W86)-Y86))/2))</f>
        <v>0</v>
      </c>
      <c r="AA86" s="235"/>
      <c r="AB86" s="235">
        <f t="shared" si="66"/>
        <v>1999.3333333333333</v>
      </c>
      <c r="AC86" s="235">
        <f t="shared" si="67"/>
        <v>2021</v>
      </c>
      <c r="AD86" s="235">
        <f t="shared" si="68"/>
        <v>2009.3333333333333</v>
      </c>
      <c r="AE86" s="413">
        <f t="shared" si="69"/>
        <v>2020</v>
      </c>
      <c r="AF86" s="413">
        <f t="shared" si="70"/>
        <v>-8.3333333333333329E-2</v>
      </c>
      <c r="AG86" s="413">
        <f t="shared" si="71"/>
        <v>2009.3333333333333</v>
      </c>
      <c r="AH86" s="413">
        <f t="shared" si="72"/>
        <v>2020</v>
      </c>
      <c r="AI86" s="413">
        <f t="shared" si="73"/>
        <v>-8.3333333333333329E-2</v>
      </c>
      <c r="AJ86" s="307"/>
      <c r="AK86" s="307"/>
      <c r="AL86" s="307"/>
    </row>
    <row r="87" spans="1:38" ht="15.75">
      <c r="A87" s="307">
        <v>18</v>
      </c>
      <c r="B87" s="415" t="s">
        <v>703</v>
      </c>
      <c r="C87" s="410">
        <v>1999</v>
      </c>
      <c r="D87" s="407">
        <v>6</v>
      </c>
      <c r="E87" s="411"/>
      <c r="F87" s="397" t="s">
        <v>668</v>
      </c>
      <c r="G87" s="397">
        <v>10</v>
      </c>
      <c r="H87" s="407">
        <f t="shared" si="55"/>
        <v>2009</v>
      </c>
      <c r="I87" s="393"/>
      <c r="J87" s="393"/>
      <c r="K87" s="417">
        <v>1492</v>
      </c>
      <c r="L87" s="393"/>
      <c r="M87" s="235">
        <f t="shared" si="56"/>
        <v>1492</v>
      </c>
      <c r="N87" s="235">
        <f t="shared" si="57"/>
        <v>12.433333333333332</v>
      </c>
      <c r="O87" s="235">
        <f t="shared" si="58"/>
        <v>0</v>
      </c>
      <c r="P87" s="235">
        <f t="shared" si="59"/>
        <v>0</v>
      </c>
      <c r="Q87" s="235">
        <f t="shared" si="60"/>
        <v>0</v>
      </c>
      <c r="R87" s="393">
        <v>1</v>
      </c>
      <c r="S87" s="235">
        <f t="shared" si="61"/>
        <v>0</v>
      </c>
      <c r="T87" s="393"/>
      <c r="U87" s="235">
        <f t="shared" si="62"/>
        <v>1492</v>
      </c>
      <c r="V87" s="235">
        <f t="shared" si="63"/>
        <v>1492</v>
      </c>
      <c r="W87" s="393">
        <v>1</v>
      </c>
      <c r="X87" s="235">
        <f t="shared" si="64"/>
        <v>1492</v>
      </c>
      <c r="Y87" s="235">
        <f t="shared" si="65"/>
        <v>1492</v>
      </c>
      <c r="Z87" s="235">
        <f>IF(L87&gt;0,(K87-X87)/2,IF(AB87&gt;=AE87,(((K87*R87)*W87)-Y87)/2,((((K87*R87)*W87)-X87)+(((K87*R87)*W87)-Y87))/2))</f>
        <v>0</v>
      </c>
      <c r="AA87" s="235"/>
      <c r="AB87" s="235">
        <f t="shared" si="66"/>
        <v>1999.4166666666667</v>
      </c>
      <c r="AC87" s="235">
        <f t="shared" si="67"/>
        <v>2021</v>
      </c>
      <c r="AD87" s="235">
        <f t="shared" si="68"/>
        <v>2009.4166666666667</v>
      </c>
      <c r="AE87" s="413">
        <f t="shared" si="69"/>
        <v>2020</v>
      </c>
      <c r="AF87" s="413">
        <f t="shared" si="70"/>
        <v>-8.3333333333333329E-2</v>
      </c>
      <c r="AG87" s="413">
        <f t="shared" si="71"/>
        <v>2009.4166666666667</v>
      </c>
      <c r="AH87" s="413">
        <f t="shared" si="72"/>
        <v>2020</v>
      </c>
      <c r="AI87" s="413">
        <f t="shared" si="73"/>
        <v>-8.3333333333333329E-2</v>
      </c>
      <c r="AJ87" s="307"/>
      <c r="AK87" s="307"/>
      <c r="AL87" s="307"/>
    </row>
    <row r="88" spans="1:38" ht="15.75">
      <c r="A88" s="307">
        <v>111</v>
      </c>
      <c r="B88" s="415" t="s">
        <v>704</v>
      </c>
      <c r="C88" s="410">
        <v>1999</v>
      </c>
      <c r="D88" s="407">
        <v>5</v>
      </c>
      <c r="E88" s="411"/>
      <c r="F88" s="397" t="s">
        <v>668</v>
      </c>
      <c r="G88" s="397">
        <v>10</v>
      </c>
      <c r="H88" s="407">
        <f t="shared" si="55"/>
        <v>2009</v>
      </c>
      <c r="I88" s="393"/>
      <c r="J88" s="393"/>
      <c r="K88" s="417">
        <v>1492</v>
      </c>
      <c r="L88" s="393"/>
      <c r="M88" s="235">
        <f t="shared" si="56"/>
        <v>1492</v>
      </c>
      <c r="N88" s="235">
        <f t="shared" si="57"/>
        <v>12.433333333333332</v>
      </c>
      <c r="O88" s="235">
        <f t="shared" si="58"/>
        <v>0</v>
      </c>
      <c r="P88" s="235">
        <f t="shared" si="59"/>
        <v>0</v>
      </c>
      <c r="Q88" s="235">
        <f t="shared" si="60"/>
        <v>0</v>
      </c>
      <c r="R88" s="393">
        <v>1</v>
      </c>
      <c r="S88" s="235">
        <f t="shared" si="61"/>
        <v>0</v>
      </c>
      <c r="T88" s="393"/>
      <c r="U88" s="235">
        <f t="shared" si="62"/>
        <v>1492</v>
      </c>
      <c r="V88" s="235">
        <f t="shared" si="63"/>
        <v>1492</v>
      </c>
      <c r="W88" s="393">
        <v>1</v>
      </c>
      <c r="X88" s="235">
        <f t="shared" si="64"/>
        <v>1492</v>
      </c>
      <c r="Y88" s="235">
        <f t="shared" si="65"/>
        <v>1492</v>
      </c>
      <c r="Z88" s="235">
        <f>+M88-Y88</f>
        <v>0</v>
      </c>
      <c r="AA88" s="235"/>
      <c r="AB88" s="235">
        <f t="shared" si="66"/>
        <v>1999.3333333333333</v>
      </c>
      <c r="AC88" s="235">
        <f t="shared" si="67"/>
        <v>2021</v>
      </c>
      <c r="AD88" s="235">
        <f t="shared" si="68"/>
        <v>2009.3333333333333</v>
      </c>
      <c r="AE88" s="413">
        <f t="shared" si="69"/>
        <v>2020</v>
      </c>
      <c r="AF88" s="413">
        <f t="shared" si="70"/>
        <v>-8.3333333333333329E-2</v>
      </c>
      <c r="AG88" s="413">
        <f t="shared" si="71"/>
        <v>2009.3333333333333</v>
      </c>
      <c r="AH88" s="413">
        <f t="shared" si="72"/>
        <v>2020</v>
      </c>
      <c r="AI88" s="413">
        <f t="shared" si="73"/>
        <v>-8.3333333333333329E-2</v>
      </c>
      <c r="AJ88" s="307"/>
      <c r="AK88" s="307"/>
      <c r="AL88" s="307"/>
    </row>
    <row r="89" spans="1:38" ht="15.75">
      <c r="A89" s="307">
        <v>121</v>
      </c>
      <c r="B89" s="415" t="s">
        <v>694</v>
      </c>
      <c r="C89" s="410">
        <v>1999</v>
      </c>
      <c r="D89" s="407">
        <v>2</v>
      </c>
      <c r="E89" s="411"/>
      <c r="F89" s="397" t="s">
        <v>668</v>
      </c>
      <c r="G89" s="397">
        <v>10</v>
      </c>
      <c r="H89" s="407">
        <f t="shared" si="55"/>
        <v>2009</v>
      </c>
      <c r="I89" s="393"/>
      <c r="J89" s="393"/>
      <c r="K89" s="417">
        <v>1653</v>
      </c>
      <c r="L89" s="393"/>
      <c r="M89" s="235">
        <f t="shared" si="56"/>
        <v>1653</v>
      </c>
      <c r="N89" s="235">
        <f t="shared" si="57"/>
        <v>13.775</v>
      </c>
      <c r="O89" s="235">
        <f t="shared" si="58"/>
        <v>0</v>
      </c>
      <c r="P89" s="235">
        <f t="shared" si="59"/>
        <v>0</v>
      </c>
      <c r="Q89" s="235">
        <f t="shared" si="60"/>
        <v>0</v>
      </c>
      <c r="R89" s="393">
        <v>1</v>
      </c>
      <c r="S89" s="235">
        <f t="shared" si="61"/>
        <v>0</v>
      </c>
      <c r="T89" s="393"/>
      <c r="U89" s="235">
        <f t="shared" si="62"/>
        <v>1653</v>
      </c>
      <c r="V89" s="235">
        <f t="shared" si="63"/>
        <v>1653</v>
      </c>
      <c r="W89" s="393">
        <v>1</v>
      </c>
      <c r="X89" s="235">
        <f t="shared" si="64"/>
        <v>1653</v>
      </c>
      <c r="Y89" s="235">
        <f t="shared" si="65"/>
        <v>1653</v>
      </c>
      <c r="Z89" s="235">
        <f>+M89-Y89</f>
        <v>0</v>
      </c>
      <c r="AA89" s="235"/>
      <c r="AB89" s="235">
        <f t="shared" si="66"/>
        <v>1999.0833333333333</v>
      </c>
      <c r="AC89" s="235">
        <f t="shared" si="67"/>
        <v>2021</v>
      </c>
      <c r="AD89" s="235">
        <f t="shared" si="68"/>
        <v>2009.0833333333333</v>
      </c>
      <c r="AE89" s="413">
        <f t="shared" si="69"/>
        <v>2020</v>
      </c>
      <c r="AF89" s="413">
        <f t="shared" si="70"/>
        <v>-8.3333333333333329E-2</v>
      </c>
      <c r="AG89" s="413">
        <f t="shared" si="71"/>
        <v>2009.0833333333333</v>
      </c>
      <c r="AH89" s="413">
        <f t="shared" si="72"/>
        <v>2020</v>
      </c>
      <c r="AI89" s="413">
        <f t="shared" si="73"/>
        <v>-8.3333333333333329E-2</v>
      </c>
      <c r="AJ89" s="307"/>
      <c r="AK89" s="307"/>
      <c r="AL89" s="307"/>
    </row>
    <row r="90" spans="1:38" ht="15.75">
      <c r="A90" s="307">
        <v>128</v>
      </c>
      <c r="B90" s="415" t="s">
        <v>694</v>
      </c>
      <c r="C90" s="410">
        <v>1999</v>
      </c>
      <c r="D90" s="407">
        <v>2</v>
      </c>
      <c r="E90" s="411"/>
      <c r="F90" s="397" t="s">
        <v>668</v>
      </c>
      <c r="G90" s="397">
        <v>10</v>
      </c>
      <c r="H90" s="407">
        <f t="shared" si="55"/>
        <v>2009</v>
      </c>
      <c r="I90" s="393"/>
      <c r="J90" s="393"/>
      <c r="K90" s="417">
        <v>724</v>
      </c>
      <c r="L90" s="393"/>
      <c r="M90" s="235">
        <f t="shared" si="56"/>
        <v>724</v>
      </c>
      <c r="N90" s="235">
        <f t="shared" si="57"/>
        <v>6.0333333333333341</v>
      </c>
      <c r="O90" s="235">
        <f t="shared" si="58"/>
        <v>0</v>
      </c>
      <c r="P90" s="235">
        <f t="shared" si="59"/>
        <v>0</v>
      </c>
      <c r="Q90" s="235">
        <f t="shared" si="60"/>
        <v>0</v>
      </c>
      <c r="R90" s="393">
        <v>1</v>
      </c>
      <c r="S90" s="235">
        <f t="shared" si="61"/>
        <v>0</v>
      </c>
      <c r="T90" s="393"/>
      <c r="U90" s="235">
        <f t="shared" si="62"/>
        <v>724</v>
      </c>
      <c r="V90" s="235">
        <f t="shared" si="63"/>
        <v>724</v>
      </c>
      <c r="W90" s="393">
        <v>1</v>
      </c>
      <c r="X90" s="235">
        <f t="shared" si="64"/>
        <v>724</v>
      </c>
      <c r="Y90" s="235">
        <f t="shared" si="65"/>
        <v>724</v>
      </c>
      <c r="Z90" s="235">
        <f>+M90-Y90</f>
        <v>0</v>
      </c>
      <c r="AA90" s="235"/>
      <c r="AB90" s="235">
        <f t="shared" si="66"/>
        <v>1999.0833333333333</v>
      </c>
      <c r="AC90" s="235">
        <f t="shared" si="67"/>
        <v>2021</v>
      </c>
      <c r="AD90" s="235">
        <f t="shared" si="68"/>
        <v>2009.0833333333333</v>
      </c>
      <c r="AE90" s="413">
        <f t="shared" si="69"/>
        <v>2020</v>
      </c>
      <c r="AF90" s="413">
        <f t="shared" si="70"/>
        <v>-8.3333333333333329E-2</v>
      </c>
      <c r="AG90" s="413">
        <f t="shared" si="71"/>
        <v>2009.0833333333333</v>
      </c>
      <c r="AH90" s="413">
        <f t="shared" si="72"/>
        <v>2020</v>
      </c>
      <c r="AI90" s="413">
        <f t="shared" si="73"/>
        <v>-8.3333333333333329E-2</v>
      </c>
      <c r="AJ90" s="307"/>
      <c r="AK90" s="307"/>
      <c r="AL90" s="307"/>
    </row>
    <row r="91" spans="1:38" ht="15.75">
      <c r="A91" s="307">
        <v>1</v>
      </c>
      <c r="B91" s="415" t="s">
        <v>705</v>
      </c>
      <c r="C91" s="410">
        <v>2000</v>
      </c>
      <c r="D91" s="407">
        <v>5</v>
      </c>
      <c r="E91" s="411"/>
      <c r="F91" s="397" t="s">
        <v>668</v>
      </c>
      <c r="G91" s="397">
        <v>10</v>
      </c>
      <c r="H91" s="407">
        <f t="shared" si="55"/>
        <v>2010</v>
      </c>
      <c r="I91" s="393"/>
      <c r="J91" s="393"/>
      <c r="K91" s="417">
        <v>899</v>
      </c>
      <c r="L91" s="393"/>
      <c r="M91" s="235">
        <f t="shared" si="56"/>
        <v>899</v>
      </c>
      <c r="N91" s="235">
        <f t="shared" si="57"/>
        <v>7.4916666666666671</v>
      </c>
      <c r="O91" s="235">
        <f t="shared" si="58"/>
        <v>0</v>
      </c>
      <c r="P91" s="235">
        <f t="shared" si="59"/>
        <v>0</v>
      </c>
      <c r="Q91" s="235">
        <f t="shared" si="60"/>
        <v>0</v>
      </c>
      <c r="R91" s="393">
        <v>1</v>
      </c>
      <c r="S91" s="235">
        <f t="shared" si="61"/>
        <v>0</v>
      </c>
      <c r="T91" s="393"/>
      <c r="U91" s="235">
        <f t="shared" si="62"/>
        <v>899</v>
      </c>
      <c r="V91" s="235">
        <f t="shared" si="63"/>
        <v>899</v>
      </c>
      <c r="W91" s="393">
        <v>1</v>
      </c>
      <c r="X91" s="235">
        <f t="shared" si="64"/>
        <v>899</v>
      </c>
      <c r="Y91" s="235">
        <f t="shared" si="65"/>
        <v>899</v>
      </c>
      <c r="Z91" s="235">
        <f>IF(L91&gt;0,(K91-X91)/2,IF(AB91&gt;=AE91,(((K91*R91)*W91)-Y91)/2,((((K91*R91)*W91)-X91)+(((K91*R91)*W91)-Y91))/2))</f>
        <v>0</v>
      </c>
      <c r="AA91" s="235"/>
      <c r="AB91" s="235">
        <f t="shared" si="66"/>
        <v>2000.3333333333333</v>
      </c>
      <c r="AC91" s="235">
        <f t="shared" si="67"/>
        <v>2021</v>
      </c>
      <c r="AD91" s="235">
        <f t="shared" si="68"/>
        <v>2010.3333333333333</v>
      </c>
      <c r="AE91" s="413">
        <f t="shared" si="69"/>
        <v>2020</v>
      </c>
      <c r="AF91" s="413">
        <f t="shared" si="70"/>
        <v>-8.3333333333333329E-2</v>
      </c>
      <c r="AG91" s="413">
        <f t="shared" si="71"/>
        <v>2010.3333333333333</v>
      </c>
      <c r="AH91" s="413">
        <f t="shared" si="72"/>
        <v>2020</v>
      </c>
      <c r="AI91" s="413">
        <f t="shared" si="73"/>
        <v>-8.3333333333333329E-2</v>
      </c>
      <c r="AJ91" s="307"/>
      <c r="AK91" s="307"/>
      <c r="AL91" s="307"/>
    </row>
    <row r="92" spans="1:38" ht="15.75">
      <c r="A92" s="307">
        <v>3</v>
      </c>
      <c r="B92" s="415" t="s">
        <v>706</v>
      </c>
      <c r="C92" s="410">
        <v>2000</v>
      </c>
      <c r="D92" s="407">
        <v>7</v>
      </c>
      <c r="E92" s="411"/>
      <c r="F92" s="397" t="s">
        <v>668</v>
      </c>
      <c r="G92" s="397">
        <v>10</v>
      </c>
      <c r="H92" s="407">
        <f t="shared" si="55"/>
        <v>2010</v>
      </c>
      <c r="I92" s="393"/>
      <c r="J92" s="393"/>
      <c r="K92" s="417">
        <v>4364</v>
      </c>
      <c r="L92" s="393"/>
      <c r="M92" s="235">
        <f t="shared" si="56"/>
        <v>4364</v>
      </c>
      <c r="N92" s="235">
        <f t="shared" si="57"/>
        <v>36.366666666666667</v>
      </c>
      <c r="O92" s="235">
        <f t="shared" si="58"/>
        <v>0</v>
      </c>
      <c r="P92" s="235">
        <f t="shared" si="59"/>
        <v>0</v>
      </c>
      <c r="Q92" s="235">
        <f t="shared" si="60"/>
        <v>0</v>
      </c>
      <c r="R92" s="393">
        <v>1</v>
      </c>
      <c r="S92" s="235">
        <f t="shared" si="61"/>
        <v>0</v>
      </c>
      <c r="T92" s="393"/>
      <c r="U92" s="235">
        <f t="shared" si="62"/>
        <v>4364</v>
      </c>
      <c r="V92" s="235">
        <f t="shared" si="63"/>
        <v>4364</v>
      </c>
      <c r="W92" s="393">
        <v>1</v>
      </c>
      <c r="X92" s="235">
        <f t="shared" si="64"/>
        <v>4364</v>
      </c>
      <c r="Y92" s="235">
        <f t="shared" si="65"/>
        <v>4364</v>
      </c>
      <c r="Z92" s="235">
        <f>IF(L92&gt;0,(K92-X92)/2,IF(AB92&gt;=AE92,(((K92*R92)*W92)-Y92)/2,((((K92*R92)*W92)-X92)+(((K92*R92)*W92)-Y92))/2))</f>
        <v>0</v>
      </c>
      <c r="AA92" s="235"/>
      <c r="AB92" s="235">
        <f t="shared" si="66"/>
        <v>2000.5</v>
      </c>
      <c r="AC92" s="235">
        <f t="shared" si="67"/>
        <v>2021</v>
      </c>
      <c r="AD92" s="235">
        <f t="shared" si="68"/>
        <v>2010.5</v>
      </c>
      <c r="AE92" s="413">
        <f t="shared" si="69"/>
        <v>2020</v>
      </c>
      <c r="AF92" s="413">
        <f t="shared" si="70"/>
        <v>-8.3333333333333329E-2</v>
      </c>
      <c r="AG92" s="413">
        <f t="shared" si="71"/>
        <v>2010.5</v>
      </c>
      <c r="AH92" s="413">
        <f t="shared" si="72"/>
        <v>2020</v>
      </c>
      <c r="AI92" s="413">
        <f t="shared" si="73"/>
        <v>-8.3333333333333329E-2</v>
      </c>
      <c r="AJ92" s="307"/>
      <c r="AK92" s="307"/>
      <c r="AL92" s="307"/>
    </row>
    <row r="93" spans="1:38" ht="15.75">
      <c r="A93" s="307">
        <v>19</v>
      </c>
      <c r="B93" s="415" t="s">
        <v>707</v>
      </c>
      <c r="C93" s="410">
        <v>2000</v>
      </c>
      <c r="D93" s="407">
        <v>9</v>
      </c>
      <c r="E93" s="411"/>
      <c r="F93" s="397" t="s">
        <v>668</v>
      </c>
      <c r="G93" s="397">
        <v>10</v>
      </c>
      <c r="H93" s="407">
        <f t="shared" si="55"/>
        <v>2010</v>
      </c>
      <c r="I93" s="393"/>
      <c r="J93" s="393"/>
      <c r="K93" s="417">
        <v>1811</v>
      </c>
      <c r="L93" s="393"/>
      <c r="M93" s="235">
        <f t="shared" si="56"/>
        <v>1811</v>
      </c>
      <c r="N93" s="235">
        <f t="shared" si="57"/>
        <v>15.091666666666667</v>
      </c>
      <c r="O93" s="235">
        <f t="shared" si="58"/>
        <v>0</v>
      </c>
      <c r="P93" s="235">
        <f t="shared" si="59"/>
        <v>0</v>
      </c>
      <c r="Q93" s="235">
        <f t="shared" si="60"/>
        <v>0</v>
      </c>
      <c r="R93" s="393">
        <v>1</v>
      </c>
      <c r="S93" s="235">
        <f t="shared" si="61"/>
        <v>0</v>
      </c>
      <c r="T93" s="393"/>
      <c r="U93" s="235">
        <f t="shared" si="62"/>
        <v>1811</v>
      </c>
      <c r="V93" s="235">
        <f t="shared" si="63"/>
        <v>1811</v>
      </c>
      <c r="W93" s="393">
        <v>1</v>
      </c>
      <c r="X93" s="235">
        <f t="shared" si="64"/>
        <v>1811</v>
      </c>
      <c r="Y93" s="235">
        <f t="shared" si="65"/>
        <v>1811</v>
      </c>
      <c r="Z93" s="235">
        <f>IF(L93&gt;0,(K93-X93)/2,IF(AB93&gt;=AE93,(((K93*R93)*W93)-Y93)/2,((((K93*R93)*W93)-X93)+(((K93*R93)*W93)-Y93))/2))</f>
        <v>0</v>
      </c>
      <c r="AA93" s="235"/>
      <c r="AB93" s="235">
        <f t="shared" si="66"/>
        <v>2000.6666666666667</v>
      </c>
      <c r="AC93" s="235">
        <f t="shared" si="67"/>
        <v>2021</v>
      </c>
      <c r="AD93" s="235">
        <f t="shared" si="68"/>
        <v>2010.6666666666667</v>
      </c>
      <c r="AE93" s="413">
        <f t="shared" si="69"/>
        <v>2020</v>
      </c>
      <c r="AF93" s="413">
        <f t="shared" si="70"/>
        <v>-8.3333333333333329E-2</v>
      </c>
      <c r="AG93" s="413">
        <f t="shared" si="71"/>
        <v>2010.6666666666667</v>
      </c>
      <c r="AH93" s="413">
        <f t="shared" si="72"/>
        <v>2020</v>
      </c>
      <c r="AI93" s="413">
        <f t="shared" si="73"/>
        <v>-8.3333333333333329E-2</v>
      </c>
      <c r="AJ93" s="307"/>
      <c r="AK93" s="307"/>
      <c r="AL93" s="307"/>
    </row>
    <row r="94" spans="1:38" ht="15.75">
      <c r="A94" s="307">
        <v>95</v>
      </c>
      <c r="B94" s="415" t="s">
        <v>694</v>
      </c>
      <c r="C94" s="410">
        <v>2000</v>
      </c>
      <c r="D94" s="407">
        <v>9</v>
      </c>
      <c r="E94" s="411"/>
      <c r="F94" s="397" t="s">
        <v>668</v>
      </c>
      <c r="G94" s="397">
        <v>10</v>
      </c>
      <c r="H94" s="407">
        <f t="shared" si="55"/>
        <v>2010</v>
      </c>
      <c r="I94" s="393"/>
      <c r="J94" s="393"/>
      <c r="K94" s="417">
        <v>373</v>
      </c>
      <c r="L94" s="393"/>
      <c r="M94" s="235">
        <f t="shared" si="56"/>
        <v>373</v>
      </c>
      <c r="N94" s="235">
        <f t="shared" si="57"/>
        <v>3.1083333333333329</v>
      </c>
      <c r="O94" s="235">
        <f t="shared" si="58"/>
        <v>0</v>
      </c>
      <c r="P94" s="235">
        <f t="shared" si="59"/>
        <v>0</v>
      </c>
      <c r="Q94" s="235">
        <f t="shared" si="60"/>
        <v>0</v>
      </c>
      <c r="R94" s="393">
        <v>1</v>
      </c>
      <c r="S94" s="235">
        <f t="shared" si="61"/>
        <v>0</v>
      </c>
      <c r="T94" s="393"/>
      <c r="U94" s="235">
        <f t="shared" si="62"/>
        <v>373</v>
      </c>
      <c r="V94" s="235">
        <f t="shared" si="63"/>
        <v>373</v>
      </c>
      <c r="W94" s="393">
        <v>1</v>
      </c>
      <c r="X94" s="235">
        <f t="shared" si="64"/>
        <v>373</v>
      </c>
      <c r="Y94" s="235">
        <f t="shared" si="65"/>
        <v>373</v>
      </c>
      <c r="Z94" s="235">
        <f>+M94-Y94</f>
        <v>0</v>
      </c>
      <c r="AA94" s="235"/>
      <c r="AB94" s="235">
        <f t="shared" si="66"/>
        <v>2000.6666666666667</v>
      </c>
      <c r="AC94" s="235">
        <f t="shared" si="67"/>
        <v>2021</v>
      </c>
      <c r="AD94" s="235">
        <f t="shared" si="68"/>
        <v>2010.6666666666667</v>
      </c>
      <c r="AE94" s="413">
        <f t="shared" si="69"/>
        <v>2020</v>
      </c>
      <c r="AF94" s="413">
        <f t="shared" si="70"/>
        <v>-8.3333333333333329E-2</v>
      </c>
      <c r="AG94" s="413">
        <f t="shared" si="71"/>
        <v>2010.6666666666667</v>
      </c>
      <c r="AH94" s="413">
        <f t="shared" si="72"/>
        <v>2020</v>
      </c>
      <c r="AI94" s="413">
        <f t="shared" si="73"/>
        <v>-8.3333333333333329E-2</v>
      </c>
      <c r="AJ94" s="307"/>
      <c r="AK94" s="307"/>
      <c r="AL94" s="307"/>
    </row>
    <row r="95" spans="1:38" ht="15.75">
      <c r="A95" s="307">
        <v>97</v>
      </c>
      <c r="B95" s="415" t="s">
        <v>694</v>
      </c>
      <c r="C95" s="410">
        <v>2000</v>
      </c>
      <c r="D95" s="407">
        <v>7</v>
      </c>
      <c r="E95" s="411"/>
      <c r="F95" s="397" t="s">
        <v>668</v>
      </c>
      <c r="G95" s="397">
        <v>10</v>
      </c>
      <c r="H95" s="407">
        <f t="shared" si="55"/>
        <v>2010</v>
      </c>
      <c r="I95" s="393"/>
      <c r="J95" s="393"/>
      <c r="K95" s="417">
        <v>1814</v>
      </c>
      <c r="L95" s="393"/>
      <c r="M95" s="235">
        <f t="shared" si="56"/>
        <v>1814</v>
      </c>
      <c r="N95" s="235">
        <f t="shared" si="57"/>
        <v>15.116666666666667</v>
      </c>
      <c r="O95" s="235">
        <f t="shared" si="58"/>
        <v>0</v>
      </c>
      <c r="P95" s="235">
        <f t="shared" si="59"/>
        <v>0</v>
      </c>
      <c r="Q95" s="235">
        <f t="shared" si="60"/>
        <v>0</v>
      </c>
      <c r="R95" s="393">
        <v>1</v>
      </c>
      <c r="S95" s="235">
        <f t="shared" si="61"/>
        <v>0</v>
      </c>
      <c r="T95" s="393"/>
      <c r="U95" s="235">
        <f t="shared" si="62"/>
        <v>1814</v>
      </c>
      <c r="V95" s="235">
        <f t="shared" si="63"/>
        <v>1814</v>
      </c>
      <c r="W95" s="393">
        <v>1</v>
      </c>
      <c r="X95" s="235">
        <f t="shared" si="64"/>
        <v>1814</v>
      </c>
      <c r="Y95" s="235">
        <f t="shared" si="65"/>
        <v>1814</v>
      </c>
      <c r="Z95" s="235">
        <f>+M95-Y95</f>
        <v>0</v>
      </c>
      <c r="AA95" s="235"/>
      <c r="AB95" s="235">
        <f t="shared" si="66"/>
        <v>2000.5</v>
      </c>
      <c r="AC95" s="235">
        <f t="shared" si="67"/>
        <v>2021</v>
      </c>
      <c r="AD95" s="235">
        <f t="shared" si="68"/>
        <v>2010.5</v>
      </c>
      <c r="AE95" s="413">
        <f t="shared" si="69"/>
        <v>2020</v>
      </c>
      <c r="AF95" s="413">
        <f t="shared" si="70"/>
        <v>-8.3333333333333329E-2</v>
      </c>
      <c r="AG95" s="413">
        <f t="shared" si="71"/>
        <v>2010.5</v>
      </c>
      <c r="AH95" s="413">
        <f t="shared" si="72"/>
        <v>2020</v>
      </c>
      <c r="AI95" s="413">
        <f t="shared" si="73"/>
        <v>-8.3333333333333329E-2</v>
      </c>
      <c r="AJ95" s="307"/>
      <c r="AK95" s="307"/>
      <c r="AL95" s="307"/>
    </row>
    <row r="96" spans="1:38" ht="15.75">
      <c r="A96" s="307">
        <v>98</v>
      </c>
      <c r="B96" s="415" t="s">
        <v>694</v>
      </c>
      <c r="C96" s="410">
        <v>2000</v>
      </c>
      <c r="D96" s="407">
        <v>1</v>
      </c>
      <c r="E96" s="411"/>
      <c r="F96" s="397" t="s">
        <v>668</v>
      </c>
      <c r="G96" s="397">
        <v>10</v>
      </c>
      <c r="H96" s="407">
        <f t="shared" si="55"/>
        <v>2010</v>
      </c>
      <c r="I96" s="393"/>
      <c r="J96" s="393"/>
      <c r="K96" s="417">
        <v>3205</v>
      </c>
      <c r="L96" s="393"/>
      <c r="M96" s="235">
        <f t="shared" si="56"/>
        <v>3205</v>
      </c>
      <c r="N96" s="235">
        <f t="shared" si="57"/>
        <v>26.708333333333332</v>
      </c>
      <c r="O96" s="235">
        <f t="shared" si="58"/>
        <v>0</v>
      </c>
      <c r="P96" s="235">
        <f t="shared" si="59"/>
        <v>0</v>
      </c>
      <c r="Q96" s="235">
        <f t="shared" si="60"/>
        <v>0</v>
      </c>
      <c r="R96" s="393">
        <v>1</v>
      </c>
      <c r="S96" s="235">
        <f t="shared" si="61"/>
        <v>0</v>
      </c>
      <c r="T96" s="393"/>
      <c r="U96" s="235">
        <f t="shared" si="62"/>
        <v>3205</v>
      </c>
      <c r="V96" s="235">
        <f t="shared" si="63"/>
        <v>3205</v>
      </c>
      <c r="W96" s="393">
        <v>1</v>
      </c>
      <c r="X96" s="235">
        <f t="shared" si="64"/>
        <v>3205</v>
      </c>
      <c r="Y96" s="235">
        <f t="shared" si="65"/>
        <v>3205</v>
      </c>
      <c r="Z96" s="235">
        <f>+M96-Y96</f>
        <v>0</v>
      </c>
      <c r="AA96" s="235"/>
      <c r="AB96" s="235">
        <f t="shared" si="66"/>
        <v>2000</v>
      </c>
      <c r="AC96" s="235">
        <f t="shared" si="67"/>
        <v>2021</v>
      </c>
      <c r="AD96" s="235">
        <f t="shared" si="68"/>
        <v>2010</v>
      </c>
      <c r="AE96" s="413">
        <f t="shared" si="69"/>
        <v>2020</v>
      </c>
      <c r="AF96" s="413">
        <f t="shared" si="70"/>
        <v>-8.3333333333333329E-2</v>
      </c>
      <c r="AG96" s="413">
        <f t="shared" si="71"/>
        <v>2010</v>
      </c>
      <c r="AH96" s="413">
        <f t="shared" si="72"/>
        <v>2020</v>
      </c>
      <c r="AI96" s="413">
        <f t="shared" si="73"/>
        <v>-8.3333333333333329E-2</v>
      </c>
      <c r="AJ96" s="307"/>
      <c r="AK96" s="307"/>
      <c r="AL96" s="307"/>
    </row>
    <row r="97" spans="1:38" ht="15.75">
      <c r="A97" s="307">
        <v>103</v>
      </c>
      <c r="B97" s="415" t="s">
        <v>694</v>
      </c>
      <c r="C97" s="410">
        <v>2000</v>
      </c>
      <c r="D97" s="407">
        <v>5</v>
      </c>
      <c r="E97" s="411"/>
      <c r="F97" s="397" t="s">
        <v>668</v>
      </c>
      <c r="G97" s="397">
        <v>10</v>
      </c>
      <c r="H97" s="407">
        <f t="shared" si="55"/>
        <v>2010</v>
      </c>
      <c r="I97" s="393"/>
      <c r="J97" s="393"/>
      <c r="K97" s="417">
        <v>1582</v>
      </c>
      <c r="L97" s="393"/>
      <c r="M97" s="235">
        <f t="shared" si="56"/>
        <v>1582</v>
      </c>
      <c r="N97" s="235">
        <f t="shared" si="57"/>
        <v>13.183333333333332</v>
      </c>
      <c r="O97" s="235">
        <f t="shared" si="58"/>
        <v>0</v>
      </c>
      <c r="P97" s="235">
        <f t="shared" si="59"/>
        <v>0</v>
      </c>
      <c r="Q97" s="235">
        <f t="shared" si="60"/>
        <v>0</v>
      </c>
      <c r="R97" s="393">
        <v>1</v>
      </c>
      <c r="S97" s="235">
        <f t="shared" si="61"/>
        <v>0</v>
      </c>
      <c r="T97" s="393"/>
      <c r="U97" s="235">
        <f t="shared" si="62"/>
        <v>1582</v>
      </c>
      <c r="V97" s="235">
        <f t="shared" si="63"/>
        <v>1582</v>
      </c>
      <c r="W97" s="393">
        <v>1</v>
      </c>
      <c r="X97" s="235">
        <f t="shared" si="64"/>
        <v>1582</v>
      </c>
      <c r="Y97" s="235">
        <f t="shared" si="65"/>
        <v>1582</v>
      </c>
      <c r="Z97" s="235">
        <f>+M97-Y97</f>
        <v>0</v>
      </c>
      <c r="AA97" s="235"/>
      <c r="AB97" s="235">
        <f t="shared" si="66"/>
        <v>2000.3333333333333</v>
      </c>
      <c r="AC97" s="235">
        <f t="shared" si="67"/>
        <v>2021</v>
      </c>
      <c r="AD97" s="235">
        <f t="shared" si="68"/>
        <v>2010.3333333333333</v>
      </c>
      <c r="AE97" s="413">
        <f t="shared" si="69"/>
        <v>2020</v>
      </c>
      <c r="AF97" s="413">
        <f t="shared" si="70"/>
        <v>-8.3333333333333329E-2</v>
      </c>
      <c r="AG97" s="413">
        <f t="shared" si="71"/>
        <v>2010.3333333333333</v>
      </c>
      <c r="AH97" s="413">
        <f t="shared" si="72"/>
        <v>2020</v>
      </c>
      <c r="AI97" s="413">
        <f t="shared" si="73"/>
        <v>-8.3333333333333329E-2</v>
      </c>
      <c r="AJ97" s="307"/>
      <c r="AK97" s="307"/>
      <c r="AL97" s="307"/>
    </row>
    <row r="98" spans="1:38" ht="15.75">
      <c r="A98" s="307">
        <v>120</v>
      </c>
      <c r="B98" s="415" t="s">
        <v>694</v>
      </c>
      <c r="C98" s="410">
        <v>2000</v>
      </c>
      <c r="D98" s="407">
        <v>2</v>
      </c>
      <c r="E98" s="411"/>
      <c r="F98" s="397" t="s">
        <v>668</v>
      </c>
      <c r="G98" s="397">
        <v>10</v>
      </c>
      <c r="H98" s="407">
        <f t="shared" si="55"/>
        <v>2010</v>
      </c>
      <c r="I98" s="393"/>
      <c r="J98" s="393"/>
      <c r="K98" s="417">
        <v>4135</v>
      </c>
      <c r="L98" s="393"/>
      <c r="M98" s="235">
        <f t="shared" si="56"/>
        <v>4135</v>
      </c>
      <c r="N98" s="235">
        <f t="shared" si="57"/>
        <v>34.458333333333336</v>
      </c>
      <c r="O98" s="235">
        <f t="shared" si="58"/>
        <v>0</v>
      </c>
      <c r="P98" s="235">
        <f t="shared" si="59"/>
        <v>0</v>
      </c>
      <c r="Q98" s="235">
        <f t="shared" si="60"/>
        <v>0</v>
      </c>
      <c r="R98" s="393">
        <v>1</v>
      </c>
      <c r="S98" s="235">
        <f t="shared" si="61"/>
        <v>0</v>
      </c>
      <c r="T98" s="393"/>
      <c r="U98" s="235">
        <f t="shared" si="62"/>
        <v>4135</v>
      </c>
      <c r="V98" s="235">
        <f t="shared" si="63"/>
        <v>4135</v>
      </c>
      <c r="W98" s="393">
        <v>1</v>
      </c>
      <c r="X98" s="235">
        <f t="shared" si="64"/>
        <v>4135</v>
      </c>
      <c r="Y98" s="235">
        <f t="shared" si="65"/>
        <v>4135</v>
      </c>
      <c r="Z98" s="235">
        <f>+M98-Y98</f>
        <v>0</v>
      </c>
      <c r="AA98" s="235"/>
      <c r="AB98" s="235">
        <f t="shared" si="66"/>
        <v>2000.0833333333333</v>
      </c>
      <c r="AC98" s="235">
        <f t="shared" si="67"/>
        <v>2021</v>
      </c>
      <c r="AD98" s="235">
        <f t="shared" si="68"/>
        <v>2010.0833333333333</v>
      </c>
      <c r="AE98" s="413">
        <f t="shared" si="69"/>
        <v>2020</v>
      </c>
      <c r="AF98" s="413">
        <f t="shared" si="70"/>
        <v>-8.3333333333333329E-2</v>
      </c>
      <c r="AG98" s="413">
        <f t="shared" si="71"/>
        <v>2010.0833333333333</v>
      </c>
      <c r="AH98" s="413">
        <f t="shared" si="72"/>
        <v>2020</v>
      </c>
      <c r="AI98" s="413">
        <f t="shared" si="73"/>
        <v>-8.3333333333333329E-2</v>
      </c>
      <c r="AJ98" s="307"/>
      <c r="AK98" s="307"/>
      <c r="AL98" s="307"/>
    </row>
    <row r="99" spans="1:38" ht="15.75">
      <c r="A99" s="307">
        <v>2</v>
      </c>
      <c r="B99" s="415" t="s">
        <v>708</v>
      </c>
      <c r="C99" s="410">
        <v>2001</v>
      </c>
      <c r="D99" s="407">
        <v>6</v>
      </c>
      <c r="E99" s="411"/>
      <c r="F99" s="397" t="s">
        <v>668</v>
      </c>
      <c r="G99" s="397">
        <v>10</v>
      </c>
      <c r="H99" s="407">
        <f t="shared" si="55"/>
        <v>2011</v>
      </c>
      <c r="I99" s="393"/>
      <c r="J99" s="393"/>
      <c r="K99" s="417">
        <v>908</v>
      </c>
      <c r="L99" s="393"/>
      <c r="M99" s="235">
        <f t="shared" si="56"/>
        <v>908</v>
      </c>
      <c r="N99" s="235">
        <f t="shared" si="57"/>
        <v>7.5666666666666664</v>
      </c>
      <c r="O99" s="235">
        <f t="shared" si="58"/>
        <v>0</v>
      </c>
      <c r="P99" s="235">
        <f t="shared" si="59"/>
        <v>0</v>
      </c>
      <c r="Q99" s="235">
        <f t="shared" si="60"/>
        <v>0</v>
      </c>
      <c r="R99" s="393">
        <v>1</v>
      </c>
      <c r="S99" s="235">
        <f t="shared" si="61"/>
        <v>0</v>
      </c>
      <c r="T99" s="393"/>
      <c r="U99" s="235">
        <f t="shared" si="62"/>
        <v>908</v>
      </c>
      <c r="V99" s="235">
        <f t="shared" si="63"/>
        <v>908</v>
      </c>
      <c r="W99" s="393">
        <v>1</v>
      </c>
      <c r="X99" s="235">
        <f t="shared" si="64"/>
        <v>908</v>
      </c>
      <c r="Y99" s="235">
        <f t="shared" si="65"/>
        <v>908</v>
      </c>
      <c r="Z99" s="235">
        <f>IF(L99&gt;0,(K99-X99)/2,IF(AB99&gt;=AE99,(((K99*R99)*W99)-Y99)/2,((((K99*R99)*W99)-X99)+(((K99*R99)*W99)-Y99))/2))</f>
        <v>0</v>
      </c>
      <c r="AA99" s="235"/>
      <c r="AB99" s="235">
        <f t="shared" si="66"/>
        <v>2001.4166666666667</v>
      </c>
      <c r="AC99" s="235">
        <f t="shared" si="67"/>
        <v>2021</v>
      </c>
      <c r="AD99" s="235">
        <f t="shared" si="68"/>
        <v>2011.4166666666667</v>
      </c>
      <c r="AE99" s="413">
        <f t="shared" si="69"/>
        <v>2020</v>
      </c>
      <c r="AF99" s="413">
        <f t="shared" si="70"/>
        <v>-8.3333333333333329E-2</v>
      </c>
      <c r="AG99" s="413">
        <f t="shared" si="71"/>
        <v>2011.4166666666667</v>
      </c>
      <c r="AH99" s="413">
        <f t="shared" si="72"/>
        <v>2020</v>
      </c>
      <c r="AI99" s="413">
        <f t="shared" si="73"/>
        <v>-8.3333333333333329E-2</v>
      </c>
      <c r="AJ99" s="307"/>
      <c r="AK99" s="307"/>
      <c r="AL99" s="307"/>
    </row>
    <row r="100" spans="1:38" ht="15.75">
      <c r="A100" s="307">
        <v>13</v>
      </c>
      <c r="B100" s="415" t="s">
        <v>702</v>
      </c>
      <c r="C100" s="410">
        <v>2001</v>
      </c>
      <c r="D100" s="407">
        <v>6</v>
      </c>
      <c r="E100" s="411"/>
      <c r="F100" s="397" t="s">
        <v>668</v>
      </c>
      <c r="G100" s="397">
        <v>10</v>
      </c>
      <c r="H100" s="407">
        <f t="shared" si="55"/>
        <v>2011</v>
      </c>
      <c r="I100" s="393"/>
      <c r="J100" s="393"/>
      <c r="K100" s="417">
        <v>1119</v>
      </c>
      <c r="L100" s="393"/>
      <c r="M100" s="235">
        <f t="shared" si="56"/>
        <v>1119</v>
      </c>
      <c r="N100" s="235">
        <f t="shared" si="57"/>
        <v>9.3250000000000011</v>
      </c>
      <c r="O100" s="235">
        <f t="shared" si="58"/>
        <v>0</v>
      </c>
      <c r="P100" s="235">
        <f t="shared" si="59"/>
        <v>0</v>
      </c>
      <c r="Q100" s="235">
        <f t="shared" si="60"/>
        <v>0</v>
      </c>
      <c r="R100" s="393">
        <v>1</v>
      </c>
      <c r="S100" s="235">
        <f t="shared" si="61"/>
        <v>0</v>
      </c>
      <c r="T100" s="393"/>
      <c r="U100" s="235">
        <f t="shared" si="62"/>
        <v>1119</v>
      </c>
      <c r="V100" s="235">
        <f t="shared" si="63"/>
        <v>1119</v>
      </c>
      <c r="W100" s="393">
        <v>1</v>
      </c>
      <c r="X100" s="235">
        <f t="shared" si="64"/>
        <v>1119</v>
      </c>
      <c r="Y100" s="235">
        <f t="shared" si="65"/>
        <v>1119</v>
      </c>
      <c r="Z100" s="235">
        <f>IF(L100&gt;0,(K100-X100)/2,IF(AB100&gt;=AE100,(((K100*R100)*W100)-Y100)/2,((((K100*R100)*W100)-X100)+(((K100*R100)*W100)-Y100))/2))</f>
        <v>0</v>
      </c>
      <c r="AA100" s="235"/>
      <c r="AB100" s="235">
        <f t="shared" si="66"/>
        <v>2001.4166666666667</v>
      </c>
      <c r="AC100" s="235">
        <f t="shared" si="67"/>
        <v>2021</v>
      </c>
      <c r="AD100" s="235">
        <f t="shared" si="68"/>
        <v>2011.4166666666667</v>
      </c>
      <c r="AE100" s="413">
        <f t="shared" si="69"/>
        <v>2020</v>
      </c>
      <c r="AF100" s="413">
        <f t="shared" si="70"/>
        <v>-8.3333333333333329E-2</v>
      </c>
      <c r="AG100" s="413">
        <f t="shared" si="71"/>
        <v>2011.4166666666667</v>
      </c>
      <c r="AH100" s="413">
        <f t="shared" si="72"/>
        <v>2020</v>
      </c>
      <c r="AI100" s="413">
        <f t="shared" si="73"/>
        <v>-8.3333333333333329E-2</v>
      </c>
      <c r="AJ100" s="307"/>
      <c r="AK100" s="307"/>
      <c r="AL100" s="307"/>
    </row>
    <row r="101" spans="1:38" ht="15.75">
      <c r="A101" s="307">
        <v>15</v>
      </c>
      <c r="B101" s="415" t="s">
        <v>709</v>
      </c>
      <c r="C101" s="410">
        <v>2001</v>
      </c>
      <c r="D101" s="407">
        <v>5</v>
      </c>
      <c r="E101" s="411"/>
      <c r="F101" s="397" t="s">
        <v>668</v>
      </c>
      <c r="G101" s="397">
        <v>10</v>
      </c>
      <c r="H101" s="407">
        <f t="shared" si="55"/>
        <v>2011</v>
      </c>
      <c r="I101" s="393"/>
      <c r="J101" s="393"/>
      <c r="K101" s="417">
        <v>2389</v>
      </c>
      <c r="L101" s="393"/>
      <c r="M101" s="235">
        <f t="shared" si="56"/>
        <v>2389</v>
      </c>
      <c r="N101" s="235">
        <f t="shared" si="57"/>
        <v>19.908333333333335</v>
      </c>
      <c r="O101" s="235">
        <f t="shared" si="58"/>
        <v>0</v>
      </c>
      <c r="P101" s="235">
        <f t="shared" si="59"/>
        <v>0</v>
      </c>
      <c r="Q101" s="235">
        <f t="shared" si="60"/>
        <v>0</v>
      </c>
      <c r="R101" s="393">
        <v>1</v>
      </c>
      <c r="S101" s="235">
        <f t="shared" si="61"/>
        <v>0</v>
      </c>
      <c r="T101" s="393"/>
      <c r="U101" s="235">
        <f t="shared" si="62"/>
        <v>2389</v>
      </c>
      <c r="V101" s="235">
        <f t="shared" si="63"/>
        <v>2389</v>
      </c>
      <c r="W101" s="393">
        <v>1</v>
      </c>
      <c r="X101" s="235">
        <f t="shared" si="64"/>
        <v>2389</v>
      </c>
      <c r="Y101" s="235">
        <f t="shared" si="65"/>
        <v>2389</v>
      </c>
      <c r="Z101" s="235">
        <f>IF(L101&gt;0,(K101-X101)/2,IF(AB101&gt;=AE101,(((K101*R101)*W101)-Y101)/2,((((K101*R101)*W101)-X101)+(((K101*R101)*W101)-Y101))/2))</f>
        <v>0</v>
      </c>
      <c r="AA101" s="235"/>
      <c r="AB101" s="235">
        <f t="shared" si="66"/>
        <v>2001.3333333333333</v>
      </c>
      <c r="AC101" s="235">
        <f t="shared" si="67"/>
        <v>2021</v>
      </c>
      <c r="AD101" s="235">
        <f t="shared" si="68"/>
        <v>2011.3333333333333</v>
      </c>
      <c r="AE101" s="413">
        <f t="shared" si="69"/>
        <v>2020</v>
      </c>
      <c r="AF101" s="413">
        <f t="shared" si="70"/>
        <v>-8.3333333333333329E-2</v>
      </c>
      <c r="AG101" s="413">
        <f t="shared" si="71"/>
        <v>2011.3333333333333</v>
      </c>
      <c r="AH101" s="413">
        <f t="shared" si="72"/>
        <v>2020</v>
      </c>
      <c r="AI101" s="413">
        <f t="shared" si="73"/>
        <v>-8.3333333333333329E-2</v>
      </c>
      <c r="AJ101" s="307"/>
      <c r="AK101" s="307"/>
      <c r="AL101" s="307"/>
    </row>
    <row r="102" spans="1:38" ht="15.75">
      <c r="A102" s="307">
        <v>64</v>
      </c>
      <c r="B102" s="415" t="s">
        <v>698</v>
      </c>
      <c r="C102" s="410">
        <v>2001</v>
      </c>
      <c r="D102" s="407">
        <v>9</v>
      </c>
      <c r="E102" s="411"/>
      <c r="F102" s="397" t="s">
        <v>668</v>
      </c>
      <c r="G102" s="397">
        <v>10</v>
      </c>
      <c r="H102" s="407">
        <f t="shared" si="55"/>
        <v>2011</v>
      </c>
      <c r="I102" s="393"/>
      <c r="J102" s="393"/>
      <c r="K102" s="417">
        <v>1097</v>
      </c>
      <c r="L102" s="393"/>
      <c r="M102" s="235">
        <f t="shared" si="56"/>
        <v>1097</v>
      </c>
      <c r="N102" s="235">
        <f t="shared" si="57"/>
        <v>9.1416666666666675</v>
      </c>
      <c r="O102" s="235">
        <f t="shared" si="58"/>
        <v>0</v>
      </c>
      <c r="P102" s="235">
        <f t="shared" si="59"/>
        <v>0</v>
      </c>
      <c r="Q102" s="235">
        <f t="shared" si="60"/>
        <v>0</v>
      </c>
      <c r="R102" s="393">
        <v>1</v>
      </c>
      <c r="S102" s="235">
        <f t="shared" si="61"/>
        <v>0</v>
      </c>
      <c r="T102" s="393"/>
      <c r="U102" s="235">
        <f t="shared" si="62"/>
        <v>1097</v>
      </c>
      <c r="V102" s="235">
        <f t="shared" si="63"/>
        <v>1097</v>
      </c>
      <c r="W102" s="393">
        <v>1</v>
      </c>
      <c r="X102" s="235">
        <f t="shared" si="64"/>
        <v>1097</v>
      </c>
      <c r="Y102" s="235">
        <f t="shared" si="65"/>
        <v>1097</v>
      </c>
      <c r="Z102" s="235">
        <f>IF(L102&gt;0,(K102-X102)/2,IF(AB102&gt;=AE102,(((K102*R102)*W102)-Y102)/2,((((K102*R102)*W102)-X102)+(((K102*R102)*W102)-Y102))/2))</f>
        <v>0</v>
      </c>
      <c r="AA102" s="235"/>
      <c r="AB102" s="235">
        <f t="shared" si="66"/>
        <v>2001.6666666666667</v>
      </c>
      <c r="AC102" s="235">
        <f t="shared" si="67"/>
        <v>2021</v>
      </c>
      <c r="AD102" s="235">
        <f t="shared" si="68"/>
        <v>2011.6666666666667</v>
      </c>
      <c r="AE102" s="413">
        <f t="shared" si="69"/>
        <v>2020</v>
      </c>
      <c r="AF102" s="413">
        <f t="shared" si="70"/>
        <v>-8.3333333333333329E-2</v>
      </c>
      <c r="AG102" s="413">
        <f t="shared" si="71"/>
        <v>2011.6666666666667</v>
      </c>
      <c r="AH102" s="413">
        <f t="shared" si="72"/>
        <v>2020</v>
      </c>
      <c r="AI102" s="413">
        <f t="shared" si="73"/>
        <v>-8.3333333333333329E-2</v>
      </c>
      <c r="AJ102" s="307"/>
      <c r="AK102" s="307"/>
      <c r="AL102" s="307"/>
    </row>
    <row r="103" spans="1:38" ht="15.75">
      <c r="A103" s="307">
        <v>166</v>
      </c>
      <c r="B103" s="415" t="s">
        <v>710</v>
      </c>
      <c r="C103" s="410">
        <v>2001</v>
      </c>
      <c r="D103" s="407">
        <v>2</v>
      </c>
      <c r="E103" s="411"/>
      <c r="F103" s="397" t="s">
        <v>668</v>
      </c>
      <c r="G103" s="397">
        <v>10</v>
      </c>
      <c r="H103" s="407">
        <f t="shared" si="55"/>
        <v>2011</v>
      </c>
      <c r="I103" s="393"/>
      <c r="J103" s="393"/>
      <c r="K103" s="417">
        <v>1086</v>
      </c>
      <c r="L103" s="393"/>
      <c r="M103" s="235">
        <f t="shared" si="56"/>
        <v>1086</v>
      </c>
      <c r="N103" s="235">
        <f t="shared" si="57"/>
        <v>9.0499999999999989</v>
      </c>
      <c r="O103" s="235">
        <f t="shared" si="58"/>
        <v>0</v>
      </c>
      <c r="P103" s="235">
        <f t="shared" si="59"/>
        <v>0</v>
      </c>
      <c r="Q103" s="235">
        <f t="shared" si="60"/>
        <v>0</v>
      </c>
      <c r="R103" s="393">
        <v>1</v>
      </c>
      <c r="S103" s="235">
        <f t="shared" si="61"/>
        <v>0</v>
      </c>
      <c r="T103" s="393"/>
      <c r="U103" s="235">
        <f t="shared" si="62"/>
        <v>1086</v>
      </c>
      <c r="V103" s="235">
        <f t="shared" si="63"/>
        <v>1086</v>
      </c>
      <c r="W103" s="393">
        <v>1</v>
      </c>
      <c r="X103" s="235">
        <f t="shared" si="64"/>
        <v>1086</v>
      </c>
      <c r="Y103" s="235">
        <f t="shared" si="65"/>
        <v>1086</v>
      </c>
      <c r="Z103" s="235">
        <f t="shared" ref="Z103:Z122" si="74">+M103-Y103</f>
        <v>0</v>
      </c>
      <c r="AA103" s="235"/>
      <c r="AB103" s="235">
        <f t="shared" si="66"/>
        <v>2001.0833333333333</v>
      </c>
      <c r="AC103" s="235">
        <f t="shared" si="67"/>
        <v>2021</v>
      </c>
      <c r="AD103" s="235">
        <f t="shared" si="68"/>
        <v>2011.0833333333333</v>
      </c>
      <c r="AE103" s="413">
        <f t="shared" si="69"/>
        <v>2020</v>
      </c>
      <c r="AF103" s="413">
        <f t="shared" si="70"/>
        <v>-8.3333333333333329E-2</v>
      </c>
      <c r="AG103" s="413">
        <f t="shared" si="71"/>
        <v>2011.0833333333333</v>
      </c>
      <c r="AH103" s="413">
        <f t="shared" si="72"/>
        <v>2020</v>
      </c>
      <c r="AI103" s="413">
        <f t="shared" si="73"/>
        <v>-8.3333333333333329E-2</v>
      </c>
      <c r="AJ103" s="307"/>
      <c r="AK103" s="307"/>
      <c r="AL103" s="307"/>
    </row>
    <row r="104" spans="1:38" ht="15.75">
      <c r="A104" s="307">
        <v>180</v>
      </c>
      <c r="B104" s="415" t="s">
        <v>711</v>
      </c>
      <c r="C104" s="410">
        <v>2001</v>
      </c>
      <c r="D104" s="407">
        <v>5</v>
      </c>
      <c r="E104" s="411"/>
      <c r="F104" s="397" t="s">
        <v>668</v>
      </c>
      <c r="G104" s="397">
        <v>10</v>
      </c>
      <c r="H104" s="407">
        <f t="shared" si="55"/>
        <v>2011</v>
      </c>
      <c r="I104" s="393"/>
      <c r="J104" s="393"/>
      <c r="K104" s="417">
        <v>2238</v>
      </c>
      <c r="L104" s="393"/>
      <c r="M104" s="235">
        <f t="shared" si="56"/>
        <v>2238</v>
      </c>
      <c r="N104" s="235">
        <f t="shared" si="57"/>
        <v>18.650000000000002</v>
      </c>
      <c r="O104" s="235">
        <f t="shared" si="58"/>
        <v>0</v>
      </c>
      <c r="P104" s="235">
        <f t="shared" si="59"/>
        <v>0</v>
      </c>
      <c r="Q104" s="235">
        <f t="shared" si="60"/>
        <v>0</v>
      </c>
      <c r="R104" s="393">
        <v>1</v>
      </c>
      <c r="S104" s="235">
        <f t="shared" si="61"/>
        <v>0</v>
      </c>
      <c r="T104" s="393"/>
      <c r="U104" s="235">
        <f t="shared" si="62"/>
        <v>2238</v>
      </c>
      <c r="V104" s="235">
        <f t="shared" si="63"/>
        <v>2238</v>
      </c>
      <c r="W104" s="393">
        <v>1</v>
      </c>
      <c r="X104" s="235">
        <f t="shared" si="64"/>
        <v>2238</v>
      </c>
      <c r="Y104" s="235">
        <f t="shared" si="65"/>
        <v>2238</v>
      </c>
      <c r="Z104" s="235">
        <f t="shared" si="74"/>
        <v>0</v>
      </c>
      <c r="AA104" s="235"/>
      <c r="AB104" s="235">
        <f t="shared" si="66"/>
        <v>2001.3333333333333</v>
      </c>
      <c r="AC104" s="235">
        <f t="shared" si="67"/>
        <v>2021</v>
      </c>
      <c r="AD104" s="235">
        <f t="shared" si="68"/>
        <v>2011.3333333333333</v>
      </c>
      <c r="AE104" s="413">
        <f t="shared" si="69"/>
        <v>2020</v>
      </c>
      <c r="AF104" s="413">
        <f t="shared" si="70"/>
        <v>-8.3333333333333329E-2</v>
      </c>
      <c r="AG104" s="413">
        <f t="shared" si="71"/>
        <v>2011.3333333333333</v>
      </c>
      <c r="AH104" s="413">
        <f t="shared" si="72"/>
        <v>2020</v>
      </c>
      <c r="AI104" s="413">
        <f t="shared" si="73"/>
        <v>-8.3333333333333329E-2</v>
      </c>
      <c r="AJ104" s="307"/>
      <c r="AK104" s="307"/>
      <c r="AL104" s="307"/>
    </row>
    <row r="105" spans="1:38" ht="15.75">
      <c r="A105" s="307">
        <v>90</v>
      </c>
      <c r="B105" s="415" t="s">
        <v>694</v>
      </c>
      <c r="C105" s="410">
        <v>2002</v>
      </c>
      <c r="D105" s="407">
        <v>8</v>
      </c>
      <c r="E105" s="411"/>
      <c r="F105" s="397" t="s">
        <v>668</v>
      </c>
      <c r="G105" s="397">
        <v>10</v>
      </c>
      <c r="H105" s="407">
        <f t="shared" si="55"/>
        <v>2012</v>
      </c>
      <c r="I105" s="393"/>
      <c r="J105" s="393"/>
      <c r="K105" s="417">
        <v>1865</v>
      </c>
      <c r="L105" s="393"/>
      <c r="M105" s="235">
        <f t="shared" si="56"/>
        <v>1865</v>
      </c>
      <c r="N105" s="235">
        <f t="shared" si="57"/>
        <v>15.541666666666666</v>
      </c>
      <c r="O105" s="235">
        <f t="shared" si="58"/>
        <v>0</v>
      </c>
      <c r="P105" s="235">
        <f t="shared" si="59"/>
        <v>0</v>
      </c>
      <c r="Q105" s="235">
        <f t="shared" si="60"/>
        <v>0</v>
      </c>
      <c r="R105" s="393">
        <v>1</v>
      </c>
      <c r="S105" s="235">
        <f t="shared" si="61"/>
        <v>0</v>
      </c>
      <c r="T105" s="393"/>
      <c r="U105" s="235">
        <f t="shared" si="62"/>
        <v>1865</v>
      </c>
      <c r="V105" s="235">
        <f t="shared" si="63"/>
        <v>1865</v>
      </c>
      <c r="W105" s="393">
        <v>1</v>
      </c>
      <c r="X105" s="235">
        <f t="shared" si="64"/>
        <v>1865</v>
      </c>
      <c r="Y105" s="235">
        <f t="shared" si="65"/>
        <v>1865</v>
      </c>
      <c r="Z105" s="235">
        <f t="shared" si="74"/>
        <v>0</v>
      </c>
      <c r="AA105" s="235"/>
      <c r="AB105" s="235">
        <f t="shared" si="66"/>
        <v>2002.5833333333333</v>
      </c>
      <c r="AC105" s="235">
        <f t="shared" si="67"/>
        <v>2021</v>
      </c>
      <c r="AD105" s="235">
        <f t="shared" si="68"/>
        <v>2012.5833333333333</v>
      </c>
      <c r="AE105" s="413">
        <f t="shared" si="69"/>
        <v>2020</v>
      </c>
      <c r="AF105" s="413">
        <f t="shared" si="70"/>
        <v>-8.3333333333333329E-2</v>
      </c>
      <c r="AG105" s="413">
        <f t="shared" si="71"/>
        <v>2012.5833333333333</v>
      </c>
      <c r="AH105" s="413">
        <f t="shared" si="72"/>
        <v>2020</v>
      </c>
      <c r="AI105" s="413">
        <f t="shared" si="73"/>
        <v>-8.3333333333333329E-2</v>
      </c>
      <c r="AJ105" s="307"/>
      <c r="AK105" s="307"/>
      <c r="AL105" s="307"/>
    </row>
    <row r="106" spans="1:38" ht="15.75">
      <c r="A106" s="307">
        <v>93</v>
      </c>
      <c r="B106" s="415" t="s">
        <v>694</v>
      </c>
      <c r="C106" s="410">
        <v>2002</v>
      </c>
      <c r="D106" s="407">
        <v>5</v>
      </c>
      <c r="E106" s="411"/>
      <c r="F106" s="397" t="s">
        <v>668</v>
      </c>
      <c r="G106" s="397">
        <v>10</v>
      </c>
      <c r="H106" s="407">
        <f t="shared" si="55"/>
        <v>2012</v>
      </c>
      <c r="I106" s="393"/>
      <c r="J106" s="393"/>
      <c r="K106" s="417">
        <v>2650</v>
      </c>
      <c r="L106" s="393"/>
      <c r="M106" s="235">
        <f t="shared" si="56"/>
        <v>2650</v>
      </c>
      <c r="N106" s="235">
        <f t="shared" si="57"/>
        <v>22.083333333333332</v>
      </c>
      <c r="O106" s="235">
        <f t="shared" si="58"/>
        <v>0</v>
      </c>
      <c r="P106" s="235">
        <f t="shared" si="59"/>
        <v>0</v>
      </c>
      <c r="Q106" s="235">
        <f t="shared" si="60"/>
        <v>0</v>
      </c>
      <c r="R106" s="393">
        <v>1</v>
      </c>
      <c r="S106" s="235">
        <f t="shared" si="61"/>
        <v>0</v>
      </c>
      <c r="T106" s="393"/>
      <c r="U106" s="235">
        <f t="shared" si="62"/>
        <v>2650</v>
      </c>
      <c r="V106" s="235">
        <f t="shared" si="63"/>
        <v>2650</v>
      </c>
      <c r="W106" s="393">
        <v>1</v>
      </c>
      <c r="X106" s="235">
        <f t="shared" si="64"/>
        <v>2650</v>
      </c>
      <c r="Y106" s="235">
        <f t="shared" si="65"/>
        <v>2650</v>
      </c>
      <c r="Z106" s="235">
        <f t="shared" si="74"/>
        <v>0</v>
      </c>
      <c r="AA106" s="235"/>
      <c r="AB106" s="235">
        <f t="shared" si="66"/>
        <v>2002.3333333333333</v>
      </c>
      <c r="AC106" s="235">
        <f t="shared" si="67"/>
        <v>2021</v>
      </c>
      <c r="AD106" s="235">
        <f t="shared" si="68"/>
        <v>2012.3333333333333</v>
      </c>
      <c r="AE106" s="413">
        <f t="shared" si="69"/>
        <v>2020</v>
      </c>
      <c r="AF106" s="413">
        <f t="shared" si="70"/>
        <v>-8.3333333333333329E-2</v>
      </c>
      <c r="AG106" s="413">
        <f t="shared" si="71"/>
        <v>2012.3333333333333</v>
      </c>
      <c r="AH106" s="413">
        <f t="shared" si="72"/>
        <v>2020</v>
      </c>
      <c r="AI106" s="413">
        <f t="shared" si="73"/>
        <v>-8.3333333333333329E-2</v>
      </c>
      <c r="AJ106" s="307"/>
      <c r="AK106" s="307"/>
      <c r="AL106" s="307"/>
    </row>
    <row r="107" spans="1:38" ht="15.75">
      <c r="A107" s="307">
        <v>109</v>
      </c>
      <c r="B107" s="415" t="s">
        <v>694</v>
      </c>
      <c r="C107" s="410">
        <v>2002</v>
      </c>
      <c r="D107" s="407">
        <v>5</v>
      </c>
      <c r="E107" s="411"/>
      <c r="F107" s="397" t="s">
        <v>668</v>
      </c>
      <c r="G107" s="397">
        <v>10</v>
      </c>
      <c r="H107" s="407">
        <f t="shared" si="55"/>
        <v>2012</v>
      </c>
      <c r="I107" s="393"/>
      <c r="J107" s="393"/>
      <c r="K107" s="417">
        <v>1500</v>
      </c>
      <c r="L107" s="393"/>
      <c r="M107" s="235">
        <f t="shared" si="56"/>
        <v>1500</v>
      </c>
      <c r="N107" s="235">
        <f t="shared" si="57"/>
        <v>12.5</v>
      </c>
      <c r="O107" s="235">
        <f t="shared" si="58"/>
        <v>0</v>
      </c>
      <c r="P107" s="235">
        <f t="shared" si="59"/>
        <v>0</v>
      </c>
      <c r="Q107" s="235">
        <f t="shared" si="60"/>
        <v>0</v>
      </c>
      <c r="R107" s="393">
        <v>1</v>
      </c>
      <c r="S107" s="235">
        <f t="shared" si="61"/>
        <v>0</v>
      </c>
      <c r="T107" s="393"/>
      <c r="U107" s="235">
        <f t="shared" si="62"/>
        <v>1500</v>
      </c>
      <c r="V107" s="235">
        <f t="shared" si="63"/>
        <v>1500</v>
      </c>
      <c r="W107" s="393">
        <v>1</v>
      </c>
      <c r="X107" s="235">
        <f t="shared" si="64"/>
        <v>1500</v>
      </c>
      <c r="Y107" s="235">
        <f t="shared" si="65"/>
        <v>1500</v>
      </c>
      <c r="Z107" s="235">
        <f t="shared" si="74"/>
        <v>0</v>
      </c>
      <c r="AA107" s="235"/>
      <c r="AB107" s="235">
        <f t="shared" si="66"/>
        <v>2002.3333333333333</v>
      </c>
      <c r="AC107" s="235">
        <f t="shared" si="67"/>
        <v>2021</v>
      </c>
      <c r="AD107" s="235">
        <f t="shared" si="68"/>
        <v>2012.3333333333333</v>
      </c>
      <c r="AE107" s="413">
        <f t="shared" si="69"/>
        <v>2020</v>
      </c>
      <c r="AF107" s="413">
        <f t="shared" si="70"/>
        <v>-8.3333333333333329E-2</v>
      </c>
      <c r="AG107" s="413">
        <f t="shared" si="71"/>
        <v>2012.3333333333333</v>
      </c>
      <c r="AH107" s="413">
        <f t="shared" si="72"/>
        <v>2020</v>
      </c>
      <c r="AI107" s="413">
        <f t="shared" si="73"/>
        <v>-8.3333333333333329E-2</v>
      </c>
      <c r="AJ107" s="307"/>
      <c r="AK107" s="307"/>
      <c r="AL107" s="307"/>
    </row>
    <row r="108" spans="1:38" ht="15.75">
      <c r="A108" s="307">
        <v>96</v>
      </c>
      <c r="B108" s="415" t="s">
        <v>694</v>
      </c>
      <c r="C108" s="410">
        <v>2003</v>
      </c>
      <c r="D108" s="407">
        <v>5</v>
      </c>
      <c r="E108" s="411"/>
      <c r="F108" s="397" t="s">
        <v>668</v>
      </c>
      <c r="G108" s="397">
        <v>10</v>
      </c>
      <c r="H108" s="407">
        <f t="shared" ref="H108:H171" si="75">+C108+G108</f>
        <v>2013</v>
      </c>
      <c r="I108" s="393"/>
      <c r="J108" s="393"/>
      <c r="K108" s="417">
        <v>1410</v>
      </c>
      <c r="L108" s="393"/>
      <c r="M108" s="235">
        <f t="shared" ref="M108:M171" si="76">K108-K108*E108</f>
        <v>1410</v>
      </c>
      <c r="N108" s="235">
        <f t="shared" ref="N108:N171" si="77">M108/G108/12</f>
        <v>11.75</v>
      </c>
      <c r="O108" s="235">
        <f t="shared" ref="O108:O171" si="78">IF(L108&gt;0,0,IF((OR((AB108&gt;AC108),(AD108&lt;AE108))),0,IF((AND((AD108&gt;=AE108),(AD108&lt;=AC108))),N108*((AD108-AE108)*12),IF((AND((AE108&lt;=AB108),(AC108&gt;=AB108))),((AC108-AB108)*12)*N108,IF(AD108&gt;AC108,12*N108,0)))))</f>
        <v>0</v>
      </c>
      <c r="P108" s="235">
        <f t="shared" ref="P108:P171" si="79">IF(L108=0,0,IF((AND((AF108&gt;=AE108),(AF108&lt;=AD108))),((AF108-AE108)*12)*N108,0))</f>
        <v>0</v>
      </c>
      <c r="Q108" s="235">
        <f t="shared" ref="Q108:Q171" si="80">IF(P108&gt;0,P108,O108)</f>
        <v>0</v>
      </c>
      <c r="R108" s="393">
        <v>1</v>
      </c>
      <c r="S108" s="235">
        <f t="shared" ref="S108:S171" si="81">R108*SUM(O108:P108)</f>
        <v>0</v>
      </c>
      <c r="T108" s="393"/>
      <c r="U108" s="235">
        <f t="shared" ref="U108:U171" si="82">IF(AB108&gt;AC108,0,IF(AD108&lt;AE108,M108,IF((AND((AD108&gt;=AE108),(AD108&lt;=AC108))),(M108-Q108),IF((AND((AE108&lt;=AB108),(AC108&gt;=AB108))),0,IF(AD108&gt;AC108,((AE108-AB108)*12)*N108,0)))))</f>
        <v>1410</v>
      </c>
      <c r="V108" s="235">
        <f t="shared" ref="V108:V171" si="83">U108*R108</f>
        <v>1410</v>
      </c>
      <c r="W108" s="393">
        <v>1</v>
      </c>
      <c r="X108" s="235">
        <f t="shared" ref="X108:X171" si="84">V108*W108</f>
        <v>1410</v>
      </c>
      <c r="Y108" s="235">
        <f t="shared" ref="Y108:Y171" si="85">IF(L108&gt;0,0,X108+S108*W108)*W108</f>
        <v>1410</v>
      </c>
      <c r="Z108" s="235">
        <f t="shared" si="74"/>
        <v>0</v>
      </c>
      <c r="AA108" s="235"/>
      <c r="AB108" s="235">
        <f t="shared" ref="AB108:AB171" si="86">$C108+(($D108-1)/12)</f>
        <v>2003.3333333333333</v>
      </c>
      <c r="AC108" s="235">
        <f t="shared" ref="AC108:AC171" si="87">($M$5+1)-($M$2/12)</f>
        <v>2021</v>
      </c>
      <c r="AD108" s="235">
        <f t="shared" ref="AD108:AD171" si="88">$H108+(($D108-1)/12)</f>
        <v>2013.3333333333333</v>
      </c>
      <c r="AE108" s="413">
        <f t="shared" ref="AE108:AE171" si="89">$M$4+($M$3/12)</f>
        <v>2020</v>
      </c>
      <c r="AF108" s="413">
        <f t="shared" ref="AF108:AF171" si="90">$I108+(($J108-1)/12)</f>
        <v>-8.3333333333333329E-2</v>
      </c>
      <c r="AG108" s="413">
        <f t="shared" ref="AG108:AG171" si="91">$H108+(($D108-1)/12)</f>
        <v>2013.3333333333333</v>
      </c>
      <c r="AH108" s="413">
        <f t="shared" ref="AH108:AH171" si="92">$M$4+($M$3/12)</f>
        <v>2020</v>
      </c>
      <c r="AI108" s="413">
        <f t="shared" ref="AI108:AI171" si="93">$I108+(($J108-1)/12)</f>
        <v>-8.3333333333333329E-2</v>
      </c>
      <c r="AJ108" s="307"/>
      <c r="AK108" s="307"/>
      <c r="AL108" s="307"/>
    </row>
    <row r="109" spans="1:38" ht="15.75">
      <c r="A109" s="307">
        <v>105</v>
      </c>
      <c r="B109" s="415" t="s">
        <v>694</v>
      </c>
      <c r="C109" s="410">
        <v>2003</v>
      </c>
      <c r="D109" s="407">
        <v>8</v>
      </c>
      <c r="E109" s="411"/>
      <c r="F109" s="397" t="s">
        <v>668</v>
      </c>
      <c r="G109" s="397">
        <v>10</v>
      </c>
      <c r="H109" s="407">
        <f t="shared" si="75"/>
        <v>2013</v>
      </c>
      <c r="I109" s="393"/>
      <c r="J109" s="393"/>
      <c r="K109" s="417">
        <v>830</v>
      </c>
      <c r="L109" s="393"/>
      <c r="M109" s="235">
        <f t="shared" si="76"/>
        <v>830</v>
      </c>
      <c r="N109" s="235">
        <f t="shared" si="77"/>
        <v>6.916666666666667</v>
      </c>
      <c r="O109" s="235">
        <f t="shared" si="78"/>
        <v>0</v>
      </c>
      <c r="P109" s="235">
        <f t="shared" si="79"/>
        <v>0</v>
      </c>
      <c r="Q109" s="235">
        <f t="shared" si="80"/>
        <v>0</v>
      </c>
      <c r="R109" s="393">
        <v>1</v>
      </c>
      <c r="S109" s="235">
        <f t="shared" si="81"/>
        <v>0</v>
      </c>
      <c r="T109" s="393"/>
      <c r="U109" s="235">
        <f t="shared" si="82"/>
        <v>830</v>
      </c>
      <c r="V109" s="235">
        <f t="shared" si="83"/>
        <v>830</v>
      </c>
      <c r="W109" s="393">
        <v>1</v>
      </c>
      <c r="X109" s="235">
        <f t="shared" si="84"/>
        <v>830</v>
      </c>
      <c r="Y109" s="235">
        <f t="shared" si="85"/>
        <v>830</v>
      </c>
      <c r="Z109" s="235">
        <f t="shared" si="74"/>
        <v>0</v>
      </c>
      <c r="AA109" s="235"/>
      <c r="AB109" s="235">
        <f t="shared" si="86"/>
        <v>2003.5833333333333</v>
      </c>
      <c r="AC109" s="235">
        <f t="shared" si="87"/>
        <v>2021</v>
      </c>
      <c r="AD109" s="235">
        <f t="shared" si="88"/>
        <v>2013.5833333333333</v>
      </c>
      <c r="AE109" s="413">
        <f t="shared" si="89"/>
        <v>2020</v>
      </c>
      <c r="AF109" s="413">
        <f t="shared" si="90"/>
        <v>-8.3333333333333329E-2</v>
      </c>
      <c r="AG109" s="413">
        <f t="shared" si="91"/>
        <v>2013.5833333333333</v>
      </c>
      <c r="AH109" s="413">
        <f t="shared" si="92"/>
        <v>2020</v>
      </c>
      <c r="AI109" s="413">
        <f t="shared" si="93"/>
        <v>-8.3333333333333329E-2</v>
      </c>
      <c r="AJ109" s="307"/>
      <c r="AK109" s="307"/>
      <c r="AL109" s="307"/>
    </row>
    <row r="110" spans="1:38" ht="15.75">
      <c r="A110" s="307">
        <v>114</v>
      </c>
      <c r="B110" s="415" t="s">
        <v>694</v>
      </c>
      <c r="C110" s="410">
        <v>2003</v>
      </c>
      <c r="D110" s="407">
        <v>7</v>
      </c>
      <c r="E110" s="411"/>
      <c r="F110" s="397" t="s">
        <v>668</v>
      </c>
      <c r="G110" s="397">
        <v>10</v>
      </c>
      <c r="H110" s="407">
        <f t="shared" si="75"/>
        <v>2013</v>
      </c>
      <c r="I110" s="393"/>
      <c r="J110" s="393"/>
      <c r="K110" s="417">
        <v>829</v>
      </c>
      <c r="L110" s="393"/>
      <c r="M110" s="235">
        <f t="shared" si="76"/>
        <v>829</v>
      </c>
      <c r="N110" s="235">
        <f t="shared" si="77"/>
        <v>6.9083333333333341</v>
      </c>
      <c r="O110" s="235">
        <f t="shared" si="78"/>
        <v>0</v>
      </c>
      <c r="P110" s="235">
        <f t="shared" si="79"/>
        <v>0</v>
      </c>
      <c r="Q110" s="235">
        <f t="shared" si="80"/>
        <v>0</v>
      </c>
      <c r="R110" s="393">
        <v>1</v>
      </c>
      <c r="S110" s="235">
        <f t="shared" si="81"/>
        <v>0</v>
      </c>
      <c r="T110" s="393"/>
      <c r="U110" s="235">
        <f t="shared" si="82"/>
        <v>829</v>
      </c>
      <c r="V110" s="235">
        <f t="shared" si="83"/>
        <v>829</v>
      </c>
      <c r="W110" s="393">
        <v>1</v>
      </c>
      <c r="X110" s="235">
        <f t="shared" si="84"/>
        <v>829</v>
      </c>
      <c r="Y110" s="235">
        <f t="shared" si="85"/>
        <v>829</v>
      </c>
      <c r="Z110" s="235">
        <f t="shared" si="74"/>
        <v>0</v>
      </c>
      <c r="AA110" s="235"/>
      <c r="AB110" s="235">
        <f t="shared" si="86"/>
        <v>2003.5</v>
      </c>
      <c r="AC110" s="235">
        <f t="shared" si="87"/>
        <v>2021</v>
      </c>
      <c r="AD110" s="235">
        <f t="shared" si="88"/>
        <v>2013.5</v>
      </c>
      <c r="AE110" s="413">
        <f t="shared" si="89"/>
        <v>2020</v>
      </c>
      <c r="AF110" s="413">
        <f t="shared" si="90"/>
        <v>-8.3333333333333329E-2</v>
      </c>
      <c r="AG110" s="413">
        <f t="shared" si="91"/>
        <v>2013.5</v>
      </c>
      <c r="AH110" s="413">
        <f t="shared" si="92"/>
        <v>2020</v>
      </c>
      <c r="AI110" s="413">
        <f t="shared" si="93"/>
        <v>-8.3333333333333329E-2</v>
      </c>
      <c r="AJ110" s="307"/>
      <c r="AK110" s="307"/>
      <c r="AL110" s="307"/>
    </row>
    <row r="111" spans="1:38" ht="15.75">
      <c r="A111" s="307">
        <v>117</v>
      </c>
      <c r="B111" s="415" t="s">
        <v>694</v>
      </c>
      <c r="C111" s="410">
        <v>2003</v>
      </c>
      <c r="D111" s="407">
        <v>6</v>
      </c>
      <c r="E111" s="411"/>
      <c r="F111" s="397" t="s">
        <v>668</v>
      </c>
      <c r="G111" s="397">
        <v>10</v>
      </c>
      <c r="H111" s="407">
        <f t="shared" si="75"/>
        <v>2013</v>
      </c>
      <c r="I111" s="393"/>
      <c r="J111" s="393"/>
      <c r="K111" s="417">
        <v>1800</v>
      </c>
      <c r="L111" s="393"/>
      <c r="M111" s="235">
        <f t="shared" si="76"/>
        <v>1800</v>
      </c>
      <c r="N111" s="235">
        <f t="shared" si="77"/>
        <v>15</v>
      </c>
      <c r="O111" s="235">
        <f t="shared" si="78"/>
        <v>0</v>
      </c>
      <c r="P111" s="235">
        <f t="shared" si="79"/>
        <v>0</v>
      </c>
      <c r="Q111" s="235">
        <f t="shared" si="80"/>
        <v>0</v>
      </c>
      <c r="R111" s="393">
        <v>1</v>
      </c>
      <c r="S111" s="235">
        <f t="shared" si="81"/>
        <v>0</v>
      </c>
      <c r="T111" s="393"/>
      <c r="U111" s="235">
        <f t="shared" si="82"/>
        <v>1800</v>
      </c>
      <c r="V111" s="235">
        <f t="shared" si="83"/>
        <v>1800</v>
      </c>
      <c r="W111" s="393">
        <v>1</v>
      </c>
      <c r="X111" s="235">
        <f t="shared" si="84"/>
        <v>1800</v>
      </c>
      <c r="Y111" s="235">
        <f t="shared" si="85"/>
        <v>1800</v>
      </c>
      <c r="Z111" s="235">
        <f t="shared" si="74"/>
        <v>0</v>
      </c>
      <c r="AA111" s="235"/>
      <c r="AB111" s="235">
        <f t="shared" si="86"/>
        <v>2003.4166666666667</v>
      </c>
      <c r="AC111" s="235">
        <f t="shared" si="87"/>
        <v>2021</v>
      </c>
      <c r="AD111" s="235">
        <f t="shared" si="88"/>
        <v>2013.4166666666667</v>
      </c>
      <c r="AE111" s="413">
        <f t="shared" si="89"/>
        <v>2020</v>
      </c>
      <c r="AF111" s="413">
        <f t="shared" si="90"/>
        <v>-8.3333333333333329E-2</v>
      </c>
      <c r="AG111" s="413">
        <f t="shared" si="91"/>
        <v>2013.4166666666667</v>
      </c>
      <c r="AH111" s="413">
        <f t="shared" si="92"/>
        <v>2020</v>
      </c>
      <c r="AI111" s="413">
        <f t="shared" si="93"/>
        <v>-8.3333333333333329E-2</v>
      </c>
      <c r="AJ111" s="307"/>
      <c r="AK111" s="307"/>
      <c r="AL111" s="307"/>
    </row>
    <row r="112" spans="1:38" ht="15.75">
      <c r="A112" s="307">
        <v>118</v>
      </c>
      <c r="B112" s="415" t="s">
        <v>694</v>
      </c>
      <c r="C112" s="410">
        <v>2003</v>
      </c>
      <c r="D112" s="407">
        <v>10</v>
      </c>
      <c r="E112" s="411"/>
      <c r="F112" s="397" t="s">
        <v>668</v>
      </c>
      <c r="G112" s="397">
        <v>10</v>
      </c>
      <c r="H112" s="407">
        <f t="shared" si="75"/>
        <v>2013</v>
      </c>
      <c r="I112" s="393"/>
      <c r="J112" s="393"/>
      <c r="K112" s="417">
        <v>705</v>
      </c>
      <c r="L112" s="393"/>
      <c r="M112" s="235">
        <f t="shared" si="76"/>
        <v>705</v>
      </c>
      <c r="N112" s="235">
        <f t="shared" si="77"/>
        <v>5.875</v>
      </c>
      <c r="O112" s="235">
        <f t="shared" si="78"/>
        <v>0</v>
      </c>
      <c r="P112" s="235">
        <f t="shared" si="79"/>
        <v>0</v>
      </c>
      <c r="Q112" s="235">
        <f t="shared" si="80"/>
        <v>0</v>
      </c>
      <c r="R112" s="393">
        <v>1</v>
      </c>
      <c r="S112" s="235">
        <f t="shared" si="81"/>
        <v>0</v>
      </c>
      <c r="T112" s="393"/>
      <c r="U112" s="235">
        <f t="shared" si="82"/>
        <v>705</v>
      </c>
      <c r="V112" s="235">
        <f t="shared" si="83"/>
        <v>705</v>
      </c>
      <c r="W112" s="393">
        <v>1</v>
      </c>
      <c r="X112" s="235">
        <f t="shared" si="84"/>
        <v>705</v>
      </c>
      <c r="Y112" s="235">
        <f t="shared" si="85"/>
        <v>705</v>
      </c>
      <c r="Z112" s="235">
        <f t="shared" si="74"/>
        <v>0</v>
      </c>
      <c r="AA112" s="235"/>
      <c r="AB112" s="235">
        <f t="shared" si="86"/>
        <v>2003.75</v>
      </c>
      <c r="AC112" s="235">
        <f t="shared" si="87"/>
        <v>2021</v>
      </c>
      <c r="AD112" s="235">
        <f t="shared" si="88"/>
        <v>2013.75</v>
      </c>
      <c r="AE112" s="413">
        <f t="shared" si="89"/>
        <v>2020</v>
      </c>
      <c r="AF112" s="413">
        <f t="shared" si="90"/>
        <v>-8.3333333333333329E-2</v>
      </c>
      <c r="AG112" s="413">
        <f t="shared" si="91"/>
        <v>2013.75</v>
      </c>
      <c r="AH112" s="413">
        <f t="shared" si="92"/>
        <v>2020</v>
      </c>
      <c r="AI112" s="413">
        <f t="shared" si="93"/>
        <v>-8.3333333333333329E-2</v>
      </c>
      <c r="AJ112" s="307"/>
      <c r="AK112" s="307"/>
      <c r="AL112" s="307"/>
    </row>
    <row r="113" spans="1:38" ht="15.75">
      <c r="A113" s="307">
        <v>135</v>
      </c>
      <c r="B113" s="415" t="s">
        <v>694</v>
      </c>
      <c r="C113" s="410">
        <v>2003</v>
      </c>
      <c r="D113" s="407">
        <v>7</v>
      </c>
      <c r="E113" s="411"/>
      <c r="F113" s="397" t="s">
        <v>668</v>
      </c>
      <c r="G113" s="397">
        <v>10</v>
      </c>
      <c r="H113" s="407">
        <f t="shared" si="75"/>
        <v>2013</v>
      </c>
      <c r="I113" s="393"/>
      <c r="J113" s="393"/>
      <c r="K113" s="417">
        <v>830</v>
      </c>
      <c r="L113" s="393"/>
      <c r="M113" s="235">
        <f t="shared" si="76"/>
        <v>830</v>
      </c>
      <c r="N113" s="235">
        <f t="shared" si="77"/>
        <v>6.916666666666667</v>
      </c>
      <c r="O113" s="235">
        <f t="shared" si="78"/>
        <v>0</v>
      </c>
      <c r="P113" s="235">
        <f t="shared" si="79"/>
        <v>0</v>
      </c>
      <c r="Q113" s="235">
        <f t="shared" si="80"/>
        <v>0</v>
      </c>
      <c r="R113" s="393">
        <v>1</v>
      </c>
      <c r="S113" s="235">
        <f t="shared" si="81"/>
        <v>0</v>
      </c>
      <c r="T113" s="393"/>
      <c r="U113" s="235">
        <f t="shared" si="82"/>
        <v>830</v>
      </c>
      <c r="V113" s="235">
        <f t="shared" si="83"/>
        <v>830</v>
      </c>
      <c r="W113" s="393">
        <v>1</v>
      </c>
      <c r="X113" s="235">
        <f t="shared" si="84"/>
        <v>830</v>
      </c>
      <c r="Y113" s="235">
        <f t="shared" si="85"/>
        <v>830</v>
      </c>
      <c r="Z113" s="235">
        <f t="shared" si="74"/>
        <v>0</v>
      </c>
      <c r="AA113" s="235"/>
      <c r="AB113" s="235">
        <f t="shared" si="86"/>
        <v>2003.5</v>
      </c>
      <c r="AC113" s="235">
        <f t="shared" si="87"/>
        <v>2021</v>
      </c>
      <c r="AD113" s="235">
        <f t="shared" si="88"/>
        <v>2013.5</v>
      </c>
      <c r="AE113" s="413">
        <f t="shared" si="89"/>
        <v>2020</v>
      </c>
      <c r="AF113" s="413">
        <f t="shared" si="90"/>
        <v>-8.3333333333333329E-2</v>
      </c>
      <c r="AG113" s="413">
        <f t="shared" si="91"/>
        <v>2013.5</v>
      </c>
      <c r="AH113" s="413">
        <f t="shared" si="92"/>
        <v>2020</v>
      </c>
      <c r="AI113" s="413">
        <f t="shared" si="93"/>
        <v>-8.3333333333333329E-2</v>
      </c>
      <c r="AJ113" s="307"/>
      <c r="AK113" s="307"/>
      <c r="AL113" s="307"/>
    </row>
    <row r="114" spans="1:38" ht="15.75">
      <c r="A114" s="307">
        <v>136</v>
      </c>
      <c r="B114" s="415" t="s">
        <v>694</v>
      </c>
      <c r="C114" s="410">
        <v>2003</v>
      </c>
      <c r="D114" s="407">
        <v>9</v>
      </c>
      <c r="E114" s="411"/>
      <c r="F114" s="397" t="s">
        <v>668</v>
      </c>
      <c r="G114" s="397">
        <v>10</v>
      </c>
      <c r="H114" s="407">
        <f t="shared" si="75"/>
        <v>2013</v>
      </c>
      <c r="I114" s="393"/>
      <c r="J114" s="393"/>
      <c r="K114" s="417">
        <v>830</v>
      </c>
      <c r="L114" s="393"/>
      <c r="M114" s="235">
        <f t="shared" si="76"/>
        <v>830</v>
      </c>
      <c r="N114" s="235">
        <f t="shared" si="77"/>
        <v>6.916666666666667</v>
      </c>
      <c r="O114" s="235">
        <f t="shared" si="78"/>
        <v>0</v>
      </c>
      <c r="P114" s="235">
        <f t="shared" si="79"/>
        <v>0</v>
      </c>
      <c r="Q114" s="235">
        <f t="shared" si="80"/>
        <v>0</v>
      </c>
      <c r="R114" s="393">
        <v>1</v>
      </c>
      <c r="S114" s="235">
        <f t="shared" si="81"/>
        <v>0</v>
      </c>
      <c r="T114" s="393"/>
      <c r="U114" s="235">
        <f t="shared" si="82"/>
        <v>830</v>
      </c>
      <c r="V114" s="235">
        <f t="shared" si="83"/>
        <v>830</v>
      </c>
      <c r="W114" s="393">
        <v>1</v>
      </c>
      <c r="X114" s="235">
        <f t="shared" si="84"/>
        <v>830</v>
      </c>
      <c r="Y114" s="235">
        <f t="shared" si="85"/>
        <v>830</v>
      </c>
      <c r="Z114" s="235">
        <f t="shared" si="74"/>
        <v>0</v>
      </c>
      <c r="AA114" s="235"/>
      <c r="AB114" s="235">
        <f t="shared" si="86"/>
        <v>2003.6666666666667</v>
      </c>
      <c r="AC114" s="235">
        <f t="shared" si="87"/>
        <v>2021</v>
      </c>
      <c r="AD114" s="235">
        <f t="shared" si="88"/>
        <v>2013.6666666666667</v>
      </c>
      <c r="AE114" s="413">
        <f t="shared" si="89"/>
        <v>2020</v>
      </c>
      <c r="AF114" s="413">
        <f t="shared" si="90"/>
        <v>-8.3333333333333329E-2</v>
      </c>
      <c r="AG114" s="413">
        <f t="shared" si="91"/>
        <v>2013.6666666666667</v>
      </c>
      <c r="AH114" s="413">
        <f t="shared" si="92"/>
        <v>2020</v>
      </c>
      <c r="AI114" s="413">
        <f t="shared" si="93"/>
        <v>-8.3333333333333329E-2</v>
      </c>
      <c r="AJ114" s="307"/>
      <c r="AK114" s="307"/>
      <c r="AL114" s="307"/>
    </row>
    <row r="115" spans="1:38" ht="15.75">
      <c r="A115" s="307">
        <v>137</v>
      </c>
      <c r="B115" s="415" t="s">
        <v>694</v>
      </c>
      <c r="C115" s="410">
        <v>2003</v>
      </c>
      <c r="D115" s="407">
        <v>10</v>
      </c>
      <c r="E115" s="411"/>
      <c r="F115" s="397" t="s">
        <v>668</v>
      </c>
      <c r="G115" s="397">
        <v>10</v>
      </c>
      <c r="H115" s="407">
        <f t="shared" si="75"/>
        <v>2013</v>
      </c>
      <c r="I115" s="393"/>
      <c r="J115" s="393"/>
      <c r="K115" s="417">
        <v>705</v>
      </c>
      <c r="L115" s="393"/>
      <c r="M115" s="235">
        <f t="shared" si="76"/>
        <v>705</v>
      </c>
      <c r="N115" s="235">
        <f t="shared" si="77"/>
        <v>5.875</v>
      </c>
      <c r="O115" s="235">
        <f t="shared" si="78"/>
        <v>0</v>
      </c>
      <c r="P115" s="235">
        <f t="shared" si="79"/>
        <v>0</v>
      </c>
      <c r="Q115" s="235">
        <f t="shared" si="80"/>
        <v>0</v>
      </c>
      <c r="R115" s="393">
        <v>1</v>
      </c>
      <c r="S115" s="235">
        <f t="shared" si="81"/>
        <v>0</v>
      </c>
      <c r="T115" s="393"/>
      <c r="U115" s="235">
        <f t="shared" si="82"/>
        <v>705</v>
      </c>
      <c r="V115" s="235">
        <f t="shared" si="83"/>
        <v>705</v>
      </c>
      <c r="W115" s="393">
        <v>1</v>
      </c>
      <c r="X115" s="235">
        <f t="shared" si="84"/>
        <v>705</v>
      </c>
      <c r="Y115" s="235">
        <f t="shared" si="85"/>
        <v>705</v>
      </c>
      <c r="Z115" s="235">
        <f t="shared" si="74"/>
        <v>0</v>
      </c>
      <c r="AA115" s="235"/>
      <c r="AB115" s="235">
        <f t="shared" si="86"/>
        <v>2003.75</v>
      </c>
      <c r="AC115" s="235">
        <f t="shared" si="87"/>
        <v>2021</v>
      </c>
      <c r="AD115" s="235">
        <f t="shared" si="88"/>
        <v>2013.75</v>
      </c>
      <c r="AE115" s="413">
        <f t="shared" si="89"/>
        <v>2020</v>
      </c>
      <c r="AF115" s="413">
        <f t="shared" si="90"/>
        <v>-8.3333333333333329E-2</v>
      </c>
      <c r="AG115" s="413">
        <f t="shared" si="91"/>
        <v>2013.75</v>
      </c>
      <c r="AH115" s="413">
        <f t="shared" si="92"/>
        <v>2020</v>
      </c>
      <c r="AI115" s="413">
        <f t="shared" si="93"/>
        <v>-8.3333333333333329E-2</v>
      </c>
      <c r="AJ115" s="307"/>
      <c r="AK115" s="307"/>
      <c r="AL115" s="307"/>
    </row>
    <row r="116" spans="1:38" ht="15.75">
      <c r="A116" s="307">
        <v>138</v>
      </c>
      <c r="B116" s="415" t="s">
        <v>694</v>
      </c>
      <c r="C116" s="410">
        <v>2003</v>
      </c>
      <c r="D116" s="407">
        <v>6</v>
      </c>
      <c r="E116" s="411"/>
      <c r="F116" s="397" t="s">
        <v>668</v>
      </c>
      <c r="G116" s="397">
        <v>10</v>
      </c>
      <c r="H116" s="407">
        <f t="shared" si="75"/>
        <v>2013</v>
      </c>
      <c r="I116" s="393"/>
      <c r="J116" s="393"/>
      <c r="K116" s="417">
        <v>2675</v>
      </c>
      <c r="L116" s="393"/>
      <c r="M116" s="235">
        <f t="shared" si="76"/>
        <v>2675</v>
      </c>
      <c r="N116" s="235">
        <f t="shared" si="77"/>
        <v>22.291666666666668</v>
      </c>
      <c r="O116" s="235">
        <f t="shared" si="78"/>
        <v>0</v>
      </c>
      <c r="P116" s="235">
        <f t="shared" si="79"/>
        <v>0</v>
      </c>
      <c r="Q116" s="235">
        <f t="shared" si="80"/>
        <v>0</v>
      </c>
      <c r="R116" s="393">
        <v>1</v>
      </c>
      <c r="S116" s="235">
        <f t="shared" si="81"/>
        <v>0</v>
      </c>
      <c r="T116" s="393"/>
      <c r="U116" s="235">
        <f t="shared" si="82"/>
        <v>2675</v>
      </c>
      <c r="V116" s="235">
        <f t="shared" si="83"/>
        <v>2675</v>
      </c>
      <c r="W116" s="393">
        <v>1</v>
      </c>
      <c r="X116" s="235">
        <f t="shared" si="84"/>
        <v>2675</v>
      </c>
      <c r="Y116" s="235">
        <f t="shared" si="85"/>
        <v>2675</v>
      </c>
      <c r="Z116" s="235">
        <f t="shared" si="74"/>
        <v>0</v>
      </c>
      <c r="AA116" s="235"/>
      <c r="AB116" s="235">
        <f t="shared" si="86"/>
        <v>2003.4166666666667</v>
      </c>
      <c r="AC116" s="235">
        <f t="shared" si="87"/>
        <v>2021</v>
      </c>
      <c r="AD116" s="235">
        <f t="shared" si="88"/>
        <v>2013.4166666666667</v>
      </c>
      <c r="AE116" s="413">
        <f t="shared" si="89"/>
        <v>2020</v>
      </c>
      <c r="AF116" s="413">
        <f t="shared" si="90"/>
        <v>-8.3333333333333329E-2</v>
      </c>
      <c r="AG116" s="413">
        <f t="shared" si="91"/>
        <v>2013.4166666666667</v>
      </c>
      <c r="AH116" s="413">
        <f t="shared" si="92"/>
        <v>2020</v>
      </c>
      <c r="AI116" s="413">
        <f t="shared" si="93"/>
        <v>-8.3333333333333329E-2</v>
      </c>
      <c r="AJ116" s="307"/>
      <c r="AK116" s="307"/>
      <c r="AL116" s="307"/>
    </row>
    <row r="117" spans="1:38" ht="15.75">
      <c r="A117" s="307">
        <v>92</v>
      </c>
      <c r="B117" s="415" t="s">
        <v>694</v>
      </c>
      <c r="C117" s="410">
        <v>2004</v>
      </c>
      <c r="D117" s="407">
        <v>1</v>
      </c>
      <c r="E117" s="411"/>
      <c r="F117" s="397" t="s">
        <v>668</v>
      </c>
      <c r="G117" s="397">
        <v>10</v>
      </c>
      <c r="H117" s="407">
        <f t="shared" si="75"/>
        <v>2014</v>
      </c>
      <c r="I117" s="393"/>
      <c r="J117" s="393"/>
      <c r="K117" s="417">
        <v>1800</v>
      </c>
      <c r="L117" s="393"/>
      <c r="M117" s="235">
        <f t="shared" si="76"/>
        <v>1800</v>
      </c>
      <c r="N117" s="235">
        <f t="shared" si="77"/>
        <v>15</v>
      </c>
      <c r="O117" s="235">
        <f t="shared" si="78"/>
        <v>0</v>
      </c>
      <c r="P117" s="235">
        <f t="shared" si="79"/>
        <v>0</v>
      </c>
      <c r="Q117" s="235">
        <f t="shared" si="80"/>
        <v>0</v>
      </c>
      <c r="R117" s="393">
        <v>1</v>
      </c>
      <c r="S117" s="235">
        <f t="shared" si="81"/>
        <v>0</v>
      </c>
      <c r="T117" s="393"/>
      <c r="U117" s="235">
        <f t="shared" si="82"/>
        <v>1800</v>
      </c>
      <c r="V117" s="235">
        <f t="shared" si="83"/>
        <v>1800</v>
      </c>
      <c r="W117" s="393">
        <v>1</v>
      </c>
      <c r="X117" s="235">
        <f t="shared" si="84"/>
        <v>1800</v>
      </c>
      <c r="Y117" s="235">
        <f t="shared" si="85"/>
        <v>1800</v>
      </c>
      <c r="Z117" s="235">
        <f t="shared" si="74"/>
        <v>0</v>
      </c>
      <c r="AA117" s="235"/>
      <c r="AB117" s="235">
        <f t="shared" si="86"/>
        <v>2004</v>
      </c>
      <c r="AC117" s="235">
        <f t="shared" si="87"/>
        <v>2021</v>
      </c>
      <c r="AD117" s="235">
        <f t="shared" si="88"/>
        <v>2014</v>
      </c>
      <c r="AE117" s="413">
        <f t="shared" si="89"/>
        <v>2020</v>
      </c>
      <c r="AF117" s="413">
        <f t="shared" si="90"/>
        <v>-8.3333333333333329E-2</v>
      </c>
      <c r="AG117" s="413">
        <f t="shared" si="91"/>
        <v>2014</v>
      </c>
      <c r="AH117" s="413">
        <f t="shared" si="92"/>
        <v>2020</v>
      </c>
      <c r="AI117" s="413">
        <f t="shared" si="93"/>
        <v>-8.3333333333333329E-2</v>
      </c>
      <c r="AJ117" s="307"/>
      <c r="AK117" s="307"/>
      <c r="AL117" s="307"/>
    </row>
    <row r="118" spans="1:38" ht="15.75">
      <c r="A118" s="307">
        <v>113</v>
      </c>
      <c r="B118" s="415" t="s">
        <v>694</v>
      </c>
      <c r="C118" s="410">
        <v>2004</v>
      </c>
      <c r="D118" s="407">
        <v>1</v>
      </c>
      <c r="E118" s="411"/>
      <c r="F118" s="397" t="s">
        <v>668</v>
      </c>
      <c r="G118" s="397">
        <v>10</v>
      </c>
      <c r="H118" s="407">
        <f t="shared" si="75"/>
        <v>2014</v>
      </c>
      <c r="I118" s="393"/>
      <c r="J118" s="393"/>
      <c r="K118" s="417">
        <v>1500</v>
      </c>
      <c r="L118" s="393"/>
      <c r="M118" s="235">
        <f t="shared" si="76"/>
        <v>1500</v>
      </c>
      <c r="N118" s="235">
        <f t="shared" si="77"/>
        <v>12.5</v>
      </c>
      <c r="O118" s="235">
        <f t="shared" si="78"/>
        <v>0</v>
      </c>
      <c r="P118" s="235">
        <f t="shared" si="79"/>
        <v>0</v>
      </c>
      <c r="Q118" s="235">
        <f t="shared" si="80"/>
        <v>0</v>
      </c>
      <c r="R118" s="393">
        <v>1</v>
      </c>
      <c r="S118" s="235">
        <f t="shared" si="81"/>
        <v>0</v>
      </c>
      <c r="T118" s="393"/>
      <c r="U118" s="235">
        <f t="shared" si="82"/>
        <v>1500</v>
      </c>
      <c r="V118" s="235">
        <f t="shared" si="83"/>
        <v>1500</v>
      </c>
      <c r="W118" s="393">
        <v>1</v>
      </c>
      <c r="X118" s="235">
        <f t="shared" si="84"/>
        <v>1500</v>
      </c>
      <c r="Y118" s="235">
        <f t="shared" si="85"/>
        <v>1500</v>
      </c>
      <c r="Z118" s="235">
        <f t="shared" si="74"/>
        <v>0</v>
      </c>
      <c r="AA118" s="235"/>
      <c r="AB118" s="235">
        <f t="shared" si="86"/>
        <v>2004</v>
      </c>
      <c r="AC118" s="235">
        <f t="shared" si="87"/>
        <v>2021</v>
      </c>
      <c r="AD118" s="235">
        <f t="shared" si="88"/>
        <v>2014</v>
      </c>
      <c r="AE118" s="413">
        <f t="shared" si="89"/>
        <v>2020</v>
      </c>
      <c r="AF118" s="413">
        <f t="shared" si="90"/>
        <v>-8.3333333333333329E-2</v>
      </c>
      <c r="AG118" s="413">
        <f t="shared" si="91"/>
        <v>2014</v>
      </c>
      <c r="AH118" s="413">
        <f t="shared" si="92"/>
        <v>2020</v>
      </c>
      <c r="AI118" s="413">
        <f t="shared" si="93"/>
        <v>-8.3333333333333329E-2</v>
      </c>
      <c r="AJ118" s="307"/>
      <c r="AK118" s="307"/>
      <c r="AL118" s="307"/>
    </row>
    <row r="119" spans="1:38" ht="15.75">
      <c r="A119" s="307">
        <v>124</v>
      </c>
      <c r="B119" s="415" t="s">
        <v>694</v>
      </c>
      <c r="C119" s="410">
        <v>2004</v>
      </c>
      <c r="D119" s="407">
        <v>8</v>
      </c>
      <c r="E119" s="411"/>
      <c r="F119" s="397" t="s">
        <v>668</v>
      </c>
      <c r="G119" s="397">
        <v>10</v>
      </c>
      <c r="H119" s="407">
        <f t="shared" si="75"/>
        <v>2014</v>
      </c>
      <c r="I119" s="393"/>
      <c r="J119" s="393"/>
      <c r="K119" s="417">
        <v>18940</v>
      </c>
      <c r="L119" s="393"/>
      <c r="M119" s="235">
        <f t="shared" si="76"/>
        <v>18940</v>
      </c>
      <c r="N119" s="235">
        <f t="shared" si="77"/>
        <v>157.83333333333334</v>
      </c>
      <c r="O119" s="235">
        <f t="shared" si="78"/>
        <v>0</v>
      </c>
      <c r="P119" s="235">
        <f t="shared" si="79"/>
        <v>0</v>
      </c>
      <c r="Q119" s="235">
        <f t="shared" si="80"/>
        <v>0</v>
      </c>
      <c r="R119" s="393">
        <v>1</v>
      </c>
      <c r="S119" s="235">
        <f t="shared" si="81"/>
        <v>0</v>
      </c>
      <c r="T119" s="393"/>
      <c r="U119" s="235">
        <f t="shared" si="82"/>
        <v>18940</v>
      </c>
      <c r="V119" s="235">
        <f t="shared" si="83"/>
        <v>18940</v>
      </c>
      <c r="W119" s="393">
        <v>1</v>
      </c>
      <c r="X119" s="235">
        <f t="shared" si="84"/>
        <v>18940</v>
      </c>
      <c r="Y119" s="235">
        <f t="shared" si="85"/>
        <v>18940</v>
      </c>
      <c r="Z119" s="235">
        <f t="shared" si="74"/>
        <v>0</v>
      </c>
      <c r="AA119" s="235"/>
      <c r="AB119" s="235">
        <f t="shared" si="86"/>
        <v>2004.5833333333333</v>
      </c>
      <c r="AC119" s="235">
        <f t="shared" si="87"/>
        <v>2021</v>
      </c>
      <c r="AD119" s="235">
        <f t="shared" si="88"/>
        <v>2014.5833333333333</v>
      </c>
      <c r="AE119" s="413">
        <f t="shared" si="89"/>
        <v>2020</v>
      </c>
      <c r="AF119" s="413">
        <f t="shared" si="90"/>
        <v>-8.3333333333333329E-2</v>
      </c>
      <c r="AG119" s="413">
        <f t="shared" si="91"/>
        <v>2014.5833333333333</v>
      </c>
      <c r="AH119" s="413">
        <f t="shared" si="92"/>
        <v>2020</v>
      </c>
      <c r="AI119" s="413">
        <f t="shared" si="93"/>
        <v>-8.3333333333333329E-2</v>
      </c>
      <c r="AJ119" s="307"/>
      <c r="AK119" s="307"/>
      <c r="AL119" s="307"/>
    </row>
    <row r="120" spans="1:38" ht="15.75">
      <c r="A120" s="307">
        <v>125</v>
      </c>
      <c r="B120" s="415" t="s">
        <v>694</v>
      </c>
      <c r="C120" s="410">
        <v>2004</v>
      </c>
      <c r="D120" s="407">
        <v>7</v>
      </c>
      <c r="E120" s="411"/>
      <c r="F120" s="397" t="s">
        <v>668</v>
      </c>
      <c r="G120" s="397">
        <v>10</v>
      </c>
      <c r="H120" s="407">
        <f t="shared" si="75"/>
        <v>2014</v>
      </c>
      <c r="I120" s="393"/>
      <c r="J120" s="393"/>
      <c r="K120" s="417">
        <v>2881</v>
      </c>
      <c r="L120" s="393"/>
      <c r="M120" s="235">
        <f t="shared" si="76"/>
        <v>2881</v>
      </c>
      <c r="N120" s="235">
        <f t="shared" si="77"/>
        <v>24.008333333333336</v>
      </c>
      <c r="O120" s="235">
        <f t="shared" si="78"/>
        <v>0</v>
      </c>
      <c r="P120" s="235">
        <f t="shared" si="79"/>
        <v>0</v>
      </c>
      <c r="Q120" s="235">
        <f t="shared" si="80"/>
        <v>0</v>
      </c>
      <c r="R120" s="393">
        <v>1</v>
      </c>
      <c r="S120" s="235">
        <f t="shared" si="81"/>
        <v>0</v>
      </c>
      <c r="T120" s="393"/>
      <c r="U120" s="235">
        <f t="shared" si="82"/>
        <v>2881</v>
      </c>
      <c r="V120" s="235">
        <f t="shared" si="83"/>
        <v>2881</v>
      </c>
      <c r="W120" s="393">
        <v>1</v>
      </c>
      <c r="X120" s="235">
        <f t="shared" si="84"/>
        <v>2881</v>
      </c>
      <c r="Y120" s="235">
        <f t="shared" si="85"/>
        <v>2881</v>
      </c>
      <c r="Z120" s="235">
        <f t="shared" si="74"/>
        <v>0</v>
      </c>
      <c r="AA120" s="235"/>
      <c r="AB120" s="235">
        <f t="shared" si="86"/>
        <v>2004.5</v>
      </c>
      <c r="AC120" s="235">
        <f t="shared" si="87"/>
        <v>2021</v>
      </c>
      <c r="AD120" s="235">
        <f t="shared" si="88"/>
        <v>2014.5</v>
      </c>
      <c r="AE120" s="413">
        <f t="shared" si="89"/>
        <v>2020</v>
      </c>
      <c r="AF120" s="413">
        <f t="shared" si="90"/>
        <v>-8.3333333333333329E-2</v>
      </c>
      <c r="AG120" s="413">
        <f t="shared" si="91"/>
        <v>2014.5</v>
      </c>
      <c r="AH120" s="413">
        <f t="shared" si="92"/>
        <v>2020</v>
      </c>
      <c r="AI120" s="413">
        <f t="shared" si="93"/>
        <v>-8.3333333333333329E-2</v>
      </c>
      <c r="AJ120" s="307"/>
      <c r="AK120" s="307"/>
      <c r="AL120" s="307"/>
    </row>
    <row r="121" spans="1:38" ht="15.75">
      <c r="A121" s="307">
        <v>134</v>
      </c>
      <c r="B121" s="415" t="s">
        <v>694</v>
      </c>
      <c r="C121" s="410">
        <v>2004</v>
      </c>
      <c r="D121" s="407">
        <v>8</v>
      </c>
      <c r="E121" s="411"/>
      <c r="F121" s="397" t="s">
        <v>668</v>
      </c>
      <c r="G121" s="397">
        <v>10</v>
      </c>
      <c r="H121" s="407">
        <f t="shared" si="75"/>
        <v>2014</v>
      </c>
      <c r="I121" s="393"/>
      <c r="J121" s="393"/>
      <c r="K121" s="417">
        <v>3110</v>
      </c>
      <c r="L121" s="393"/>
      <c r="M121" s="235">
        <f t="shared" si="76"/>
        <v>3110</v>
      </c>
      <c r="N121" s="235">
        <f t="shared" si="77"/>
        <v>25.916666666666668</v>
      </c>
      <c r="O121" s="235">
        <f t="shared" si="78"/>
        <v>0</v>
      </c>
      <c r="P121" s="235">
        <f t="shared" si="79"/>
        <v>0</v>
      </c>
      <c r="Q121" s="235">
        <f t="shared" si="80"/>
        <v>0</v>
      </c>
      <c r="R121" s="393">
        <v>1</v>
      </c>
      <c r="S121" s="235">
        <f t="shared" si="81"/>
        <v>0</v>
      </c>
      <c r="T121" s="393"/>
      <c r="U121" s="235">
        <f t="shared" si="82"/>
        <v>3110</v>
      </c>
      <c r="V121" s="235">
        <f t="shared" si="83"/>
        <v>3110</v>
      </c>
      <c r="W121" s="393">
        <v>1</v>
      </c>
      <c r="X121" s="235">
        <f t="shared" si="84"/>
        <v>3110</v>
      </c>
      <c r="Y121" s="235">
        <f t="shared" si="85"/>
        <v>3110</v>
      </c>
      <c r="Z121" s="235">
        <f t="shared" si="74"/>
        <v>0</v>
      </c>
      <c r="AA121" s="235"/>
      <c r="AB121" s="235">
        <f t="shared" si="86"/>
        <v>2004.5833333333333</v>
      </c>
      <c r="AC121" s="235">
        <f t="shared" si="87"/>
        <v>2021</v>
      </c>
      <c r="AD121" s="235">
        <f t="shared" si="88"/>
        <v>2014.5833333333333</v>
      </c>
      <c r="AE121" s="413">
        <f t="shared" si="89"/>
        <v>2020</v>
      </c>
      <c r="AF121" s="413">
        <f t="shared" si="90"/>
        <v>-8.3333333333333329E-2</v>
      </c>
      <c r="AG121" s="413">
        <f t="shared" si="91"/>
        <v>2014.5833333333333</v>
      </c>
      <c r="AH121" s="413">
        <f t="shared" si="92"/>
        <v>2020</v>
      </c>
      <c r="AI121" s="413">
        <f t="shared" si="93"/>
        <v>-8.3333333333333329E-2</v>
      </c>
      <c r="AJ121" s="307"/>
      <c r="AK121" s="307"/>
      <c r="AL121" s="307"/>
    </row>
    <row r="122" spans="1:38" ht="15.75">
      <c r="A122" s="307">
        <v>140</v>
      </c>
      <c r="B122" s="415" t="s">
        <v>694</v>
      </c>
      <c r="C122" s="410">
        <v>2004</v>
      </c>
      <c r="D122" s="407">
        <v>3</v>
      </c>
      <c r="E122" s="411"/>
      <c r="F122" s="397" t="s">
        <v>668</v>
      </c>
      <c r="G122" s="397">
        <v>10</v>
      </c>
      <c r="H122" s="407">
        <f t="shared" si="75"/>
        <v>2014</v>
      </c>
      <c r="I122" s="393"/>
      <c r="J122" s="393"/>
      <c r="K122" s="417">
        <v>15000</v>
      </c>
      <c r="L122" s="393"/>
      <c r="M122" s="235">
        <f t="shared" si="76"/>
        <v>15000</v>
      </c>
      <c r="N122" s="235">
        <f t="shared" si="77"/>
        <v>125</v>
      </c>
      <c r="O122" s="235">
        <f t="shared" si="78"/>
        <v>0</v>
      </c>
      <c r="P122" s="235">
        <f t="shared" si="79"/>
        <v>0</v>
      </c>
      <c r="Q122" s="235">
        <f t="shared" si="80"/>
        <v>0</v>
      </c>
      <c r="R122" s="393">
        <v>1</v>
      </c>
      <c r="S122" s="235">
        <f t="shared" si="81"/>
        <v>0</v>
      </c>
      <c r="T122" s="393"/>
      <c r="U122" s="235">
        <f t="shared" si="82"/>
        <v>15000</v>
      </c>
      <c r="V122" s="235">
        <f t="shared" si="83"/>
        <v>15000</v>
      </c>
      <c r="W122" s="393">
        <v>1</v>
      </c>
      <c r="X122" s="235">
        <f t="shared" si="84"/>
        <v>15000</v>
      </c>
      <c r="Y122" s="235">
        <f t="shared" si="85"/>
        <v>15000</v>
      </c>
      <c r="Z122" s="235">
        <f t="shared" si="74"/>
        <v>0</v>
      </c>
      <c r="AA122" s="235"/>
      <c r="AB122" s="235">
        <f t="shared" si="86"/>
        <v>2004.1666666666667</v>
      </c>
      <c r="AC122" s="235">
        <f t="shared" si="87"/>
        <v>2021</v>
      </c>
      <c r="AD122" s="235">
        <f t="shared" si="88"/>
        <v>2014.1666666666667</v>
      </c>
      <c r="AE122" s="413">
        <f t="shared" si="89"/>
        <v>2020</v>
      </c>
      <c r="AF122" s="413">
        <f t="shared" si="90"/>
        <v>-8.3333333333333329E-2</v>
      </c>
      <c r="AG122" s="413">
        <f t="shared" si="91"/>
        <v>2014.1666666666667</v>
      </c>
      <c r="AH122" s="413">
        <f t="shared" si="92"/>
        <v>2020</v>
      </c>
      <c r="AI122" s="413">
        <f t="shared" si="93"/>
        <v>-8.3333333333333329E-2</v>
      </c>
      <c r="AJ122" s="307"/>
      <c r="AK122" s="307"/>
      <c r="AL122" s="307"/>
    </row>
    <row r="123" spans="1:38" ht="15.75">
      <c r="A123" s="307">
        <v>6</v>
      </c>
      <c r="B123" s="415" t="s">
        <v>712</v>
      </c>
      <c r="C123" s="410">
        <v>2005</v>
      </c>
      <c r="D123" s="407">
        <v>8</v>
      </c>
      <c r="E123" s="411"/>
      <c r="F123" s="397" t="s">
        <v>668</v>
      </c>
      <c r="G123" s="397">
        <v>10</v>
      </c>
      <c r="H123" s="407">
        <f t="shared" si="75"/>
        <v>2015</v>
      </c>
      <c r="I123" s="393"/>
      <c r="J123" s="393"/>
      <c r="K123" s="417">
        <v>1158</v>
      </c>
      <c r="L123" s="393"/>
      <c r="M123" s="235">
        <f t="shared" si="76"/>
        <v>1158</v>
      </c>
      <c r="N123" s="235">
        <f t="shared" si="77"/>
        <v>9.65</v>
      </c>
      <c r="O123" s="235">
        <f t="shared" si="78"/>
        <v>0</v>
      </c>
      <c r="P123" s="235">
        <f t="shared" si="79"/>
        <v>0</v>
      </c>
      <c r="Q123" s="235">
        <f t="shared" si="80"/>
        <v>0</v>
      </c>
      <c r="R123" s="393">
        <v>1</v>
      </c>
      <c r="S123" s="235">
        <f t="shared" si="81"/>
        <v>0</v>
      </c>
      <c r="T123" s="393"/>
      <c r="U123" s="235">
        <f t="shared" si="82"/>
        <v>1158</v>
      </c>
      <c r="V123" s="235">
        <f t="shared" si="83"/>
        <v>1158</v>
      </c>
      <c r="W123" s="393">
        <v>1</v>
      </c>
      <c r="X123" s="235">
        <f t="shared" si="84"/>
        <v>1158</v>
      </c>
      <c r="Y123" s="235">
        <f t="shared" si="85"/>
        <v>1158</v>
      </c>
      <c r="Z123" s="235">
        <f>IF(L123&gt;0,(K123-X123)/2,IF(AB123&gt;=AE123,(((K123*R123)*W123)-Y123)/2,((((K123*R123)*W123)-X123)+(((K123*R123)*W123)-Y123))/2))</f>
        <v>0</v>
      </c>
      <c r="AA123" s="235"/>
      <c r="AB123" s="235">
        <f t="shared" si="86"/>
        <v>2005.5833333333333</v>
      </c>
      <c r="AC123" s="235">
        <f t="shared" si="87"/>
        <v>2021</v>
      </c>
      <c r="AD123" s="235">
        <f t="shared" si="88"/>
        <v>2015.5833333333333</v>
      </c>
      <c r="AE123" s="413">
        <f t="shared" si="89"/>
        <v>2020</v>
      </c>
      <c r="AF123" s="413">
        <f t="shared" si="90"/>
        <v>-8.3333333333333329E-2</v>
      </c>
      <c r="AG123" s="413">
        <f t="shared" si="91"/>
        <v>2015.5833333333333</v>
      </c>
      <c r="AH123" s="413">
        <f t="shared" si="92"/>
        <v>2020</v>
      </c>
      <c r="AI123" s="413">
        <f t="shared" si="93"/>
        <v>-8.3333333333333329E-2</v>
      </c>
      <c r="AJ123" s="307"/>
      <c r="AK123" s="307"/>
      <c r="AL123" s="307"/>
    </row>
    <row r="124" spans="1:38" ht="15.75">
      <c r="A124" s="307">
        <v>10</v>
      </c>
      <c r="B124" s="415" t="s">
        <v>713</v>
      </c>
      <c r="C124" s="410">
        <v>2005</v>
      </c>
      <c r="D124" s="407">
        <v>12</v>
      </c>
      <c r="E124" s="411"/>
      <c r="F124" s="397" t="s">
        <v>668</v>
      </c>
      <c r="G124" s="397">
        <v>10</v>
      </c>
      <c r="H124" s="407">
        <f t="shared" si="75"/>
        <v>2015</v>
      </c>
      <c r="I124" s="393"/>
      <c r="J124" s="393"/>
      <c r="K124" s="417">
        <v>3027</v>
      </c>
      <c r="L124" s="393"/>
      <c r="M124" s="235">
        <f t="shared" si="76"/>
        <v>3027</v>
      </c>
      <c r="N124" s="235">
        <f t="shared" si="77"/>
        <v>25.224999999999998</v>
      </c>
      <c r="O124" s="235">
        <f t="shared" si="78"/>
        <v>0</v>
      </c>
      <c r="P124" s="235">
        <f t="shared" si="79"/>
        <v>0</v>
      </c>
      <c r="Q124" s="235">
        <f t="shared" si="80"/>
        <v>0</v>
      </c>
      <c r="R124" s="393">
        <v>1</v>
      </c>
      <c r="S124" s="235">
        <f t="shared" si="81"/>
        <v>0</v>
      </c>
      <c r="T124" s="393"/>
      <c r="U124" s="235">
        <f t="shared" si="82"/>
        <v>3027</v>
      </c>
      <c r="V124" s="235">
        <f t="shared" si="83"/>
        <v>3027</v>
      </c>
      <c r="W124" s="393">
        <v>1</v>
      </c>
      <c r="X124" s="235">
        <f t="shared" si="84"/>
        <v>3027</v>
      </c>
      <c r="Y124" s="235">
        <f t="shared" si="85"/>
        <v>3027</v>
      </c>
      <c r="Z124" s="235">
        <f>IF(L124&gt;0,(K124-X124)/2,IF(AB124&gt;=AE124,(((K124*R124)*W124)-Y124)/2,((((K124*R124)*W124)-X124)+(((K124*R124)*W124)-Y124))/2))</f>
        <v>0</v>
      </c>
      <c r="AA124" s="235"/>
      <c r="AB124" s="235">
        <f t="shared" si="86"/>
        <v>2005.9166666666667</v>
      </c>
      <c r="AC124" s="235">
        <f t="shared" si="87"/>
        <v>2021</v>
      </c>
      <c r="AD124" s="235">
        <f t="shared" si="88"/>
        <v>2015.9166666666667</v>
      </c>
      <c r="AE124" s="413">
        <f t="shared" si="89"/>
        <v>2020</v>
      </c>
      <c r="AF124" s="413">
        <f t="shared" si="90"/>
        <v>-8.3333333333333329E-2</v>
      </c>
      <c r="AG124" s="413">
        <f t="shared" si="91"/>
        <v>2015.9166666666667</v>
      </c>
      <c r="AH124" s="413">
        <f t="shared" si="92"/>
        <v>2020</v>
      </c>
      <c r="AI124" s="413">
        <f t="shared" si="93"/>
        <v>-8.3333333333333329E-2</v>
      </c>
      <c r="AJ124" s="307"/>
      <c r="AK124" s="307"/>
      <c r="AL124" s="307"/>
    </row>
    <row r="125" spans="1:38" ht="15.75">
      <c r="A125" s="307">
        <v>29</v>
      </c>
      <c r="B125" s="415" t="s">
        <v>714</v>
      </c>
      <c r="C125" s="410">
        <v>2005</v>
      </c>
      <c r="D125" s="407">
        <v>2</v>
      </c>
      <c r="E125" s="411"/>
      <c r="F125" s="397" t="s">
        <v>668</v>
      </c>
      <c r="G125" s="397">
        <v>10</v>
      </c>
      <c r="H125" s="407">
        <f t="shared" si="75"/>
        <v>2015</v>
      </c>
      <c r="I125" s="393"/>
      <c r="J125" s="393"/>
      <c r="K125" s="417">
        <v>14151</v>
      </c>
      <c r="L125" s="393"/>
      <c r="M125" s="235">
        <f t="shared" si="76"/>
        <v>14151</v>
      </c>
      <c r="N125" s="235">
        <f t="shared" si="77"/>
        <v>117.925</v>
      </c>
      <c r="O125" s="235">
        <f t="shared" si="78"/>
        <v>0</v>
      </c>
      <c r="P125" s="235">
        <f t="shared" si="79"/>
        <v>0</v>
      </c>
      <c r="Q125" s="235">
        <f t="shared" si="80"/>
        <v>0</v>
      </c>
      <c r="R125" s="393">
        <v>1</v>
      </c>
      <c r="S125" s="235">
        <f t="shared" si="81"/>
        <v>0</v>
      </c>
      <c r="T125" s="393"/>
      <c r="U125" s="235">
        <f t="shared" si="82"/>
        <v>14151</v>
      </c>
      <c r="V125" s="235">
        <f t="shared" si="83"/>
        <v>14151</v>
      </c>
      <c r="W125" s="393">
        <v>1</v>
      </c>
      <c r="X125" s="235">
        <f t="shared" si="84"/>
        <v>14151</v>
      </c>
      <c r="Y125" s="235">
        <f t="shared" si="85"/>
        <v>14151</v>
      </c>
      <c r="Z125" s="235">
        <f>IF(L125&gt;0,(K125-X125)/2,IF(AB125&gt;=AE125,(((K125*R125)*W125)-Y125)/2,((((K125*R125)*W125)-X125)+(((K125*R125)*W125)-Y125))/2))</f>
        <v>0</v>
      </c>
      <c r="AA125" s="235"/>
      <c r="AB125" s="235">
        <f t="shared" si="86"/>
        <v>2005.0833333333333</v>
      </c>
      <c r="AC125" s="235">
        <f t="shared" si="87"/>
        <v>2021</v>
      </c>
      <c r="AD125" s="235">
        <f t="shared" si="88"/>
        <v>2015.0833333333333</v>
      </c>
      <c r="AE125" s="413">
        <f t="shared" si="89"/>
        <v>2020</v>
      </c>
      <c r="AF125" s="413">
        <f t="shared" si="90"/>
        <v>-8.3333333333333329E-2</v>
      </c>
      <c r="AG125" s="413">
        <f t="shared" si="91"/>
        <v>2015.0833333333333</v>
      </c>
      <c r="AH125" s="413">
        <f t="shared" si="92"/>
        <v>2020</v>
      </c>
      <c r="AI125" s="413">
        <f t="shared" si="93"/>
        <v>-8.3333333333333329E-2</v>
      </c>
      <c r="AJ125" s="307"/>
      <c r="AK125" s="307"/>
      <c r="AL125" s="307"/>
    </row>
    <row r="126" spans="1:38" ht="15.75">
      <c r="A126" s="307">
        <v>33</v>
      </c>
      <c r="B126" s="415" t="s">
        <v>715</v>
      </c>
      <c r="C126" s="410">
        <v>2005</v>
      </c>
      <c r="D126" s="407">
        <v>2</v>
      </c>
      <c r="E126" s="411"/>
      <c r="F126" s="397" t="s">
        <v>668</v>
      </c>
      <c r="G126" s="397">
        <v>10</v>
      </c>
      <c r="H126" s="407">
        <f t="shared" si="75"/>
        <v>2015</v>
      </c>
      <c r="I126" s="393"/>
      <c r="J126" s="393"/>
      <c r="K126" s="417">
        <v>1062</v>
      </c>
      <c r="L126" s="393"/>
      <c r="M126" s="235">
        <f t="shared" si="76"/>
        <v>1062</v>
      </c>
      <c r="N126" s="235">
        <f t="shared" si="77"/>
        <v>8.85</v>
      </c>
      <c r="O126" s="235">
        <f t="shared" si="78"/>
        <v>0</v>
      </c>
      <c r="P126" s="235">
        <f t="shared" si="79"/>
        <v>0</v>
      </c>
      <c r="Q126" s="235">
        <f t="shared" si="80"/>
        <v>0</v>
      </c>
      <c r="R126" s="393">
        <v>1</v>
      </c>
      <c r="S126" s="235">
        <f t="shared" si="81"/>
        <v>0</v>
      </c>
      <c r="T126" s="393"/>
      <c r="U126" s="235">
        <f t="shared" si="82"/>
        <v>1062</v>
      </c>
      <c r="V126" s="235">
        <f t="shared" si="83"/>
        <v>1062</v>
      </c>
      <c r="W126" s="393">
        <v>1</v>
      </c>
      <c r="X126" s="235">
        <f t="shared" si="84"/>
        <v>1062</v>
      </c>
      <c r="Y126" s="235">
        <f t="shared" si="85"/>
        <v>1062</v>
      </c>
      <c r="Z126" s="235">
        <f>IF(L126&gt;0,(K126-X126)/2,IF(AB126&gt;=AE126,(((K126*R126)*W126)-Y126)/2,((((K126*R126)*W126)-X126)+(((K126*R126)*W126)-Y126))/2))</f>
        <v>0</v>
      </c>
      <c r="AA126" s="235"/>
      <c r="AB126" s="235">
        <f t="shared" si="86"/>
        <v>2005.0833333333333</v>
      </c>
      <c r="AC126" s="235">
        <f t="shared" si="87"/>
        <v>2021</v>
      </c>
      <c r="AD126" s="235">
        <f t="shared" si="88"/>
        <v>2015.0833333333333</v>
      </c>
      <c r="AE126" s="413">
        <f t="shared" si="89"/>
        <v>2020</v>
      </c>
      <c r="AF126" s="413">
        <f t="shared" si="90"/>
        <v>-8.3333333333333329E-2</v>
      </c>
      <c r="AG126" s="413">
        <f t="shared" si="91"/>
        <v>2015.0833333333333</v>
      </c>
      <c r="AH126" s="413">
        <f t="shared" si="92"/>
        <v>2020</v>
      </c>
      <c r="AI126" s="413">
        <f t="shared" si="93"/>
        <v>-8.3333333333333329E-2</v>
      </c>
      <c r="AJ126" s="307"/>
      <c r="AK126" s="307"/>
      <c r="AL126" s="307"/>
    </row>
    <row r="127" spans="1:38" ht="15.75">
      <c r="A127" s="307">
        <v>94</v>
      </c>
      <c r="B127" s="415" t="s">
        <v>694</v>
      </c>
      <c r="C127" s="410">
        <v>2005</v>
      </c>
      <c r="D127" s="407">
        <v>12</v>
      </c>
      <c r="E127" s="411"/>
      <c r="F127" s="397" t="s">
        <v>668</v>
      </c>
      <c r="G127" s="397">
        <v>10</v>
      </c>
      <c r="H127" s="407">
        <f t="shared" si="75"/>
        <v>2015</v>
      </c>
      <c r="I127" s="393"/>
      <c r="J127" s="393"/>
      <c r="K127" s="417">
        <v>3027</v>
      </c>
      <c r="L127" s="393"/>
      <c r="M127" s="235">
        <f t="shared" si="76"/>
        <v>3027</v>
      </c>
      <c r="N127" s="235">
        <f t="shared" si="77"/>
        <v>25.224999999999998</v>
      </c>
      <c r="O127" s="235">
        <f t="shared" si="78"/>
        <v>0</v>
      </c>
      <c r="P127" s="235">
        <f t="shared" si="79"/>
        <v>0</v>
      </c>
      <c r="Q127" s="235">
        <f t="shared" si="80"/>
        <v>0</v>
      </c>
      <c r="R127" s="393">
        <v>1</v>
      </c>
      <c r="S127" s="235">
        <f t="shared" si="81"/>
        <v>0</v>
      </c>
      <c r="T127" s="393"/>
      <c r="U127" s="235">
        <f t="shared" si="82"/>
        <v>3027</v>
      </c>
      <c r="V127" s="235">
        <f t="shared" si="83"/>
        <v>3027</v>
      </c>
      <c r="W127" s="393">
        <v>1</v>
      </c>
      <c r="X127" s="235">
        <f t="shared" si="84"/>
        <v>3027</v>
      </c>
      <c r="Y127" s="235">
        <f t="shared" si="85"/>
        <v>3027</v>
      </c>
      <c r="Z127" s="235">
        <f t="shared" ref="Z127:Z139" si="94">+M127-Y127</f>
        <v>0</v>
      </c>
      <c r="AA127" s="235"/>
      <c r="AB127" s="235">
        <f t="shared" si="86"/>
        <v>2005.9166666666667</v>
      </c>
      <c r="AC127" s="235">
        <f t="shared" si="87"/>
        <v>2021</v>
      </c>
      <c r="AD127" s="235">
        <f t="shared" si="88"/>
        <v>2015.9166666666667</v>
      </c>
      <c r="AE127" s="413">
        <f t="shared" si="89"/>
        <v>2020</v>
      </c>
      <c r="AF127" s="413">
        <f t="shared" si="90"/>
        <v>-8.3333333333333329E-2</v>
      </c>
      <c r="AG127" s="413">
        <f t="shared" si="91"/>
        <v>2015.9166666666667</v>
      </c>
      <c r="AH127" s="413">
        <f t="shared" si="92"/>
        <v>2020</v>
      </c>
      <c r="AI127" s="413">
        <f t="shared" si="93"/>
        <v>-8.3333333333333329E-2</v>
      </c>
      <c r="AJ127" s="307"/>
      <c r="AK127" s="307"/>
      <c r="AL127" s="307"/>
    </row>
    <row r="128" spans="1:38" ht="15.75">
      <c r="A128" s="307">
        <v>108</v>
      </c>
      <c r="B128" s="415" t="s">
        <v>694</v>
      </c>
      <c r="C128" s="410">
        <v>2005</v>
      </c>
      <c r="D128" s="407">
        <v>6</v>
      </c>
      <c r="E128" s="411"/>
      <c r="F128" s="397" t="s">
        <v>668</v>
      </c>
      <c r="G128" s="397">
        <v>10</v>
      </c>
      <c r="H128" s="407">
        <f t="shared" si="75"/>
        <v>2015</v>
      </c>
      <c r="I128" s="393"/>
      <c r="J128" s="393"/>
      <c r="K128" s="417">
        <v>1800</v>
      </c>
      <c r="L128" s="393"/>
      <c r="M128" s="235">
        <f t="shared" si="76"/>
        <v>1800</v>
      </c>
      <c r="N128" s="235">
        <f t="shared" si="77"/>
        <v>15</v>
      </c>
      <c r="O128" s="235">
        <f t="shared" si="78"/>
        <v>0</v>
      </c>
      <c r="P128" s="235">
        <f t="shared" si="79"/>
        <v>0</v>
      </c>
      <c r="Q128" s="235">
        <f t="shared" si="80"/>
        <v>0</v>
      </c>
      <c r="R128" s="393">
        <v>1</v>
      </c>
      <c r="S128" s="235">
        <f t="shared" si="81"/>
        <v>0</v>
      </c>
      <c r="T128" s="393"/>
      <c r="U128" s="235">
        <f t="shared" si="82"/>
        <v>1800</v>
      </c>
      <c r="V128" s="235">
        <f t="shared" si="83"/>
        <v>1800</v>
      </c>
      <c r="W128" s="393">
        <v>1</v>
      </c>
      <c r="X128" s="235">
        <f t="shared" si="84"/>
        <v>1800</v>
      </c>
      <c r="Y128" s="235">
        <f t="shared" si="85"/>
        <v>1800</v>
      </c>
      <c r="Z128" s="235">
        <f t="shared" si="94"/>
        <v>0</v>
      </c>
      <c r="AA128" s="235"/>
      <c r="AB128" s="235">
        <f t="shared" si="86"/>
        <v>2005.4166666666667</v>
      </c>
      <c r="AC128" s="235">
        <f t="shared" si="87"/>
        <v>2021</v>
      </c>
      <c r="AD128" s="235">
        <f t="shared" si="88"/>
        <v>2015.4166666666667</v>
      </c>
      <c r="AE128" s="413">
        <f t="shared" si="89"/>
        <v>2020</v>
      </c>
      <c r="AF128" s="413">
        <f t="shared" si="90"/>
        <v>-8.3333333333333329E-2</v>
      </c>
      <c r="AG128" s="413">
        <f t="shared" si="91"/>
        <v>2015.4166666666667</v>
      </c>
      <c r="AH128" s="413">
        <f t="shared" si="92"/>
        <v>2020</v>
      </c>
      <c r="AI128" s="413">
        <f t="shared" si="93"/>
        <v>-8.3333333333333329E-2</v>
      </c>
      <c r="AJ128" s="307"/>
      <c r="AK128" s="307"/>
      <c r="AL128" s="307"/>
    </row>
    <row r="129" spans="1:38" ht="15.75">
      <c r="A129" s="307">
        <v>130</v>
      </c>
      <c r="B129" s="415" t="s">
        <v>694</v>
      </c>
      <c r="C129" s="410">
        <v>2005</v>
      </c>
      <c r="D129" s="407">
        <v>6</v>
      </c>
      <c r="E129" s="411"/>
      <c r="F129" s="397" t="s">
        <v>668</v>
      </c>
      <c r="G129" s="397">
        <v>10</v>
      </c>
      <c r="H129" s="407">
        <f t="shared" si="75"/>
        <v>2015</v>
      </c>
      <c r="I129" s="393"/>
      <c r="J129" s="393"/>
      <c r="K129" s="417">
        <v>3511</v>
      </c>
      <c r="L129" s="393"/>
      <c r="M129" s="235">
        <f t="shared" si="76"/>
        <v>3511</v>
      </c>
      <c r="N129" s="235">
        <f t="shared" si="77"/>
        <v>29.258333333333336</v>
      </c>
      <c r="O129" s="235">
        <f t="shared" si="78"/>
        <v>0</v>
      </c>
      <c r="P129" s="235">
        <f t="shared" si="79"/>
        <v>0</v>
      </c>
      <c r="Q129" s="235">
        <f t="shared" si="80"/>
        <v>0</v>
      </c>
      <c r="R129" s="393">
        <v>1</v>
      </c>
      <c r="S129" s="235">
        <f t="shared" si="81"/>
        <v>0</v>
      </c>
      <c r="T129" s="393"/>
      <c r="U129" s="235">
        <f t="shared" si="82"/>
        <v>3511</v>
      </c>
      <c r="V129" s="235">
        <f t="shared" si="83"/>
        <v>3511</v>
      </c>
      <c r="W129" s="393">
        <v>1</v>
      </c>
      <c r="X129" s="235">
        <f t="shared" si="84"/>
        <v>3511</v>
      </c>
      <c r="Y129" s="235">
        <f t="shared" si="85"/>
        <v>3511</v>
      </c>
      <c r="Z129" s="235">
        <f t="shared" si="94"/>
        <v>0</v>
      </c>
      <c r="AA129" s="235"/>
      <c r="AB129" s="235">
        <f t="shared" si="86"/>
        <v>2005.4166666666667</v>
      </c>
      <c r="AC129" s="235">
        <f t="shared" si="87"/>
        <v>2021</v>
      </c>
      <c r="AD129" s="235">
        <f t="shared" si="88"/>
        <v>2015.4166666666667</v>
      </c>
      <c r="AE129" s="413">
        <f t="shared" si="89"/>
        <v>2020</v>
      </c>
      <c r="AF129" s="413">
        <f t="shared" si="90"/>
        <v>-8.3333333333333329E-2</v>
      </c>
      <c r="AG129" s="413">
        <f t="shared" si="91"/>
        <v>2015.4166666666667</v>
      </c>
      <c r="AH129" s="413">
        <f t="shared" si="92"/>
        <v>2020</v>
      </c>
      <c r="AI129" s="413">
        <f t="shared" si="93"/>
        <v>-8.3333333333333329E-2</v>
      </c>
      <c r="AJ129" s="307"/>
      <c r="AK129" s="307"/>
      <c r="AL129" s="307"/>
    </row>
    <row r="130" spans="1:38" ht="15.75">
      <c r="A130" s="307">
        <v>131</v>
      </c>
      <c r="B130" s="415" t="s">
        <v>694</v>
      </c>
      <c r="C130" s="410">
        <v>2005</v>
      </c>
      <c r="D130" s="407">
        <v>4</v>
      </c>
      <c r="E130" s="411"/>
      <c r="F130" s="397" t="s">
        <v>668</v>
      </c>
      <c r="G130" s="397">
        <v>10</v>
      </c>
      <c r="H130" s="407">
        <f t="shared" si="75"/>
        <v>2015</v>
      </c>
      <c r="I130" s="393"/>
      <c r="J130" s="393"/>
      <c r="K130" s="417">
        <v>13906</v>
      </c>
      <c r="L130" s="393"/>
      <c r="M130" s="235">
        <f t="shared" si="76"/>
        <v>13906</v>
      </c>
      <c r="N130" s="235">
        <f t="shared" si="77"/>
        <v>115.88333333333333</v>
      </c>
      <c r="O130" s="235">
        <f t="shared" si="78"/>
        <v>0</v>
      </c>
      <c r="P130" s="235">
        <f t="shared" si="79"/>
        <v>0</v>
      </c>
      <c r="Q130" s="235">
        <f t="shared" si="80"/>
        <v>0</v>
      </c>
      <c r="R130" s="393">
        <v>1</v>
      </c>
      <c r="S130" s="235">
        <f t="shared" si="81"/>
        <v>0</v>
      </c>
      <c r="T130" s="393"/>
      <c r="U130" s="235">
        <f t="shared" si="82"/>
        <v>13906</v>
      </c>
      <c r="V130" s="235">
        <f t="shared" si="83"/>
        <v>13906</v>
      </c>
      <c r="W130" s="393">
        <v>1</v>
      </c>
      <c r="X130" s="235">
        <f t="shared" si="84"/>
        <v>13906</v>
      </c>
      <c r="Y130" s="235">
        <f t="shared" si="85"/>
        <v>13906</v>
      </c>
      <c r="Z130" s="235">
        <f t="shared" si="94"/>
        <v>0</v>
      </c>
      <c r="AA130" s="235"/>
      <c r="AB130" s="235">
        <f t="shared" si="86"/>
        <v>2005.25</v>
      </c>
      <c r="AC130" s="235">
        <f t="shared" si="87"/>
        <v>2021</v>
      </c>
      <c r="AD130" s="235">
        <f t="shared" si="88"/>
        <v>2015.25</v>
      </c>
      <c r="AE130" s="413">
        <f t="shared" si="89"/>
        <v>2020</v>
      </c>
      <c r="AF130" s="413">
        <f t="shared" si="90"/>
        <v>-8.3333333333333329E-2</v>
      </c>
      <c r="AG130" s="413">
        <f t="shared" si="91"/>
        <v>2015.25</v>
      </c>
      <c r="AH130" s="413">
        <f t="shared" si="92"/>
        <v>2020</v>
      </c>
      <c r="AI130" s="413">
        <f t="shared" si="93"/>
        <v>-8.3333333333333329E-2</v>
      </c>
      <c r="AJ130" s="307"/>
      <c r="AK130" s="307"/>
      <c r="AL130" s="307"/>
    </row>
    <row r="131" spans="1:38" ht="15.75">
      <c r="A131" s="307">
        <v>99</v>
      </c>
      <c r="B131" s="415" t="s">
        <v>694</v>
      </c>
      <c r="C131" s="410">
        <v>2006</v>
      </c>
      <c r="D131" s="407">
        <v>4</v>
      </c>
      <c r="E131" s="411"/>
      <c r="F131" s="397" t="s">
        <v>668</v>
      </c>
      <c r="G131" s="397">
        <v>10</v>
      </c>
      <c r="H131" s="407">
        <f t="shared" si="75"/>
        <v>2016</v>
      </c>
      <c r="I131" s="393"/>
      <c r="J131" s="393"/>
      <c r="K131" s="417">
        <v>2819</v>
      </c>
      <c r="L131" s="393"/>
      <c r="M131" s="235">
        <f t="shared" si="76"/>
        <v>2819</v>
      </c>
      <c r="N131" s="235">
        <f t="shared" si="77"/>
        <v>23.491666666666664</v>
      </c>
      <c r="O131" s="235">
        <f t="shared" si="78"/>
        <v>0</v>
      </c>
      <c r="P131" s="235">
        <f t="shared" si="79"/>
        <v>0</v>
      </c>
      <c r="Q131" s="235">
        <f t="shared" si="80"/>
        <v>0</v>
      </c>
      <c r="R131" s="393">
        <v>1</v>
      </c>
      <c r="S131" s="235">
        <f t="shared" si="81"/>
        <v>0</v>
      </c>
      <c r="T131" s="393"/>
      <c r="U131" s="235">
        <f t="shared" si="82"/>
        <v>2819</v>
      </c>
      <c r="V131" s="235">
        <f t="shared" si="83"/>
        <v>2819</v>
      </c>
      <c r="W131" s="393">
        <v>1</v>
      </c>
      <c r="X131" s="235">
        <f t="shared" si="84"/>
        <v>2819</v>
      </c>
      <c r="Y131" s="235">
        <f t="shared" si="85"/>
        <v>2819</v>
      </c>
      <c r="Z131" s="235">
        <f t="shared" si="94"/>
        <v>0</v>
      </c>
      <c r="AA131" s="235"/>
      <c r="AB131" s="235">
        <f t="shared" si="86"/>
        <v>2006.25</v>
      </c>
      <c r="AC131" s="235">
        <f t="shared" si="87"/>
        <v>2021</v>
      </c>
      <c r="AD131" s="235">
        <f t="shared" si="88"/>
        <v>2016.25</v>
      </c>
      <c r="AE131" s="413">
        <f t="shared" si="89"/>
        <v>2020</v>
      </c>
      <c r="AF131" s="413">
        <f t="shared" si="90"/>
        <v>-8.3333333333333329E-2</v>
      </c>
      <c r="AG131" s="413">
        <f t="shared" si="91"/>
        <v>2016.25</v>
      </c>
      <c r="AH131" s="413">
        <f t="shared" si="92"/>
        <v>2020</v>
      </c>
      <c r="AI131" s="413">
        <f t="shared" si="93"/>
        <v>-8.3333333333333329E-2</v>
      </c>
      <c r="AJ131" s="307"/>
      <c r="AK131" s="307"/>
      <c r="AL131" s="307"/>
    </row>
    <row r="132" spans="1:38" ht="15.75">
      <c r="A132" s="307">
        <v>104</v>
      </c>
      <c r="B132" s="415" t="s">
        <v>694</v>
      </c>
      <c r="C132" s="410">
        <v>2006</v>
      </c>
      <c r="D132" s="407">
        <v>4</v>
      </c>
      <c r="E132" s="411"/>
      <c r="F132" s="397" t="s">
        <v>668</v>
      </c>
      <c r="G132" s="397">
        <v>10</v>
      </c>
      <c r="H132" s="407">
        <f t="shared" si="75"/>
        <v>2016</v>
      </c>
      <c r="I132" s="393"/>
      <c r="J132" s="393"/>
      <c r="K132" s="417">
        <v>2154</v>
      </c>
      <c r="L132" s="393"/>
      <c r="M132" s="235">
        <f t="shared" si="76"/>
        <v>2154</v>
      </c>
      <c r="N132" s="235">
        <f t="shared" si="77"/>
        <v>17.95</v>
      </c>
      <c r="O132" s="235">
        <f t="shared" si="78"/>
        <v>0</v>
      </c>
      <c r="P132" s="235">
        <f t="shared" si="79"/>
        <v>0</v>
      </c>
      <c r="Q132" s="235">
        <f t="shared" si="80"/>
        <v>0</v>
      </c>
      <c r="R132" s="393">
        <v>1</v>
      </c>
      <c r="S132" s="235">
        <f t="shared" si="81"/>
        <v>0</v>
      </c>
      <c r="T132" s="393"/>
      <c r="U132" s="235">
        <f t="shared" si="82"/>
        <v>2154</v>
      </c>
      <c r="V132" s="235">
        <f t="shared" si="83"/>
        <v>2154</v>
      </c>
      <c r="W132" s="393">
        <v>1</v>
      </c>
      <c r="X132" s="235">
        <f t="shared" si="84"/>
        <v>2154</v>
      </c>
      <c r="Y132" s="235">
        <f t="shared" si="85"/>
        <v>2154</v>
      </c>
      <c r="Z132" s="235">
        <f t="shared" si="94"/>
        <v>0</v>
      </c>
      <c r="AA132" s="235"/>
      <c r="AB132" s="235">
        <f t="shared" si="86"/>
        <v>2006.25</v>
      </c>
      <c r="AC132" s="235">
        <f t="shared" si="87"/>
        <v>2021</v>
      </c>
      <c r="AD132" s="235">
        <f t="shared" si="88"/>
        <v>2016.25</v>
      </c>
      <c r="AE132" s="413">
        <f t="shared" si="89"/>
        <v>2020</v>
      </c>
      <c r="AF132" s="413">
        <f t="shared" si="90"/>
        <v>-8.3333333333333329E-2</v>
      </c>
      <c r="AG132" s="413">
        <f t="shared" si="91"/>
        <v>2016.25</v>
      </c>
      <c r="AH132" s="413">
        <f t="shared" si="92"/>
        <v>2020</v>
      </c>
      <c r="AI132" s="413">
        <f t="shared" si="93"/>
        <v>-8.3333333333333329E-2</v>
      </c>
      <c r="AJ132" s="307"/>
      <c r="AK132" s="307"/>
      <c r="AL132" s="307"/>
    </row>
    <row r="133" spans="1:38" ht="15.75">
      <c r="A133" s="307">
        <v>106</v>
      </c>
      <c r="B133" s="415" t="s">
        <v>694</v>
      </c>
      <c r="C133" s="410">
        <v>2006</v>
      </c>
      <c r="D133" s="407">
        <v>10</v>
      </c>
      <c r="E133" s="411"/>
      <c r="F133" s="397" t="s">
        <v>668</v>
      </c>
      <c r="G133" s="397">
        <v>10</v>
      </c>
      <c r="H133" s="407">
        <f t="shared" si="75"/>
        <v>2016</v>
      </c>
      <c r="I133" s="393"/>
      <c r="J133" s="393"/>
      <c r="K133" s="417">
        <v>17429</v>
      </c>
      <c r="L133" s="393"/>
      <c r="M133" s="235">
        <f t="shared" si="76"/>
        <v>17429</v>
      </c>
      <c r="N133" s="235">
        <f t="shared" si="77"/>
        <v>145.24166666666667</v>
      </c>
      <c r="O133" s="235">
        <f t="shared" si="78"/>
        <v>0</v>
      </c>
      <c r="P133" s="235">
        <f t="shared" si="79"/>
        <v>0</v>
      </c>
      <c r="Q133" s="235">
        <f t="shared" si="80"/>
        <v>0</v>
      </c>
      <c r="R133" s="393">
        <v>1</v>
      </c>
      <c r="S133" s="235">
        <f t="shared" si="81"/>
        <v>0</v>
      </c>
      <c r="T133" s="393"/>
      <c r="U133" s="235">
        <f t="shared" si="82"/>
        <v>17429</v>
      </c>
      <c r="V133" s="235">
        <f t="shared" si="83"/>
        <v>17429</v>
      </c>
      <c r="W133" s="393">
        <v>1</v>
      </c>
      <c r="X133" s="235">
        <f t="shared" si="84"/>
        <v>17429</v>
      </c>
      <c r="Y133" s="235">
        <f t="shared" si="85"/>
        <v>17429</v>
      </c>
      <c r="Z133" s="235">
        <f t="shared" si="94"/>
        <v>0</v>
      </c>
      <c r="AA133" s="235"/>
      <c r="AB133" s="235">
        <f t="shared" si="86"/>
        <v>2006.75</v>
      </c>
      <c r="AC133" s="235">
        <f t="shared" si="87"/>
        <v>2021</v>
      </c>
      <c r="AD133" s="235">
        <f t="shared" si="88"/>
        <v>2016.75</v>
      </c>
      <c r="AE133" s="413">
        <f t="shared" si="89"/>
        <v>2020</v>
      </c>
      <c r="AF133" s="413">
        <f t="shared" si="90"/>
        <v>-8.3333333333333329E-2</v>
      </c>
      <c r="AG133" s="413">
        <f t="shared" si="91"/>
        <v>2016.75</v>
      </c>
      <c r="AH133" s="413">
        <f t="shared" si="92"/>
        <v>2020</v>
      </c>
      <c r="AI133" s="413">
        <f t="shared" si="93"/>
        <v>-8.3333333333333329E-2</v>
      </c>
      <c r="AJ133" s="307"/>
      <c r="AK133" s="307"/>
      <c r="AL133" s="307"/>
    </row>
    <row r="134" spans="1:38" ht="15.75">
      <c r="A134" s="307">
        <v>167</v>
      </c>
      <c r="B134" s="415" t="s">
        <v>716</v>
      </c>
      <c r="C134" s="410">
        <v>2006</v>
      </c>
      <c r="D134" s="407">
        <v>1</v>
      </c>
      <c r="E134" s="411"/>
      <c r="F134" s="397" t="s">
        <v>668</v>
      </c>
      <c r="G134" s="397">
        <v>10</v>
      </c>
      <c r="H134" s="407">
        <f t="shared" si="75"/>
        <v>2016</v>
      </c>
      <c r="I134" s="393"/>
      <c r="J134" s="393"/>
      <c r="K134" s="417">
        <v>3027</v>
      </c>
      <c r="L134" s="393"/>
      <c r="M134" s="235">
        <f t="shared" si="76"/>
        <v>3027</v>
      </c>
      <c r="N134" s="235">
        <f t="shared" si="77"/>
        <v>25.224999999999998</v>
      </c>
      <c r="O134" s="235">
        <f t="shared" si="78"/>
        <v>0</v>
      </c>
      <c r="P134" s="235">
        <f t="shared" si="79"/>
        <v>0</v>
      </c>
      <c r="Q134" s="235">
        <f t="shared" si="80"/>
        <v>0</v>
      </c>
      <c r="R134" s="393">
        <v>1</v>
      </c>
      <c r="S134" s="235">
        <f t="shared" si="81"/>
        <v>0</v>
      </c>
      <c r="T134" s="393"/>
      <c r="U134" s="235">
        <f t="shared" si="82"/>
        <v>3027</v>
      </c>
      <c r="V134" s="235">
        <f t="shared" si="83"/>
        <v>3027</v>
      </c>
      <c r="W134" s="393">
        <v>1</v>
      </c>
      <c r="X134" s="235">
        <f t="shared" si="84"/>
        <v>3027</v>
      </c>
      <c r="Y134" s="235">
        <f t="shared" si="85"/>
        <v>3027</v>
      </c>
      <c r="Z134" s="235">
        <f t="shared" si="94"/>
        <v>0</v>
      </c>
      <c r="AA134" s="235"/>
      <c r="AB134" s="235">
        <f t="shared" si="86"/>
        <v>2006</v>
      </c>
      <c r="AC134" s="235">
        <f t="shared" si="87"/>
        <v>2021</v>
      </c>
      <c r="AD134" s="235">
        <f t="shared" si="88"/>
        <v>2016</v>
      </c>
      <c r="AE134" s="413">
        <f t="shared" si="89"/>
        <v>2020</v>
      </c>
      <c r="AF134" s="413">
        <f t="shared" si="90"/>
        <v>-8.3333333333333329E-2</v>
      </c>
      <c r="AG134" s="413">
        <f t="shared" si="91"/>
        <v>2016</v>
      </c>
      <c r="AH134" s="413">
        <f t="shared" si="92"/>
        <v>2020</v>
      </c>
      <c r="AI134" s="413">
        <f t="shared" si="93"/>
        <v>-8.3333333333333329E-2</v>
      </c>
      <c r="AJ134" s="307"/>
      <c r="AK134" s="307"/>
      <c r="AL134" s="307"/>
    </row>
    <row r="135" spans="1:38" ht="15.75">
      <c r="A135" s="307">
        <v>168</v>
      </c>
      <c r="B135" s="415" t="s">
        <v>716</v>
      </c>
      <c r="C135" s="410">
        <v>2006</v>
      </c>
      <c r="D135" s="407">
        <v>6</v>
      </c>
      <c r="E135" s="411"/>
      <c r="F135" s="397" t="s">
        <v>668</v>
      </c>
      <c r="G135" s="397">
        <v>10</v>
      </c>
      <c r="H135" s="407">
        <f t="shared" si="75"/>
        <v>2016</v>
      </c>
      <c r="I135" s="393"/>
      <c r="J135" s="393"/>
      <c r="K135" s="417">
        <v>2765</v>
      </c>
      <c r="L135" s="393"/>
      <c r="M135" s="235">
        <f t="shared" si="76"/>
        <v>2765</v>
      </c>
      <c r="N135" s="235">
        <f t="shared" si="77"/>
        <v>23.041666666666668</v>
      </c>
      <c r="O135" s="235">
        <f t="shared" si="78"/>
        <v>0</v>
      </c>
      <c r="P135" s="235">
        <f t="shared" si="79"/>
        <v>0</v>
      </c>
      <c r="Q135" s="235">
        <f t="shared" si="80"/>
        <v>0</v>
      </c>
      <c r="R135" s="393">
        <v>1</v>
      </c>
      <c r="S135" s="235">
        <f t="shared" si="81"/>
        <v>0</v>
      </c>
      <c r="T135" s="393"/>
      <c r="U135" s="235">
        <f t="shared" si="82"/>
        <v>2765</v>
      </c>
      <c r="V135" s="235">
        <f t="shared" si="83"/>
        <v>2765</v>
      </c>
      <c r="W135" s="393">
        <v>1</v>
      </c>
      <c r="X135" s="235">
        <f t="shared" si="84"/>
        <v>2765</v>
      </c>
      <c r="Y135" s="235">
        <f t="shared" si="85"/>
        <v>2765</v>
      </c>
      <c r="Z135" s="235">
        <f t="shared" si="94"/>
        <v>0</v>
      </c>
      <c r="AA135" s="235"/>
      <c r="AB135" s="235">
        <f t="shared" si="86"/>
        <v>2006.4166666666667</v>
      </c>
      <c r="AC135" s="235">
        <f t="shared" si="87"/>
        <v>2021</v>
      </c>
      <c r="AD135" s="235">
        <f t="shared" si="88"/>
        <v>2016.4166666666667</v>
      </c>
      <c r="AE135" s="413">
        <f t="shared" si="89"/>
        <v>2020</v>
      </c>
      <c r="AF135" s="413">
        <f t="shared" si="90"/>
        <v>-8.3333333333333329E-2</v>
      </c>
      <c r="AG135" s="413">
        <f t="shared" si="91"/>
        <v>2016.4166666666667</v>
      </c>
      <c r="AH135" s="413">
        <f t="shared" si="92"/>
        <v>2020</v>
      </c>
      <c r="AI135" s="413">
        <f t="shared" si="93"/>
        <v>-8.3333333333333329E-2</v>
      </c>
      <c r="AJ135" s="307"/>
      <c r="AK135" s="307"/>
      <c r="AL135" s="307"/>
    </row>
    <row r="136" spans="1:38" ht="15.75">
      <c r="A136" s="307">
        <v>169</v>
      </c>
      <c r="B136" s="415" t="s">
        <v>716</v>
      </c>
      <c r="C136" s="410">
        <v>2006</v>
      </c>
      <c r="D136" s="407">
        <v>6</v>
      </c>
      <c r="E136" s="411"/>
      <c r="F136" s="397" t="s">
        <v>668</v>
      </c>
      <c r="G136" s="397">
        <v>10</v>
      </c>
      <c r="H136" s="407">
        <f t="shared" si="75"/>
        <v>2016</v>
      </c>
      <c r="I136" s="393"/>
      <c r="J136" s="393"/>
      <c r="K136" s="417">
        <v>1725</v>
      </c>
      <c r="L136" s="393"/>
      <c r="M136" s="235">
        <f t="shared" si="76"/>
        <v>1725</v>
      </c>
      <c r="N136" s="235">
        <f t="shared" si="77"/>
        <v>14.375</v>
      </c>
      <c r="O136" s="235">
        <f t="shared" si="78"/>
        <v>0</v>
      </c>
      <c r="P136" s="235">
        <f t="shared" si="79"/>
        <v>0</v>
      </c>
      <c r="Q136" s="235">
        <f t="shared" si="80"/>
        <v>0</v>
      </c>
      <c r="R136" s="393">
        <v>1</v>
      </c>
      <c r="S136" s="235">
        <f t="shared" si="81"/>
        <v>0</v>
      </c>
      <c r="T136" s="393"/>
      <c r="U136" s="235">
        <f t="shared" si="82"/>
        <v>1725</v>
      </c>
      <c r="V136" s="235">
        <f t="shared" si="83"/>
        <v>1725</v>
      </c>
      <c r="W136" s="393">
        <v>1</v>
      </c>
      <c r="X136" s="235">
        <f t="shared" si="84"/>
        <v>1725</v>
      </c>
      <c r="Y136" s="235">
        <f t="shared" si="85"/>
        <v>1725</v>
      </c>
      <c r="Z136" s="235">
        <f t="shared" si="94"/>
        <v>0</v>
      </c>
      <c r="AA136" s="235"/>
      <c r="AB136" s="235">
        <f t="shared" si="86"/>
        <v>2006.4166666666667</v>
      </c>
      <c r="AC136" s="235">
        <f t="shared" si="87"/>
        <v>2021</v>
      </c>
      <c r="AD136" s="235">
        <f t="shared" si="88"/>
        <v>2016.4166666666667</v>
      </c>
      <c r="AE136" s="413">
        <f t="shared" si="89"/>
        <v>2020</v>
      </c>
      <c r="AF136" s="413">
        <f t="shared" si="90"/>
        <v>-8.3333333333333329E-2</v>
      </c>
      <c r="AG136" s="413">
        <f t="shared" si="91"/>
        <v>2016.4166666666667</v>
      </c>
      <c r="AH136" s="413">
        <f t="shared" si="92"/>
        <v>2020</v>
      </c>
      <c r="AI136" s="413">
        <f t="shared" si="93"/>
        <v>-8.3333333333333329E-2</v>
      </c>
      <c r="AJ136" s="307"/>
      <c r="AK136" s="307"/>
      <c r="AL136" s="307"/>
    </row>
    <row r="137" spans="1:38" ht="15.75">
      <c r="A137" s="307">
        <v>170</v>
      </c>
      <c r="B137" s="415" t="s">
        <v>716</v>
      </c>
      <c r="C137" s="410">
        <v>2006</v>
      </c>
      <c r="D137" s="407">
        <v>7</v>
      </c>
      <c r="E137" s="411"/>
      <c r="F137" s="397" t="s">
        <v>668</v>
      </c>
      <c r="G137" s="397">
        <v>10</v>
      </c>
      <c r="H137" s="407">
        <f t="shared" si="75"/>
        <v>2016</v>
      </c>
      <c r="I137" s="393"/>
      <c r="J137" s="393"/>
      <c r="K137" s="417">
        <v>3297</v>
      </c>
      <c r="L137" s="393"/>
      <c r="M137" s="235">
        <f t="shared" si="76"/>
        <v>3297</v>
      </c>
      <c r="N137" s="235">
        <f t="shared" si="77"/>
        <v>27.474999999999998</v>
      </c>
      <c r="O137" s="235">
        <f t="shared" si="78"/>
        <v>0</v>
      </c>
      <c r="P137" s="235">
        <f t="shared" si="79"/>
        <v>0</v>
      </c>
      <c r="Q137" s="235">
        <f t="shared" si="80"/>
        <v>0</v>
      </c>
      <c r="R137" s="393">
        <v>1</v>
      </c>
      <c r="S137" s="235">
        <f t="shared" si="81"/>
        <v>0</v>
      </c>
      <c r="T137" s="393"/>
      <c r="U137" s="235">
        <f t="shared" si="82"/>
        <v>3297</v>
      </c>
      <c r="V137" s="235">
        <f t="shared" si="83"/>
        <v>3297</v>
      </c>
      <c r="W137" s="393">
        <v>1</v>
      </c>
      <c r="X137" s="235">
        <f t="shared" si="84"/>
        <v>3297</v>
      </c>
      <c r="Y137" s="235">
        <f t="shared" si="85"/>
        <v>3297</v>
      </c>
      <c r="Z137" s="235">
        <f t="shared" si="94"/>
        <v>0</v>
      </c>
      <c r="AA137" s="235"/>
      <c r="AB137" s="235">
        <f t="shared" si="86"/>
        <v>2006.5</v>
      </c>
      <c r="AC137" s="235">
        <f t="shared" si="87"/>
        <v>2021</v>
      </c>
      <c r="AD137" s="235">
        <f t="shared" si="88"/>
        <v>2016.5</v>
      </c>
      <c r="AE137" s="413">
        <f t="shared" si="89"/>
        <v>2020</v>
      </c>
      <c r="AF137" s="413">
        <f t="shared" si="90"/>
        <v>-8.3333333333333329E-2</v>
      </c>
      <c r="AG137" s="413">
        <f t="shared" si="91"/>
        <v>2016.5</v>
      </c>
      <c r="AH137" s="413">
        <f t="shared" si="92"/>
        <v>2020</v>
      </c>
      <c r="AI137" s="413">
        <f t="shared" si="93"/>
        <v>-8.3333333333333329E-2</v>
      </c>
      <c r="AJ137" s="307"/>
      <c r="AK137" s="307"/>
      <c r="AL137" s="307"/>
    </row>
    <row r="138" spans="1:38" ht="15.75">
      <c r="A138" s="307">
        <v>171</v>
      </c>
      <c r="B138" s="415" t="s">
        <v>716</v>
      </c>
      <c r="C138" s="410">
        <v>2006</v>
      </c>
      <c r="D138" s="407">
        <v>9</v>
      </c>
      <c r="E138" s="411"/>
      <c r="F138" s="397" t="s">
        <v>668</v>
      </c>
      <c r="G138" s="397">
        <v>10</v>
      </c>
      <c r="H138" s="407">
        <f t="shared" si="75"/>
        <v>2016</v>
      </c>
      <c r="I138" s="393"/>
      <c r="J138" s="393"/>
      <c r="K138" s="417">
        <v>4616</v>
      </c>
      <c r="L138" s="393"/>
      <c r="M138" s="235">
        <f t="shared" si="76"/>
        <v>4616</v>
      </c>
      <c r="N138" s="235">
        <f t="shared" si="77"/>
        <v>38.466666666666669</v>
      </c>
      <c r="O138" s="235">
        <f t="shared" si="78"/>
        <v>0</v>
      </c>
      <c r="P138" s="235">
        <f t="shared" si="79"/>
        <v>0</v>
      </c>
      <c r="Q138" s="235">
        <f t="shared" si="80"/>
        <v>0</v>
      </c>
      <c r="R138" s="393">
        <v>1</v>
      </c>
      <c r="S138" s="235">
        <f t="shared" si="81"/>
        <v>0</v>
      </c>
      <c r="T138" s="393"/>
      <c r="U138" s="235">
        <f t="shared" si="82"/>
        <v>4616</v>
      </c>
      <c r="V138" s="235">
        <f t="shared" si="83"/>
        <v>4616</v>
      </c>
      <c r="W138" s="393">
        <v>1</v>
      </c>
      <c r="X138" s="235">
        <f t="shared" si="84"/>
        <v>4616</v>
      </c>
      <c r="Y138" s="235">
        <f t="shared" si="85"/>
        <v>4616</v>
      </c>
      <c r="Z138" s="235">
        <f t="shared" si="94"/>
        <v>0</v>
      </c>
      <c r="AA138" s="235"/>
      <c r="AB138" s="235">
        <f t="shared" si="86"/>
        <v>2006.6666666666667</v>
      </c>
      <c r="AC138" s="235">
        <f t="shared" si="87"/>
        <v>2021</v>
      </c>
      <c r="AD138" s="235">
        <f t="shared" si="88"/>
        <v>2016.6666666666667</v>
      </c>
      <c r="AE138" s="413">
        <f t="shared" si="89"/>
        <v>2020</v>
      </c>
      <c r="AF138" s="413">
        <f t="shared" si="90"/>
        <v>-8.3333333333333329E-2</v>
      </c>
      <c r="AG138" s="413">
        <f t="shared" si="91"/>
        <v>2016.6666666666667</v>
      </c>
      <c r="AH138" s="413">
        <f t="shared" si="92"/>
        <v>2020</v>
      </c>
      <c r="AI138" s="413">
        <f t="shared" si="93"/>
        <v>-8.3333333333333329E-2</v>
      </c>
      <c r="AJ138" s="307"/>
      <c r="AK138" s="307"/>
      <c r="AL138" s="307"/>
    </row>
    <row r="139" spans="1:38" ht="15.75">
      <c r="A139" s="307">
        <v>172</v>
      </c>
      <c r="B139" s="415" t="s">
        <v>716</v>
      </c>
      <c r="C139" s="410">
        <v>2006</v>
      </c>
      <c r="D139" s="407">
        <v>5</v>
      </c>
      <c r="E139" s="411"/>
      <c r="F139" s="397" t="s">
        <v>668</v>
      </c>
      <c r="G139" s="397">
        <v>10</v>
      </c>
      <c r="H139" s="407">
        <f t="shared" si="75"/>
        <v>2016</v>
      </c>
      <c r="I139" s="393"/>
      <c r="J139" s="393"/>
      <c r="K139" s="417">
        <v>861</v>
      </c>
      <c r="L139" s="393"/>
      <c r="M139" s="235">
        <f t="shared" si="76"/>
        <v>861</v>
      </c>
      <c r="N139" s="235">
        <f t="shared" si="77"/>
        <v>7.1749999999999998</v>
      </c>
      <c r="O139" s="235">
        <f t="shared" si="78"/>
        <v>0</v>
      </c>
      <c r="P139" s="235">
        <f t="shared" si="79"/>
        <v>0</v>
      </c>
      <c r="Q139" s="235">
        <f t="shared" si="80"/>
        <v>0</v>
      </c>
      <c r="R139" s="393">
        <v>1</v>
      </c>
      <c r="S139" s="235">
        <f t="shared" si="81"/>
        <v>0</v>
      </c>
      <c r="T139" s="393"/>
      <c r="U139" s="235">
        <f t="shared" si="82"/>
        <v>861</v>
      </c>
      <c r="V139" s="235">
        <f t="shared" si="83"/>
        <v>861</v>
      </c>
      <c r="W139" s="393">
        <v>1</v>
      </c>
      <c r="X139" s="235">
        <f t="shared" si="84"/>
        <v>861</v>
      </c>
      <c r="Y139" s="235">
        <f t="shared" si="85"/>
        <v>861</v>
      </c>
      <c r="Z139" s="235">
        <f t="shared" si="94"/>
        <v>0</v>
      </c>
      <c r="AA139" s="235"/>
      <c r="AB139" s="235">
        <f t="shared" si="86"/>
        <v>2006.3333333333333</v>
      </c>
      <c r="AC139" s="235">
        <f t="shared" si="87"/>
        <v>2021</v>
      </c>
      <c r="AD139" s="235">
        <f t="shared" si="88"/>
        <v>2016.3333333333333</v>
      </c>
      <c r="AE139" s="413">
        <f t="shared" si="89"/>
        <v>2020</v>
      </c>
      <c r="AF139" s="413">
        <f t="shared" si="90"/>
        <v>-8.3333333333333329E-2</v>
      </c>
      <c r="AG139" s="413">
        <f t="shared" si="91"/>
        <v>2016.3333333333333</v>
      </c>
      <c r="AH139" s="413">
        <f t="shared" si="92"/>
        <v>2020</v>
      </c>
      <c r="AI139" s="413">
        <f t="shared" si="93"/>
        <v>-8.3333333333333329E-2</v>
      </c>
      <c r="AJ139" s="307"/>
      <c r="AK139" s="307"/>
      <c r="AL139" s="307"/>
    </row>
    <row r="140" spans="1:38" ht="15.75">
      <c r="A140" s="307">
        <v>25</v>
      </c>
      <c r="B140" s="415" t="s">
        <v>715</v>
      </c>
      <c r="C140" s="410">
        <v>2007</v>
      </c>
      <c r="D140" s="407">
        <v>8</v>
      </c>
      <c r="E140" s="411"/>
      <c r="F140" s="397" t="s">
        <v>668</v>
      </c>
      <c r="G140" s="397">
        <v>10</v>
      </c>
      <c r="H140" s="407">
        <f t="shared" si="75"/>
        <v>2017</v>
      </c>
      <c r="I140" s="393"/>
      <c r="J140" s="393"/>
      <c r="K140" s="417">
        <v>12244</v>
      </c>
      <c r="L140" s="393"/>
      <c r="M140" s="235">
        <f t="shared" si="76"/>
        <v>12244</v>
      </c>
      <c r="N140" s="235">
        <f t="shared" si="77"/>
        <v>102.03333333333335</v>
      </c>
      <c r="O140" s="235">
        <f t="shared" si="78"/>
        <v>0</v>
      </c>
      <c r="P140" s="235">
        <f t="shared" si="79"/>
        <v>0</v>
      </c>
      <c r="Q140" s="235">
        <f t="shared" si="80"/>
        <v>0</v>
      </c>
      <c r="R140" s="393">
        <v>1</v>
      </c>
      <c r="S140" s="235">
        <f t="shared" si="81"/>
        <v>0</v>
      </c>
      <c r="T140" s="393"/>
      <c r="U140" s="235">
        <f t="shared" si="82"/>
        <v>12244</v>
      </c>
      <c r="V140" s="235">
        <f t="shared" si="83"/>
        <v>12244</v>
      </c>
      <c r="W140" s="393">
        <v>1</v>
      </c>
      <c r="X140" s="235">
        <f t="shared" si="84"/>
        <v>12244</v>
      </c>
      <c r="Y140" s="235">
        <f t="shared" si="85"/>
        <v>12244</v>
      </c>
      <c r="Z140" s="235">
        <f t="shared" ref="Z140:Z147" si="95">IF(L140&gt;0,(K140-X140)/2,IF(AB140&gt;=AE140,(((K140*R140)*W140)-Y140)/2,((((K140*R140)*W140)-X140)+(((K140*R140)*W140)-Y140))/2))</f>
        <v>0</v>
      </c>
      <c r="AA140" s="235"/>
      <c r="AB140" s="235">
        <f t="shared" si="86"/>
        <v>2007.5833333333333</v>
      </c>
      <c r="AC140" s="235">
        <f t="shared" si="87"/>
        <v>2021</v>
      </c>
      <c r="AD140" s="235">
        <f t="shared" si="88"/>
        <v>2017.5833333333333</v>
      </c>
      <c r="AE140" s="413">
        <f t="shared" si="89"/>
        <v>2020</v>
      </c>
      <c r="AF140" s="413">
        <f t="shared" si="90"/>
        <v>-8.3333333333333329E-2</v>
      </c>
      <c r="AG140" s="413">
        <f t="shared" si="91"/>
        <v>2017.5833333333333</v>
      </c>
      <c r="AH140" s="413">
        <f t="shared" si="92"/>
        <v>2020</v>
      </c>
      <c r="AI140" s="413">
        <f t="shared" si="93"/>
        <v>-8.3333333333333329E-2</v>
      </c>
      <c r="AJ140" s="307"/>
      <c r="AK140" s="307"/>
      <c r="AL140" s="307"/>
    </row>
    <row r="141" spans="1:38" ht="15.75">
      <c r="A141" s="307">
        <v>38</v>
      </c>
      <c r="B141" s="415" t="s">
        <v>715</v>
      </c>
      <c r="C141" s="407">
        <v>2007</v>
      </c>
      <c r="D141" s="407">
        <v>12</v>
      </c>
      <c r="E141" s="411"/>
      <c r="F141" s="397" t="s">
        <v>668</v>
      </c>
      <c r="G141" s="397">
        <v>10</v>
      </c>
      <c r="H141" s="407">
        <f t="shared" si="75"/>
        <v>2017</v>
      </c>
      <c r="I141" s="393"/>
      <c r="J141" s="393"/>
      <c r="K141" s="417">
        <v>730</v>
      </c>
      <c r="L141" s="393"/>
      <c r="M141" s="235">
        <f t="shared" si="76"/>
        <v>730</v>
      </c>
      <c r="N141" s="235">
        <f t="shared" si="77"/>
        <v>6.083333333333333</v>
      </c>
      <c r="O141" s="235">
        <f t="shared" si="78"/>
        <v>0</v>
      </c>
      <c r="P141" s="235">
        <f t="shared" si="79"/>
        <v>0</v>
      </c>
      <c r="Q141" s="235">
        <f t="shared" si="80"/>
        <v>0</v>
      </c>
      <c r="R141" s="393">
        <v>1</v>
      </c>
      <c r="S141" s="235">
        <f t="shared" si="81"/>
        <v>0</v>
      </c>
      <c r="T141" s="393"/>
      <c r="U141" s="235">
        <f t="shared" si="82"/>
        <v>730</v>
      </c>
      <c r="V141" s="235">
        <f t="shared" si="83"/>
        <v>730</v>
      </c>
      <c r="W141" s="393">
        <v>1</v>
      </c>
      <c r="X141" s="235">
        <f t="shared" si="84"/>
        <v>730</v>
      </c>
      <c r="Y141" s="235">
        <f t="shared" si="85"/>
        <v>730</v>
      </c>
      <c r="Z141" s="235">
        <f t="shared" si="95"/>
        <v>0</v>
      </c>
      <c r="AA141" s="235"/>
      <c r="AB141" s="235">
        <f t="shared" si="86"/>
        <v>2007.9166666666667</v>
      </c>
      <c r="AC141" s="235">
        <f t="shared" si="87"/>
        <v>2021</v>
      </c>
      <c r="AD141" s="235">
        <f t="shared" si="88"/>
        <v>2017.9166666666667</v>
      </c>
      <c r="AE141" s="413">
        <f t="shared" si="89"/>
        <v>2020</v>
      </c>
      <c r="AF141" s="413">
        <f t="shared" si="90"/>
        <v>-8.3333333333333329E-2</v>
      </c>
      <c r="AG141" s="413">
        <f t="shared" si="91"/>
        <v>2017.9166666666667</v>
      </c>
      <c r="AH141" s="413">
        <f t="shared" si="92"/>
        <v>2020</v>
      </c>
      <c r="AI141" s="413">
        <f t="shared" si="93"/>
        <v>-8.3333333333333329E-2</v>
      </c>
      <c r="AJ141" s="307"/>
      <c r="AK141" s="307"/>
      <c r="AL141" s="307"/>
    </row>
    <row r="142" spans="1:38" ht="15.75">
      <c r="A142" s="307">
        <v>44</v>
      </c>
      <c r="B142" s="415" t="s">
        <v>717</v>
      </c>
      <c r="C142" s="410">
        <v>2007</v>
      </c>
      <c r="D142" s="407">
        <v>1</v>
      </c>
      <c r="E142" s="411"/>
      <c r="F142" s="397" t="s">
        <v>668</v>
      </c>
      <c r="G142" s="397">
        <v>10</v>
      </c>
      <c r="H142" s="407">
        <f t="shared" si="75"/>
        <v>2017</v>
      </c>
      <c r="I142" s="393"/>
      <c r="J142" s="393"/>
      <c r="K142" s="417">
        <v>1119</v>
      </c>
      <c r="L142" s="393"/>
      <c r="M142" s="235">
        <f t="shared" si="76"/>
        <v>1119</v>
      </c>
      <c r="N142" s="235">
        <f t="shared" si="77"/>
        <v>9.3250000000000011</v>
      </c>
      <c r="O142" s="235">
        <f t="shared" si="78"/>
        <v>0</v>
      </c>
      <c r="P142" s="235">
        <f t="shared" si="79"/>
        <v>0</v>
      </c>
      <c r="Q142" s="235">
        <f t="shared" si="80"/>
        <v>0</v>
      </c>
      <c r="R142" s="393">
        <v>1</v>
      </c>
      <c r="S142" s="235">
        <f t="shared" si="81"/>
        <v>0</v>
      </c>
      <c r="T142" s="393"/>
      <c r="U142" s="235">
        <f t="shared" si="82"/>
        <v>1119</v>
      </c>
      <c r="V142" s="235">
        <f t="shared" si="83"/>
        <v>1119</v>
      </c>
      <c r="W142" s="393">
        <v>1</v>
      </c>
      <c r="X142" s="235">
        <f t="shared" si="84"/>
        <v>1119</v>
      </c>
      <c r="Y142" s="235">
        <f t="shared" si="85"/>
        <v>1119</v>
      </c>
      <c r="Z142" s="235">
        <f t="shared" si="95"/>
        <v>0</v>
      </c>
      <c r="AA142" s="235"/>
      <c r="AB142" s="235">
        <f t="shared" si="86"/>
        <v>2007</v>
      </c>
      <c r="AC142" s="235">
        <f t="shared" si="87"/>
        <v>2021</v>
      </c>
      <c r="AD142" s="235">
        <f t="shared" si="88"/>
        <v>2017</v>
      </c>
      <c r="AE142" s="413">
        <f t="shared" si="89"/>
        <v>2020</v>
      </c>
      <c r="AF142" s="413">
        <f t="shared" si="90"/>
        <v>-8.3333333333333329E-2</v>
      </c>
      <c r="AG142" s="413">
        <f t="shared" si="91"/>
        <v>2017</v>
      </c>
      <c r="AH142" s="413">
        <f t="shared" si="92"/>
        <v>2020</v>
      </c>
      <c r="AI142" s="413">
        <f t="shared" si="93"/>
        <v>-8.3333333333333329E-2</v>
      </c>
      <c r="AJ142" s="307"/>
      <c r="AK142" s="307"/>
      <c r="AL142" s="307"/>
    </row>
    <row r="143" spans="1:38" ht="15.75">
      <c r="A143" s="307">
        <v>45</v>
      </c>
      <c r="B143" s="415" t="s">
        <v>717</v>
      </c>
      <c r="C143" s="410">
        <v>2007</v>
      </c>
      <c r="D143" s="407">
        <v>3</v>
      </c>
      <c r="E143" s="411"/>
      <c r="F143" s="397" t="s">
        <v>668</v>
      </c>
      <c r="G143" s="397">
        <v>10</v>
      </c>
      <c r="H143" s="407">
        <f t="shared" si="75"/>
        <v>2017</v>
      </c>
      <c r="I143" s="393"/>
      <c r="J143" s="393"/>
      <c r="K143" s="417">
        <v>6204</v>
      </c>
      <c r="L143" s="393"/>
      <c r="M143" s="235">
        <f t="shared" si="76"/>
        <v>6204</v>
      </c>
      <c r="N143" s="235">
        <f t="shared" si="77"/>
        <v>51.699999999999996</v>
      </c>
      <c r="O143" s="235">
        <f t="shared" si="78"/>
        <v>0</v>
      </c>
      <c r="P143" s="235">
        <f t="shared" si="79"/>
        <v>0</v>
      </c>
      <c r="Q143" s="235">
        <f t="shared" si="80"/>
        <v>0</v>
      </c>
      <c r="R143" s="393">
        <v>1</v>
      </c>
      <c r="S143" s="235">
        <f t="shared" si="81"/>
        <v>0</v>
      </c>
      <c r="T143" s="393"/>
      <c r="U143" s="235">
        <f t="shared" si="82"/>
        <v>6204</v>
      </c>
      <c r="V143" s="235">
        <f t="shared" si="83"/>
        <v>6204</v>
      </c>
      <c r="W143" s="393">
        <v>1</v>
      </c>
      <c r="X143" s="235">
        <f t="shared" si="84"/>
        <v>6204</v>
      </c>
      <c r="Y143" s="235">
        <f t="shared" si="85"/>
        <v>6204</v>
      </c>
      <c r="Z143" s="235">
        <f t="shared" si="95"/>
        <v>0</v>
      </c>
      <c r="AA143" s="235"/>
      <c r="AB143" s="235">
        <f t="shared" si="86"/>
        <v>2007.1666666666667</v>
      </c>
      <c r="AC143" s="235">
        <f t="shared" si="87"/>
        <v>2021</v>
      </c>
      <c r="AD143" s="235">
        <f t="shared" si="88"/>
        <v>2017.1666666666667</v>
      </c>
      <c r="AE143" s="413">
        <f t="shared" si="89"/>
        <v>2020</v>
      </c>
      <c r="AF143" s="413">
        <f t="shared" si="90"/>
        <v>-8.3333333333333329E-2</v>
      </c>
      <c r="AG143" s="413">
        <f t="shared" si="91"/>
        <v>2017.1666666666667</v>
      </c>
      <c r="AH143" s="413">
        <f t="shared" si="92"/>
        <v>2020</v>
      </c>
      <c r="AI143" s="413">
        <f t="shared" si="93"/>
        <v>-8.3333333333333329E-2</v>
      </c>
      <c r="AJ143" s="307"/>
      <c r="AK143" s="307"/>
      <c r="AL143" s="307"/>
    </row>
    <row r="144" spans="1:38" ht="15.75">
      <c r="A144" s="307">
        <v>46</v>
      </c>
      <c r="B144" s="415" t="s">
        <v>717</v>
      </c>
      <c r="C144" s="410">
        <v>2007</v>
      </c>
      <c r="D144" s="407">
        <v>3</v>
      </c>
      <c r="E144" s="411"/>
      <c r="F144" s="397" t="s">
        <v>668</v>
      </c>
      <c r="G144" s="397">
        <v>10</v>
      </c>
      <c r="H144" s="407">
        <f t="shared" si="75"/>
        <v>2017</v>
      </c>
      <c r="I144" s="393"/>
      <c r="J144" s="393"/>
      <c r="K144" s="417">
        <v>249</v>
      </c>
      <c r="L144" s="393"/>
      <c r="M144" s="235">
        <f t="shared" si="76"/>
        <v>249</v>
      </c>
      <c r="N144" s="235">
        <f t="shared" si="77"/>
        <v>2.0749999999999997</v>
      </c>
      <c r="O144" s="235">
        <f t="shared" si="78"/>
        <v>0</v>
      </c>
      <c r="P144" s="235">
        <f t="shared" si="79"/>
        <v>0</v>
      </c>
      <c r="Q144" s="235">
        <f t="shared" si="80"/>
        <v>0</v>
      </c>
      <c r="R144" s="393">
        <v>1</v>
      </c>
      <c r="S144" s="235">
        <f t="shared" si="81"/>
        <v>0</v>
      </c>
      <c r="T144" s="393"/>
      <c r="U144" s="235">
        <f t="shared" si="82"/>
        <v>249</v>
      </c>
      <c r="V144" s="235">
        <f t="shared" si="83"/>
        <v>249</v>
      </c>
      <c r="W144" s="393">
        <v>1</v>
      </c>
      <c r="X144" s="235">
        <f t="shared" si="84"/>
        <v>249</v>
      </c>
      <c r="Y144" s="235">
        <f t="shared" si="85"/>
        <v>249</v>
      </c>
      <c r="Z144" s="235">
        <f t="shared" si="95"/>
        <v>0</v>
      </c>
      <c r="AA144" s="235"/>
      <c r="AB144" s="235">
        <f t="shared" si="86"/>
        <v>2007.1666666666667</v>
      </c>
      <c r="AC144" s="235">
        <f t="shared" si="87"/>
        <v>2021</v>
      </c>
      <c r="AD144" s="235">
        <f t="shared" si="88"/>
        <v>2017.1666666666667</v>
      </c>
      <c r="AE144" s="413">
        <f t="shared" si="89"/>
        <v>2020</v>
      </c>
      <c r="AF144" s="413">
        <f t="shared" si="90"/>
        <v>-8.3333333333333329E-2</v>
      </c>
      <c r="AG144" s="413">
        <f t="shared" si="91"/>
        <v>2017.1666666666667</v>
      </c>
      <c r="AH144" s="413">
        <f t="shared" si="92"/>
        <v>2020</v>
      </c>
      <c r="AI144" s="413">
        <f t="shared" si="93"/>
        <v>-8.3333333333333329E-2</v>
      </c>
      <c r="AJ144" s="307"/>
      <c r="AK144" s="307"/>
      <c r="AL144" s="307"/>
    </row>
    <row r="145" spans="1:38" ht="15.75">
      <c r="A145" s="307">
        <v>65</v>
      </c>
      <c r="B145" s="415" t="s">
        <v>694</v>
      </c>
      <c r="C145" s="410">
        <v>2007</v>
      </c>
      <c r="D145" s="407">
        <v>10</v>
      </c>
      <c r="E145" s="411"/>
      <c r="F145" s="397" t="s">
        <v>668</v>
      </c>
      <c r="G145" s="397">
        <v>10</v>
      </c>
      <c r="H145" s="407">
        <f t="shared" si="75"/>
        <v>2017</v>
      </c>
      <c r="I145" s="393"/>
      <c r="J145" s="393"/>
      <c r="K145" s="417">
        <v>2151</v>
      </c>
      <c r="L145" s="393"/>
      <c r="M145" s="235">
        <f t="shared" si="76"/>
        <v>2151</v>
      </c>
      <c r="N145" s="235">
        <f t="shared" si="77"/>
        <v>17.925000000000001</v>
      </c>
      <c r="O145" s="235">
        <f t="shared" si="78"/>
        <v>0</v>
      </c>
      <c r="P145" s="235">
        <f t="shared" si="79"/>
        <v>0</v>
      </c>
      <c r="Q145" s="235">
        <f t="shared" si="80"/>
        <v>0</v>
      </c>
      <c r="R145" s="393">
        <v>1</v>
      </c>
      <c r="S145" s="235">
        <f t="shared" si="81"/>
        <v>0</v>
      </c>
      <c r="T145" s="393"/>
      <c r="U145" s="235">
        <f t="shared" si="82"/>
        <v>2151</v>
      </c>
      <c r="V145" s="235">
        <f t="shared" si="83"/>
        <v>2151</v>
      </c>
      <c r="W145" s="393">
        <v>1</v>
      </c>
      <c r="X145" s="235">
        <f t="shared" si="84"/>
        <v>2151</v>
      </c>
      <c r="Y145" s="235">
        <f t="shared" si="85"/>
        <v>2151</v>
      </c>
      <c r="Z145" s="235">
        <f t="shared" si="95"/>
        <v>0</v>
      </c>
      <c r="AA145" s="235"/>
      <c r="AB145" s="235">
        <f t="shared" si="86"/>
        <v>2007.75</v>
      </c>
      <c r="AC145" s="235">
        <f t="shared" si="87"/>
        <v>2021</v>
      </c>
      <c r="AD145" s="235">
        <f t="shared" si="88"/>
        <v>2017.75</v>
      </c>
      <c r="AE145" s="413">
        <f t="shared" si="89"/>
        <v>2020</v>
      </c>
      <c r="AF145" s="413">
        <f t="shared" si="90"/>
        <v>-8.3333333333333329E-2</v>
      </c>
      <c r="AG145" s="413">
        <f t="shared" si="91"/>
        <v>2017.75</v>
      </c>
      <c r="AH145" s="413">
        <f t="shared" si="92"/>
        <v>2020</v>
      </c>
      <c r="AI145" s="413">
        <f t="shared" si="93"/>
        <v>-8.3333333333333329E-2</v>
      </c>
      <c r="AJ145" s="307"/>
      <c r="AK145" s="307"/>
      <c r="AL145" s="307"/>
    </row>
    <row r="146" spans="1:38" ht="15.75">
      <c r="A146" s="307">
        <v>66</v>
      </c>
      <c r="B146" s="415" t="s">
        <v>694</v>
      </c>
      <c r="C146" s="410">
        <v>2007</v>
      </c>
      <c r="D146" s="407">
        <v>11</v>
      </c>
      <c r="E146" s="411"/>
      <c r="F146" s="397" t="s">
        <v>668</v>
      </c>
      <c r="G146" s="397">
        <v>10</v>
      </c>
      <c r="H146" s="407">
        <f t="shared" si="75"/>
        <v>2017</v>
      </c>
      <c r="I146" s="393"/>
      <c r="J146" s="393"/>
      <c r="K146" s="417">
        <v>2215</v>
      </c>
      <c r="L146" s="393"/>
      <c r="M146" s="235">
        <f t="shared" si="76"/>
        <v>2215</v>
      </c>
      <c r="N146" s="235">
        <f t="shared" si="77"/>
        <v>18.458333333333332</v>
      </c>
      <c r="O146" s="235">
        <f t="shared" si="78"/>
        <v>0</v>
      </c>
      <c r="P146" s="235">
        <f t="shared" si="79"/>
        <v>0</v>
      </c>
      <c r="Q146" s="235">
        <f t="shared" si="80"/>
        <v>0</v>
      </c>
      <c r="R146" s="393">
        <v>1</v>
      </c>
      <c r="S146" s="235">
        <f t="shared" si="81"/>
        <v>0</v>
      </c>
      <c r="T146" s="393"/>
      <c r="U146" s="235">
        <f t="shared" si="82"/>
        <v>2215</v>
      </c>
      <c r="V146" s="235">
        <f t="shared" si="83"/>
        <v>2215</v>
      </c>
      <c r="W146" s="393">
        <v>1</v>
      </c>
      <c r="X146" s="235">
        <f t="shared" si="84"/>
        <v>2215</v>
      </c>
      <c r="Y146" s="235">
        <f t="shared" si="85"/>
        <v>2215</v>
      </c>
      <c r="Z146" s="235">
        <f t="shared" si="95"/>
        <v>0</v>
      </c>
      <c r="AA146" s="235"/>
      <c r="AB146" s="235">
        <f t="shared" si="86"/>
        <v>2007.8333333333333</v>
      </c>
      <c r="AC146" s="235">
        <f t="shared" si="87"/>
        <v>2021</v>
      </c>
      <c r="AD146" s="235">
        <f t="shared" si="88"/>
        <v>2017.8333333333333</v>
      </c>
      <c r="AE146" s="413">
        <f t="shared" si="89"/>
        <v>2020</v>
      </c>
      <c r="AF146" s="413">
        <f t="shared" si="90"/>
        <v>-8.3333333333333329E-2</v>
      </c>
      <c r="AG146" s="413">
        <f t="shared" si="91"/>
        <v>2017.8333333333333</v>
      </c>
      <c r="AH146" s="413">
        <f t="shared" si="92"/>
        <v>2020</v>
      </c>
      <c r="AI146" s="413">
        <f t="shared" si="93"/>
        <v>-8.3333333333333329E-2</v>
      </c>
      <c r="AJ146" s="307"/>
      <c r="AK146" s="307"/>
      <c r="AL146" s="307"/>
    </row>
    <row r="147" spans="1:38" ht="15.75">
      <c r="A147" s="307">
        <v>78</v>
      </c>
      <c r="B147" s="415" t="s">
        <v>694</v>
      </c>
      <c r="C147" s="410">
        <v>2007</v>
      </c>
      <c r="D147" s="407">
        <v>6</v>
      </c>
      <c r="E147" s="411"/>
      <c r="F147" s="397" t="s">
        <v>668</v>
      </c>
      <c r="G147" s="397">
        <v>10</v>
      </c>
      <c r="H147" s="407">
        <f t="shared" si="75"/>
        <v>2017</v>
      </c>
      <c r="I147" s="393"/>
      <c r="J147" s="393"/>
      <c r="K147" s="417">
        <v>1000</v>
      </c>
      <c r="L147" s="393"/>
      <c r="M147" s="235">
        <f t="shared" si="76"/>
        <v>1000</v>
      </c>
      <c r="N147" s="235">
        <f t="shared" si="77"/>
        <v>8.3333333333333339</v>
      </c>
      <c r="O147" s="235">
        <f t="shared" si="78"/>
        <v>0</v>
      </c>
      <c r="P147" s="235">
        <f t="shared" si="79"/>
        <v>0</v>
      </c>
      <c r="Q147" s="235">
        <f t="shared" si="80"/>
        <v>0</v>
      </c>
      <c r="R147" s="393">
        <v>1</v>
      </c>
      <c r="S147" s="235">
        <f t="shared" si="81"/>
        <v>0</v>
      </c>
      <c r="T147" s="393"/>
      <c r="U147" s="235">
        <f t="shared" si="82"/>
        <v>1000</v>
      </c>
      <c r="V147" s="235">
        <f t="shared" si="83"/>
        <v>1000</v>
      </c>
      <c r="W147" s="393">
        <v>1</v>
      </c>
      <c r="X147" s="235">
        <f t="shared" si="84"/>
        <v>1000</v>
      </c>
      <c r="Y147" s="235">
        <f t="shared" si="85"/>
        <v>1000</v>
      </c>
      <c r="Z147" s="235">
        <f t="shared" si="95"/>
        <v>0</v>
      </c>
      <c r="AA147" s="235"/>
      <c r="AB147" s="235">
        <f t="shared" si="86"/>
        <v>2007.4166666666667</v>
      </c>
      <c r="AC147" s="235">
        <f t="shared" si="87"/>
        <v>2021</v>
      </c>
      <c r="AD147" s="235">
        <f t="shared" si="88"/>
        <v>2017.4166666666667</v>
      </c>
      <c r="AE147" s="413">
        <f t="shared" si="89"/>
        <v>2020</v>
      </c>
      <c r="AF147" s="413">
        <f t="shared" si="90"/>
        <v>-8.3333333333333329E-2</v>
      </c>
      <c r="AG147" s="413">
        <f t="shared" si="91"/>
        <v>2017.4166666666667</v>
      </c>
      <c r="AH147" s="413">
        <f t="shared" si="92"/>
        <v>2020</v>
      </c>
      <c r="AI147" s="413">
        <f t="shared" si="93"/>
        <v>-8.3333333333333329E-2</v>
      </c>
      <c r="AJ147" s="307"/>
      <c r="AK147" s="307"/>
      <c r="AL147" s="307"/>
    </row>
    <row r="148" spans="1:38" ht="15.75">
      <c r="A148" s="307">
        <v>107</v>
      </c>
      <c r="B148" s="415" t="s">
        <v>694</v>
      </c>
      <c r="C148" s="410">
        <v>2007</v>
      </c>
      <c r="D148" s="407">
        <v>2</v>
      </c>
      <c r="E148" s="411"/>
      <c r="F148" s="397" t="s">
        <v>668</v>
      </c>
      <c r="G148" s="397">
        <v>10</v>
      </c>
      <c r="H148" s="407">
        <f t="shared" si="75"/>
        <v>2017</v>
      </c>
      <c r="I148" s="393"/>
      <c r="J148" s="393"/>
      <c r="K148" s="417">
        <v>4558</v>
      </c>
      <c r="L148" s="393"/>
      <c r="M148" s="235">
        <f t="shared" si="76"/>
        <v>4558</v>
      </c>
      <c r="N148" s="235">
        <f t="shared" si="77"/>
        <v>37.983333333333334</v>
      </c>
      <c r="O148" s="235">
        <f t="shared" si="78"/>
        <v>0</v>
      </c>
      <c r="P148" s="235">
        <f t="shared" si="79"/>
        <v>0</v>
      </c>
      <c r="Q148" s="235">
        <f t="shared" si="80"/>
        <v>0</v>
      </c>
      <c r="R148" s="393">
        <v>1</v>
      </c>
      <c r="S148" s="235">
        <f t="shared" si="81"/>
        <v>0</v>
      </c>
      <c r="T148" s="393"/>
      <c r="U148" s="235">
        <f t="shared" si="82"/>
        <v>4558</v>
      </c>
      <c r="V148" s="235">
        <f t="shared" si="83"/>
        <v>4558</v>
      </c>
      <c r="W148" s="393">
        <v>1</v>
      </c>
      <c r="X148" s="235">
        <f t="shared" si="84"/>
        <v>4558</v>
      </c>
      <c r="Y148" s="235">
        <f t="shared" si="85"/>
        <v>4558</v>
      </c>
      <c r="Z148" s="235">
        <f>+M148-Y148</f>
        <v>0</v>
      </c>
      <c r="AA148" s="235"/>
      <c r="AB148" s="235">
        <f t="shared" si="86"/>
        <v>2007.0833333333333</v>
      </c>
      <c r="AC148" s="235">
        <f t="shared" si="87"/>
        <v>2021</v>
      </c>
      <c r="AD148" s="235">
        <f t="shared" si="88"/>
        <v>2017.0833333333333</v>
      </c>
      <c r="AE148" s="413">
        <f t="shared" si="89"/>
        <v>2020</v>
      </c>
      <c r="AF148" s="413">
        <f t="shared" si="90"/>
        <v>-8.3333333333333329E-2</v>
      </c>
      <c r="AG148" s="413">
        <f t="shared" si="91"/>
        <v>2017.0833333333333</v>
      </c>
      <c r="AH148" s="413">
        <f t="shared" si="92"/>
        <v>2020</v>
      </c>
      <c r="AI148" s="413">
        <f t="shared" si="93"/>
        <v>-8.3333333333333329E-2</v>
      </c>
      <c r="AJ148" s="307"/>
      <c r="AK148" s="307"/>
      <c r="AL148" s="307"/>
    </row>
    <row r="149" spans="1:38" ht="15.75">
      <c r="A149" s="307">
        <v>112</v>
      </c>
      <c r="B149" s="415" t="s">
        <v>694</v>
      </c>
      <c r="C149" s="410">
        <v>2007</v>
      </c>
      <c r="D149" s="407">
        <v>6</v>
      </c>
      <c r="E149" s="411"/>
      <c r="F149" s="397" t="s">
        <v>668</v>
      </c>
      <c r="G149" s="397">
        <v>10</v>
      </c>
      <c r="H149" s="407">
        <f t="shared" si="75"/>
        <v>2017</v>
      </c>
      <c r="I149" s="393"/>
      <c r="J149" s="393"/>
      <c r="K149" s="417">
        <v>2664</v>
      </c>
      <c r="L149" s="393"/>
      <c r="M149" s="235">
        <f t="shared" si="76"/>
        <v>2664</v>
      </c>
      <c r="N149" s="235">
        <f t="shared" si="77"/>
        <v>22.2</v>
      </c>
      <c r="O149" s="235">
        <f t="shared" si="78"/>
        <v>0</v>
      </c>
      <c r="P149" s="235">
        <f t="shared" si="79"/>
        <v>0</v>
      </c>
      <c r="Q149" s="235">
        <f t="shared" si="80"/>
        <v>0</v>
      </c>
      <c r="R149" s="393">
        <v>1</v>
      </c>
      <c r="S149" s="235">
        <f t="shared" si="81"/>
        <v>0</v>
      </c>
      <c r="T149" s="393"/>
      <c r="U149" s="235">
        <f t="shared" si="82"/>
        <v>2664</v>
      </c>
      <c r="V149" s="235">
        <f t="shared" si="83"/>
        <v>2664</v>
      </c>
      <c r="W149" s="393">
        <v>1</v>
      </c>
      <c r="X149" s="235">
        <f t="shared" si="84"/>
        <v>2664</v>
      </c>
      <c r="Y149" s="235">
        <f t="shared" si="85"/>
        <v>2664</v>
      </c>
      <c r="Z149" s="235">
        <f>+M149-Y149</f>
        <v>0</v>
      </c>
      <c r="AA149" s="235"/>
      <c r="AB149" s="235">
        <f t="shared" si="86"/>
        <v>2007.4166666666667</v>
      </c>
      <c r="AC149" s="235">
        <f t="shared" si="87"/>
        <v>2021</v>
      </c>
      <c r="AD149" s="235">
        <f t="shared" si="88"/>
        <v>2017.4166666666667</v>
      </c>
      <c r="AE149" s="413">
        <f t="shared" si="89"/>
        <v>2020</v>
      </c>
      <c r="AF149" s="413">
        <f t="shared" si="90"/>
        <v>-8.3333333333333329E-2</v>
      </c>
      <c r="AG149" s="413">
        <f t="shared" si="91"/>
        <v>2017.4166666666667</v>
      </c>
      <c r="AH149" s="413">
        <f t="shared" si="92"/>
        <v>2020</v>
      </c>
      <c r="AI149" s="413">
        <f t="shared" si="93"/>
        <v>-8.3333333333333329E-2</v>
      </c>
      <c r="AJ149" s="307"/>
      <c r="AK149" s="307"/>
      <c r="AL149" s="307"/>
    </row>
    <row r="150" spans="1:38" ht="15.75">
      <c r="A150" s="307">
        <v>145</v>
      </c>
      <c r="B150" s="415" t="s">
        <v>718</v>
      </c>
      <c r="C150" s="410">
        <v>2007</v>
      </c>
      <c r="D150" s="407">
        <v>7</v>
      </c>
      <c r="E150" s="411"/>
      <c r="F150" s="397" t="s">
        <v>668</v>
      </c>
      <c r="G150" s="397">
        <v>10</v>
      </c>
      <c r="H150" s="407">
        <f t="shared" si="75"/>
        <v>2017</v>
      </c>
      <c r="I150" s="393"/>
      <c r="J150" s="393"/>
      <c r="K150" s="417">
        <v>8604</v>
      </c>
      <c r="L150" s="393"/>
      <c r="M150" s="235">
        <f t="shared" si="76"/>
        <v>8604</v>
      </c>
      <c r="N150" s="235">
        <f t="shared" si="77"/>
        <v>71.7</v>
      </c>
      <c r="O150" s="235">
        <f t="shared" si="78"/>
        <v>0</v>
      </c>
      <c r="P150" s="235">
        <f t="shared" si="79"/>
        <v>0</v>
      </c>
      <c r="Q150" s="235">
        <f t="shared" si="80"/>
        <v>0</v>
      </c>
      <c r="R150" s="393">
        <v>1</v>
      </c>
      <c r="S150" s="235">
        <f t="shared" si="81"/>
        <v>0</v>
      </c>
      <c r="T150" s="393"/>
      <c r="U150" s="235">
        <f t="shared" si="82"/>
        <v>8604</v>
      </c>
      <c r="V150" s="235">
        <f t="shared" si="83"/>
        <v>8604</v>
      </c>
      <c r="W150" s="393">
        <v>1</v>
      </c>
      <c r="X150" s="235">
        <f t="shared" si="84"/>
        <v>8604</v>
      </c>
      <c r="Y150" s="235">
        <f t="shared" si="85"/>
        <v>8604</v>
      </c>
      <c r="Z150" s="235">
        <f>+M150-Y150</f>
        <v>0</v>
      </c>
      <c r="AA150" s="235"/>
      <c r="AB150" s="235">
        <f t="shared" si="86"/>
        <v>2007.5</v>
      </c>
      <c r="AC150" s="235">
        <f t="shared" si="87"/>
        <v>2021</v>
      </c>
      <c r="AD150" s="235">
        <f t="shared" si="88"/>
        <v>2017.5</v>
      </c>
      <c r="AE150" s="413">
        <f t="shared" si="89"/>
        <v>2020</v>
      </c>
      <c r="AF150" s="413">
        <f t="shared" si="90"/>
        <v>-8.3333333333333329E-2</v>
      </c>
      <c r="AG150" s="413">
        <f t="shared" si="91"/>
        <v>2017.5</v>
      </c>
      <c r="AH150" s="413">
        <f t="shared" si="92"/>
        <v>2020</v>
      </c>
      <c r="AI150" s="413">
        <f t="shared" si="93"/>
        <v>-8.3333333333333329E-2</v>
      </c>
      <c r="AJ150" s="307"/>
      <c r="AK150" s="307"/>
      <c r="AL150" s="307"/>
    </row>
    <row r="151" spans="1:38" ht="15.75">
      <c r="A151" s="307">
        <v>146</v>
      </c>
      <c r="B151" s="415" t="s">
        <v>719</v>
      </c>
      <c r="C151" s="410">
        <v>2007</v>
      </c>
      <c r="D151" s="407">
        <v>12</v>
      </c>
      <c r="E151" s="411"/>
      <c r="F151" s="397" t="s">
        <v>668</v>
      </c>
      <c r="G151" s="397">
        <v>10</v>
      </c>
      <c r="H151" s="407">
        <f t="shared" si="75"/>
        <v>2017</v>
      </c>
      <c r="I151" s="393"/>
      <c r="J151" s="393"/>
      <c r="K151" s="417">
        <v>585</v>
      </c>
      <c r="L151" s="393"/>
      <c r="M151" s="235">
        <f t="shared" si="76"/>
        <v>585</v>
      </c>
      <c r="N151" s="235">
        <f t="shared" si="77"/>
        <v>4.875</v>
      </c>
      <c r="O151" s="235">
        <f t="shared" si="78"/>
        <v>0</v>
      </c>
      <c r="P151" s="235">
        <f t="shared" si="79"/>
        <v>0</v>
      </c>
      <c r="Q151" s="235">
        <f t="shared" si="80"/>
        <v>0</v>
      </c>
      <c r="R151" s="393">
        <v>1</v>
      </c>
      <c r="S151" s="235">
        <f t="shared" si="81"/>
        <v>0</v>
      </c>
      <c r="T151" s="393"/>
      <c r="U151" s="235">
        <f t="shared" si="82"/>
        <v>585</v>
      </c>
      <c r="V151" s="235">
        <f t="shared" si="83"/>
        <v>585</v>
      </c>
      <c r="W151" s="393">
        <v>1</v>
      </c>
      <c r="X151" s="235">
        <f t="shared" si="84"/>
        <v>585</v>
      </c>
      <c r="Y151" s="235">
        <f t="shared" si="85"/>
        <v>585</v>
      </c>
      <c r="Z151" s="235">
        <f>+M151-Y151</f>
        <v>0</v>
      </c>
      <c r="AA151" s="235"/>
      <c r="AB151" s="235">
        <f t="shared" si="86"/>
        <v>2007.9166666666667</v>
      </c>
      <c r="AC151" s="235">
        <f t="shared" si="87"/>
        <v>2021</v>
      </c>
      <c r="AD151" s="235">
        <f t="shared" si="88"/>
        <v>2017.9166666666667</v>
      </c>
      <c r="AE151" s="413">
        <f t="shared" si="89"/>
        <v>2020</v>
      </c>
      <c r="AF151" s="413">
        <f t="shared" si="90"/>
        <v>-8.3333333333333329E-2</v>
      </c>
      <c r="AG151" s="413">
        <f t="shared" si="91"/>
        <v>2017.9166666666667</v>
      </c>
      <c r="AH151" s="413">
        <f t="shared" si="92"/>
        <v>2020</v>
      </c>
      <c r="AI151" s="413">
        <f t="shared" si="93"/>
        <v>-8.3333333333333329E-2</v>
      </c>
      <c r="AJ151" s="307"/>
      <c r="AK151" s="307"/>
      <c r="AL151" s="307"/>
    </row>
    <row r="152" spans="1:38" ht="15.75">
      <c r="A152" s="307">
        <v>147</v>
      </c>
      <c r="B152" s="415" t="s">
        <v>720</v>
      </c>
      <c r="C152" s="410">
        <v>2007</v>
      </c>
      <c r="D152" s="407">
        <v>12</v>
      </c>
      <c r="E152" s="411"/>
      <c r="F152" s="397" t="s">
        <v>668</v>
      </c>
      <c r="G152" s="397">
        <v>10</v>
      </c>
      <c r="H152" s="407">
        <f t="shared" si="75"/>
        <v>2017</v>
      </c>
      <c r="I152" s="393"/>
      <c r="J152" s="393"/>
      <c r="K152" s="417">
        <v>1500</v>
      </c>
      <c r="L152" s="393"/>
      <c r="M152" s="235">
        <f t="shared" si="76"/>
        <v>1500</v>
      </c>
      <c r="N152" s="235">
        <f t="shared" si="77"/>
        <v>12.5</v>
      </c>
      <c r="O152" s="235">
        <f t="shared" si="78"/>
        <v>0</v>
      </c>
      <c r="P152" s="235">
        <f t="shared" si="79"/>
        <v>0</v>
      </c>
      <c r="Q152" s="235">
        <f t="shared" si="80"/>
        <v>0</v>
      </c>
      <c r="R152" s="393">
        <v>1</v>
      </c>
      <c r="S152" s="235">
        <f t="shared" si="81"/>
        <v>0</v>
      </c>
      <c r="T152" s="393"/>
      <c r="U152" s="235">
        <f t="shared" si="82"/>
        <v>1500</v>
      </c>
      <c r="V152" s="235">
        <f t="shared" si="83"/>
        <v>1500</v>
      </c>
      <c r="W152" s="393">
        <v>1</v>
      </c>
      <c r="X152" s="235">
        <f t="shared" si="84"/>
        <v>1500</v>
      </c>
      <c r="Y152" s="235">
        <f t="shared" si="85"/>
        <v>1500</v>
      </c>
      <c r="Z152" s="235">
        <f>+M152-Y152</f>
        <v>0</v>
      </c>
      <c r="AA152" s="235"/>
      <c r="AB152" s="235">
        <f t="shared" si="86"/>
        <v>2007.9166666666667</v>
      </c>
      <c r="AC152" s="235">
        <f t="shared" si="87"/>
        <v>2021</v>
      </c>
      <c r="AD152" s="235">
        <f t="shared" si="88"/>
        <v>2017.9166666666667</v>
      </c>
      <c r="AE152" s="413">
        <f t="shared" si="89"/>
        <v>2020</v>
      </c>
      <c r="AF152" s="413">
        <f t="shared" si="90"/>
        <v>-8.3333333333333329E-2</v>
      </c>
      <c r="AG152" s="413">
        <f t="shared" si="91"/>
        <v>2017.9166666666667</v>
      </c>
      <c r="AH152" s="413">
        <f t="shared" si="92"/>
        <v>2020</v>
      </c>
      <c r="AI152" s="413">
        <f t="shared" si="93"/>
        <v>-8.3333333333333329E-2</v>
      </c>
      <c r="AJ152" s="307"/>
      <c r="AK152" s="307"/>
      <c r="AL152" s="307"/>
    </row>
    <row r="153" spans="1:38" ht="15.75">
      <c r="A153" s="307">
        <v>30</v>
      </c>
      <c r="B153" s="415" t="s">
        <v>714</v>
      </c>
      <c r="C153" s="410">
        <v>2008</v>
      </c>
      <c r="D153" s="407">
        <v>7</v>
      </c>
      <c r="E153" s="411"/>
      <c r="F153" s="397" t="s">
        <v>668</v>
      </c>
      <c r="G153" s="397">
        <v>10</v>
      </c>
      <c r="H153" s="407">
        <f t="shared" si="75"/>
        <v>2018</v>
      </c>
      <c r="I153" s="393"/>
      <c r="J153" s="393"/>
      <c r="K153" s="417">
        <v>7064</v>
      </c>
      <c r="L153" s="393"/>
      <c r="M153" s="235">
        <f t="shared" si="76"/>
        <v>7064</v>
      </c>
      <c r="N153" s="235">
        <f t="shared" si="77"/>
        <v>58.866666666666667</v>
      </c>
      <c r="O153" s="235">
        <f t="shared" si="78"/>
        <v>0</v>
      </c>
      <c r="P153" s="235">
        <f t="shared" si="79"/>
        <v>0</v>
      </c>
      <c r="Q153" s="235">
        <f t="shared" si="80"/>
        <v>0</v>
      </c>
      <c r="R153" s="393">
        <v>1</v>
      </c>
      <c r="S153" s="235">
        <f t="shared" si="81"/>
        <v>0</v>
      </c>
      <c r="T153" s="393"/>
      <c r="U153" s="235">
        <f t="shared" si="82"/>
        <v>7064</v>
      </c>
      <c r="V153" s="235">
        <f t="shared" si="83"/>
        <v>7064</v>
      </c>
      <c r="W153" s="393">
        <v>1</v>
      </c>
      <c r="X153" s="235">
        <f t="shared" si="84"/>
        <v>7064</v>
      </c>
      <c r="Y153" s="235">
        <f t="shared" si="85"/>
        <v>7064</v>
      </c>
      <c r="Z153" s="235">
        <f t="shared" ref="Z153:Z164" si="96">IF(L153&gt;0,(K153-X153)/2,IF(AB153&gt;=AE153,(((K153*R153)*W153)-Y153)/2,((((K153*R153)*W153)-X153)+(((K153*R153)*W153)-Y153))/2))</f>
        <v>0</v>
      </c>
      <c r="AA153" s="235"/>
      <c r="AB153" s="235">
        <f t="shared" si="86"/>
        <v>2008.5</v>
      </c>
      <c r="AC153" s="235">
        <f t="shared" si="87"/>
        <v>2021</v>
      </c>
      <c r="AD153" s="235">
        <f t="shared" si="88"/>
        <v>2018.5</v>
      </c>
      <c r="AE153" s="413">
        <f t="shared" si="89"/>
        <v>2020</v>
      </c>
      <c r="AF153" s="413">
        <f t="shared" si="90"/>
        <v>-8.3333333333333329E-2</v>
      </c>
      <c r="AG153" s="413">
        <f t="shared" si="91"/>
        <v>2018.5</v>
      </c>
      <c r="AH153" s="413">
        <f t="shared" si="92"/>
        <v>2020</v>
      </c>
      <c r="AI153" s="413">
        <f t="shared" si="93"/>
        <v>-8.3333333333333329E-2</v>
      </c>
      <c r="AJ153" s="307"/>
      <c r="AK153" s="307"/>
      <c r="AL153" s="307"/>
    </row>
    <row r="154" spans="1:38" ht="15.75">
      <c r="A154" s="307">
        <v>34</v>
      </c>
      <c r="B154" s="415" t="s">
        <v>715</v>
      </c>
      <c r="C154" s="410">
        <v>2008</v>
      </c>
      <c r="D154" s="407">
        <v>3</v>
      </c>
      <c r="E154" s="411"/>
      <c r="F154" s="397" t="s">
        <v>668</v>
      </c>
      <c r="G154" s="397">
        <v>10</v>
      </c>
      <c r="H154" s="407">
        <f t="shared" si="75"/>
        <v>2018</v>
      </c>
      <c r="I154" s="393"/>
      <c r="J154" s="393"/>
      <c r="K154" s="417">
        <v>1329</v>
      </c>
      <c r="L154" s="393"/>
      <c r="M154" s="235">
        <f t="shared" si="76"/>
        <v>1329</v>
      </c>
      <c r="N154" s="235">
        <f t="shared" si="77"/>
        <v>11.075000000000001</v>
      </c>
      <c r="O154" s="235">
        <f t="shared" si="78"/>
        <v>0</v>
      </c>
      <c r="P154" s="235">
        <f t="shared" si="79"/>
        <v>0</v>
      </c>
      <c r="Q154" s="235">
        <f t="shared" si="80"/>
        <v>0</v>
      </c>
      <c r="R154" s="393">
        <v>1</v>
      </c>
      <c r="S154" s="235">
        <f t="shared" si="81"/>
        <v>0</v>
      </c>
      <c r="T154" s="393"/>
      <c r="U154" s="235">
        <f t="shared" si="82"/>
        <v>1329</v>
      </c>
      <c r="V154" s="235">
        <f t="shared" si="83"/>
        <v>1329</v>
      </c>
      <c r="W154" s="393">
        <v>1</v>
      </c>
      <c r="X154" s="235">
        <f t="shared" si="84"/>
        <v>1329</v>
      </c>
      <c r="Y154" s="235">
        <f t="shared" si="85"/>
        <v>1329</v>
      </c>
      <c r="Z154" s="235">
        <f t="shared" si="96"/>
        <v>0</v>
      </c>
      <c r="AA154" s="235"/>
      <c r="AB154" s="235">
        <f t="shared" si="86"/>
        <v>2008.1666666666667</v>
      </c>
      <c r="AC154" s="235">
        <f t="shared" si="87"/>
        <v>2021</v>
      </c>
      <c r="AD154" s="235">
        <f t="shared" si="88"/>
        <v>2018.1666666666667</v>
      </c>
      <c r="AE154" s="413">
        <f t="shared" si="89"/>
        <v>2020</v>
      </c>
      <c r="AF154" s="413">
        <f t="shared" si="90"/>
        <v>-8.3333333333333329E-2</v>
      </c>
      <c r="AG154" s="413">
        <f t="shared" si="91"/>
        <v>2018.1666666666667</v>
      </c>
      <c r="AH154" s="413">
        <f t="shared" si="92"/>
        <v>2020</v>
      </c>
      <c r="AI154" s="413">
        <f t="shared" si="93"/>
        <v>-8.3333333333333329E-2</v>
      </c>
      <c r="AJ154" s="307"/>
      <c r="AK154" s="307"/>
      <c r="AL154" s="307"/>
    </row>
    <row r="155" spans="1:38" ht="15.75">
      <c r="A155" s="307">
        <v>39</v>
      </c>
      <c r="B155" s="415" t="s">
        <v>714</v>
      </c>
      <c r="C155" s="410">
        <v>2008</v>
      </c>
      <c r="D155" s="407">
        <v>4</v>
      </c>
      <c r="E155" s="411"/>
      <c r="F155" s="397" t="s">
        <v>668</v>
      </c>
      <c r="G155" s="397">
        <v>10</v>
      </c>
      <c r="H155" s="407">
        <f t="shared" si="75"/>
        <v>2018</v>
      </c>
      <c r="I155" s="393"/>
      <c r="J155" s="393"/>
      <c r="K155" s="417">
        <v>18000</v>
      </c>
      <c r="L155" s="393"/>
      <c r="M155" s="235">
        <f t="shared" si="76"/>
        <v>18000</v>
      </c>
      <c r="N155" s="235">
        <f t="shared" si="77"/>
        <v>150</v>
      </c>
      <c r="O155" s="235">
        <f t="shared" si="78"/>
        <v>0</v>
      </c>
      <c r="P155" s="235">
        <f t="shared" si="79"/>
        <v>0</v>
      </c>
      <c r="Q155" s="235">
        <f t="shared" si="80"/>
        <v>0</v>
      </c>
      <c r="R155" s="393">
        <v>1</v>
      </c>
      <c r="S155" s="235">
        <f t="shared" si="81"/>
        <v>0</v>
      </c>
      <c r="T155" s="393"/>
      <c r="U155" s="235">
        <f t="shared" si="82"/>
        <v>18000</v>
      </c>
      <c r="V155" s="235">
        <f t="shared" si="83"/>
        <v>18000</v>
      </c>
      <c r="W155" s="393">
        <v>1</v>
      </c>
      <c r="X155" s="235">
        <f t="shared" si="84"/>
        <v>18000</v>
      </c>
      <c r="Y155" s="235">
        <f t="shared" si="85"/>
        <v>18000</v>
      </c>
      <c r="Z155" s="235">
        <f t="shared" si="96"/>
        <v>0</v>
      </c>
      <c r="AA155" s="235"/>
      <c r="AB155" s="235">
        <f t="shared" si="86"/>
        <v>2008.25</v>
      </c>
      <c r="AC155" s="235">
        <f t="shared" si="87"/>
        <v>2021</v>
      </c>
      <c r="AD155" s="235">
        <f t="shared" si="88"/>
        <v>2018.25</v>
      </c>
      <c r="AE155" s="413">
        <f t="shared" si="89"/>
        <v>2020</v>
      </c>
      <c r="AF155" s="413">
        <f t="shared" si="90"/>
        <v>-8.3333333333333329E-2</v>
      </c>
      <c r="AG155" s="413">
        <f t="shared" si="91"/>
        <v>2018.25</v>
      </c>
      <c r="AH155" s="413">
        <f t="shared" si="92"/>
        <v>2020</v>
      </c>
      <c r="AI155" s="413">
        <f t="shared" si="93"/>
        <v>-8.3333333333333329E-2</v>
      </c>
      <c r="AJ155" s="307"/>
      <c r="AK155" s="307"/>
      <c r="AL155" s="307"/>
    </row>
    <row r="156" spans="1:38" ht="15.75">
      <c r="A156" s="307">
        <v>40</v>
      </c>
      <c r="B156" s="415" t="s">
        <v>714</v>
      </c>
      <c r="C156" s="410">
        <v>2008</v>
      </c>
      <c r="D156" s="407">
        <v>1</v>
      </c>
      <c r="E156" s="411"/>
      <c r="F156" s="397" t="s">
        <v>668</v>
      </c>
      <c r="G156" s="397">
        <v>10</v>
      </c>
      <c r="H156" s="407">
        <f t="shared" si="75"/>
        <v>2018</v>
      </c>
      <c r="I156" s="393"/>
      <c r="J156" s="393"/>
      <c r="K156" s="417">
        <v>1329</v>
      </c>
      <c r="L156" s="393"/>
      <c r="M156" s="235">
        <f t="shared" si="76"/>
        <v>1329</v>
      </c>
      <c r="N156" s="235">
        <f t="shared" si="77"/>
        <v>11.075000000000001</v>
      </c>
      <c r="O156" s="235">
        <f t="shared" si="78"/>
        <v>0</v>
      </c>
      <c r="P156" s="235">
        <f t="shared" si="79"/>
        <v>0</v>
      </c>
      <c r="Q156" s="235">
        <f t="shared" si="80"/>
        <v>0</v>
      </c>
      <c r="R156" s="393">
        <v>1</v>
      </c>
      <c r="S156" s="235">
        <f t="shared" si="81"/>
        <v>0</v>
      </c>
      <c r="T156" s="393"/>
      <c r="U156" s="235">
        <f t="shared" si="82"/>
        <v>1329</v>
      </c>
      <c r="V156" s="235">
        <f t="shared" si="83"/>
        <v>1329</v>
      </c>
      <c r="W156" s="393">
        <v>1</v>
      </c>
      <c r="X156" s="235">
        <f t="shared" si="84"/>
        <v>1329</v>
      </c>
      <c r="Y156" s="235">
        <f t="shared" si="85"/>
        <v>1329</v>
      </c>
      <c r="Z156" s="235">
        <f t="shared" si="96"/>
        <v>0</v>
      </c>
      <c r="AA156" s="235"/>
      <c r="AB156" s="235">
        <f t="shared" si="86"/>
        <v>2008</v>
      </c>
      <c r="AC156" s="235">
        <f t="shared" si="87"/>
        <v>2021</v>
      </c>
      <c r="AD156" s="235">
        <f t="shared" si="88"/>
        <v>2018</v>
      </c>
      <c r="AE156" s="413">
        <f t="shared" si="89"/>
        <v>2020</v>
      </c>
      <c r="AF156" s="413">
        <f t="shared" si="90"/>
        <v>-8.3333333333333329E-2</v>
      </c>
      <c r="AG156" s="413">
        <f t="shared" si="91"/>
        <v>2018</v>
      </c>
      <c r="AH156" s="413">
        <f t="shared" si="92"/>
        <v>2020</v>
      </c>
      <c r="AI156" s="413">
        <f t="shared" si="93"/>
        <v>-8.3333333333333329E-2</v>
      </c>
      <c r="AJ156" s="307"/>
      <c r="AK156" s="307"/>
      <c r="AL156" s="307"/>
    </row>
    <row r="157" spans="1:38" ht="15.75">
      <c r="A157" s="307">
        <v>41</v>
      </c>
      <c r="B157" s="415" t="s">
        <v>714</v>
      </c>
      <c r="C157" s="410">
        <v>2008</v>
      </c>
      <c r="D157" s="407">
        <v>10</v>
      </c>
      <c r="E157" s="411"/>
      <c r="F157" s="397" t="s">
        <v>668</v>
      </c>
      <c r="G157" s="397">
        <v>10</v>
      </c>
      <c r="H157" s="407">
        <f t="shared" si="75"/>
        <v>2018</v>
      </c>
      <c r="I157" s="393"/>
      <c r="J157" s="393"/>
      <c r="K157" s="417">
        <v>11640</v>
      </c>
      <c r="L157" s="393"/>
      <c r="M157" s="235">
        <f t="shared" si="76"/>
        <v>11640</v>
      </c>
      <c r="N157" s="235">
        <f t="shared" si="77"/>
        <v>97</v>
      </c>
      <c r="O157" s="235">
        <f t="shared" si="78"/>
        <v>0</v>
      </c>
      <c r="P157" s="235">
        <f t="shared" si="79"/>
        <v>0</v>
      </c>
      <c r="Q157" s="235">
        <f t="shared" si="80"/>
        <v>0</v>
      </c>
      <c r="R157" s="393">
        <v>1</v>
      </c>
      <c r="S157" s="235">
        <f t="shared" si="81"/>
        <v>0</v>
      </c>
      <c r="T157" s="393"/>
      <c r="U157" s="235">
        <f t="shared" si="82"/>
        <v>11640</v>
      </c>
      <c r="V157" s="235">
        <f t="shared" si="83"/>
        <v>11640</v>
      </c>
      <c r="W157" s="393">
        <v>1</v>
      </c>
      <c r="X157" s="235">
        <f t="shared" si="84"/>
        <v>11640</v>
      </c>
      <c r="Y157" s="235">
        <f t="shared" si="85"/>
        <v>11640</v>
      </c>
      <c r="Z157" s="235">
        <f t="shared" si="96"/>
        <v>0</v>
      </c>
      <c r="AA157" s="235"/>
      <c r="AB157" s="235">
        <f t="shared" si="86"/>
        <v>2008.75</v>
      </c>
      <c r="AC157" s="235">
        <f t="shared" si="87"/>
        <v>2021</v>
      </c>
      <c r="AD157" s="235">
        <f t="shared" si="88"/>
        <v>2018.75</v>
      </c>
      <c r="AE157" s="413">
        <f t="shared" si="89"/>
        <v>2020</v>
      </c>
      <c r="AF157" s="413">
        <f t="shared" si="90"/>
        <v>-8.3333333333333329E-2</v>
      </c>
      <c r="AG157" s="413">
        <f t="shared" si="91"/>
        <v>2018.75</v>
      </c>
      <c r="AH157" s="413">
        <f t="shared" si="92"/>
        <v>2020</v>
      </c>
      <c r="AI157" s="413">
        <f t="shared" si="93"/>
        <v>-8.3333333333333329E-2</v>
      </c>
      <c r="AJ157" s="307"/>
      <c r="AK157" s="307"/>
      <c r="AL157" s="307"/>
    </row>
    <row r="158" spans="1:38" ht="15.75">
      <c r="A158" s="307">
        <v>43</v>
      </c>
      <c r="B158" s="415" t="s">
        <v>715</v>
      </c>
      <c r="C158" s="410">
        <v>2008</v>
      </c>
      <c r="D158" s="407">
        <v>5</v>
      </c>
      <c r="E158" s="411"/>
      <c r="F158" s="397" t="s">
        <v>668</v>
      </c>
      <c r="G158" s="397">
        <v>10</v>
      </c>
      <c r="H158" s="407">
        <f t="shared" si="75"/>
        <v>2018</v>
      </c>
      <c r="I158" s="393"/>
      <c r="J158" s="393"/>
      <c r="K158" s="417">
        <v>18072</v>
      </c>
      <c r="L158" s="393"/>
      <c r="M158" s="235">
        <f t="shared" si="76"/>
        <v>18072</v>
      </c>
      <c r="N158" s="235">
        <f t="shared" si="77"/>
        <v>150.6</v>
      </c>
      <c r="O158" s="235">
        <f t="shared" si="78"/>
        <v>0</v>
      </c>
      <c r="P158" s="235">
        <f t="shared" si="79"/>
        <v>0</v>
      </c>
      <c r="Q158" s="235">
        <f t="shared" si="80"/>
        <v>0</v>
      </c>
      <c r="R158" s="393">
        <v>1</v>
      </c>
      <c r="S158" s="235">
        <f t="shared" si="81"/>
        <v>0</v>
      </c>
      <c r="T158" s="393"/>
      <c r="U158" s="235">
        <f t="shared" si="82"/>
        <v>18072</v>
      </c>
      <c r="V158" s="235">
        <f t="shared" si="83"/>
        <v>18072</v>
      </c>
      <c r="W158" s="393">
        <v>1</v>
      </c>
      <c r="X158" s="235">
        <f t="shared" si="84"/>
        <v>18072</v>
      </c>
      <c r="Y158" s="235">
        <f t="shared" si="85"/>
        <v>18072</v>
      </c>
      <c r="Z158" s="235">
        <f t="shared" si="96"/>
        <v>0</v>
      </c>
      <c r="AA158" s="235"/>
      <c r="AB158" s="235">
        <f t="shared" si="86"/>
        <v>2008.3333333333333</v>
      </c>
      <c r="AC158" s="235">
        <f t="shared" si="87"/>
        <v>2021</v>
      </c>
      <c r="AD158" s="235">
        <f t="shared" si="88"/>
        <v>2018.3333333333333</v>
      </c>
      <c r="AE158" s="413">
        <f t="shared" si="89"/>
        <v>2020</v>
      </c>
      <c r="AF158" s="413">
        <f t="shared" si="90"/>
        <v>-8.3333333333333329E-2</v>
      </c>
      <c r="AG158" s="413">
        <f t="shared" si="91"/>
        <v>2018.3333333333333</v>
      </c>
      <c r="AH158" s="413">
        <f t="shared" si="92"/>
        <v>2020</v>
      </c>
      <c r="AI158" s="413">
        <f t="shared" si="93"/>
        <v>-8.3333333333333329E-2</v>
      </c>
      <c r="AJ158" s="307"/>
      <c r="AK158" s="307"/>
      <c r="AL158" s="307"/>
    </row>
    <row r="159" spans="1:38" ht="15.75">
      <c r="A159" s="307">
        <v>71</v>
      </c>
      <c r="B159" s="415" t="s">
        <v>694</v>
      </c>
      <c r="C159" s="410">
        <v>2008</v>
      </c>
      <c r="D159" s="407">
        <v>8</v>
      </c>
      <c r="E159" s="411"/>
      <c r="F159" s="397" t="s">
        <v>668</v>
      </c>
      <c r="G159" s="397">
        <v>10</v>
      </c>
      <c r="H159" s="407">
        <f t="shared" si="75"/>
        <v>2018</v>
      </c>
      <c r="I159" s="393"/>
      <c r="J159" s="393"/>
      <c r="K159" s="417">
        <v>5408</v>
      </c>
      <c r="L159" s="393"/>
      <c r="M159" s="235">
        <f t="shared" si="76"/>
        <v>5408</v>
      </c>
      <c r="N159" s="235">
        <f t="shared" si="77"/>
        <v>45.066666666666663</v>
      </c>
      <c r="O159" s="235">
        <f t="shared" si="78"/>
        <v>0</v>
      </c>
      <c r="P159" s="235">
        <f t="shared" si="79"/>
        <v>0</v>
      </c>
      <c r="Q159" s="235">
        <f t="shared" si="80"/>
        <v>0</v>
      </c>
      <c r="R159" s="393">
        <v>1</v>
      </c>
      <c r="S159" s="235">
        <f t="shared" si="81"/>
        <v>0</v>
      </c>
      <c r="T159" s="393"/>
      <c r="U159" s="235">
        <f t="shared" si="82"/>
        <v>5408</v>
      </c>
      <c r="V159" s="235">
        <f t="shared" si="83"/>
        <v>5408</v>
      </c>
      <c r="W159" s="393">
        <v>1</v>
      </c>
      <c r="X159" s="235">
        <f t="shared" si="84"/>
        <v>5408</v>
      </c>
      <c r="Y159" s="235">
        <f t="shared" si="85"/>
        <v>5408</v>
      </c>
      <c r="Z159" s="235">
        <f t="shared" si="96"/>
        <v>0</v>
      </c>
      <c r="AA159" s="235"/>
      <c r="AB159" s="235">
        <f t="shared" si="86"/>
        <v>2008.5833333333333</v>
      </c>
      <c r="AC159" s="235">
        <f t="shared" si="87"/>
        <v>2021</v>
      </c>
      <c r="AD159" s="235">
        <f t="shared" si="88"/>
        <v>2018.5833333333333</v>
      </c>
      <c r="AE159" s="413">
        <f t="shared" si="89"/>
        <v>2020</v>
      </c>
      <c r="AF159" s="413">
        <f t="shared" si="90"/>
        <v>-8.3333333333333329E-2</v>
      </c>
      <c r="AG159" s="413">
        <f t="shared" si="91"/>
        <v>2018.5833333333333</v>
      </c>
      <c r="AH159" s="413">
        <f t="shared" si="92"/>
        <v>2020</v>
      </c>
      <c r="AI159" s="413">
        <f t="shared" si="93"/>
        <v>-8.3333333333333329E-2</v>
      </c>
      <c r="AJ159" s="307"/>
      <c r="AK159" s="307"/>
      <c r="AL159" s="307"/>
    </row>
    <row r="160" spans="1:38" ht="15.75">
      <c r="A160" s="307">
        <v>24</v>
      </c>
      <c r="B160" s="415" t="s">
        <v>714</v>
      </c>
      <c r="C160" s="410">
        <v>2009</v>
      </c>
      <c r="D160" s="407">
        <v>8</v>
      </c>
      <c r="E160" s="411"/>
      <c r="F160" s="397" t="s">
        <v>668</v>
      </c>
      <c r="G160" s="397">
        <v>10</v>
      </c>
      <c r="H160" s="407">
        <f t="shared" si="75"/>
        <v>2019</v>
      </c>
      <c r="I160" s="393"/>
      <c r="J160" s="393"/>
      <c r="K160" s="417">
        <v>8052</v>
      </c>
      <c r="L160" s="393"/>
      <c r="M160" s="235">
        <f t="shared" si="76"/>
        <v>8052</v>
      </c>
      <c r="N160" s="235">
        <f t="shared" si="77"/>
        <v>67.100000000000009</v>
      </c>
      <c r="O160" s="235">
        <f t="shared" si="78"/>
        <v>0</v>
      </c>
      <c r="P160" s="235">
        <f t="shared" si="79"/>
        <v>0</v>
      </c>
      <c r="Q160" s="235">
        <f t="shared" si="80"/>
        <v>0</v>
      </c>
      <c r="R160" s="393">
        <v>1</v>
      </c>
      <c r="S160" s="235">
        <f t="shared" si="81"/>
        <v>0</v>
      </c>
      <c r="T160" s="393"/>
      <c r="U160" s="235">
        <f t="shared" si="82"/>
        <v>8052</v>
      </c>
      <c r="V160" s="235">
        <f t="shared" si="83"/>
        <v>8052</v>
      </c>
      <c r="W160" s="393">
        <v>1</v>
      </c>
      <c r="X160" s="235">
        <f t="shared" si="84"/>
        <v>8052</v>
      </c>
      <c r="Y160" s="235">
        <f t="shared" si="85"/>
        <v>8052</v>
      </c>
      <c r="Z160" s="235">
        <f t="shared" si="96"/>
        <v>0</v>
      </c>
      <c r="AA160" s="235"/>
      <c r="AB160" s="235">
        <f t="shared" si="86"/>
        <v>2009.5833333333333</v>
      </c>
      <c r="AC160" s="235">
        <f t="shared" si="87"/>
        <v>2021</v>
      </c>
      <c r="AD160" s="235">
        <f t="shared" si="88"/>
        <v>2019.5833333333333</v>
      </c>
      <c r="AE160" s="413">
        <f t="shared" si="89"/>
        <v>2020</v>
      </c>
      <c r="AF160" s="413">
        <f t="shared" si="90"/>
        <v>-8.3333333333333329E-2</v>
      </c>
      <c r="AG160" s="413">
        <f t="shared" si="91"/>
        <v>2019.5833333333333</v>
      </c>
      <c r="AH160" s="413">
        <f t="shared" si="92"/>
        <v>2020</v>
      </c>
      <c r="AI160" s="413">
        <f t="shared" si="93"/>
        <v>-8.3333333333333329E-2</v>
      </c>
      <c r="AJ160" s="307"/>
      <c r="AK160" s="307"/>
      <c r="AL160" s="307"/>
    </row>
    <row r="161" spans="1:38" ht="15.75">
      <c r="A161" s="307">
        <v>26</v>
      </c>
      <c r="B161" s="415" t="s">
        <v>714</v>
      </c>
      <c r="C161" s="410">
        <v>2009</v>
      </c>
      <c r="D161" s="407">
        <v>6</v>
      </c>
      <c r="E161" s="411"/>
      <c r="F161" s="397" t="s">
        <v>668</v>
      </c>
      <c r="G161" s="397">
        <v>10</v>
      </c>
      <c r="H161" s="407">
        <f t="shared" si="75"/>
        <v>2019</v>
      </c>
      <c r="I161" s="393"/>
      <c r="J161" s="393"/>
      <c r="K161" s="417">
        <v>1611</v>
      </c>
      <c r="L161" s="393"/>
      <c r="M161" s="235">
        <f t="shared" si="76"/>
        <v>1611</v>
      </c>
      <c r="N161" s="235">
        <f t="shared" si="77"/>
        <v>13.424999999999999</v>
      </c>
      <c r="O161" s="235">
        <f t="shared" si="78"/>
        <v>0</v>
      </c>
      <c r="P161" s="235">
        <f t="shared" si="79"/>
        <v>0</v>
      </c>
      <c r="Q161" s="235">
        <f t="shared" si="80"/>
        <v>0</v>
      </c>
      <c r="R161" s="393">
        <v>1</v>
      </c>
      <c r="S161" s="235">
        <f t="shared" si="81"/>
        <v>0</v>
      </c>
      <c r="T161" s="393"/>
      <c r="U161" s="235">
        <f t="shared" si="82"/>
        <v>1611</v>
      </c>
      <c r="V161" s="235">
        <f t="shared" si="83"/>
        <v>1611</v>
      </c>
      <c r="W161" s="393">
        <v>1</v>
      </c>
      <c r="X161" s="235">
        <f t="shared" si="84"/>
        <v>1611</v>
      </c>
      <c r="Y161" s="235">
        <f t="shared" si="85"/>
        <v>1611</v>
      </c>
      <c r="Z161" s="235">
        <f t="shared" si="96"/>
        <v>0</v>
      </c>
      <c r="AA161" s="235"/>
      <c r="AB161" s="235">
        <f t="shared" si="86"/>
        <v>2009.4166666666667</v>
      </c>
      <c r="AC161" s="235">
        <f t="shared" si="87"/>
        <v>2021</v>
      </c>
      <c r="AD161" s="235">
        <f t="shared" si="88"/>
        <v>2019.4166666666667</v>
      </c>
      <c r="AE161" s="413">
        <f t="shared" si="89"/>
        <v>2020</v>
      </c>
      <c r="AF161" s="413">
        <f t="shared" si="90"/>
        <v>-8.3333333333333329E-2</v>
      </c>
      <c r="AG161" s="413">
        <f t="shared" si="91"/>
        <v>2019.4166666666667</v>
      </c>
      <c r="AH161" s="413">
        <f t="shared" si="92"/>
        <v>2020</v>
      </c>
      <c r="AI161" s="413">
        <f t="shared" si="93"/>
        <v>-8.3333333333333329E-2</v>
      </c>
      <c r="AJ161" s="307"/>
      <c r="AK161" s="307"/>
      <c r="AL161" s="307"/>
    </row>
    <row r="162" spans="1:38" ht="15.75">
      <c r="A162" s="307">
        <v>28</v>
      </c>
      <c r="B162" s="415" t="s">
        <v>714</v>
      </c>
      <c r="C162" s="410">
        <v>2009</v>
      </c>
      <c r="D162" s="407">
        <v>9</v>
      </c>
      <c r="E162" s="411"/>
      <c r="F162" s="397" t="s">
        <v>668</v>
      </c>
      <c r="G162" s="397">
        <v>10</v>
      </c>
      <c r="H162" s="407">
        <f t="shared" si="75"/>
        <v>2019</v>
      </c>
      <c r="I162" s="393"/>
      <c r="J162" s="393"/>
      <c r="K162" s="417">
        <v>654</v>
      </c>
      <c r="L162" s="393"/>
      <c r="M162" s="235">
        <f t="shared" si="76"/>
        <v>654</v>
      </c>
      <c r="N162" s="235">
        <f t="shared" si="77"/>
        <v>5.45</v>
      </c>
      <c r="O162" s="235">
        <f t="shared" si="78"/>
        <v>0</v>
      </c>
      <c r="P162" s="235">
        <f t="shared" si="79"/>
        <v>0</v>
      </c>
      <c r="Q162" s="235">
        <f t="shared" si="80"/>
        <v>0</v>
      </c>
      <c r="R162" s="393">
        <v>1</v>
      </c>
      <c r="S162" s="235">
        <f t="shared" si="81"/>
        <v>0</v>
      </c>
      <c r="T162" s="393"/>
      <c r="U162" s="235">
        <f t="shared" si="82"/>
        <v>654</v>
      </c>
      <c r="V162" s="235">
        <f t="shared" si="83"/>
        <v>654</v>
      </c>
      <c r="W162" s="393">
        <v>1</v>
      </c>
      <c r="X162" s="235">
        <f t="shared" si="84"/>
        <v>654</v>
      </c>
      <c r="Y162" s="235">
        <f t="shared" si="85"/>
        <v>654</v>
      </c>
      <c r="Z162" s="235">
        <f t="shared" si="96"/>
        <v>0</v>
      </c>
      <c r="AA162" s="235"/>
      <c r="AB162" s="235">
        <f t="shared" si="86"/>
        <v>2009.6666666666667</v>
      </c>
      <c r="AC162" s="235">
        <f t="shared" si="87"/>
        <v>2021</v>
      </c>
      <c r="AD162" s="235">
        <f t="shared" si="88"/>
        <v>2019.6666666666667</v>
      </c>
      <c r="AE162" s="413">
        <f t="shared" si="89"/>
        <v>2020</v>
      </c>
      <c r="AF162" s="413">
        <f t="shared" si="90"/>
        <v>-8.3333333333333329E-2</v>
      </c>
      <c r="AG162" s="413">
        <f t="shared" si="91"/>
        <v>2019.6666666666667</v>
      </c>
      <c r="AH162" s="413">
        <f t="shared" si="92"/>
        <v>2020</v>
      </c>
      <c r="AI162" s="413">
        <f t="shared" si="93"/>
        <v>-8.3333333333333329E-2</v>
      </c>
      <c r="AJ162" s="307"/>
      <c r="AK162" s="307"/>
      <c r="AL162" s="307"/>
    </row>
    <row r="163" spans="1:38" ht="15.75">
      <c r="A163" s="307">
        <v>31</v>
      </c>
      <c r="B163" s="415" t="s">
        <v>715</v>
      </c>
      <c r="C163" s="410">
        <v>2009</v>
      </c>
      <c r="D163" s="407">
        <v>2</v>
      </c>
      <c r="E163" s="411"/>
      <c r="F163" s="397" t="s">
        <v>668</v>
      </c>
      <c r="G163" s="397">
        <v>10</v>
      </c>
      <c r="H163" s="407">
        <f t="shared" si="75"/>
        <v>2019</v>
      </c>
      <c r="I163" s="393"/>
      <c r="J163" s="393"/>
      <c r="K163" s="417">
        <v>148243</v>
      </c>
      <c r="L163" s="393"/>
      <c r="M163" s="235">
        <f t="shared" si="76"/>
        <v>148243</v>
      </c>
      <c r="N163" s="235">
        <f t="shared" si="77"/>
        <v>1235.3583333333333</v>
      </c>
      <c r="O163" s="235">
        <f t="shared" si="78"/>
        <v>0</v>
      </c>
      <c r="P163" s="235">
        <f t="shared" si="79"/>
        <v>0</v>
      </c>
      <c r="Q163" s="235">
        <f t="shared" si="80"/>
        <v>0</v>
      </c>
      <c r="R163" s="393">
        <v>1</v>
      </c>
      <c r="S163" s="235">
        <f t="shared" si="81"/>
        <v>0</v>
      </c>
      <c r="T163" s="393"/>
      <c r="U163" s="235">
        <f t="shared" si="82"/>
        <v>148243</v>
      </c>
      <c r="V163" s="235">
        <f t="shared" si="83"/>
        <v>148243</v>
      </c>
      <c r="W163" s="393">
        <v>1</v>
      </c>
      <c r="X163" s="235">
        <f t="shared" si="84"/>
        <v>148243</v>
      </c>
      <c r="Y163" s="235">
        <f t="shared" si="85"/>
        <v>148243</v>
      </c>
      <c r="Z163" s="235">
        <f t="shared" si="96"/>
        <v>0</v>
      </c>
      <c r="AA163" s="235"/>
      <c r="AB163" s="235">
        <f t="shared" si="86"/>
        <v>2009.0833333333333</v>
      </c>
      <c r="AC163" s="235">
        <f t="shared" si="87"/>
        <v>2021</v>
      </c>
      <c r="AD163" s="235">
        <f t="shared" si="88"/>
        <v>2019.0833333333333</v>
      </c>
      <c r="AE163" s="413">
        <f t="shared" si="89"/>
        <v>2020</v>
      </c>
      <c r="AF163" s="413">
        <f t="shared" si="90"/>
        <v>-8.3333333333333329E-2</v>
      </c>
      <c r="AG163" s="413">
        <f t="shared" si="91"/>
        <v>2019.0833333333333</v>
      </c>
      <c r="AH163" s="413">
        <f t="shared" si="92"/>
        <v>2020</v>
      </c>
      <c r="AI163" s="413">
        <f t="shared" si="93"/>
        <v>-8.3333333333333329E-2</v>
      </c>
      <c r="AJ163" s="307"/>
      <c r="AK163" s="307"/>
      <c r="AL163" s="307"/>
    </row>
    <row r="164" spans="1:38" ht="15.75">
      <c r="A164" s="307">
        <v>69</v>
      </c>
      <c r="B164" s="415" t="s">
        <v>694</v>
      </c>
      <c r="C164" s="410">
        <v>2009</v>
      </c>
      <c r="D164" s="407">
        <v>8</v>
      </c>
      <c r="E164" s="411"/>
      <c r="F164" s="397" t="s">
        <v>668</v>
      </c>
      <c r="G164" s="397">
        <v>10</v>
      </c>
      <c r="H164" s="407">
        <f t="shared" si="75"/>
        <v>2019</v>
      </c>
      <c r="I164" s="393"/>
      <c r="J164" s="393"/>
      <c r="K164" s="417">
        <v>2989</v>
      </c>
      <c r="L164" s="393"/>
      <c r="M164" s="235">
        <f t="shared" si="76"/>
        <v>2989</v>
      </c>
      <c r="N164" s="235">
        <f t="shared" si="77"/>
        <v>24.908333333333331</v>
      </c>
      <c r="O164" s="235">
        <f t="shared" si="78"/>
        <v>0</v>
      </c>
      <c r="P164" s="235">
        <f t="shared" si="79"/>
        <v>0</v>
      </c>
      <c r="Q164" s="235">
        <f t="shared" si="80"/>
        <v>0</v>
      </c>
      <c r="R164" s="393">
        <v>1</v>
      </c>
      <c r="S164" s="235">
        <f t="shared" si="81"/>
        <v>0</v>
      </c>
      <c r="T164" s="393"/>
      <c r="U164" s="235">
        <f t="shared" si="82"/>
        <v>2989</v>
      </c>
      <c r="V164" s="235">
        <f t="shared" si="83"/>
        <v>2989</v>
      </c>
      <c r="W164" s="393">
        <v>1</v>
      </c>
      <c r="X164" s="235">
        <f t="shared" si="84"/>
        <v>2989</v>
      </c>
      <c r="Y164" s="235">
        <f t="shared" si="85"/>
        <v>2989</v>
      </c>
      <c r="Z164" s="235">
        <f t="shared" si="96"/>
        <v>0</v>
      </c>
      <c r="AA164" s="235"/>
      <c r="AB164" s="235">
        <f t="shared" si="86"/>
        <v>2009.5833333333333</v>
      </c>
      <c r="AC164" s="235">
        <f t="shared" si="87"/>
        <v>2021</v>
      </c>
      <c r="AD164" s="235">
        <f t="shared" si="88"/>
        <v>2019.5833333333333</v>
      </c>
      <c r="AE164" s="413">
        <f t="shared" si="89"/>
        <v>2020</v>
      </c>
      <c r="AF164" s="413">
        <f t="shared" si="90"/>
        <v>-8.3333333333333329E-2</v>
      </c>
      <c r="AG164" s="413">
        <f t="shared" si="91"/>
        <v>2019.5833333333333</v>
      </c>
      <c r="AH164" s="413">
        <f t="shared" si="92"/>
        <v>2020</v>
      </c>
      <c r="AI164" s="413">
        <f t="shared" si="93"/>
        <v>-8.3333333333333329E-2</v>
      </c>
      <c r="AJ164" s="307"/>
      <c r="AK164" s="307"/>
      <c r="AL164" s="307"/>
    </row>
    <row r="165" spans="1:38" ht="15.75">
      <c r="A165" s="307">
        <v>173</v>
      </c>
      <c r="B165" s="415" t="s">
        <v>716</v>
      </c>
      <c r="C165" s="410">
        <v>2009</v>
      </c>
      <c r="D165" s="407">
        <v>6</v>
      </c>
      <c r="E165" s="411"/>
      <c r="F165" s="397" t="s">
        <v>668</v>
      </c>
      <c r="G165" s="397">
        <v>10</v>
      </c>
      <c r="H165" s="407">
        <f t="shared" si="75"/>
        <v>2019</v>
      </c>
      <c r="I165" s="393"/>
      <c r="J165" s="393"/>
      <c r="K165" s="417">
        <v>4593</v>
      </c>
      <c r="L165" s="393"/>
      <c r="M165" s="235">
        <f t="shared" si="76"/>
        <v>4593</v>
      </c>
      <c r="N165" s="235">
        <f t="shared" si="77"/>
        <v>38.274999999999999</v>
      </c>
      <c r="O165" s="235">
        <f t="shared" si="78"/>
        <v>0</v>
      </c>
      <c r="P165" s="235">
        <f t="shared" si="79"/>
        <v>0</v>
      </c>
      <c r="Q165" s="235">
        <f t="shared" si="80"/>
        <v>0</v>
      </c>
      <c r="R165" s="393">
        <v>1</v>
      </c>
      <c r="S165" s="235">
        <f t="shared" si="81"/>
        <v>0</v>
      </c>
      <c r="T165" s="393"/>
      <c r="U165" s="235">
        <f t="shared" si="82"/>
        <v>4593</v>
      </c>
      <c r="V165" s="235">
        <f t="shared" si="83"/>
        <v>4593</v>
      </c>
      <c r="W165" s="393">
        <v>1</v>
      </c>
      <c r="X165" s="235">
        <f t="shared" si="84"/>
        <v>4593</v>
      </c>
      <c r="Y165" s="235">
        <f t="shared" si="85"/>
        <v>4593</v>
      </c>
      <c r="Z165" s="235">
        <f>+M165-Y165</f>
        <v>0</v>
      </c>
      <c r="AA165" s="235"/>
      <c r="AB165" s="235">
        <f t="shared" si="86"/>
        <v>2009.4166666666667</v>
      </c>
      <c r="AC165" s="235">
        <f t="shared" si="87"/>
        <v>2021</v>
      </c>
      <c r="AD165" s="235">
        <f t="shared" si="88"/>
        <v>2019.4166666666667</v>
      </c>
      <c r="AE165" s="413">
        <f t="shared" si="89"/>
        <v>2020</v>
      </c>
      <c r="AF165" s="413">
        <f t="shared" si="90"/>
        <v>-8.3333333333333329E-2</v>
      </c>
      <c r="AG165" s="413">
        <f t="shared" si="91"/>
        <v>2019.4166666666667</v>
      </c>
      <c r="AH165" s="413">
        <f t="shared" si="92"/>
        <v>2020</v>
      </c>
      <c r="AI165" s="413">
        <f t="shared" si="93"/>
        <v>-8.3333333333333329E-2</v>
      </c>
      <c r="AJ165" s="307"/>
      <c r="AK165" s="307"/>
      <c r="AL165" s="307"/>
    </row>
    <row r="166" spans="1:38" ht="15.75">
      <c r="A166" s="307">
        <v>177</v>
      </c>
      <c r="B166" s="415" t="s">
        <v>716</v>
      </c>
      <c r="C166" s="410">
        <v>2009</v>
      </c>
      <c r="D166" s="407">
        <v>8</v>
      </c>
      <c r="E166" s="411"/>
      <c r="F166" s="397" t="s">
        <v>668</v>
      </c>
      <c r="G166" s="397">
        <v>10</v>
      </c>
      <c r="H166" s="407">
        <f t="shared" si="75"/>
        <v>2019</v>
      </c>
      <c r="I166" s="393"/>
      <c r="J166" s="393"/>
      <c r="K166" s="417">
        <v>2288</v>
      </c>
      <c r="L166" s="393"/>
      <c r="M166" s="235">
        <f t="shared" si="76"/>
        <v>2288</v>
      </c>
      <c r="N166" s="235">
        <f t="shared" si="77"/>
        <v>19.066666666666666</v>
      </c>
      <c r="O166" s="235">
        <f t="shared" si="78"/>
        <v>0</v>
      </c>
      <c r="P166" s="235">
        <f t="shared" si="79"/>
        <v>0</v>
      </c>
      <c r="Q166" s="235">
        <f t="shared" si="80"/>
        <v>0</v>
      </c>
      <c r="R166" s="393">
        <v>1</v>
      </c>
      <c r="S166" s="235">
        <f t="shared" si="81"/>
        <v>0</v>
      </c>
      <c r="T166" s="393"/>
      <c r="U166" s="235">
        <f t="shared" si="82"/>
        <v>2288</v>
      </c>
      <c r="V166" s="235">
        <f t="shared" si="83"/>
        <v>2288</v>
      </c>
      <c r="W166" s="393">
        <v>1</v>
      </c>
      <c r="X166" s="235">
        <f t="shared" si="84"/>
        <v>2288</v>
      </c>
      <c r="Y166" s="235">
        <f t="shared" si="85"/>
        <v>2288</v>
      </c>
      <c r="Z166" s="235">
        <f>+M166-Y166</f>
        <v>0</v>
      </c>
      <c r="AA166" s="235"/>
      <c r="AB166" s="235">
        <f t="shared" si="86"/>
        <v>2009.5833333333333</v>
      </c>
      <c r="AC166" s="235">
        <f t="shared" si="87"/>
        <v>2021</v>
      </c>
      <c r="AD166" s="235">
        <f t="shared" si="88"/>
        <v>2019.5833333333333</v>
      </c>
      <c r="AE166" s="413">
        <f t="shared" si="89"/>
        <v>2020</v>
      </c>
      <c r="AF166" s="413">
        <f t="shared" si="90"/>
        <v>-8.3333333333333329E-2</v>
      </c>
      <c r="AG166" s="413">
        <f t="shared" si="91"/>
        <v>2019.5833333333333</v>
      </c>
      <c r="AH166" s="413">
        <f t="shared" si="92"/>
        <v>2020</v>
      </c>
      <c r="AI166" s="413">
        <f t="shared" si="93"/>
        <v>-8.3333333333333329E-2</v>
      </c>
      <c r="AJ166" s="307"/>
      <c r="AK166" s="307"/>
      <c r="AL166" s="307"/>
    </row>
    <row r="167" spans="1:38" ht="15.75">
      <c r="A167" s="307">
        <v>22</v>
      </c>
      <c r="B167" s="415" t="s">
        <v>715</v>
      </c>
      <c r="C167" s="410">
        <v>2010</v>
      </c>
      <c r="D167" s="407">
        <v>9</v>
      </c>
      <c r="E167" s="411"/>
      <c r="F167" s="397" t="s">
        <v>668</v>
      </c>
      <c r="G167" s="397">
        <v>10</v>
      </c>
      <c r="H167" s="407">
        <f t="shared" si="75"/>
        <v>2020</v>
      </c>
      <c r="I167" s="393"/>
      <c r="J167" s="393"/>
      <c r="K167" s="417">
        <v>4136</v>
      </c>
      <c r="L167" s="393"/>
      <c r="M167" s="235">
        <f t="shared" si="76"/>
        <v>4136</v>
      </c>
      <c r="N167" s="235">
        <f t="shared" si="77"/>
        <v>34.466666666666669</v>
      </c>
      <c r="O167" s="235">
        <f t="shared" si="78"/>
        <v>275.73333333336467</v>
      </c>
      <c r="P167" s="235">
        <f t="shared" si="79"/>
        <v>0</v>
      </c>
      <c r="Q167" s="235">
        <f t="shared" si="80"/>
        <v>275.73333333336467</v>
      </c>
      <c r="R167" s="393">
        <v>1</v>
      </c>
      <c r="S167" s="235">
        <f t="shared" si="81"/>
        <v>275.73333333336467</v>
      </c>
      <c r="T167" s="393"/>
      <c r="U167" s="235">
        <f t="shared" si="82"/>
        <v>3860.2666666666355</v>
      </c>
      <c r="V167" s="235">
        <f t="shared" si="83"/>
        <v>3860.2666666666355</v>
      </c>
      <c r="W167" s="393">
        <v>1</v>
      </c>
      <c r="X167" s="235">
        <f t="shared" si="84"/>
        <v>3860.2666666666355</v>
      </c>
      <c r="Y167" s="235">
        <f t="shared" si="85"/>
        <v>4136</v>
      </c>
      <c r="Z167" s="235">
        <f t="shared" ref="Z167:Z222" si="97">IF(L167&gt;0,(K167-X167)/2,IF(AB167&gt;=AE167,(((K167*R167)*W167)-Y167)/2,((((K167*R167)*W167)-X167)+(((K167*R167)*W167)-Y167))/2))</f>
        <v>137.86666666668225</v>
      </c>
      <c r="AA167" s="235"/>
      <c r="AB167" s="235">
        <f t="shared" si="86"/>
        <v>2010.6666666666667</v>
      </c>
      <c r="AC167" s="235">
        <f t="shared" si="87"/>
        <v>2021</v>
      </c>
      <c r="AD167" s="235">
        <f t="shared" si="88"/>
        <v>2020.6666666666667</v>
      </c>
      <c r="AE167" s="413">
        <f t="shared" si="89"/>
        <v>2020</v>
      </c>
      <c r="AF167" s="413">
        <f t="shared" si="90"/>
        <v>-8.3333333333333329E-2</v>
      </c>
      <c r="AG167" s="413">
        <f t="shared" si="91"/>
        <v>2020.6666666666667</v>
      </c>
      <c r="AH167" s="413">
        <f t="shared" si="92"/>
        <v>2020</v>
      </c>
      <c r="AI167" s="413">
        <f t="shared" si="93"/>
        <v>-8.3333333333333329E-2</v>
      </c>
      <c r="AJ167" s="307"/>
      <c r="AK167" s="307"/>
      <c r="AL167" s="307"/>
    </row>
    <row r="168" spans="1:38" ht="15.75">
      <c r="A168" s="307">
        <v>23</v>
      </c>
      <c r="B168" s="415" t="s">
        <v>715</v>
      </c>
      <c r="C168" s="410">
        <v>2010</v>
      </c>
      <c r="D168" s="407">
        <v>12</v>
      </c>
      <c r="E168" s="411"/>
      <c r="F168" s="397" t="s">
        <v>668</v>
      </c>
      <c r="G168" s="397">
        <v>10</v>
      </c>
      <c r="H168" s="407">
        <f t="shared" si="75"/>
        <v>2020</v>
      </c>
      <c r="I168" s="393"/>
      <c r="J168" s="393"/>
      <c r="K168" s="417">
        <v>8234</v>
      </c>
      <c r="L168" s="393"/>
      <c r="M168" s="235">
        <f t="shared" si="76"/>
        <v>8234</v>
      </c>
      <c r="N168" s="235">
        <f t="shared" si="77"/>
        <v>68.61666666666666</v>
      </c>
      <c r="O168" s="235">
        <f t="shared" si="78"/>
        <v>754.78333333339572</v>
      </c>
      <c r="P168" s="235">
        <f t="shared" si="79"/>
        <v>0</v>
      </c>
      <c r="Q168" s="235">
        <f t="shared" si="80"/>
        <v>754.78333333339572</v>
      </c>
      <c r="R168" s="393">
        <v>1</v>
      </c>
      <c r="S168" s="235">
        <f t="shared" si="81"/>
        <v>754.78333333339572</v>
      </c>
      <c r="T168" s="393"/>
      <c r="U168" s="235">
        <f t="shared" si="82"/>
        <v>7479.2166666666044</v>
      </c>
      <c r="V168" s="235">
        <f t="shared" si="83"/>
        <v>7479.2166666666044</v>
      </c>
      <c r="W168" s="393">
        <v>1</v>
      </c>
      <c r="X168" s="235">
        <f t="shared" si="84"/>
        <v>7479.2166666666044</v>
      </c>
      <c r="Y168" s="235">
        <f t="shared" si="85"/>
        <v>8234</v>
      </c>
      <c r="Z168" s="235">
        <f t="shared" si="97"/>
        <v>377.3916666666978</v>
      </c>
      <c r="AA168" s="235"/>
      <c r="AB168" s="235">
        <f t="shared" si="86"/>
        <v>2010.9166666666667</v>
      </c>
      <c r="AC168" s="235">
        <f t="shared" si="87"/>
        <v>2021</v>
      </c>
      <c r="AD168" s="235">
        <f t="shared" si="88"/>
        <v>2020.9166666666667</v>
      </c>
      <c r="AE168" s="413">
        <f t="shared" si="89"/>
        <v>2020</v>
      </c>
      <c r="AF168" s="413">
        <f t="shared" si="90"/>
        <v>-8.3333333333333329E-2</v>
      </c>
      <c r="AG168" s="413">
        <f t="shared" si="91"/>
        <v>2020.9166666666667</v>
      </c>
      <c r="AH168" s="413">
        <f t="shared" si="92"/>
        <v>2020</v>
      </c>
      <c r="AI168" s="413">
        <f t="shared" si="93"/>
        <v>-8.3333333333333329E-2</v>
      </c>
      <c r="AJ168" s="307"/>
      <c r="AK168" s="307"/>
      <c r="AL168" s="307"/>
    </row>
    <row r="169" spans="1:38" ht="15.75">
      <c r="A169" s="307">
        <v>27</v>
      </c>
      <c r="B169" s="415" t="s">
        <v>714</v>
      </c>
      <c r="C169" s="410">
        <v>2010</v>
      </c>
      <c r="D169" s="407">
        <v>11</v>
      </c>
      <c r="E169" s="411"/>
      <c r="F169" s="397" t="s">
        <v>668</v>
      </c>
      <c r="G169" s="397">
        <v>10</v>
      </c>
      <c r="H169" s="407">
        <f t="shared" si="75"/>
        <v>2020</v>
      </c>
      <c r="I169" s="393"/>
      <c r="J169" s="393"/>
      <c r="K169" s="417">
        <v>2633</v>
      </c>
      <c r="L169" s="393"/>
      <c r="M169" s="235">
        <f t="shared" si="76"/>
        <v>2633</v>
      </c>
      <c r="N169" s="235">
        <f t="shared" si="77"/>
        <v>21.941666666666666</v>
      </c>
      <c r="O169" s="235">
        <f t="shared" si="78"/>
        <v>219.41666666664671</v>
      </c>
      <c r="P169" s="235">
        <f t="shared" si="79"/>
        <v>0</v>
      </c>
      <c r="Q169" s="235">
        <f t="shared" si="80"/>
        <v>219.41666666664671</v>
      </c>
      <c r="R169" s="393">
        <v>1</v>
      </c>
      <c r="S169" s="235">
        <f t="shared" si="81"/>
        <v>219.41666666664671</v>
      </c>
      <c r="T169" s="393"/>
      <c r="U169" s="235">
        <f t="shared" si="82"/>
        <v>2413.5833333333535</v>
      </c>
      <c r="V169" s="235">
        <f t="shared" si="83"/>
        <v>2413.5833333333535</v>
      </c>
      <c r="W169" s="393">
        <v>1</v>
      </c>
      <c r="X169" s="235">
        <f t="shared" si="84"/>
        <v>2413.5833333333535</v>
      </c>
      <c r="Y169" s="235">
        <f t="shared" si="85"/>
        <v>2633</v>
      </c>
      <c r="Z169" s="235">
        <f t="shared" si="97"/>
        <v>109.70833333332325</v>
      </c>
      <c r="AA169" s="235"/>
      <c r="AB169" s="235">
        <f t="shared" si="86"/>
        <v>2010.8333333333333</v>
      </c>
      <c r="AC169" s="235">
        <f t="shared" si="87"/>
        <v>2021</v>
      </c>
      <c r="AD169" s="235">
        <f t="shared" si="88"/>
        <v>2020.8333333333333</v>
      </c>
      <c r="AE169" s="413">
        <f t="shared" si="89"/>
        <v>2020</v>
      </c>
      <c r="AF169" s="413">
        <f t="shared" si="90"/>
        <v>-8.3333333333333329E-2</v>
      </c>
      <c r="AG169" s="413">
        <f t="shared" si="91"/>
        <v>2020.8333333333333</v>
      </c>
      <c r="AH169" s="413">
        <f t="shared" si="92"/>
        <v>2020</v>
      </c>
      <c r="AI169" s="413">
        <f t="shared" si="93"/>
        <v>-8.3333333333333329E-2</v>
      </c>
      <c r="AJ169" s="307"/>
      <c r="AK169" s="307"/>
      <c r="AL169" s="307"/>
    </row>
    <row r="170" spans="1:38" ht="15.75">
      <c r="A170" s="307">
        <v>32</v>
      </c>
      <c r="B170" s="415" t="s">
        <v>714</v>
      </c>
      <c r="C170" s="410">
        <v>2010</v>
      </c>
      <c r="D170" s="407">
        <v>5</v>
      </c>
      <c r="E170" s="411"/>
      <c r="F170" s="397" t="s">
        <v>668</v>
      </c>
      <c r="G170" s="397">
        <v>10</v>
      </c>
      <c r="H170" s="407">
        <f t="shared" si="75"/>
        <v>2020</v>
      </c>
      <c r="I170" s="393"/>
      <c r="J170" s="393"/>
      <c r="K170" s="417">
        <v>7025</v>
      </c>
      <c r="L170" s="393"/>
      <c r="M170" s="235">
        <f t="shared" si="76"/>
        <v>7025</v>
      </c>
      <c r="N170" s="235">
        <f t="shared" si="77"/>
        <v>58.541666666666664</v>
      </c>
      <c r="O170" s="235">
        <f t="shared" si="78"/>
        <v>234.16666666661342</v>
      </c>
      <c r="P170" s="235">
        <f t="shared" si="79"/>
        <v>0</v>
      </c>
      <c r="Q170" s="235">
        <f t="shared" si="80"/>
        <v>234.16666666661342</v>
      </c>
      <c r="R170" s="393">
        <v>1</v>
      </c>
      <c r="S170" s="235">
        <f t="shared" si="81"/>
        <v>234.16666666661342</v>
      </c>
      <c r="T170" s="393"/>
      <c r="U170" s="235">
        <f t="shared" si="82"/>
        <v>6790.8333333333867</v>
      </c>
      <c r="V170" s="235">
        <f t="shared" si="83"/>
        <v>6790.8333333333867</v>
      </c>
      <c r="W170" s="393">
        <v>1</v>
      </c>
      <c r="X170" s="235">
        <f t="shared" si="84"/>
        <v>6790.8333333333867</v>
      </c>
      <c r="Y170" s="235">
        <f t="shared" si="85"/>
        <v>7025</v>
      </c>
      <c r="Z170" s="235">
        <f t="shared" si="97"/>
        <v>117.08333333330665</v>
      </c>
      <c r="AA170" s="235"/>
      <c r="AB170" s="235">
        <f t="shared" si="86"/>
        <v>2010.3333333333333</v>
      </c>
      <c r="AC170" s="235">
        <f t="shared" si="87"/>
        <v>2021</v>
      </c>
      <c r="AD170" s="235">
        <f t="shared" si="88"/>
        <v>2020.3333333333333</v>
      </c>
      <c r="AE170" s="413">
        <f t="shared" si="89"/>
        <v>2020</v>
      </c>
      <c r="AF170" s="413">
        <f t="shared" si="90"/>
        <v>-8.3333333333333329E-2</v>
      </c>
      <c r="AG170" s="413">
        <f t="shared" si="91"/>
        <v>2020.3333333333333</v>
      </c>
      <c r="AH170" s="413">
        <f t="shared" si="92"/>
        <v>2020</v>
      </c>
      <c r="AI170" s="413">
        <f t="shared" si="93"/>
        <v>-8.3333333333333329E-2</v>
      </c>
      <c r="AJ170" s="307"/>
      <c r="AK170" s="307"/>
      <c r="AL170" s="307"/>
    </row>
    <row r="171" spans="1:38" ht="15.75">
      <c r="A171" s="307">
        <v>35</v>
      </c>
      <c r="B171" s="415" t="s">
        <v>715</v>
      </c>
      <c r="C171" s="407">
        <v>2010</v>
      </c>
      <c r="D171" s="407">
        <v>7</v>
      </c>
      <c r="E171" s="411"/>
      <c r="F171" s="397" t="s">
        <v>668</v>
      </c>
      <c r="G171" s="397">
        <v>10</v>
      </c>
      <c r="H171" s="407">
        <f t="shared" si="75"/>
        <v>2020</v>
      </c>
      <c r="I171" s="393"/>
      <c r="J171" s="393"/>
      <c r="K171" s="417">
        <v>210</v>
      </c>
      <c r="L171" s="393"/>
      <c r="M171" s="235">
        <f t="shared" si="76"/>
        <v>210</v>
      </c>
      <c r="N171" s="235">
        <f t="shared" si="77"/>
        <v>1.75</v>
      </c>
      <c r="O171" s="235">
        <f t="shared" si="78"/>
        <v>10.5</v>
      </c>
      <c r="P171" s="235">
        <f t="shared" si="79"/>
        <v>0</v>
      </c>
      <c r="Q171" s="235">
        <f t="shared" si="80"/>
        <v>10.5</v>
      </c>
      <c r="R171" s="393">
        <v>1</v>
      </c>
      <c r="S171" s="235">
        <f t="shared" si="81"/>
        <v>10.5</v>
      </c>
      <c r="T171" s="393"/>
      <c r="U171" s="235">
        <f t="shared" si="82"/>
        <v>199.5</v>
      </c>
      <c r="V171" s="235">
        <f t="shared" si="83"/>
        <v>199.5</v>
      </c>
      <c r="W171" s="393">
        <v>1</v>
      </c>
      <c r="X171" s="235">
        <f t="shared" si="84"/>
        <v>199.5</v>
      </c>
      <c r="Y171" s="235">
        <f t="shared" si="85"/>
        <v>210</v>
      </c>
      <c r="Z171" s="235">
        <f t="shared" si="97"/>
        <v>5.25</v>
      </c>
      <c r="AA171" s="235"/>
      <c r="AB171" s="235">
        <f t="shared" si="86"/>
        <v>2010.5</v>
      </c>
      <c r="AC171" s="235">
        <f t="shared" si="87"/>
        <v>2021</v>
      </c>
      <c r="AD171" s="235">
        <f t="shared" si="88"/>
        <v>2020.5</v>
      </c>
      <c r="AE171" s="413">
        <f t="shared" si="89"/>
        <v>2020</v>
      </c>
      <c r="AF171" s="413">
        <f t="shared" si="90"/>
        <v>-8.3333333333333329E-2</v>
      </c>
      <c r="AG171" s="413">
        <f t="shared" si="91"/>
        <v>2020.5</v>
      </c>
      <c r="AH171" s="413">
        <f t="shared" si="92"/>
        <v>2020</v>
      </c>
      <c r="AI171" s="413">
        <f t="shared" si="93"/>
        <v>-8.3333333333333329E-2</v>
      </c>
      <c r="AJ171" s="307"/>
      <c r="AK171" s="307"/>
      <c r="AL171" s="307"/>
    </row>
    <row r="172" spans="1:38" ht="15.75">
      <c r="A172" s="307">
        <v>36</v>
      </c>
      <c r="B172" s="415" t="s">
        <v>715</v>
      </c>
      <c r="C172" s="410">
        <v>2010</v>
      </c>
      <c r="D172" s="407">
        <v>3</v>
      </c>
      <c r="E172" s="411"/>
      <c r="F172" s="397" t="s">
        <v>668</v>
      </c>
      <c r="G172" s="397">
        <v>10</v>
      </c>
      <c r="H172" s="407">
        <f t="shared" ref="H172:H230" si="98">+C172+G172</f>
        <v>2020</v>
      </c>
      <c r="I172" s="393"/>
      <c r="J172" s="393"/>
      <c r="K172" s="417">
        <v>213</v>
      </c>
      <c r="L172" s="393"/>
      <c r="M172" s="235">
        <f t="shared" ref="M172:M230" si="99">K172-K172*E172</f>
        <v>213</v>
      </c>
      <c r="N172" s="235">
        <f t="shared" ref="N172:N230" si="100">M172/G172/12</f>
        <v>1.7750000000000001</v>
      </c>
      <c r="O172" s="235">
        <f t="shared" ref="O172:O222" si="101">IF(L172&gt;0,0,IF((OR((AB172&gt;AC172),(AD172&lt;AE172))),0,IF((AND((AD172&gt;=AE172),(AD172&lt;=AC172))),N172*((AD172-AE172)*12),IF((AND((AE172&lt;=AB172),(AC172&gt;=AB172))),((AC172-AB172)*12)*N172,IF(AD172&gt;AC172,12*N172,0)))))</f>
        <v>3.5500000000016145</v>
      </c>
      <c r="P172" s="235">
        <f t="shared" ref="P172:P230" si="102">IF(L172=0,0,IF((AND((AF172&gt;=AE172),(AF172&lt;=AD172))),((AF172-AE172)*12)*N172,0))</f>
        <v>0</v>
      </c>
      <c r="Q172" s="235">
        <f t="shared" ref="Q172:Q230" si="103">IF(P172&gt;0,P172,O172)</f>
        <v>3.5500000000016145</v>
      </c>
      <c r="R172" s="393">
        <v>1</v>
      </c>
      <c r="S172" s="235">
        <f t="shared" ref="S172:S230" si="104">R172*SUM(O172:P172)</f>
        <v>3.5500000000016145</v>
      </c>
      <c r="T172" s="393"/>
      <c r="U172" s="235">
        <f t="shared" ref="U172:U230" si="105">IF(AB172&gt;AC172,0,IF(AD172&lt;AE172,M172,IF((AND((AD172&gt;=AE172),(AD172&lt;=AC172))),(M172-Q172),IF((AND((AE172&lt;=AB172),(AC172&gt;=AB172))),0,IF(AD172&gt;AC172,((AE172-AB172)*12)*N172,0)))))</f>
        <v>209.4499999999984</v>
      </c>
      <c r="V172" s="235">
        <f t="shared" ref="V172:V230" si="106">U172*R172</f>
        <v>209.4499999999984</v>
      </c>
      <c r="W172" s="393">
        <v>1</v>
      </c>
      <c r="X172" s="235">
        <f t="shared" ref="X172:X230" si="107">V172*W172</f>
        <v>209.4499999999984</v>
      </c>
      <c r="Y172" s="235">
        <f t="shared" ref="Y172:Y230" si="108">IF(L172&gt;0,0,X172+S172*W172)*W172</f>
        <v>213</v>
      </c>
      <c r="Z172" s="235">
        <f t="shared" si="97"/>
        <v>1.7750000000008015</v>
      </c>
      <c r="AA172" s="235"/>
      <c r="AB172" s="235">
        <f t="shared" ref="AB172:AB230" si="109">$C172+(($D172-1)/12)</f>
        <v>2010.1666666666667</v>
      </c>
      <c r="AC172" s="235">
        <f t="shared" ref="AC172:AC230" si="110">($M$5+1)-($M$2/12)</f>
        <v>2021</v>
      </c>
      <c r="AD172" s="235">
        <f t="shared" ref="AD172:AD230" si="111">$H172+(($D172-1)/12)</f>
        <v>2020.1666666666667</v>
      </c>
      <c r="AE172" s="413">
        <f t="shared" ref="AE172:AE230" si="112">$M$4+($M$3/12)</f>
        <v>2020</v>
      </c>
      <c r="AF172" s="413">
        <f t="shared" ref="AF172:AF230" si="113">$I172+(($J172-1)/12)</f>
        <v>-8.3333333333333329E-2</v>
      </c>
      <c r="AG172" s="413">
        <f t="shared" ref="AG172:AG230" si="114">$H172+(($D172-1)/12)</f>
        <v>2020.1666666666667</v>
      </c>
      <c r="AH172" s="413">
        <f t="shared" ref="AH172:AH230" si="115">$M$4+($M$3/12)</f>
        <v>2020</v>
      </c>
      <c r="AI172" s="413">
        <f t="shared" ref="AI172:AI230" si="116">$I172+(($J172-1)/12)</f>
        <v>-8.3333333333333329E-2</v>
      </c>
      <c r="AJ172" s="307"/>
      <c r="AK172" s="307"/>
      <c r="AL172" s="307"/>
    </row>
    <row r="173" spans="1:38" ht="15.75">
      <c r="A173" s="307">
        <v>37</v>
      </c>
      <c r="B173" s="415" t="s">
        <v>715</v>
      </c>
      <c r="C173" s="407">
        <v>2010</v>
      </c>
      <c r="D173" s="407">
        <v>12</v>
      </c>
      <c r="E173" s="393"/>
      <c r="F173" s="397" t="s">
        <v>668</v>
      </c>
      <c r="G173" s="397">
        <v>10</v>
      </c>
      <c r="H173" s="407">
        <f t="shared" si="98"/>
        <v>2020</v>
      </c>
      <c r="I173" s="393"/>
      <c r="J173" s="393"/>
      <c r="K173" s="417">
        <v>4861</v>
      </c>
      <c r="L173" s="393"/>
      <c r="M173" s="235">
        <f t="shared" si="99"/>
        <v>4861</v>
      </c>
      <c r="N173" s="235">
        <f t="shared" si="100"/>
        <v>40.508333333333333</v>
      </c>
      <c r="O173" s="235">
        <f t="shared" si="101"/>
        <v>445.59166666670353</v>
      </c>
      <c r="P173" s="235">
        <f t="shared" si="102"/>
        <v>0</v>
      </c>
      <c r="Q173" s="235">
        <f t="shared" si="103"/>
        <v>445.59166666670353</v>
      </c>
      <c r="R173" s="393">
        <v>1</v>
      </c>
      <c r="S173" s="235">
        <f t="shared" si="104"/>
        <v>445.59166666670353</v>
      </c>
      <c r="T173" s="393"/>
      <c r="U173" s="235">
        <f t="shared" si="105"/>
        <v>4415.4083333332965</v>
      </c>
      <c r="V173" s="235">
        <f t="shared" si="106"/>
        <v>4415.4083333332965</v>
      </c>
      <c r="W173" s="393">
        <v>1</v>
      </c>
      <c r="X173" s="235">
        <f t="shared" si="107"/>
        <v>4415.4083333332965</v>
      </c>
      <c r="Y173" s="235">
        <f t="shared" si="108"/>
        <v>4861</v>
      </c>
      <c r="Z173" s="235">
        <f t="shared" si="97"/>
        <v>222.79583333335177</v>
      </c>
      <c r="AA173" s="235"/>
      <c r="AB173" s="235">
        <f t="shared" si="109"/>
        <v>2010.9166666666667</v>
      </c>
      <c r="AC173" s="235">
        <f t="shared" si="110"/>
        <v>2021</v>
      </c>
      <c r="AD173" s="235">
        <f t="shared" si="111"/>
        <v>2020.9166666666667</v>
      </c>
      <c r="AE173" s="413">
        <f t="shared" si="112"/>
        <v>2020</v>
      </c>
      <c r="AF173" s="413">
        <f t="shared" si="113"/>
        <v>-8.3333333333333329E-2</v>
      </c>
      <c r="AG173" s="413">
        <f t="shared" si="114"/>
        <v>2020.9166666666667</v>
      </c>
      <c r="AH173" s="413">
        <f t="shared" si="115"/>
        <v>2020</v>
      </c>
      <c r="AI173" s="413">
        <f t="shared" si="116"/>
        <v>-8.3333333333333329E-2</v>
      </c>
      <c r="AJ173" s="307"/>
      <c r="AK173" s="307"/>
      <c r="AL173" s="307"/>
    </row>
    <row r="174" spans="1:38" ht="15.75">
      <c r="A174" s="307">
        <v>42</v>
      </c>
      <c r="B174" s="415" t="s">
        <v>714</v>
      </c>
      <c r="C174" s="410">
        <v>2010</v>
      </c>
      <c r="D174" s="407">
        <v>6</v>
      </c>
      <c r="E174" s="411"/>
      <c r="F174" s="397" t="s">
        <v>668</v>
      </c>
      <c r="G174" s="397">
        <v>10</v>
      </c>
      <c r="H174" s="407">
        <f t="shared" si="98"/>
        <v>2020</v>
      </c>
      <c r="I174" s="393"/>
      <c r="J174" s="393"/>
      <c r="K174" s="417">
        <v>404</v>
      </c>
      <c r="L174" s="393"/>
      <c r="M174" s="235">
        <f t="shared" si="99"/>
        <v>404</v>
      </c>
      <c r="N174" s="235">
        <f t="shared" si="100"/>
        <v>3.3666666666666667</v>
      </c>
      <c r="O174" s="235">
        <f t="shared" si="101"/>
        <v>16.833333333336395</v>
      </c>
      <c r="P174" s="235">
        <f t="shared" si="102"/>
        <v>0</v>
      </c>
      <c r="Q174" s="235">
        <f t="shared" si="103"/>
        <v>16.833333333336395</v>
      </c>
      <c r="R174" s="393">
        <v>1</v>
      </c>
      <c r="S174" s="235">
        <f t="shared" si="104"/>
        <v>16.833333333336395</v>
      </c>
      <c r="T174" s="393"/>
      <c r="U174" s="235">
        <f t="shared" si="105"/>
        <v>387.16666666666362</v>
      </c>
      <c r="V174" s="235">
        <f t="shared" si="106"/>
        <v>387.16666666666362</v>
      </c>
      <c r="W174" s="393">
        <v>1</v>
      </c>
      <c r="X174" s="235">
        <f t="shared" si="107"/>
        <v>387.16666666666362</v>
      </c>
      <c r="Y174" s="235">
        <f t="shared" si="108"/>
        <v>404</v>
      </c>
      <c r="Z174" s="235">
        <f t="shared" si="97"/>
        <v>8.416666666668192</v>
      </c>
      <c r="AA174" s="235"/>
      <c r="AB174" s="235">
        <f t="shared" si="109"/>
        <v>2010.4166666666667</v>
      </c>
      <c r="AC174" s="235">
        <f t="shared" si="110"/>
        <v>2021</v>
      </c>
      <c r="AD174" s="235">
        <f t="shared" si="111"/>
        <v>2020.4166666666667</v>
      </c>
      <c r="AE174" s="413">
        <f t="shared" si="112"/>
        <v>2020</v>
      </c>
      <c r="AF174" s="413">
        <f t="shared" si="113"/>
        <v>-8.3333333333333329E-2</v>
      </c>
      <c r="AG174" s="413">
        <f t="shared" si="114"/>
        <v>2020.4166666666667</v>
      </c>
      <c r="AH174" s="413">
        <f t="shared" si="115"/>
        <v>2020</v>
      </c>
      <c r="AI174" s="413">
        <f t="shared" si="116"/>
        <v>-8.3333333333333329E-2</v>
      </c>
      <c r="AJ174" s="307"/>
      <c r="AK174" s="307"/>
      <c r="AL174" s="307"/>
    </row>
    <row r="175" spans="1:38" ht="15.75">
      <c r="A175" s="307">
        <v>81</v>
      </c>
      <c r="B175" s="415" t="s">
        <v>694</v>
      </c>
      <c r="C175" s="410">
        <v>2010</v>
      </c>
      <c r="D175" s="407">
        <v>12</v>
      </c>
      <c r="E175" s="411"/>
      <c r="F175" s="397" t="s">
        <v>668</v>
      </c>
      <c r="G175" s="397">
        <v>10</v>
      </c>
      <c r="H175" s="407">
        <f t="shared" si="98"/>
        <v>2020</v>
      </c>
      <c r="I175" s="393"/>
      <c r="J175" s="393"/>
      <c r="K175" s="417">
        <v>190</v>
      </c>
      <c r="L175" s="393"/>
      <c r="M175" s="235">
        <f t="shared" si="99"/>
        <v>190</v>
      </c>
      <c r="N175" s="235">
        <f t="shared" si="100"/>
        <v>1.5833333333333333</v>
      </c>
      <c r="O175" s="235">
        <f t="shared" si="101"/>
        <v>17.416666666668107</v>
      </c>
      <c r="P175" s="235">
        <f t="shared" si="102"/>
        <v>0</v>
      </c>
      <c r="Q175" s="235">
        <f t="shared" si="103"/>
        <v>17.416666666668107</v>
      </c>
      <c r="R175" s="393">
        <v>1</v>
      </c>
      <c r="S175" s="235">
        <f t="shared" si="104"/>
        <v>17.416666666668107</v>
      </c>
      <c r="T175" s="393"/>
      <c r="U175" s="235">
        <f t="shared" si="105"/>
        <v>172.58333333333189</v>
      </c>
      <c r="V175" s="235">
        <f t="shared" si="106"/>
        <v>172.58333333333189</v>
      </c>
      <c r="W175" s="393">
        <v>1</v>
      </c>
      <c r="X175" s="235">
        <f t="shared" si="107"/>
        <v>172.58333333333189</v>
      </c>
      <c r="Y175" s="235">
        <f t="shared" si="108"/>
        <v>190</v>
      </c>
      <c r="Z175" s="235">
        <f t="shared" si="97"/>
        <v>8.7083333333340533</v>
      </c>
      <c r="AA175" s="235"/>
      <c r="AB175" s="235">
        <f t="shared" si="109"/>
        <v>2010.9166666666667</v>
      </c>
      <c r="AC175" s="235">
        <f t="shared" si="110"/>
        <v>2021</v>
      </c>
      <c r="AD175" s="235">
        <f t="shared" si="111"/>
        <v>2020.9166666666667</v>
      </c>
      <c r="AE175" s="413">
        <f t="shared" si="112"/>
        <v>2020</v>
      </c>
      <c r="AF175" s="413">
        <f t="shared" si="113"/>
        <v>-8.3333333333333329E-2</v>
      </c>
      <c r="AG175" s="413">
        <f t="shared" si="114"/>
        <v>2020.9166666666667</v>
      </c>
      <c r="AH175" s="413">
        <f t="shared" si="115"/>
        <v>2020</v>
      </c>
      <c r="AI175" s="413">
        <f t="shared" si="116"/>
        <v>-8.3333333333333329E-2</v>
      </c>
      <c r="AJ175" s="307"/>
      <c r="AK175" s="307"/>
      <c r="AL175" s="307"/>
    </row>
    <row r="176" spans="1:38" ht="15.75">
      <c r="A176" s="307">
        <v>84</v>
      </c>
      <c r="B176" s="415" t="s">
        <v>694</v>
      </c>
      <c r="C176" s="410">
        <v>2010</v>
      </c>
      <c r="D176" s="407">
        <v>7</v>
      </c>
      <c r="E176" s="411"/>
      <c r="F176" s="397" t="s">
        <v>668</v>
      </c>
      <c r="G176" s="397">
        <v>10</v>
      </c>
      <c r="H176" s="407">
        <f t="shared" si="98"/>
        <v>2020</v>
      </c>
      <c r="I176" s="393"/>
      <c r="J176" s="393"/>
      <c r="K176" s="417">
        <v>616</v>
      </c>
      <c r="L176" s="393"/>
      <c r="M176" s="235">
        <f t="shared" si="99"/>
        <v>616</v>
      </c>
      <c r="N176" s="235">
        <f t="shared" si="100"/>
        <v>5.1333333333333337</v>
      </c>
      <c r="O176" s="235">
        <f t="shared" si="101"/>
        <v>30.800000000000004</v>
      </c>
      <c r="P176" s="235">
        <f t="shared" si="102"/>
        <v>0</v>
      </c>
      <c r="Q176" s="235">
        <f t="shared" si="103"/>
        <v>30.800000000000004</v>
      </c>
      <c r="R176" s="393">
        <v>1</v>
      </c>
      <c r="S176" s="235">
        <f t="shared" si="104"/>
        <v>30.800000000000004</v>
      </c>
      <c r="T176" s="393"/>
      <c r="U176" s="235">
        <f t="shared" si="105"/>
        <v>585.20000000000005</v>
      </c>
      <c r="V176" s="235">
        <f t="shared" si="106"/>
        <v>585.20000000000005</v>
      </c>
      <c r="W176" s="393">
        <v>1</v>
      </c>
      <c r="X176" s="235">
        <f t="shared" si="107"/>
        <v>585.20000000000005</v>
      </c>
      <c r="Y176" s="235">
        <f t="shared" si="108"/>
        <v>616</v>
      </c>
      <c r="Z176" s="235">
        <f t="shared" si="97"/>
        <v>15.399999999999977</v>
      </c>
      <c r="AA176" s="235"/>
      <c r="AB176" s="235">
        <f t="shared" si="109"/>
        <v>2010.5</v>
      </c>
      <c r="AC176" s="235">
        <f t="shared" si="110"/>
        <v>2021</v>
      </c>
      <c r="AD176" s="235">
        <f t="shared" si="111"/>
        <v>2020.5</v>
      </c>
      <c r="AE176" s="413">
        <f t="shared" si="112"/>
        <v>2020</v>
      </c>
      <c r="AF176" s="413">
        <f t="shared" si="113"/>
        <v>-8.3333333333333329E-2</v>
      </c>
      <c r="AG176" s="413">
        <f t="shared" si="114"/>
        <v>2020.5</v>
      </c>
      <c r="AH176" s="413">
        <f t="shared" si="115"/>
        <v>2020</v>
      </c>
      <c r="AI176" s="413">
        <f t="shared" si="116"/>
        <v>-8.3333333333333329E-2</v>
      </c>
      <c r="AJ176" s="307"/>
      <c r="AK176" s="307"/>
      <c r="AL176" s="307"/>
    </row>
    <row r="177" spans="1:38" ht="15.75">
      <c r="A177" s="307">
        <v>86</v>
      </c>
      <c r="B177" s="415" t="s">
        <v>694</v>
      </c>
      <c r="C177" s="410">
        <v>2010</v>
      </c>
      <c r="D177" s="407">
        <v>3</v>
      </c>
      <c r="E177" s="411"/>
      <c r="F177" s="397" t="s">
        <v>668</v>
      </c>
      <c r="G177" s="397">
        <v>10</v>
      </c>
      <c r="H177" s="407">
        <f t="shared" si="98"/>
        <v>2020</v>
      </c>
      <c r="I177" s="393"/>
      <c r="J177" s="393"/>
      <c r="K177" s="417">
        <v>3951</v>
      </c>
      <c r="L177" s="393"/>
      <c r="M177" s="235">
        <f t="shared" si="99"/>
        <v>3951</v>
      </c>
      <c r="N177" s="235">
        <f t="shared" si="100"/>
        <v>32.925000000000004</v>
      </c>
      <c r="O177" s="235">
        <f t="shared" si="101"/>
        <v>65.850000000029951</v>
      </c>
      <c r="P177" s="235">
        <f t="shared" si="102"/>
        <v>0</v>
      </c>
      <c r="Q177" s="235">
        <f t="shared" si="103"/>
        <v>65.850000000029951</v>
      </c>
      <c r="R177" s="393">
        <v>1</v>
      </c>
      <c r="S177" s="235">
        <f t="shared" si="104"/>
        <v>65.850000000029951</v>
      </c>
      <c r="T177" s="393"/>
      <c r="U177" s="235">
        <f t="shared" si="105"/>
        <v>3885.1499999999701</v>
      </c>
      <c r="V177" s="235">
        <f t="shared" si="106"/>
        <v>3885.1499999999701</v>
      </c>
      <c r="W177" s="393">
        <v>1</v>
      </c>
      <c r="X177" s="235">
        <f t="shared" si="107"/>
        <v>3885.1499999999701</v>
      </c>
      <c r="Y177" s="235">
        <f t="shared" si="108"/>
        <v>3951</v>
      </c>
      <c r="Z177" s="235">
        <f t="shared" si="97"/>
        <v>32.925000000014961</v>
      </c>
      <c r="AA177" s="235"/>
      <c r="AB177" s="235">
        <f t="shared" si="109"/>
        <v>2010.1666666666667</v>
      </c>
      <c r="AC177" s="235">
        <f t="shared" si="110"/>
        <v>2021</v>
      </c>
      <c r="AD177" s="235">
        <f t="shared" si="111"/>
        <v>2020.1666666666667</v>
      </c>
      <c r="AE177" s="413">
        <f t="shared" si="112"/>
        <v>2020</v>
      </c>
      <c r="AF177" s="413">
        <f t="shared" si="113"/>
        <v>-8.3333333333333329E-2</v>
      </c>
      <c r="AG177" s="413">
        <f t="shared" si="114"/>
        <v>2020.1666666666667</v>
      </c>
      <c r="AH177" s="413">
        <f t="shared" si="115"/>
        <v>2020</v>
      </c>
      <c r="AI177" s="413">
        <f t="shared" si="116"/>
        <v>-8.3333333333333329E-2</v>
      </c>
      <c r="AJ177" s="307"/>
      <c r="AK177" s="307"/>
      <c r="AL177" s="307"/>
    </row>
    <row r="178" spans="1:38" ht="15.75">
      <c r="A178" s="307">
        <v>88</v>
      </c>
      <c r="B178" s="415" t="s">
        <v>694</v>
      </c>
      <c r="C178" s="410">
        <v>2010</v>
      </c>
      <c r="D178" s="407">
        <v>8</v>
      </c>
      <c r="E178" s="411"/>
      <c r="F178" s="397" t="s">
        <v>668</v>
      </c>
      <c r="G178" s="397">
        <v>10</v>
      </c>
      <c r="H178" s="407">
        <f t="shared" si="98"/>
        <v>2020</v>
      </c>
      <c r="I178" s="393"/>
      <c r="J178" s="393"/>
      <c r="K178" s="417">
        <v>140</v>
      </c>
      <c r="L178" s="393"/>
      <c r="M178" s="235">
        <f t="shared" si="99"/>
        <v>140</v>
      </c>
      <c r="N178" s="235">
        <f t="shared" si="100"/>
        <v>1.1666666666666667</v>
      </c>
      <c r="O178" s="235">
        <f t="shared" si="101"/>
        <v>8.1666666666656056</v>
      </c>
      <c r="P178" s="235">
        <f t="shared" si="102"/>
        <v>0</v>
      </c>
      <c r="Q178" s="235">
        <f t="shared" si="103"/>
        <v>8.1666666666656056</v>
      </c>
      <c r="R178" s="393">
        <v>1</v>
      </c>
      <c r="S178" s="235">
        <f t="shared" si="104"/>
        <v>8.1666666666656056</v>
      </c>
      <c r="T178" s="393"/>
      <c r="U178" s="235">
        <f t="shared" si="105"/>
        <v>131.83333333333439</v>
      </c>
      <c r="V178" s="235">
        <f t="shared" si="106"/>
        <v>131.83333333333439</v>
      </c>
      <c r="W178" s="393">
        <v>1</v>
      </c>
      <c r="X178" s="235">
        <f t="shared" si="107"/>
        <v>131.83333333333439</v>
      </c>
      <c r="Y178" s="235">
        <f t="shared" si="108"/>
        <v>140</v>
      </c>
      <c r="Z178" s="235">
        <f t="shared" si="97"/>
        <v>4.0833333333328028</v>
      </c>
      <c r="AA178" s="235"/>
      <c r="AB178" s="235">
        <f t="shared" si="109"/>
        <v>2010.5833333333333</v>
      </c>
      <c r="AC178" s="235">
        <f t="shared" si="110"/>
        <v>2021</v>
      </c>
      <c r="AD178" s="235">
        <f t="shared" si="111"/>
        <v>2020.5833333333333</v>
      </c>
      <c r="AE178" s="413">
        <f t="shared" si="112"/>
        <v>2020</v>
      </c>
      <c r="AF178" s="413">
        <f t="shared" si="113"/>
        <v>-8.3333333333333329E-2</v>
      </c>
      <c r="AG178" s="413">
        <f t="shared" si="114"/>
        <v>2020.5833333333333</v>
      </c>
      <c r="AH178" s="413">
        <f t="shared" si="115"/>
        <v>2020</v>
      </c>
      <c r="AI178" s="413">
        <f t="shared" si="116"/>
        <v>-8.3333333333333329E-2</v>
      </c>
      <c r="AJ178" s="307"/>
      <c r="AK178" s="307"/>
      <c r="AL178" s="307"/>
    </row>
    <row r="179" spans="1:38" ht="15.75">
      <c r="A179" s="307">
        <v>174</v>
      </c>
      <c r="B179" s="415" t="s">
        <v>716</v>
      </c>
      <c r="C179" s="410">
        <v>2010</v>
      </c>
      <c r="D179" s="407">
        <v>12</v>
      </c>
      <c r="E179" s="411"/>
      <c r="F179" s="397" t="s">
        <v>668</v>
      </c>
      <c r="G179" s="397">
        <v>10</v>
      </c>
      <c r="H179" s="407">
        <f t="shared" si="98"/>
        <v>2020</v>
      </c>
      <c r="I179" s="393"/>
      <c r="J179" s="393"/>
      <c r="K179" s="417">
        <v>2181</v>
      </c>
      <c r="L179" s="393"/>
      <c r="M179" s="235">
        <f t="shared" si="99"/>
        <v>2181</v>
      </c>
      <c r="N179" s="235">
        <f t="shared" si="100"/>
        <v>18.175000000000001</v>
      </c>
      <c r="O179" s="235">
        <f t="shared" si="101"/>
        <v>199.92500000001652</v>
      </c>
      <c r="P179" s="235">
        <f t="shared" si="102"/>
        <v>0</v>
      </c>
      <c r="Q179" s="235">
        <f t="shared" si="103"/>
        <v>199.92500000001652</v>
      </c>
      <c r="R179" s="393">
        <v>1</v>
      </c>
      <c r="S179" s="235">
        <f t="shared" si="104"/>
        <v>199.92500000001652</v>
      </c>
      <c r="T179" s="393"/>
      <c r="U179" s="235">
        <f t="shared" si="105"/>
        <v>1981.0749999999834</v>
      </c>
      <c r="V179" s="235">
        <f t="shared" si="106"/>
        <v>1981.0749999999834</v>
      </c>
      <c r="W179" s="393">
        <v>1</v>
      </c>
      <c r="X179" s="235">
        <f t="shared" si="107"/>
        <v>1981.0749999999834</v>
      </c>
      <c r="Y179" s="235">
        <f t="shared" si="108"/>
        <v>2181</v>
      </c>
      <c r="Z179" s="235">
        <f t="shared" si="97"/>
        <v>99.962500000008276</v>
      </c>
      <c r="AA179" s="235"/>
      <c r="AB179" s="235">
        <f t="shared" si="109"/>
        <v>2010.9166666666667</v>
      </c>
      <c r="AC179" s="235">
        <f t="shared" si="110"/>
        <v>2021</v>
      </c>
      <c r="AD179" s="235">
        <f t="shared" si="111"/>
        <v>2020.9166666666667</v>
      </c>
      <c r="AE179" s="413">
        <f t="shared" si="112"/>
        <v>2020</v>
      </c>
      <c r="AF179" s="413">
        <f t="shared" si="113"/>
        <v>-8.3333333333333329E-2</v>
      </c>
      <c r="AG179" s="413">
        <f t="shared" si="114"/>
        <v>2020.9166666666667</v>
      </c>
      <c r="AH179" s="413">
        <f t="shared" si="115"/>
        <v>2020</v>
      </c>
      <c r="AI179" s="413">
        <f t="shared" si="116"/>
        <v>-8.3333333333333329E-2</v>
      </c>
      <c r="AJ179" s="307"/>
      <c r="AK179" s="307"/>
      <c r="AL179" s="307"/>
    </row>
    <row r="180" spans="1:38" ht="15.75">
      <c r="A180" s="307">
        <v>175</v>
      </c>
      <c r="B180" s="415" t="s">
        <v>716</v>
      </c>
      <c r="C180" s="410">
        <v>2010</v>
      </c>
      <c r="D180" s="407">
        <v>12</v>
      </c>
      <c r="E180" s="411"/>
      <c r="F180" s="397" t="s">
        <v>668</v>
      </c>
      <c r="G180" s="397">
        <v>10</v>
      </c>
      <c r="H180" s="407">
        <f t="shared" si="98"/>
        <v>2020</v>
      </c>
      <c r="I180" s="393"/>
      <c r="J180" s="393"/>
      <c r="K180" s="417">
        <v>2319</v>
      </c>
      <c r="L180" s="393"/>
      <c r="M180" s="235">
        <f t="shared" si="99"/>
        <v>2319</v>
      </c>
      <c r="N180" s="235">
        <f t="shared" si="100"/>
        <v>19.324999999999999</v>
      </c>
      <c r="O180" s="235">
        <f t="shared" si="101"/>
        <v>212.57500000001758</v>
      </c>
      <c r="P180" s="235">
        <f t="shared" si="102"/>
        <v>0</v>
      </c>
      <c r="Q180" s="235">
        <f t="shared" si="103"/>
        <v>212.57500000001758</v>
      </c>
      <c r="R180" s="393">
        <v>1</v>
      </c>
      <c r="S180" s="235">
        <f t="shared" si="104"/>
        <v>212.57500000001758</v>
      </c>
      <c r="T180" s="393"/>
      <c r="U180" s="235">
        <f t="shared" si="105"/>
        <v>2106.4249999999824</v>
      </c>
      <c r="V180" s="235">
        <f t="shared" si="106"/>
        <v>2106.4249999999824</v>
      </c>
      <c r="W180" s="393">
        <v>1</v>
      </c>
      <c r="X180" s="235">
        <f t="shared" si="107"/>
        <v>2106.4249999999824</v>
      </c>
      <c r="Y180" s="235">
        <f t="shared" si="108"/>
        <v>2319</v>
      </c>
      <c r="Z180" s="235">
        <f t="shared" si="97"/>
        <v>106.28750000000878</v>
      </c>
      <c r="AA180" s="235"/>
      <c r="AB180" s="235">
        <f t="shared" si="109"/>
        <v>2010.9166666666667</v>
      </c>
      <c r="AC180" s="235">
        <f t="shared" si="110"/>
        <v>2021</v>
      </c>
      <c r="AD180" s="235">
        <f t="shared" si="111"/>
        <v>2020.9166666666667</v>
      </c>
      <c r="AE180" s="413">
        <f t="shared" si="112"/>
        <v>2020</v>
      </c>
      <c r="AF180" s="413">
        <f t="shared" si="113"/>
        <v>-8.3333333333333329E-2</v>
      </c>
      <c r="AG180" s="413">
        <f t="shared" si="114"/>
        <v>2020.9166666666667</v>
      </c>
      <c r="AH180" s="413">
        <f t="shared" si="115"/>
        <v>2020</v>
      </c>
      <c r="AI180" s="413">
        <f t="shared" si="116"/>
        <v>-8.3333333333333329E-2</v>
      </c>
      <c r="AJ180" s="307"/>
      <c r="AK180" s="307"/>
      <c r="AL180" s="307"/>
    </row>
    <row r="181" spans="1:38" ht="15.75">
      <c r="A181" s="307">
        <v>176</v>
      </c>
      <c r="B181" s="415" t="s">
        <v>716</v>
      </c>
      <c r="C181" s="410">
        <v>2010</v>
      </c>
      <c r="D181" s="407">
        <v>5</v>
      </c>
      <c r="E181" s="411"/>
      <c r="F181" s="397" t="s">
        <v>668</v>
      </c>
      <c r="G181" s="397">
        <v>10</v>
      </c>
      <c r="H181" s="407">
        <f t="shared" si="98"/>
        <v>2020</v>
      </c>
      <c r="I181" s="393"/>
      <c r="J181" s="393"/>
      <c r="K181" s="417">
        <v>3013</v>
      </c>
      <c r="L181" s="393"/>
      <c r="M181" s="235">
        <f t="shared" si="99"/>
        <v>3013</v>
      </c>
      <c r="N181" s="235">
        <f t="shared" si="100"/>
        <v>25.108333333333334</v>
      </c>
      <c r="O181" s="235">
        <f t="shared" si="101"/>
        <v>100.4333333333105</v>
      </c>
      <c r="P181" s="235">
        <f t="shared" si="102"/>
        <v>0</v>
      </c>
      <c r="Q181" s="235">
        <f t="shared" si="103"/>
        <v>100.4333333333105</v>
      </c>
      <c r="R181" s="393">
        <v>1</v>
      </c>
      <c r="S181" s="235">
        <f t="shared" si="104"/>
        <v>100.4333333333105</v>
      </c>
      <c r="T181" s="393"/>
      <c r="U181" s="235">
        <f t="shared" si="105"/>
        <v>2912.5666666666893</v>
      </c>
      <c r="V181" s="235">
        <f t="shared" si="106"/>
        <v>2912.5666666666893</v>
      </c>
      <c r="W181" s="393">
        <v>1</v>
      </c>
      <c r="X181" s="235">
        <f t="shared" si="107"/>
        <v>2912.5666666666893</v>
      </c>
      <c r="Y181" s="235">
        <f t="shared" si="108"/>
        <v>3013</v>
      </c>
      <c r="Z181" s="235">
        <f t="shared" si="97"/>
        <v>50.216666666655328</v>
      </c>
      <c r="AA181" s="235"/>
      <c r="AB181" s="235">
        <f t="shared" si="109"/>
        <v>2010.3333333333333</v>
      </c>
      <c r="AC181" s="235">
        <f t="shared" si="110"/>
        <v>2021</v>
      </c>
      <c r="AD181" s="235">
        <f t="shared" si="111"/>
        <v>2020.3333333333333</v>
      </c>
      <c r="AE181" s="413">
        <f t="shared" si="112"/>
        <v>2020</v>
      </c>
      <c r="AF181" s="413">
        <f t="shared" si="113"/>
        <v>-8.3333333333333329E-2</v>
      </c>
      <c r="AG181" s="413">
        <f t="shared" si="114"/>
        <v>2020.3333333333333</v>
      </c>
      <c r="AH181" s="413">
        <f t="shared" si="115"/>
        <v>2020</v>
      </c>
      <c r="AI181" s="413">
        <f t="shared" si="116"/>
        <v>-8.3333333333333329E-2</v>
      </c>
      <c r="AJ181" s="307"/>
      <c r="AK181" s="307"/>
      <c r="AL181" s="307"/>
    </row>
    <row r="182" spans="1:38" ht="15.75">
      <c r="A182" s="307">
        <v>187</v>
      </c>
      <c r="B182" s="415" t="s">
        <v>721</v>
      </c>
      <c r="C182" s="410">
        <v>2011</v>
      </c>
      <c r="D182" s="407">
        <v>2</v>
      </c>
      <c r="E182" s="411"/>
      <c r="F182" s="397" t="s">
        <v>668</v>
      </c>
      <c r="G182" s="397">
        <v>10</v>
      </c>
      <c r="H182" s="407">
        <f t="shared" si="98"/>
        <v>2021</v>
      </c>
      <c r="I182" s="393"/>
      <c r="J182" s="393"/>
      <c r="K182" s="417">
        <v>6789</v>
      </c>
      <c r="L182" s="393"/>
      <c r="M182" s="235">
        <f t="shared" si="99"/>
        <v>6789</v>
      </c>
      <c r="N182" s="235">
        <f t="shared" si="100"/>
        <v>56.574999999999996</v>
      </c>
      <c r="O182" s="235">
        <f t="shared" si="101"/>
        <v>678.9</v>
      </c>
      <c r="P182" s="235">
        <f t="shared" si="102"/>
        <v>0</v>
      </c>
      <c r="Q182" s="235">
        <f t="shared" si="103"/>
        <v>678.9</v>
      </c>
      <c r="R182" s="393">
        <v>1</v>
      </c>
      <c r="S182" s="235">
        <f t="shared" si="104"/>
        <v>678.9</v>
      </c>
      <c r="T182" s="393"/>
      <c r="U182" s="235">
        <f t="shared" si="105"/>
        <v>6053.5250000000506</v>
      </c>
      <c r="V182" s="235">
        <f t="shared" si="106"/>
        <v>6053.5250000000506</v>
      </c>
      <c r="W182" s="393">
        <v>1</v>
      </c>
      <c r="X182" s="235">
        <f t="shared" si="107"/>
        <v>6053.5250000000506</v>
      </c>
      <c r="Y182" s="235">
        <f t="shared" si="108"/>
        <v>6732.4250000000502</v>
      </c>
      <c r="Z182" s="235">
        <f t="shared" si="97"/>
        <v>396.02499999994961</v>
      </c>
      <c r="AA182" s="235"/>
      <c r="AB182" s="235">
        <f t="shared" si="109"/>
        <v>2011.0833333333333</v>
      </c>
      <c r="AC182" s="235">
        <f t="shared" si="110"/>
        <v>2021</v>
      </c>
      <c r="AD182" s="235">
        <f t="shared" si="111"/>
        <v>2021.0833333333333</v>
      </c>
      <c r="AE182" s="413">
        <f t="shared" si="112"/>
        <v>2020</v>
      </c>
      <c r="AF182" s="413">
        <f t="shared" si="113"/>
        <v>-8.3333333333333329E-2</v>
      </c>
      <c r="AG182" s="413">
        <f t="shared" si="114"/>
        <v>2021.0833333333333</v>
      </c>
      <c r="AH182" s="413">
        <f t="shared" si="115"/>
        <v>2020</v>
      </c>
      <c r="AI182" s="413">
        <f t="shared" si="116"/>
        <v>-8.3333333333333329E-2</v>
      </c>
      <c r="AJ182" s="307"/>
      <c r="AK182" s="307"/>
      <c r="AL182" s="307"/>
    </row>
    <row r="183" spans="1:38" ht="15.75">
      <c r="A183" s="307">
        <v>188</v>
      </c>
      <c r="B183" s="415" t="s">
        <v>722</v>
      </c>
      <c r="C183" s="410">
        <v>2011</v>
      </c>
      <c r="D183" s="407">
        <v>3</v>
      </c>
      <c r="E183" s="411"/>
      <c r="F183" s="397" t="s">
        <v>668</v>
      </c>
      <c r="G183" s="397">
        <v>10</v>
      </c>
      <c r="H183" s="407">
        <f t="shared" si="98"/>
        <v>2021</v>
      </c>
      <c r="I183" s="393"/>
      <c r="J183" s="393"/>
      <c r="K183" s="417">
        <v>6789</v>
      </c>
      <c r="L183" s="393"/>
      <c r="M183" s="235">
        <f t="shared" si="99"/>
        <v>6789</v>
      </c>
      <c r="N183" s="235">
        <f t="shared" si="100"/>
        <v>56.574999999999996</v>
      </c>
      <c r="O183" s="235">
        <f t="shared" si="101"/>
        <v>678.9</v>
      </c>
      <c r="P183" s="235">
        <f t="shared" si="102"/>
        <v>0</v>
      </c>
      <c r="Q183" s="235">
        <f t="shared" si="103"/>
        <v>678.9</v>
      </c>
      <c r="R183" s="393">
        <v>1</v>
      </c>
      <c r="S183" s="235">
        <f t="shared" si="104"/>
        <v>678.9</v>
      </c>
      <c r="T183" s="393"/>
      <c r="U183" s="235">
        <f t="shared" si="105"/>
        <v>5996.949999999948</v>
      </c>
      <c r="V183" s="235">
        <f t="shared" si="106"/>
        <v>5996.949999999948</v>
      </c>
      <c r="W183" s="393">
        <v>1</v>
      </c>
      <c r="X183" s="235">
        <f t="shared" si="107"/>
        <v>5996.949999999948</v>
      </c>
      <c r="Y183" s="235">
        <f t="shared" si="108"/>
        <v>6675.8499999999476</v>
      </c>
      <c r="Z183" s="235">
        <f t="shared" si="97"/>
        <v>452.6000000000522</v>
      </c>
      <c r="AA183" s="235"/>
      <c r="AB183" s="235">
        <f t="shared" si="109"/>
        <v>2011.1666666666667</v>
      </c>
      <c r="AC183" s="235">
        <f t="shared" si="110"/>
        <v>2021</v>
      </c>
      <c r="AD183" s="235">
        <f t="shared" si="111"/>
        <v>2021.1666666666667</v>
      </c>
      <c r="AE183" s="413">
        <f t="shared" si="112"/>
        <v>2020</v>
      </c>
      <c r="AF183" s="413">
        <f t="shared" si="113"/>
        <v>-8.3333333333333329E-2</v>
      </c>
      <c r="AG183" s="413">
        <f t="shared" si="114"/>
        <v>2021.1666666666667</v>
      </c>
      <c r="AH183" s="413">
        <f t="shared" si="115"/>
        <v>2020</v>
      </c>
      <c r="AI183" s="413">
        <f t="shared" si="116"/>
        <v>-8.3333333333333329E-2</v>
      </c>
      <c r="AJ183" s="307"/>
      <c r="AK183" s="307"/>
      <c r="AL183" s="307"/>
    </row>
    <row r="184" spans="1:38" ht="15.75">
      <c r="A184" s="307">
        <v>189</v>
      </c>
      <c r="B184" s="415" t="s">
        <v>723</v>
      </c>
      <c r="C184" s="410">
        <v>2011</v>
      </c>
      <c r="D184" s="407">
        <v>4</v>
      </c>
      <c r="E184" s="411"/>
      <c r="F184" s="397" t="s">
        <v>668</v>
      </c>
      <c r="G184" s="397">
        <v>10</v>
      </c>
      <c r="H184" s="407">
        <f t="shared" si="98"/>
        <v>2021</v>
      </c>
      <c r="I184" s="393"/>
      <c r="J184" s="393"/>
      <c r="K184" s="417">
        <v>11767.7</v>
      </c>
      <c r="L184" s="393"/>
      <c r="M184" s="235">
        <f t="shared" si="99"/>
        <v>11767.7</v>
      </c>
      <c r="N184" s="235">
        <f t="shared" si="100"/>
        <v>98.064166666666665</v>
      </c>
      <c r="O184" s="235">
        <f t="shared" si="101"/>
        <v>1176.77</v>
      </c>
      <c r="P184" s="235">
        <f t="shared" si="102"/>
        <v>0</v>
      </c>
      <c r="Q184" s="235">
        <f t="shared" si="103"/>
        <v>1176.77</v>
      </c>
      <c r="R184" s="393">
        <v>1</v>
      </c>
      <c r="S184" s="235">
        <f t="shared" si="104"/>
        <v>1176.77</v>
      </c>
      <c r="T184" s="393"/>
      <c r="U184" s="235">
        <f t="shared" si="105"/>
        <v>10296.737499999999</v>
      </c>
      <c r="V184" s="235">
        <f t="shared" si="106"/>
        <v>10296.737499999999</v>
      </c>
      <c r="W184" s="393">
        <v>1</v>
      </c>
      <c r="X184" s="235">
        <f t="shared" si="107"/>
        <v>10296.737499999999</v>
      </c>
      <c r="Y184" s="235">
        <f t="shared" si="108"/>
        <v>11473.5075</v>
      </c>
      <c r="Z184" s="235">
        <f t="shared" si="97"/>
        <v>882.57750000000124</v>
      </c>
      <c r="AA184" s="235"/>
      <c r="AB184" s="235">
        <f t="shared" si="109"/>
        <v>2011.25</v>
      </c>
      <c r="AC184" s="235">
        <f t="shared" si="110"/>
        <v>2021</v>
      </c>
      <c r="AD184" s="235">
        <f t="shared" si="111"/>
        <v>2021.25</v>
      </c>
      <c r="AE184" s="413">
        <f t="shared" si="112"/>
        <v>2020</v>
      </c>
      <c r="AF184" s="413">
        <f t="shared" si="113"/>
        <v>-8.3333333333333329E-2</v>
      </c>
      <c r="AG184" s="413">
        <f t="shared" si="114"/>
        <v>2021.25</v>
      </c>
      <c r="AH184" s="413">
        <f t="shared" si="115"/>
        <v>2020</v>
      </c>
      <c r="AI184" s="413">
        <f t="shared" si="116"/>
        <v>-8.3333333333333329E-2</v>
      </c>
      <c r="AJ184" s="307"/>
      <c r="AK184" s="307"/>
      <c r="AL184" s="307"/>
    </row>
    <row r="185" spans="1:38" ht="15.75">
      <c r="A185" s="307">
        <v>190</v>
      </c>
      <c r="B185" s="415" t="s">
        <v>694</v>
      </c>
      <c r="C185" s="410">
        <v>2011</v>
      </c>
      <c r="D185" s="407">
        <v>3</v>
      </c>
      <c r="E185" s="411"/>
      <c r="F185" s="397" t="s">
        <v>668</v>
      </c>
      <c r="G185" s="397">
        <v>10</v>
      </c>
      <c r="H185" s="407">
        <f t="shared" si="98"/>
        <v>2021</v>
      </c>
      <c r="I185" s="393"/>
      <c r="J185" s="393"/>
      <c r="K185" s="417">
        <v>364</v>
      </c>
      <c r="L185" s="393"/>
      <c r="M185" s="235">
        <f t="shared" si="99"/>
        <v>364</v>
      </c>
      <c r="N185" s="235">
        <f t="shared" si="100"/>
        <v>3.0333333333333332</v>
      </c>
      <c r="O185" s="235">
        <f t="shared" si="101"/>
        <v>36.4</v>
      </c>
      <c r="P185" s="235">
        <f t="shared" si="102"/>
        <v>0</v>
      </c>
      <c r="Q185" s="235">
        <f t="shared" si="103"/>
        <v>36.4</v>
      </c>
      <c r="R185" s="393">
        <v>1</v>
      </c>
      <c r="S185" s="235">
        <f t="shared" si="104"/>
        <v>36.4</v>
      </c>
      <c r="T185" s="393"/>
      <c r="U185" s="235">
        <f t="shared" si="105"/>
        <v>321.53333333333057</v>
      </c>
      <c r="V185" s="235">
        <f t="shared" si="106"/>
        <v>321.53333333333057</v>
      </c>
      <c r="W185" s="393">
        <v>1</v>
      </c>
      <c r="X185" s="235">
        <f t="shared" si="107"/>
        <v>321.53333333333057</v>
      </c>
      <c r="Y185" s="235">
        <f t="shared" si="108"/>
        <v>357.93333333333055</v>
      </c>
      <c r="Z185" s="235">
        <f t="shared" si="97"/>
        <v>24.266666666669437</v>
      </c>
      <c r="AA185" s="235"/>
      <c r="AB185" s="235">
        <f t="shared" si="109"/>
        <v>2011.1666666666667</v>
      </c>
      <c r="AC185" s="235">
        <f t="shared" si="110"/>
        <v>2021</v>
      </c>
      <c r="AD185" s="235">
        <f t="shared" si="111"/>
        <v>2021.1666666666667</v>
      </c>
      <c r="AE185" s="413">
        <f t="shared" si="112"/>
        <v>2020</v>
      </c>
      <c r="AF185" s="413">
        <f t="shared" si="113"/>
        <v>-8.3333333333333329E-2</v>
      </c>
      <c r="AG185" s="413">
        <f t="shared" si="114"/>
        <v>2021.1666666666667</v>
      </c>
      <c r="AH185" s="413">
        <f t="shared" si="115"/>
        <v>2020</v>
      </c>
      <c r="AI185" s="413">
        <f t="shared" si="116"/>
        <v>-8.3333333333333329E-2</v>
      </c>
      <c r="AJ185" s="307"/>
      <c r="AK185" s="307"/>
      <c r="AL185" s="307"/>
    </row>
    <row r="186" spans="1:38" ht="15.75">
      <c r="A186" s="307">
        <v>191</v>
      </c>
      <c r="B186" s="415" t="s">
        <v>724</v>
      </c>
      <c r="C186" s="410">
        <v>2011</v>
      </c>
      <c r="D186" s="407">
        <v>5</v>
      </c>
      <c r="E186" s="411"/>
      <c r="F186" s="397" t="s">
        <v>668</v>
      </c>
      <c r="G186" s="397">
        <v>10</v>
      </c>
      <c r="H186" s="407">
        <f t="shared" si="98"/>
        <v>2021</v>
      </c>
      <c r="I186" s="393"/>
      <c r="J186" s="393"/>
      <c r="K186" s="417">
        <v>20166</v>
      </c>
      <c r="L186" s="393"/>
      <c r="M186" s="235">
        <f t="shared" si="99"/>
        <v>20166</v>
      </c>
      <c r="N186" s="235">
        <f t="shared" si="100"/>
        <v>168.04999999999998</v>
      </c>
      <c r="O186" s="235">
        <f t="shared" si="101"/>
        <v>2016.6</v>
      </c>
      <c r="P186" s="235">
        <f t="shared" si="102"/>
        <v>0</v>
      </c>
      <c r="Q186" s="235">
        <f t="shared" si="103"/>
        <v>2016.6</v>
      </c>
      <c r="R186" s="393">
        <v>1</v>
      </c>
      <c r="S186" s="235">
        <f t="shared" si="104"/>
        <v>2016.6</v>
      </c>
      <c r="T186" s="393"/>
      <c r="U186" s="235">
        <f t="shared" si="105"/>
        <v>17477.20000000015</v>
      </c>
      <c r="V186" s="235">
        <f t="shared" si="106"/>
        <v>17477.20000000015</v>
      </c>
      <c r="W186" s="393">
        <v>1</v>
      </c>
      <c r="X186" s="235">
        <f t="shared" si="107"/>
        <v>17477.20000000015</v>
      </c>
      <c r="Y186" s="235">
        <f t="shared" si="108"/>
        <v>19493.800000000148</v>
      </c>
      <c r="Z186" s="235">
        <f t="shared" si="97"/>
        <v>1680.4999999998508</v>
      </c>
      <c r="AA186" s="235"/>
      <c r="AB186" s="235">
        <f t="shared" si="109"/>
        <v>2011.3333333333333</v>
      </c>
      <c r="AC186" s="235">
        <f t="shared" si="110"/>
        <v>2021</v>
      </c>
      <c r="AD186" s="235">
        <f t="shared" si="111"/>
        <v>2021.3333333333333</v>
      </c>
      <c r="AE186" s="413">
        <f t="shared" si="112"/>
        <v>2020</v>
      </c>
      <c r="AF186" s="413">
        <f t="shared" si="113"/>
        <v>-8.3333333333333329E-2</v>
      </c>
      <c r="AG186" s="413">
        <f t="shared" si="114"/>
        <v>2021.3333333333333</v>
      </c>
      <c r="AH186" s="413">
        <f t="shared" si="115"/>
        <v>2020</v>
      </c>
      <c r="AI186" s="413">
        <f t="shared" si="116"/>
        <v>-8.3333333333333329E-2</v>
      </c>
      <c r="AJ186" s="307"/>
      <c r="AK186" s="307"/>
      <c r="AL186" s="307"/>
    </row>
    <row r="187" spans="1:38" ht="15.75">
      <c r="A187" s="307">
        <v>192</v>
      </c>
      <c r="B187" s="415" t="s">
        <v>694</v>
      </c>
      <c r="C187" s="410">
        <v>2011</v>
      </c>
      <c r="D187" s="407">
        <v>6</v>
      </c>
      <c r="E187" s="411"/>
      <c r="F187" s="397" t="s">
        <v>668</v>
      </c>
      <c r="G187" s="397">
        <v>10</v>
      </c>
      <c r="H187" s="407">
        <f t="shared" si="98"/>
        <v>2021</v>
      </c>
      <c r="I187" s="393"/>
      <c r="J187" s="393"/>
      <c r="K187" s="417">
        <v>3269</v>
      </c>
      <c r="L187" s="393"/>
      <c r="M187" s="235">
        <f t="shared" si="99"/>
        <v>3269</v>
      </c>
      <c r="N187" s="235">
        <f t="shared" si="100"/>
        <v>27.241666666666664</v>
      </c>
      <c r="O187" s="235">
        <f t="shared" si="101"/>
        <v>326.89999999999998</v>
      </c>
      <c r="P187" s="235">
        <f t="shared" si="102"/>
        <v>0</v>
      </c>
      <c r="Q187" s="235">
        <f t="shared" si="103"/>
        <v>326.89999999999998</v>
      </c>
      <c r="R187" s="393">
        <v>1</v>
      </c>
      <c r="S187" s="235">
        <f t="shared" si="104"/>
        <v>326.89999999999998</v>
      </c>
      <c r="T187" s="393"/>
      <c r="U187" s="235">
        <f t="shared" si="105"/>
        <v>2805.8916666666414</v>
      </c>
      <c r="V187" s="235">
        <f t="shared" si="106"/>
        <v>2805.8916666666414</v>
      </c>
      <c r="W187" s="393">
        <v>1</v>
      </c>
      <c r="X187" s="235">
        <f t="shared" si="107"/>
        <v>2805.8916666666414</v>
      </c>
      <c r="Y187" s="235">
        <f t="shared" si="108"/>
        <v>3132.7916666666415</v>
      </c>
      <c r="Z187" s="235">
        <f t="shared" si="97"/>
        <v>299.65833333335854</v>
      </c>
      <c r="AA187" s="235"/>
      <c r="AB187" s="235">
        <f t="shared" si="109"/>
        <v>2011.4166666666667</v>
      </c>
      <c r="AC187" s="235">
        <f t="shared" si="110"/>
        <v>2021</v>
      </c>
      <c r="AD187" s="235">
        <f t="shared" si="111"/>
        <v>2021.4166666666667</v>
      </c>
      <c r="AE187" s="413">
        <f t="shared" si="112"/>
        <v>2020</v>
      </c>
      <c r="AF187" s="413">
        <f t="shared" si="113"/>
        <v>-8.3333333333333329E-2</v>
      </c>
      <c r="AG187" s="413">
        <f t="shared" si="114"/>
        <v>2021.4166666666667</v>
      </c>
      <c r="AH187" s="413">
        <f t="shared" si="115"/>
        <v>2020</v>
      </c>
      <c r="AI187" s="413">
        <f t="shared" si="116"/>
        <v>-8.3333333333333329E-2</v>
      </c>
      <c r="AJ187" s="307"/>
      <c r="AK187" s="307"/>
      <c r="AL187" s="307"/>
    </row>
    <row r="188" spans="1:38" ht="15.75">
      <c r="A188" s="307">
        <v>193</v>
      </c>
      <c r="B188" s="415" t="s">
        <v>715</v>
      </c>
      <c r="C188" s="410">
        <v>2011</v>
      </c>
      <c r="D188" s="407">
        <v>8</v>
      </c>
      <c r="E188" s="411"/>
      <c r="F188" s="397" t="s">
        <v>668</v>
      </c>
      <c r="G188" s="397">
        <v>10</v>
      </c>
      <c r="H188" s="407">
        <f t="shared" si="98"/>
        <v>2021</v>
      </c>
      <c r="I188" s="393"/>
      <c r="J188" s="393"/>
      <c r="K188" s="417">
        <v>858</v>
      </c>
      <c r="L188" s="393"/>
      <c r="M188" s="235">
        <f t="shared" si="99"/>
        <v>858</v>
      </c>
      <c r="N188" s="235">
        <f t="shared" si="100"/>
        <v>7.1499999999999995</v>
      </c>
      <c r="O188" s="235">
        <f t="shared" si="101"/>
        <v>85.8</v>
      </c>
      <c r="P188" s="235">
        <f t="shared" si="102"/>
        <v>0</v>
      </c>
      <c r="Q188" s="235">
        <f t="shared" si="103"/>
        <v>85.8</v>
      </c>
      <c r="R188" s="393">
        <v>1</v>
      </c>
      <c r="S188" s="235">
        <f t="shared" si="104"/>
        <v>85.8</v>
      </c>
      <c r="T188" s="393"/>
      <c r="U188" s="235">
        <f t="shared" si="105"/>
        <v>722.15000000000646</v>
      </c>
      <c r="V188" s="235">
        <f t="shared" si="106"/>
        <v>722.15000000000646</v>
      </c>
      <c r="W188" s="393">
        <v>1</v>
      </c>
      <c r="X188" s="235">
        <f t="shared" si="107"/>
        <v>722.15000000000646</v>
      </c>
      <c r="Y188" s="235">
        <f t="shared" si="108"/>
        <v>807.95000000000641</v>
      </c>
      <c r="Z188" s="235">
        <f t="shared" si="97"/>
        <v>92.949999999993565</v>
      </c>
      <c r="AA188" s="235"/>
      <c r="AB188" s="235">
        <f t="shared" si="109"/>
        <v>2011.5833333333333</v>
      </c>
      <c r="AC188" s="235">
        <f t="shared" si="110"/>
        <v>2021</v>
      </c>
      <c r="AD188" s="235">
        <f t="shared" si="111"/>
        <v>2021.5833333333333</v>
      </c>
      <c r="AE188" s="413">
        <f t="shared" si="112"/>
        <v>2020</v>
      </c>
      <c r="AF188" s="413">
        <f t="shared" si="113"/>
        <v>-8.3333333333333329E-2</v>
      </c>
      <c r="AG188" s="413">
        <f t="shared" si="114"/>
        <v>2021.5833333333333</v>
      </c>
      <c r="AH188" s="413">
        <f t="shared" si="115"/>
        <v>2020</v>
      </c>
      <c r="AI188" s="413">
        <f t="shared" si="116"/>
        <v>-8.3333333333333329E-2</v>
      </c>
      <c r="AJ188" s="307"/>
      <c r="AK188" s="307"/>
      <c r="AL188" s="307"/>
    </row>
    <row r="189" spans="1:38" ht="15.75">
      <c r="A189" s="307">
        <v>194</v>
      </c>
      <c r="B189" s="415" t="s">
        <v>694</v>
      </c>
      <c r="C189" s="410">
        <v>2011</v>
      </c>
      <c r="D189" s="407">
        <v>8</v>
      </c>
      <c r="E189" s="411"/>
      <c r="F189" s="397" t="s">
        <v>668</v>
      </c>
      <c r="G189" s="397">
        <v>10</v>
      </c>
      <c r="H189" s="407">
        <f t="shared" si="98"/>
        <v>2021</v>
      </c>
      <c r="I189" s="393"/>
      <c r="J189" s="393"/>
      <c r="K189" s="417">
        <v>121</v>
      </c>
      <c r="L189" s="393"/>
      <c r="M189" s="235">
        <f t="shared" si="99"/>
        <v>121</v>
      </c>
      <c r="N189" s="235">
        <f t="shared" si="100"/>
        <v>1.0083333333333333</v>
      </c>
      <c r="O189" s="235">
        <f t="shared" si="101"/>
        <v>12.1</v>
      </c>
      <c r="P189" s="235">
        <f t="shared" si="102"/>
        <v>0</v>
      </c>
      <c r="Q189" s="235">
        <f t="shared" si="103"/>
        <v>12.1</v>
      </c>
      <c r="R189" s="393">
        <v>1</v>
      </c>
      <c r="S189" s="235">
        <f t="shared" si="104"/>
        <v>12.1</v>
      </c>
      <c r="T189" s="393"/>
      <c r="U189" s="235">
        <f t="shared" si="105"/>
        <v>101.84166666666758</v>
      </c>
      <c r="V189" s="235">
        <f t="shared" si="106"/>
        <v>101.84166666666758</v>
      </c>
      <c r="W189" s="393">
        <v>1</v>
      </c>
      <c r="X189" s="235">
        <f t="shared" si="107"/>
        <v>101.84166666666758</v>
      </c>
      <c r="Y189" s="235">
        <f t="shared" si="108"/>
        <v>113.94166666666757</v>
      </c>
      <c r="Z189" s="235">
        <f t="shared" si="97"/>
        <v>13.108333333332425</v>
      </c>
      <c r="AA189" s="235"/>
      <c r="AB189" s="235">
        <f t="shared" si="109"/>
        <v>2011.5833333333333</v>
      </c>
      <c r="AC189" s="235">
        <f t="shared" si="110"/>
        <v>2021</v>
      </c>
      <c r="AD189" s="235">
        <f t="shared" si="111"/>
        <v>2021.5833333333333</v>
      </c>
      <c r="AE189" s="413">
        <f t="shared" si="112"/>
        <v>2020</v>
      </c>
      <c r="AF189" s="413">
        <f t="shared" si="113"/>
        <v>-8.3333333333333329E-2</v>
      </c>
      <c r="AG189" s="413">
        <f t="shared" si="114"/>
        <v>2021.5833333333333</v>
      </c>
      <c r="AH189" s="413">
        <f t="shared" si="115"/>
        <v>2020</v>
      </c>
      <c r="AI189" s="413">
        <f t="shared" si="116"/>
        <v>-8.3333333333333329E-2</v>
      </c>
      <c r="AJ189" s="307"/>
      <c r="AK189" s="307"/>
      <c r="AL189" s="307"/>
    </row>
    <row r="190" spans="1:38" ht="15.75">
      <c r="A190" s="307">
        <v>195</v>
      </c>
      <c r="B190" s="415" t="s">
        <v>715</v>
      </c>
      <c r="C190" s="410">
        <v>2011</v>
      </c>
      <c r="D190" s="407">
        <v>8</v>
      </c>
      <c r="E190" s="411"/>
      <c r="F190" s="397" t="s">
        <v>668</v>
      </c>
      <c r="G190" s="397">
        <v>10</v>
      </c>
      <c r="H190" s="407">
        <f t="shared" si="98"/>
        <v>2021</v>
      </c>
      <c r="I190" s="393"/>
      <c r="J190" s="393"/>
      <c r="K190" s="417">
        <v>315</v>
      </c>
      <c r="L190" s="393"/>
      <c r="M190" s="235">
        <f t="shared" si="99"/>
        <v>315</v>
      </c>
      <c r="N190" s="235">
        <f t="shared" si="100"/>
        <v>2.625</v>
      </c>
      <c r="O190" s="235">
        <f t="shared" si="101"/>
        <v>31.5</v>
      </c>
      <c r="P190" s="235">
        <f t="shared" si="102"/>
        <v>0</v>
      </c>
      <c r="Q190" s="235">
        <f t="shared" si="103"/>
        <v>31.5</v>
      </c>
      <c r="R190" s="393">
        <v>1</v>
      </c>
      <c r="S190" s="235">
        <f t="shared" si="104"/>
        <v>31.5</v>
      </c>
      <c r="T190" s="393"/>
      <c r="U190" s="235">
        <f t="shared" si="105"/>
        <v>265.12500000000239</v>
      </c>
      <c r="V190" s="235">
        <f t="shared" si="106"/>
        <v>265.12500000000239</v>
      </c>
      <c r="W190" s="393">
        <v>1</v>
      </c>
      <c r="X190" s="235">
        <f t="shared" si="107"/>
        <v>265.12500000000239</v>
      </c>
      <c r="Y190" s="235">
        <f t="shared" si="108"/>
        <v>296.62500000000239</v>
      </c>
      <c r="Z190" s="235">
        <f t="shared" si="97"/>
        <v>34.124999999997613</v>
      </c>
      <c r="AA190" s="235"/>
      <c r="AB190" s="235">
        <f t="shared" si="109"/>
        <v>2011.5833333333333</v>
      </c>
      <c r="AC190" s="235">
        <f t="shared" si="110"/>
        <v>2021</v>
      </c>
      <c r="AD190" s="235">
        <f t="shared" si="111"/>
        <v>2021.5833333333333</v>
      </c>
      <c r="AE190" s="413">
        <f t="shared" si="112"/>
        <v>2020</v>
      </c>
      <c r="AF190" s="413">
        <f t="shared" si="113"/>
        <v>-8.3333333333333329E-2</v>
      </c>
      <c r="AG190" s="413">
        <f t="shared" si="114"/>
        <v>2021.5833333333333</v>
      </c>
      <c r="AH190" s="413">
        <f t="shared" si="115"/>
        <v>2020</v>
      </c>
      <c r="AI190" s="413">
        <f t="shared" si="116"/>
        <v>-8.3333333333333329E-2</v>
      </c>
      <c r="AJ190" s="307"/>
      <c r="AK190" s="307"/>
      <c r="AL190" s="307"/>
    </row>
    <row r="191" spans="1:38" ht="15.75">
      <c r="A191" s="307">
        <v>196</v>
      </c>
      <c r="B191" s="415" t="s">
        <v>715</v>
      </c>
      <c r="C191" s="410">
        <v>2011</v>
      </c>
      <c r="D191" s="407">
        <v>10</v>
      </c>
      <c r="E191" s="411"/>
      <c r="F191" s="397" t="s">
        <v>668</v>
      </c>
      <c r="G191" s="397">
        <v>10</v>
      </c>
      <c r="H191" s="407">
        <f t="shared" si="98"/>
        <v>2021</v>
      </c>
      <c r="I191" s="393"/>
      <c r="J191" s="393"/>
      <c r="K191" s="417">
        <v>1111</v>
      </c>
      <c r="L191" s="393"/>
      <c r="M191" s="235">
        <f t="shared" si="99"/>
        <v>1111</v>
      </c>
      <c r="N191" s="235">
        <f t="shared" si="100"/>
        <v>9.2583333333333329</v>
      </c>
      <c r="O191" s="235">
        <f t="shared" si="101"/>
        <v>111.1</v>
      </c>
      <c r="P191" s="235">
        <f t="shared" si="102"/>
        <v>0</v>
      </c>
      <c r="Q191" s="235">
        <f t="shared" si="103"/>
        <v>111.1</v>
      </c>
      <c r="R191" s="393">
        <v>1</v>
      </c>
      <c r="S191" s="235">
        <f t="shared" si="104"/>
        <v>111.1</v>
      </c>
      <c r="T191" s="393"/>
      <c r="U191" s="235">
        <f t="shared" si="105"/>
        <v>916.57499999999993</v>
      </c>
      <c r="V191" s="235">
        <f t="shared" si="106"/>
        <v>916.57499999999993</v>
      </c>
      <c r="W191" s="393">
        <v>1</v>
      </c>
      <c r="X191" s="235">
        <f t="shared" si="107"/>
        <v>916.57499999999993</v>
      </c>
      <c r="Y191" s="235">
        <f t="shared" si="108"/>
        <v>1027.675</v>
      </c>
      <c r="Z191" s="235">
        <f t="shared" si="97"/>
        <v>138.87500000000006</v>
      </c>
      <c r="AA191" s="235"/>
      <c r="AB191" s="235">
        <f t="shared" si="109"/>
        <v>2011.75</v>
      </c>
      <c r="AC191" s="235">
        <f t="shared" si="110"/>
        <v>2021</v>
      </c>
      <c r="AD191" s="235">
        <f t="shared" si="111"/>
        <v>2021.75</v>
      </c>
      <c r="AE191" s="413">
        <f t="shared" si="112"/>
        <v>2020</v>
      </c>
      <c r="AF191" s="413">
        <f t="shared" si="113"/>
        <v>-8.3333333333333329E-2</v>
      </c>
      <c r="AG191" s="413">
        <f t="shared" si="114"/>
        <v>2021.75</v>
      </c>
      <c r="AH191" s="413">
        <f t="shared" si="115"/>
        <v>2020</v>
      </c>
      <c r="AI191" s="413">
        <f t="shared" si="116"/>
        <v>-8.3333333333333329E-2</v>
      </c>
      <c r="AJ191" s="307"/>
      <c r="AK191" s="307"/>
      <c r="AL191" s="307"/>
    </row>
    <row r="192" spans="1:38" ht="15.75">
      <c r="A192" s="307">
        <v>197</v>
      </c>
      <c r="B192" s="415" t="s">
        <v>694</v>
      </c>
      <c r="C192" s="410">
        <v>2011</v>
      </c>
      <c r="D192" s="407">
        <v>10</v>
      </c>
      <c r="E192" s="411"/>
      <c r="F192" s="397" t="s">
        <v>668</v>
      </c>
      <c r="G192" s="397">
        <v>10</v>
      </c>
      <c r="H192" s="407">
        <f t="shared" si="98"/>
        <v>2021</v>
      </c>
      <c r="I192" s="393"/>
      <c r="J192" s="393"/>
      <c r="K192" s="417">
        <v>192</v>
      </c>
      <c r="L192" s="393"/>
      <c r="M192" s="235">
        <f t="shared" si="99"/>
        <v>192</v>
      </c>
      <c r="N192" s="235">
        <f t="shared" si="100"/>
        <v>1.5999999999999999</v>
      </c>
      <c r="O192" s="235">
        <f t="shared" si="101"/>
        <v>19.2</v>
      </c>
      <c r="P192" s="235">
        <f t="shared" si="102"/>
        <v>0</v>
      </c>
      <c r="Q192" s="235">
        <f t="shared" si="103"/>
        <v>19.2</v>
      </c>
      <c r="R192" s="393">
        <v>1</v>
      </c>
      <c r="S192" s="235">
        <f t="shared" si="104"/>
        <v>19.2</v>
      </c>
      <c r="T192" s="393"/>
      <c r="U192" s="235">
        <f t="shared" si="105"/>
        <v>158.39999999999998</v>
      </c>
      <c r="V192" s="235">
        <f t="shared" si="106"/>
        <v>158.39999999999998</v>
      </c>
      <c r="W192" s="393">
        <v>1</v>
      </c>
      <c r="X192" s="235">
        <f t="shared" si="107"/>
        <v>158.39999999999998</v>
      </c>
      <c r="Y192" s="235">
        <f t="shared" si="108"/>
        <v>177.59999999999997</v>
      </c>
      <c r="Z192" s="235">
        <f t="shared" si="97"/>
        <v>24.000000000000028</v>
      </c>
      <c r="AA192" s="235"/>
      <c r="AB192" s="235">
        <f t="shared" si="109"/>
        <v>2011.75</v>
      </c>
      <c r="AC192" s="235">
        <f t="shared" si="110"/>
        <v>2021</v>
      </c>
      <c r="AD192" s="235">
        <f t="shared" si="111"/>
        <v>2021.75</v>
      </c>
      <c r="AE192" s="413">
        <f t="shared" si="112"/>
        <v>2020</v>
      </c>
      <c r="AF192" s="413">
        <f t="shared" si="113"/>
        <v>-8.3333333333333329E-2</v>
      </c>
      <c r="AG192" s="413">
        <f t="shared" si="114"/>
        <v>2021.75</v>
      </c>
      <c r="AH192" s="413">
        <f t="shared" si="115"/>
        <v>2020</v>
      </c>
      <c r="AI192" s="413">
        <f t="shared" si="116"/>
        <v>-8.3333333333333329E-2</v>
      </c>
      <c r="AJ192" s="307"/>
      <c r="AK192" s="307"/>
      <c r="AL192" s="307"/>
    </row>
    <row r="193" spans="1:38" ht="15.75">
      <c r="A193" s="307">
        <v>198</v>
      </c>
      <c r="B193" s="415" t="s">
        <v>694</v>
      </c>
      <c r="C193" s="410">
        <v>2011</v>
      </c>
      <c r="D193" s="407">
        <v>10</v>
      </c>
      <c r="E193" s="411"/>
      <c r="F193" s="397" t="s">
        <v>668</v>
      </c>
      <c r="G193" s="397">
        <v>10</v>
      </c>
      <c r="H193" s="407">
        <f t="shared" si="98"/>
        <v>2021</v>
      </c>
      <c r="I193" s="393"/>
      <c r="J193" s="393"/>
      <c r="K193" s="417">
        <v>1230</v>
      </c>
      <c r="L193" s="393"/>
      <c r="M193" s="235">
        <f t="shared" si="99"/>
        <v>1230</v>
      </c>
      <c r="N193" s="235">
        <f t="shared" si="100"/>
        <v>10.25</v>
      </c>
      <c r="O193" s="235">
        <f t="shared" si="101"/>
        <v>123</v>
      </c>
      <c r="P193" s="235">
        <f t="shared" si="102"/>
        <v>0</v>
      </c>
      <c r="Q193" s="235">
        <f t="shared" si="103"/>
        <v>123</v>
      </c>
      <c r="R193" s="393">
        <v>1</v>
      </c>
      <c r="S193" s="235">
        <f t="shared" si="104"/>
        <v>123</v>
      </c>
      <c r="T193" s="393"/>
      <c r="U193" s="235">
        <f t="shared" si="105"/>
        <v>1014.75</v>
      </c>
      <c r="V193" s="235">
        <f t="shared" si="106"/>
        <v>1014.75</v>
      </c>
      <c r="W193" s="393">
        <v>1</v>
      </c>
      <c r="X193" s="235">
        <f t="shared" si="107"/>
        <v>1014.75</v>
      </c>
      <c r="Y193" s="235">
        <f t="shared" si="108"/>
        <v>1137.75</v>
      </c>
      <c r="Z193" s="235">
        <f t="shared" si="97"/>
        <v>153.75</v>
      </c>
      <c r="AA193" s="235"/>
      <c r="AB193" s="235">
        <f t="shared" si="109"/>
        <v>2011.75</v>
      </c>
      <c r="AC193" s="235">
        <f t="shared" si="110"/>
        <v>2021</v>
      </c>
      <c r="AD193" s="235">
        <f t="shared" si="111"/>
        <v>2021.75</v>
      </c>
      <c r="AE193" s="413">
        <f t="shared" si="112"/>
        <v>2020</v>
      </c>
      <c r="AF193" s="413">
        <f t="shared" si="113"/>
        <v>-8.3333333333333329E-2</v>
      </c>
      <c r="AG193" s="413">
        <f t="shared" si="114"/>
        <v>2021.75</v>
      </c>
      <c r="AH193" s="413">
        <f t="shared" si="115"/>
        <v>2020</v>
      </c>
      <c r="AI193" s="413">
        <f t="shared" si="116"/>
        <v>-8.3333333333333329E-2</v>
      </c>
      <c r="AJ193" s="307"/>
      <c r="AK193" s="307"/>
      <c r="AL193" s="307"/>
    </row>
    <row r="194" spans="1:38" ht="15.75">
      <c r="A194" s="307">
        <v>199</v>
      </c>
      <c r="B194" s="415" t="s">
        <v>698</v>
      </c>
      <c r="C194" s="410">
        <v>2011</v>
      </c>
      <c r="D194" s="407">
        <v>11</v>
      </c>
      <c r="E194" s="411"/>
      <c r="F194" s="397" t="s">
        <v>668</v>
      </c>
      <c r="G194" s="397">
        <v>10</v>
      </c>
      <c r="H194" s="407">
        <f t="shared" si="98"/>
        <v>2021</v>
      </c>
      <c r="I194" s="393"/>
      <c r="J194" s="393"/>
      <c r="K194" s="417">
        <v>2497.6</v>
      </c>
      <c r="L194" s="393"/>
      <c r="M194" s="235">
        <f t="shared" si="99"/>
        <v>2497.6</v>
      </c>
      <c r="N194" s="235">
        <f t="shared" si="100"/>
        <v>20.813333333333333</v>
      </c>
      <c r="O194" s="235">
        <f t="shared" si="101"/>
        <v>249.76</v>
      </c>
      <c r="P194" s="235">
        <f t="shared" si="102"/>
        <v>0</v>
      </c>
      <c r="Q194" s="235">
        <f t="shared" si="103"/>
        <v>249.76</v>
      </c>
      <c r="R194" s="393">
        <v>1</v>
      </c>
      <c r="S194" s="235">
        <f t="shared" si="104"/>
        <v>249.76</v>
      </c>
      <c r="T194" s="393"/>
      <c r="U194" s="235">
        <f t="shared" si="105"/>
        <v>2039.7066666666856</v>
      </c>
      <c r="V194" s="235">
        <f t="shared" si="106"/>
        <v>2039.7066666666856</v>
      </c>
      <c r="W194" s="393">
        <v>1</v>
      </c>
      <c r="X194" s="235">
        <f t="shared" si="107"/>
        <v>2039.7066666666856</v>
      </c>
      <c r="Y194" s="235">
        <f t="shared" si="108"/>
        <v>2289.4666666666853</v>
      </c>
      <c r="Z194" s="235">
        <f t="shared" si="97"/>
        <v>333.01333333331445</v>
      </c>
      <c r="AA194" s="235"/>
      <c r="AB194" s="235">
        <f t="shared" si="109"/>
        <v>2011.8333333333333</v>
      </c>
      <c r="AC194" s="235">
        <f t="shared" si="110"/>
        <v>2021</v>
      </c>
      <c r="AD194" s="235">
        <f t="shared" si="111"/>
        <v>2021.8333333333333</v>
      </c>
      <c r="AE194" s="413">
        <f t="shared" si="112"/>
        <v>2020</v>
      </c>
      <c r="AF194" s="413">
        <f t="shared" si="113"/>
        <v>-8.3333333333333329E-2</v>
      </c>
      <c r="AG194" s="413">
        <f t="shared" si="114"/>
        <v>2021.8333333333333</v>
      </c>
      <c r="AH194" s="413">
        <f t="shared" si="115"/>
        <v>2020</v>
      </c>
      <c r="AI194" s="413">
        <f t="shared" si="116"/>
        <v>-8.3333333333333329E-2</v>
      </c>
      <c r="AJ194" s="307"/>
      <c r="AK194" s="307"/>
      <c r="AL194" s="307"/>
    </row>
    <row r="195" spans="1:38" ht="15.75">
      <c r="A195" s="307">
        <v>200</v>
      </c>
      <c r="B195" s="415" t="s">
        <v>725</v>
      </c>
      <c r="C195" s="410">
        <v>2011</v>
      </c>
      <c r="D195" s="407">
        <v>12</v>
      </c>
      <c r="E195" s="411"/>
      <c r="F195" s="397" t="s">
        <v>668</v>
      </c>
      <c r="G195" s="397">
        <v>10</v>
      </c>
      <c r="H195" s="407">
        <f t="shared" si="98"/>
        <v>2021</v>
      </c>
      <c r="I195" s="393"/>
      <c r="J195" s="393"/>
      <c r="K195" s="417">
        <v>3198</v>
      </c>
      <c r="L195" s="393"/>
      <c r="M195" s="235">
        <f t="shared" si="99"/>
        <v>3198</v>
      </c>
      <c r="N195" s="235">
        <f t="shared" si="100"/>
        <v>26.650000000000002</v>
      </c>
      <c r="O195" s="235">
        <f t="shared" si="101"/>
        <v>319.8</v>
      </c>
      <c r="P195" s="235">
        <f t="shared" si="102"/>
        <v>0</v>
      </c>
      <c r="Q195" s="235">
        <f t="shared" si="103"/>
        <v>319.8</v>
      </c>
      <c r="R195" s="393">
        <v>1</v>
      </c>
      <c r="S195" s="235">
        <f t="shared" si="104"/>
        <v>319.8</v>
      </c>
      <c r="T195" s="393"/>
      <c r="U195" s="235">
        <f t="shared" si="105"/>
        <v>2585.0499999999761</v>
      </c>
      <c r="V195" s="235">
        <f t="shared" si="106"/>
        <v>2585.0499999999761</v>
      </c>
      <c r="W195" s="393">
        <v>1</v>
      </c>
      <c r="X195" s="235">
        <f t="shared" si="107"/>
        <v>2585.0499999999761</v>
      </c>
      <c r="Y195" s="235">
        <f t="shared" si="108"/>
        <v>2904.8499999999763</v>
      </c>
      <c r="Z195" s="235">
        <f t="shared" si="97"/>
        <v>453.05000000002383</v>
      </c>
      <c r="AA195" s="235"/>
      <c r="AB195" s="235">
        <f t="shared" si="109"/>
        <v>2011.9166666666667</v>
      </c>
      <c r="AC195" s="235">
        <f t="shared" si="110"/>
        <v>2021</v>
      </c>
      <c r="AD195" s="235">
        <f t="shared" si="111"/>
        <v>2021.9166666666667</v>
      </c>
      <c r="AE195" s="413">
        <f t="shared" si="112"/>
        <v>2020</v>
      </c>
      <c r="AF195" s="413">
        <f t="shared" si="113"/>
        <v>-8.3333333333333329E-2</v>
      </c>
      <c r="AG195" s="413">
        <f t="shared" si="114"/>
        <v>2021.9166666666667</v>
      </c>
      <c r="AH195" s="413">
        <f t="shared" si="115"/>
        <v>2020</v>
      </c>
      <c r="AI195" s="413">
        <f t="shared" si="116"/>
        <v>-8.3333333333333329E-2</v>
      </c>
      <c r="AJ195" s="307"/>
      <c r="AK195" s="307"/>
      <c r="AL195" s="307"/>
    </row>
    <row r="196" spans="1:38" ht="15.75">
      <c r="A196" s="307">
        <v>201</v>
      </c>
      <c r="B196" s="415" t="s">
        <v>694</v>
      </c>
      <c r="C196" s="410">
        <v>2011</v>
      </c>
      <c r="D196" s="407">
        <v>12</v>
      </c>
      <c r="E196" s="411"/>
      <c r="F196" s="397" t="s">
        <v>668</v>
      </c>
      <c r="G196" s="397">
        <v>10</v>
      </c>
      <c r="H196" s="407">
        <f t="shared" si="98"/>
        <v>2021</v>
      </c>
      <c r="I196" s="393"/>
      <c r="J196" s="393"/>
      <c r="K196" s="417">
        <v>1612</v>
      </c>
      <c r="L196" s="393"/>
      <c r="M196" s="235">
        <f t="shared" si="99"/>
        <v>1612</v>
      </c>
      <c r="N196" s="235">
        <f t="shared" si="100"/>
        <v>13.433333333333332</v>
      </c>
      <c r="O196" s="235">
        <f t="shared" si="101"/>
        <v>161.19999999999999</v>
      </c>
      <c r="P196" s="235">
        <f t="shared" si="102"/>
        <v>0</v>
      </c>
      <c r="Q196" s="235">
        <f t="shared" si="103"/>
        <v>161.19999999999999</v>
      </c>
      <c r="R196" s="393">
        <v>1</v>
      </c>
      <c r="S196" s="235">
        <f t="shared" si="104"/>
        <v>161.19999999999999</v>
      </c>
      <c r="T196" s="393"/>
      <c r="U196" s="235">
        <f t="shared" si="105"/>
        <v>1303.033333333321</v>
      </c>
      <c r="V196" s="235">
        <f t="shared" si="106"/>
        <v>1303.033333333321</v>
      </c>
      <c r="W196" s="393">
        <v>1</v>
      </c>
      <c r="X196" s="235">
        <f t="shared" si="107"/>
        <v>1303.033333333321</v>
      </c>
      <c r="Y196" s="235">
        <f t="shared" si="108"/>
        <v>1464.2333333333211</v>
      </c>
      <c r="Z196" s="235">
        <f t="shared" si="97"/>
        <v>228.36666666667895</v>
      </c>
      <c r="AA196" s="235"/>
      <c r="AB196" s="235">
        <f t="shared" si="109"/>
        <v>2011.9166666666667</v>
      </c>
      <c r="AC196" s="235">
        <f t="shared" si="110"/>
        <v>2021</v>
      </c>
      <c r="AD196" s="235">
        <f t="shared" si="111"/>
        <v>2021.9166666666667</v>
      </c>
      <c r="AE196" s="413">
        <f t="shared" si="112"/>
        <v>2020</v>
      </c>
      <c r="AF196" s="413">
        <f t="shared" si="113"/>
        <v>-8.3333333333333329E-2</v>
      </c>
      <c r="AG196" s="413">
        <f t="shared" si="114"/>
        <v>2021.9166666666667</v>
      </c>
      <c r="AH196" s="413">
        <f t="shared" si="115"/>
        <v>2020</v>
      </c>
      <c r="AI196" s="413">
        <f t="shared" si="116"/>
        <v>-8.3333333333333329E-2</v>
      </c>
      <c r="AJ196" s="307"/>
      <c r="AK196" s="307"/>
      <c r="AL196" s="307"/>
    </row>
    <row r="197" spans="1:38" ht="15.75">
      <c r="A197" s="307">
        <v>202</v>
      </c>
      <c r="B197" s="415" t="s">
        <v>716</v>
      </c>
      <c r="C197" s="410">
        <v>2011</v>
      </c>
      <c r="D197" s="407">
        <v>3</v>
      </c>
      <c r="E197" s="411"/>
      <c r="F197" s="397" t="s">
        <v>668</v>
      </c>
      <c r="G197" s="397">
        <v>10</v>
      </c>
      <c r="H197" s="407">
        <f t="shared" si="98"/>
        <v>2021</v>
      </c>
      <c r="I197" s="393"/>
      <c r="J197" s="393"/>
      <c r="K197" s="417">
        <v>786</v>
      </c>
      <c r="L197" s="393"/>
      <c r="M197" s="235">
        <f t="shared" si="99"/>
        <v>786</v>
      </c>
      <c r="N197" s="235">
        <f t="shared" si="100"/>
        <v>6.55</v>
      </c>
      <c r="O197" s="235">
        <f t="shared" si="101"/>
        <v>78.599999999999994</v>
      </c>
      <c r="P197" s="235">
        <f t="shared" si="102"/>
        <v>0</v>
      </c>
      <c r="Q197" s="235">
        <f t="shared" si="103"/>
        <v>78.599999999999994</v>
      </c>
      <c r="R197" s="393">
        <v>1</v>
      </c>
      <c r="S197" s="235">
        <f t="shared" si="104"/>
        <v>78.599999999999994</v>
      </c>
      <c r="T197" s="393"/>
      <c r="U197" s="235">
        <f t="shared" si="105"/>
        <v>694.29999999999404</v>
      </c>
      <c r="V197" s="235">
        <f t="shared" si="106"/>
        <v>694.29999999999404</v>
      </c>
      <c r="W197" s="393">
        <v>1</v>
      </c>
      <c r="X197" s="235">
        <f t="shared" si="107"/>
        <v>694.29999999999404</v>
      </c>
      <c r="Y197" s="235">
        <f t="shared" si="108"/>
        <v>772.89999999999407</v>
      </c>
      <c r="Z197" s="235">
        <f t="shared" si="97"/>
        <v>52.400000000005946</v>
      </c>
      <c r="AA197" s="235"/>
      <c r="AB197" s="235">
        <f t="shared" si="109"/>
        <v>2011.1666666666667</v>
      </c>
      <c r="AC197" s="235">
        <f t="shared" si="110"/>
        <v>2021</v>
      </c>
      <c r="AD197" s="235">
        <f t="shared" si="111"/>
        <v>2021.1666666666667</v>
      </c>
      <c r="AE197" s="413">
        <f t="shared" si="112"/>
        <v>2020</v>
      </c>
      <c r="AF197" s="413">
        <f t="shared" si="113"/>
        <v>-8.3333333333333329E-2</v>
      </c>
      <c r="AG197" s="413">
        <f t="shared" si="114"/>
        <v>2021.1666666666667</v>
      </c>
      <c r="AH197" s="413">
        <f t="shared" si="115"/>
        <v>2020</v>
      </c>
      <c r="AI197" s="413">
        <f t="shared" si="116"/>
        <v>-8.3333333333333329E-2</v>
      </c>
      <c r="AJ197" s="307"/>
      <c r="AK197" s="307"/>
      <c r="AL197" s="307"/>
    </row>
    <row r="198" spans="1:38" ht="15.75">
      <c r="A198" s="307">
        <v>203</v>
      </c>
      <c r="B198" s="415" t="s">
        <v>694</v>
      </c>
      <c r="C198" s="410">
        <v>2011</v>
      </c>
      <c r="D198" s="407">
        <v>6</v>
      </c>
      <c r="E198" s="411"/>
      <c r="F198" s="397" t="s">
        <v>668</v>
      </c>
      <c r="G198" s="397">
        <v>10</v>
      </c>
      <c r="H198" s="407">
        <f t="shared" si="98"/>
        <v>2021</v>
      </c>
      <c r="I198" s="393"/>
      <c r="J198" s="393"/>
      <c r="K198" s="417">
        <v>2060</v>
      </c>
      <c r="L198" s="393"/>
      <c r="M198" s="235">
        <f t="shared" si="99"/>
        <v>2060</v>
      </c>
      <c r="N198" s="235">
        <f t="shared" si="100"/>
        <v>17.166666666666668</v>
      </c>
      <c r="O198" s="235">
        <f t="shared" si="101"/>
        <v>206</v>
      </c>
      <c r="P198" s="235">
        <f t="shared" si="102"/>
        <v>0</v>
      </c>
      <c r="Q198" s="235">
        <f t="shared" si="103"/>
        <v>206</v>
      </c>
      <c r="R198" s="393">
        <v>1</v>
      </c>
      <c r="S198" s="235">
        <f t="shared" si="104"/>
        <v>206</v>
      </c>
      <c r="T198" s="393"/>
      <c r="U198" s="235">
        <f t="shared" si="105"/>
        <v>1768.1666666666513</v>
      </c>
      <c r="V198" s="235">
        <f t="shared" si="106"/>
        <v>1768.1666666666513</v>
      </c>
      <c r="W198" s="393">
        <v>1</v>
      </c>
      <c r="X198" s="235">
        <f t="shared" si="107"/>
        <v>1768.1666666666513</v>
      </c>
      <c r="Y198" s="235">
        <f t="shared" si="108"/>
        <v>1974.1666666666513</v>
      </c>
      <c r="Z198" s="235">
        <f t="shared" si="97"/>
        <v>188.83333333334872</v>
      </c>
      <c r="AA198" s="235"/>
      <c r="AB198" s="235">
        <f t="shared" si="109"/>
        <v>2011.4166666666667</v>
      </c>
      <c r="AC198" s="235">
        <f t="shared" si="110"/>
        <v>2021</v>
      </c>
      <c r="AD198" s="235">
        <f t="shared" si="111"/>
        <v>2021.4166666666667</v>
      </c>
      <c r="AE198" s="413">
        <f t="shared" si="112"/>
        <v>2020</v>
      </c>
      <c r="AF198" s="413">
        <f t="shared" si="113"/>
        <v>-8.3333333333333329E-2</v>
      </c>
      <c r="AG198" s="413">
        <f t="shared" si="114"/>
        <v>2021.4166666666667</v>
      </c>
      <c r="AH198" s="413">
        <f t="shared" si="115"/>
        <v>2020</v>
      </c>
      <c r="AI198" s="413">
        <f t="shared" si="116"/>
        <v>-8.3333333333333329E-2</v>
      </c>
      <c r="AJ198" s="307"/>
      <c r="AK198" s="307"/>
      <c r="AL198" s="307"/>
    </row>
    <row r="199" spans="1:38" ht="15.75">
      <c r="A199" s="307">
        <v>204</v>
      </c>
      <c r="B199" s="415" t="s">
        <v>694</v>
      </c>
      <c r="C199" s="410">
        <v>2011</v>
      </c>
      <c r="D199" s="407">
        <v>10</v>
      </c>
      <c r="E199" s="411"/>
      <c r="F199" s="397" t="s">
        <v>668</v>
      </c>
      <c r="G199" s="397">
        <v>10</v>
      </c>
      <c r="H199" s="407">
        <f t="shared" si="98"/>
        <v>2021</v>
      </c>
      <c r="I199" s="393"/>
      <c r="J199" s="393"/>
      <c r="K199" s="417">
        <v>700</v>
      </c>
      <c r="L199" s="393"/>
      <c r="M199" s="235">
        <f t="shared" si="99"/>
        <v>700</v>
      </c>
      <c r="N199" s="235">
        <f t="shared" si="100"/>
        <v>5.833333333333333</v>
      </c>
      <c r="O199" s="235">
        <f t="shared" si="101"/>
        <v>70</v>
      </c>
      <c r="P199" s="235">
        <f t="shared" si="102"/>
        <v>0</v>
      </c>
      <c r="Q199" s="235">
        <f t="shared" si="103"/>
        <v>70</v>
      </c>
      <c r="R199" s="393">
        <v>1</v>
      </c>
      <c r="S199" s="235">
        <f t="shared" si="104"/>
        <v>70</v>
      </c>
      <c r="T199" s="393"/>
      <c r="U199" s="235">
        <f t="shared" si="105"/>
        <v>577.5</v>
      </c>
      <c r="V199" s="235">
        <f t="shared" si="106"/>
        <v>577.5</v>
      </c>
      <c r="W199" s="393">
        <v>1</v>
      </c>
      <c r="X199" s="235">
        <f t="shared" si="107"/>
        <v>577.5</v>
      </c>
      <c r="Y199" s="235">
        <f t="shared" si="108"/>
        <v>647.5</v>
      </c>
      <c r="Z199" s="235">
        <f t="shared" si="97"/>
        <v>87.5</v>
      </c>
      <c r="AA199" s="235"/>
      <c r="AB199" s="235">
        <f t="shared" si="109"/>
        <v>2011.75</v>
      </c>
      <c r="AC199" s="235">
        <f t="shared" si="110"/>
        <v>2021</v>
      </c>
      <c r="AD199" s="235">
        <f t="shared" si="111"/>
        <v>2021.75</v>
      </c>
      <c r="AE199" s="413">
        <f t="shared" si="112"/>
        <v>2020</v>
      </c>
      <c r="AF199" s="413">
        <f t="shared" si="113"/>
        <v>-8.3333333333333329E-2</v>
      </c>
      <c r="AG199" s="413">
        <f t="shared" si="114"/>
        <v>2021.75</v>
      </c>
      <c r="AH199" s="413">
        <f t="shared" si="115"/>
        <v>2020</v>
      </c>
      <c r="AI199" s="413">
        <f t="shared" si="116"/>
        <v>-8.3333333333333329E-2</v>
      </c>
      <c r="AJ199" s="307"/>
      <c r="AK199" s="307"/>
      <c r="AL199" s="307"/>
    </row>
    <row r="200" spans="1:38" ht="15.75">
      <c r="A200" s="307">
        <v>208</v>
      </c>
      <c r="B200" s="415" t="s">
        <v>694</v>
      </c>
      <c r="C200" s="410">
        <v>2012</v>
      </c>
      <c r="D200" s="407">
        <v>5</v>
      </c>
      <c r="E200" s="411"/>
      <c r="F200" s="397" t="s">
        <v>668</v>
      </c>
      <c r="G200" s="397">
        <v>10</v>
      </c>
      <c r="H200" s="407">
        <f t="shared" si="98"/>
        <v>2022</v>
      </c>
      <c r="I200" s="393"/>
      <c r="J200" s="393"/>
      <c r="K200" s="417">
        <v>372</v>
      </c>
      <c r="L200" s="393"/>
      <c r="M200" s="235">
        <f t="shared" si="99"/>
        <v>372</v>
      </c>
      <c r="N200" s="235">
        <f t="shared" si="100"/>
        <v>3.1</v>
      </c>
      <c r="O200" s="235">
        <f t="shared" si="101"/>
        <v>37.200000000000003</v>
      </c>
      <c r="P200" s="235">
        <f t="shared" si="102"/>
        <v>0</v>
      </c>
      <c r="Q200" s="235">
        <f t="shared" si="103"/>
        <v>37.200000000000003</v>
      </c>
      <c r="R200" s="393">
        <v>1</v>
      </c>
      <c r="S200" s="235">
        <f t="shared" si="104"/>
        <v>37.200000000000003</v>
      </c>
      <c r="T200" s="393"/>
      <c r="U200" s="235">
        <f t="shared" si="105"/>
        <v>285.20000000000283</v>
      </c>
      <c r="V200" s="235">
        <f t="shared" si="106"/>
        <v>285.20000000000283</v>
      </c>
      <c r="W200" s="393">
        <v>1</v>
      </c>
      <c r="X200" s="235">
        <f t="shared" si="107"/>
        <v>285.20000000000283</v>
      </c>
      <c r="Y200" s="235">
        <f t="shared" si="108"/>
        <v>322.40000000000282</v>
      </c>
      <c r="Z200" s="235">
        <f t="shared" si="97"/>
        <v>68.199999999997175</v>
      </c>
      <c r="AA200" s="235"/>
      <c r="AB200" s="235">
        <f t="shared" si="109"/>
        <v>2012.3333333333333</v>
      </c>
      <c r="AC200" s="235">
        <f t="shared" si="110"/>
        <v>2021</v>
      </c>
      <c r="AD200" s="235">
        <f t="shared" si="111"/>
        <v>2022.3333333333333</v>
      </c>
      <c r="AE200" s="413">
        <f t="shared" si="112"/>
        <v>2020</v>
      </c>
      <c r="AF200" s="413">
        <f t="shared" si="113"/>
        <v>-8.3333333333333329E-2</v>
      </c>
      <c r="AG200" s="413">
        <f t="shared" si="114"/>
        <v>2022.3333333333333</v>
      </c>
      <c r="AH200" s="413">
        <f t="shared" si="115"/>
        <v>2020</v>
      </c>
      <c r="AI200" s="413">
        <f t="shared" si="116"/>
        <v>-8.3333333333333329E-2</v>
      </c>
      <c r="AJ200" s="307"/>
      <c r="AK200" s="307"/>
      <c r="AL200" s="307"/>
    </row>
    <row r="201" spans="1:38" ht="15.75">
      <c r="A201" s="307">
        <v>209</v>
      </c>
      <c r="B201" s="415" t="s">
        <v>698</v>
      </c>
      <c r="C201" s="410">
        <v>2012</v>
      </c>
      <c r="D201" s="407">
        <v>5</v>
      </c>
      <c r="E201" s="411"/>
      <c r="F201" s="397" t="s">
        <v>668</v>
      </c>
      <c r="G201" s="397">
        <v>10</v>
      </c>
      <c r="H201" s="407">
        <f t="shared" si="98"/>
        <v>2022</v>
      </c>
      <c r="I201" s="393"/>
      <c r="J201" s="393"/>
      <c r="K201" s="417">
        <v>1642</v>
      </c>
      <c r="L201" s="393"/>
      <c r="M201" s="235">
        <f t="shared" si="99"/>
        <v>1642</v>
      </c>
      <c r="N201" s="235">
        <f t="shared" si="100"/>
        <v>13.683333333333332</v>
      </c>
      <c r="O201" s="235">
        <f t="shared" si="101"/>
        <v>164.2</v>
      </c>
      <c r="P201" s="235">
        <f t="shared" si="102"/>
        <v>0</v>
      </c>
      <c r="Q201" s="235">
        <f t="shared" si="103"/>
        <v>164.2</v>
      </c>
      <c r="R201" s="393">
        <v>1</v>
      </c>
      <c r="S201" s="235">
        <f t="shared" si="104"/>
        <v>164.2</v>
      </c>
      <c r="T201" s="393"/>
      <c r="U201" s="235">
        <f t="shared" si="105"/>
        <v>1258.8666666666791</v>
      </c>
      <c r="V201" s="235">
        <f t="shared" si="106"/>
        <v>1258.8666666666791</v>
      </c>
      <c r="W201" s="393">
        <v>1</v>
      </c>
      <c r="X201" s="235">
        <f t="shared" si="107"/>
        <v>1258.8666666666791</v>
      </c>
      <c r="Y201" s="235">
        <f t="shared" si="108"/>
        <v>1423.0666666666791</v>
      </c>
      <c r="Z201" s="235">
        <f t="shared" si="97"/>
        <v>301.03333333332091</v>
      </c>
      <c r="AA201" s="235"/>
      <c r="AB201" s="235">
        <f t="shared" si="109"/>
        <v>2012.3333333333333</v>
      </c>
      <c r="AC201" s="235">
        <f t="shared" si="110"/>
        <v>2021</v>
      </c>
      <c r="AD201" s="235">
        <f t="shared" si="111"/>
        <v>2022.3333333333333</v>
      </c>
      <c r="AE201" s="413">
        <f t="shared" si="112"/>
        <v>2020</v>
      </c>
      <c r="AF201" s="413">
        <f t="shared" si="113"/>
        <v>-8.3333333333333329E-2</v>
      </c>
      <c r="AG201" s="413">
        <f t="shared" si="114"/>
        <v>2022.3333333333333</v>
      </c>
      <c r="AH201" s="413">
        <f t="shared" si="115"/>
        <v>2020</v>
      </c>
      <c r="AI201" s="413">
        <f t="shared" si="116"/>
        <v>-8.3333333333333329E-2</v>
      </c>
      <c r="AJ201" s="307"/>
      <c r="AK201" s="307"/>
      <c r="AL201" s="307"/>
    </row>
    <row r="202" spans="1:38" ht="15.75">
      <c r="A202" s="307">
        <v>205</v>
      </c>
      <c r="B202" s="415" t="s">
        <v>694</v>
      </c>
      <c r="C202" s="410">
        <v>2012</v>
      </c>
      <c r="D202" s="407">
        <v>2</v>
      </c>
      <c r="E202" s="411"/>
      <c r="F202" s="397" t="s">
        <v>668</v>
      </c>
      <c r="G202" s="397">
        <v>10</v>
      </c>
      <c r="H202" s="407">
        <f t="shared" si="98"/>
        <v>2022</v>
      </c>
      <c r="I202" s="393"/>
      <c r="J202" s="393"/>
      <c r="K202" s="417">
        <v>924</v>
      </c>
      <c r="L202" s="393"/>
      <c r="M202" s="235">
        <f t="shared" si="99"/>
        <v>924</v>
      </c>
      <c r="N202" s="235">
        <f t="shared" si="100"/>
        <v>7.7</v>
      </c>
      <c r="O202" s="235">
        <f t="shared" si="101"/>
        <v>92.4</v>
      </c>
      <c r="P202" s="235">
        <f t="shared" si="102"/>
        <v>0</v>
      </c>
      <c r="Q202" s="235">
        <f t="shared" si="103"/>
        <v>92.4</v>
      </c>
      <c r="R202" s="393">
        <v>1</v>
      </c>
      <c r="S202" s="235">
        <f t="shared" si="104"/>
        <v>92.4</v>
      </c>
      <c r="T202" s="393"/>
      <c r="U202" s="235">
        <f t="shared" si="105"/>
        <v>731.50000000000705</v>
      </c>
      <c r="V202" s="235">
        <f t="shared" si="106"/>
        <v>731.50000000000705</v>
      </c>
      <c r="W202" s="393">
        <v>1</v>
      </c>
      <c r="X202" s="235">
        <f t="shared" si="107"/>
        <v>731.50000000000705</v>
      </c>
      <c r="Y202" s="235">
        <f t="shared" si="108"/>
        <v>823.90000000000703</v>
      </c>
      <c r="Z202" s="235">
        <f t="shared" si="97"/>
        <v>146.29999999999296</v>
      </c>
      <c r="AA202" s="235"/>
      <c r="AB202" s="235">
        <f t="shared" si="109"/>
        <v>2012.0833333333333</v>
      </c>
      <c r="AC202" s="235">
        <f t="shared" si="110"/>
        <v>2021</v>
      </c>
      <c r="AD202" s="235">
        <f t="shared" si="111"/>
        <v>2022.0833333333333</v>
      </c>
      <c r="AE202" s="413">
        <f t="shared" si="112"/>
        <v>2020</v>
      </c>
      <c r="AF202" s="413">
        <f t="shared" si="113"/>
        <v>-8.3333333333333329E-2</v>
      </c>
      <c r="AG202" s="413">
        <f t="shared" si="114"/>
        <v>2022.0833333333333</v>
      </c>
      <c r="AH202" s="413">
        <f t="shared" si="115"/>
        <v>2020</v>
      </c>
      <c r="AI202" s="413">
        <f t="shared" si="116"/>
        <v>-8.3333333333333329E-2</v>
      </c>
      <c r="AJ202" s="307"/>
      <c r="AK202" s="307"/>
      <c r="AL202" s="307"/>
    </row>
    <row r="203" spans="1:38" ht="15.75">
      <c r="A203" s="307">
        <v>206</v>
      </c>
      <c r="B203" s="415" t="s">
        <v>694</v>
      </c>
      <c r="C203" s="410">
        <v>2012</v>
      </c>
      <c r="D203" s="407">
        <v>3</v>
      </c>
      <c r="E203" s="411"/>
      <c r="F203" s="397" t="s">
        <v>668</v>
      </c>
      <c r="G203" s="397">
        <v>10</v>
      </c>
      <c r="H203" s="407">
        <f t="shared" si="98"/>
        <v>2022</v>
      </c>
      <c r="I203" s="393"/>
      <c r="J203" s="393"/>
      <c r="K203" s="417">
        <v>803</v>
      </c>
      <c r="L203" s="393"/>
      <c r="M203" s="235">
        <f t="shared" si="99"/>
        <v>803</v>
      </c>
      <c r="N203" s="235">
        <f t="shared" si="100"/>
        <v>6.6916666666666664</v>
      </c>
      <c r="O203" s="235">
        <f t="shared" si="101"/>
        <v>80.3</v>
      </c>
      <c r="P203" s="235">
        <f t="shared" si="102"/>
        <v>0</v>
      </c>
      <c r="Q203" s="235">
        <f t="shared" si="103"/>
        <v>80.3</v>
      </c>
      <c r="R203" s="393">
        <v>1</v>
      </c>
      <c r="S203" s="235">
        <f t="shared" si="104"/>
        <v>80.3</v>
      </c>
      <c r="T203" s="393"/>
      <c r="U203" s="235">
        <f t="shared" si="105"/>
        <v>629.01666666666051</v>
      </c>
      <c r="V203" s="235">
        <f t="shared" si="106"/>
        <v>629.01666666666051</v>
      </c>
      <c r="W203" s="393">
        <v>1</v>
      </c>
      <c r="X203" s="235">
        <f t="shared" si="107"/>
        <v>629.01666666666051</v>
      </c>
      <c r="Y203" s="235">
        <f t="shared" si="108"/>
        <v>709.31666666666047</v>
      </c>
      <c r="Z203" s="235">
        <f t="shared" si="97"/>
        <v>133.83333333333951</v>
      </c>
      <c r="AA203" s="235"/>
      <c r="AB203" s="235">
        <f t="shared" si="109"/>
        <v>2012.1666666666667</v>
      </c>
      <c r="AC203" s="235">
        <f t="shared" si="110"/>
        <v>2021</v>
      </c>
      <c r="AD203" s="235">
        <f t="shared" si="111"/>
        <v>2022.1666666666667</v>
      </c>
      <c r="AE203" s="413">
        <f t="shared" si="112"/>
        <v>2020</v>
      </c>
      <c r="AF203" s="413">
        <f t="shared" si="113"/>
        <v>-8.3333333333333329E-2</v>
      </c>
      <c r="AG203" s="413">
        <f t="shared" si="114"/>
        <v>2022.1666666666667</v>
      </c>
      <c r="AH203" s="413">
        <f t="shared" si="115"/>
        <v>2020</v>
      </c>
      <c r="AI203" s="413">
        <f t="shared" si="116"/>
        <v>-8.3333333333333329E-2</v>
      </c>
      <c r="AJ203" s="307"/>
      <c r="AK203" s="307"/>
      <c r="AL203" s="307"/>
    </row>
    <row r="204" spans="1:38" ht="15.75">
      <c r="A204" s="307">
        <v>207</v>
      </c>
      <c r="B204" s="415" t="s">
        <v>694</v>
      </c>
      <c r="C204" s="410">
        <v>2012</v>
      </c>
      <c r="D204" s="407">
        <v>3</v>
      </c>
      <c r="E204" s="411"/>
      <c r="F204" s="397" t="s">
        <v>668</v>
      </c>
      <c r="G204" s="397">
        <v>10</v>
      </c>
      <c r="H204" s="407">
        <f t="shared" si="98"/>
        <v>2022</v>
      </c>
      <c r="I204" s="393"/>
      <c r="J204" s="393"/>
      <c r="K204" s="417">
        <v>1328</v>
      </c>
      <c r="L204" s="393"/>
      <c r="M204" s="235">
        <f t="shared" si="99"/>
        <v>1328</v>
      </c>
      <c r="N204" s="235">
        <f t="shared" si="100"/>
        <v>11.066666666666668</v>
      </c>
      <c r="O204" s="235">
        <f t="shared" si="101"/>
        <v>132.80000000000001</v>
      </c>
      <c r="P204" s="235">
        <f t="shared" si="102"/>
        <v>0</v>
      </c>
      <c r="Q204" s="235">
        <f t="shared" si="103"/>
        <v>132.80000000000001</v>
      </c>
      <c r="R204" s="393">
        <v>1</v>
      </c>
      <c r="S204" s="235">
        <f t="shared" si="104"/>
        <v>132.80000000000001</v>
      </c>
      <c r="T204" s="393"/>
      <c r="U204" s="235">
        <f t="shared" si="105"/>
        <v>1040.2666666666566</v>
      </c>
      <c r="V204" s="235">
        <f t="shared" si="106"/>
        <v>1040.2666666666566</v>
      </c>
      <c r="W204" s="393">
        <v>1</v>
      </c>
      <c r="X204" s="235">
        <f t="shared" si="107"/>
        <v>1040.2666666666566</v>
      </c>
      <c r="Y204" s="235">
        <f t="shared" si="108"/>
        <v>1173.0666666666566</v>
      </c>
      <c r="Z204" s="235">
        <f t="shared" si="97"/>
        <v>221.33333333334338</v>
      </c>
      <c r="AA204" s="235"/>
      <c r="AB204" s="235">
        <f t="shared" si="109"/>
        <v>2012.1666666666667</v>
      </c>
      <c r="AC204" s="235">
        <f t="shared" si="110"/>
        <v>2021</v>
      </c>
      <c r="AD204" s="235">
        <f t="shared" si="111"/>
        <v>2022.1666666666667</v>
      </c>
      <c r="AE204" s="413">
        <f t="shared" si="112"/>
        <v>2020</v>
      </c>
      <c r="AF204" s="413">
        <f t="shared" si="113"/>
        <v>-8.3333333333333329E-2</v>
      </c>
      <c r="AG204" s="413">
        <f t="shared" si="114"/>
        <v>2022.1666666666667</v>
      </c>
      <c r="AH204" s="413">
        <f t="shared" si="115"/>
        <v>2020</v>
      </c>
      <c r="AI204" s="413">
        <f t="shared" si="116"/>
        <v>-8.3333333333333329E-2</v>
      </c>
      <c r="AJ204" s="307"/>
      <c r="AK204" s="307"/>
      <c r="AL204" s="307"/>
    </row>
    <row r="205" spans="1:38" ht="15.75">
      <c r="A205" s="307">
        <v>210</v>
      </c>
      <c r="B205" s="415" t="s">
        <v>698</v>
      </c>
      <c r="C205" s="410">
        <v>2012</v>
      </c>
      <c r="D205" s="407">
        <v>11</v>
      </c>
      <c r="E205" s="411"/>
      <c r="F205" s="397" t="s">
        <v>668</v>
      </c>
      <c r="G205" s="397">
        <v>10</v>
      </c>
      <c r="H205" s="407">
        <f t="shared" si="98"/>
        <v>2022</v>
      </c>
      <c r="I205" s="393"/>
      <c r="J205" s="393"/>
      <c r="K205" s="417">
        <v>102</v>
      </c>
      <c r="L205" s="393"/>
      <c r="M205" s="235">
        <f t="shared" si="99"/>
        <v>102</v>
      </c>
      <c r="N205" s="235">
        <f t="shared" si="100"/>
        <v>0.85</v>
      </c>
      <c r="O205" s="235">
        <f t="shared" si="101"/>
        <v>10.199999999999999</v>
      </c>
      <c r="P205" s="235">
        <f t="shared" si="102"/>
        <v>0</v>
      </c>
      <c r="Q205" s="235">
        <f t="shared" si="103"/>
        <v>10.199999999999999</v>
      </c>
      <c r="R205" s="393">
        <v>1</v>
      </c>
      <c r="S205" s="235">
        <f t="shared" si="104"/>
        <v>10.199999999999999</v>
      </c>
      <c r="T205" s="393"/>
      <c r="U205" s="235">
        <f t="shared" si="105"/>
        <v>73.100000000000776</v>
      </c>
      <c r="V205" s="235">
        <f t="shared" si="106"/>
        <v>73.100000000000776</v>
      </c>
      <c r="W205" s="393">
        <v>1</v>
      </c>
      <c r="X205" s="235">
        <f t="shared" si="107"/>
        <v>73.100000000000776</v>
      </c>
      <c r="Y205" s="235">
        <f t="shared" si="108"/>
        <v>83.300000000000779</v>
      </c>
      <c r="Z205" s="235">
        <f t="shared" si="97"/>
        <v>23.799999999999223</v>
      </c>
      <c r="AA205" s="235"/>
      <c r="AB205" s="235">
        <f t="shared" si="109"/>
        <v>2012.8333333333333</v>
      </c>
      <c r="AC205" s="235">
        <f t="shared" si="110"/>
        <v>2021</v>
      </c>
      <c r="AD205" s="235">
        <f t="shared" si="111"/>
        <v>2022.8333333333333</v>
      </c>
      <c r="AE205" s="413">
        <f t="shared" si="112"/>
        <v>2020</v>
      </c>
      <c r="AF205" s="413">
        <f t="shared" si="113"/>
        <v>-8.3333333333333329E-2</v>
      </c>
      <c r="AG205" s="413">
        <f t="shared" si="114"/>
        <v>2022.8333333333333</v>
      </c>
      <c r="AH205" s="413">
        <f t="shared" si="115"/>
        <v>2020</v>
      </c>
      <c r="AI205" s="413">
        <f t="shared" si="116"/>
        <v>-8.3333333333333329E-2</v>
      </c>
      <c r="AJ205" s="307"/>
      <c r="AK205" s="307"/>
      <c r="AL205" s="307"/>
    </row>
    <row r="206" spans="1:38" ht="15.75">
      <c r="A206" s="307">
        <v>211</v>
      </c>
      <c r="B206" s="415" t="s">
        <v>694</v>
      </c>
      <c r="C206" s="410">
        <v>2012</v>
      </c>
      <c r="D206" s="407">
        <v>11</v>
      </c>
      <c r="E206" s="411"/>
      <c r="F206" s="397" t="s">
        <v>668</v>
      </c>
      <c r="G206" s="397">
        <v>10</v>
      </c>
      <c r="H206" s="407">
        <f t="shared" si="98"/>
        <v>2022</v>
      </c>
      <c r="I206" s="393"/>
      <c r="J206" s="393"/>
      <c r="K206" s="417">
        <v>6460</v>
      </c>
      <c r="L206" s="393"/>
      <c r="M206" s="235">
        <f t="shared" si="99"/>
        <v>6460</v>
      </c>
      <c r="N206" s="235">
        <f t="shared" si="100"/>
        <v>53.833333333333336</v>
      </c>
      <c r="O206" s="235">
        <f t="shared" si="101"/>
        <v>646</v>
      </c>
      <c r="P206" s="235">
        <f t="shared" si="102"/>
        <v>0</v>
      </c>
      <c r="Q206" s="235">
        <f t="shared" si="103"/>
        <v>646</v>
      </c>
      <c r="R206" s="393">
        <v>1</v>
      </c>
      <c r="S206" s="235">
        <f t="shared" si="104"/>
        <v>646</v>
      </c>
      <c r="T206" s="393"/>
      <c r="U206" s="235">
        <f t="shared" si="105"/>
        <v>4629.6666666667161</v>
      </c>
      <c r="V206" s="235">
        <f t="shared" si="106"/>
        <v>4629.6666666667161</v>
      </c>
      <c r="W206" s="393">
        <v>1</v>
      </c>
      <c r="X206" s="235">
        <f t="shared" si="107"/>
        <v>4629.6666666667161</v>
      </c>
      <c r="Y206" s="235">
        <f t="shared" si="108"/>
        <v>5275.6666666667161</v>
      </c>
      <c r="Z206" s="235">
        <f t="shared" si="97"/>
        <v>1507.3333333332839</v>
      </c>
      <c r="AA206" s="235"/>
      <c r="AB206" s="235">
        <f t="shared" si="109"/>
        <v>2012.8333333333333</v>
      </c>
      <c r="AC206" s="235">
        <f t="shared" si="110"/>
        <v>2021</v>
      </c>
      <c r="AD206" s="235">
        <f t="shared" si="111"/>
        <v>2022.8333333333333</v>
      </c>
      <c r="AE206" s="413">
        <f t="shared" si="112"/>
        <v>2020</v>
      </c>
      <c r="AF206" s="413">
        <f t="shared" si="113"/>
        <v>-8.3333333333333329E-2</v>
      </c>
      <c r="AG206" s="413">
        <f t="shared" si="114"/>
        <v>2022.8333333333333</v>
      </c>
      <c r="AH206" s="413">
        <f t="shared" si="115"/>
        <v>2020</v>
      </c>
      <c r="AI206" s="413">
        <f t="shared" si="116"/>
        <v>-8.3333333333333329E-2</v>
      </c>
      <c r="AJ206" s="307"/>
      <c r="AK206" s="307"/>
      <c r="AL206" s="307"/>
    </row>
    <row r="207" spans="1:38" ht="15.75">
      <c r="A207" s="307">
        <v>215</v>
      </c>
      <c r="B207" s="415" t="s">
        <v>726</v>
      </c>
      <c r="C207" s="410">
        <v>2013</v>
      </c>
      <c r="D207" s="407">
        <v>2</v>
      </c>
      <c r="E207" s="411"/>
      <c r="F207" s="397" t="s">
        <v>668</v>
      </c>
      <c r="G207" s="397">
        <v>10</v>
      </c>
      <c r="H207" s="407">
        <f t="shared" si="98"/>
        <v>2023</v>
      </c>
      <c r="I207" s="393"/>
      <c r="J207" s="393"/>
      <c r="K207" s="417">
        <v>367.36</v>
      </c>
      <c r="L207" s="393"/>
      <c r="M207" s="235">
        <f t="shared" si="99"/>
        <v>367.36</v>
      </c>
      <c r="N207" s="235">
        <f t="shared" si="100"/>
        <v>3.0613333333333337</v>
      </c>
      <c r="O207" s="235">
        <f t="shared" si="101"/>
        <v>36.736000000000004</v>
      </c>
      <c r="P207" s="235">
        <f t="shared" si="102"/>
        <v>0</v>
      </c>
      <c r="Q207" s="235">
        <f t="shared" si="103"/>
        <v>36.736000000000004</v>
      </c>
      <c r="R207" s="393">
        <v>1</v>
      </c>
      <c r="S207" s="235">
        <f t="shared" si="104"/>
        <v>36.736000000000004</v>
      </c>
      <c r="T207" s="393"/>
      <c r="U207" s="235">
        <f t="shared" si="105"/>
        <v>254.09066666666948</v>
      </c>
      <c r="V207" s="235">
        <f t="shared" si="106"/>
        <v>254.09066666666948</v>
      </c>
      <c r="W207" s="393">
        <v>1</v>
      </c>
      <c r="X207" s="235">
        <f t="shared" si="107"/>
        <v>254.09066666666948</v>
      </c>
      <c r="Y207" s="235">
        <f t="shared" si="108"/>
        <v>290.8266666666695</v>
      </c>
      <c r="Z207" s="235">
        <f t="shared" si="97"/>
        <v>94.901333333330527</v>
      </c>
      <c r="AA207" s="235"/>
      <c r="AB207" s="235">
        <f t="shared" si="109"/>
        <v>2013.0833333333333</v>
      </c>
      <c r="AC207" s="235">
        <f t="shared" si="110"/>
        <v>2021</v>
      </c>
      <c r="AD207" s="235">
        <f t="shared" si="111"/>
        <v>2023.0833333333333</v>
      </c>
      <c r="AE207" s="413">
        <f t="shared" si="112"/>
        <v>2020</v>
      </c>
      <c r="AF207" s="413">
        <f t="shared" si="113"/>
        <v>-8.3333333333333329E-2</v>
      </c>
      <c r="AG207" s="413">
        <f t="shared" si="114"/>
        <v>2023.0833333333333</v>
      </c>
      <c r="AH207" s="413">
        <f t="shared" si="115"/>
        <v>2020</v>
      </c>
      <c r="AI207" s="413">
        <f t="shared" si="116"/>
        <v>-8.3333333333333329E-2</v>
      </c>
      <c r="AJ207" s="307"/>
      <c r="AK207" s="307"/>
      <c r="AL207" s="307"/>
    </row>
    <row r="208" spans="1:38" ht="15.75">
      <c r="A208" s="307">
        <v>217</v>
      </c>
      <c r="B208" s="415" t="s">
        <v>694</v>
      </c>
      <c r="C208" s="410">
        <v>2013</v>
      </c>
      <c r="D208" s="407">
        <v>7</v>
      </c>
      <c r="E208" s="411"/>
      <c r="F208" s="397" t="s">
        <v>668</v>
      </c>
      <c r="G208" s="397">
        <v>10</v>
      </c>
      <c r="H208" s="407">
        <f t="shared" si="98"/>
        <v>2023</v>
      </c>
      <c r="I208" s="393"/>
      <c r="J208" s="393"/>
      <c r="K208" s="417">
        <v>2072.6</v>
      </c>
      <c r="L208" s="393"/>
      <c r="M208" s="235">
        <f t="shared" si="99"/>
        <v>2072.6</v>
      </c>
      <c r="N208" s="235">
        <f t="shared" si="100"/>
        <v>17.271666666666665</v>
      </c>
      <c r="O208" s="235">
        <f t="shared" si="101"/>
        <v>207.26</v>
      </c>
      <c r="P208" s="235">
        <f t="shared" si="102"/>
        <v>0</v>
      </c>
      <c r="Q208" s="235">
        <f t="shared" si="103"/>
        <v>207.26</v>
      </c>
      <c r="R208" s="393">
        <v>1</v>
      </c>
      <c r="S208" s="235">
        <f t="shared" si="104"/>
        <v>207.26</v>
      </c>
      <c r="T208" s="393"/>
      <c r="U208" s="235">
        <f t="shared" si="105"/>
        <v>1347.1899999999998</v>
      </c>
      <c r="V208" s="235">
        <f t="shared" si="106"/>
        <v>1347.1899999999998</v>
      </c>
      <c r="W208" s="393">
        <v>1</v>
      </c>
      <c r="X208" s="235">
        <f t="shared" si="107"/>
        <v>1347.1899999999998</v>
      </c>
      <c r="Y208" s="235">
        <f t="shared" si="108"/>
        <v>1554.4499999999998</v>
      </c>
      <c r="Z208" s="235">
        <f t="shared" si="97"/>
        <v>621.78000000000009</v>
      </c>
      <c r="AA208" s="235"/>
      <c r="AB208" s="235">
        <f t="shared" si="109"/>
        <v>2013.5</v>
      </c>
      <c r="AC208" s="235">
        <f t="shared" si="110"/>
        <v>2021</v>
      </c>
      <c r="AD208" s="235">
        <f t="shared" si="111"/>
        <v>2023.5</v>
      </c>
      <c r="AE208" s="413">
        <f t="shared" si="112"/>
        <v>2020</v>
      </c>
      <c r="AF208" s="413">
        <f t="shared" si="113"/>
        <v>-8.3333333333333329E-2</v>
      </c>
      <c r="AG208" s="413">
        <f t="shared" si="114"/>
        <v>2023.5</v>
      </c>
      <c r="AH208" s="413">
        <f t="shared" si="115"/>
        <v>2020</v>
      </c>
      <c r="AI208" s="413">
        <f t="shared" si="116"/>
        <v>-8.3333333333333329E-2</v>
      </c>
      <c r="AJ208" s="307"/>
      <c r="AK208" s="307"/>
      <c r="AL208" s="307"/>
    </row>
    <row r="209" spans="1:38" ht="15.75">
      <c r="A209" s="307">
        <v>218</v>
      </c>
      <c r="B209" s="415" t="s">
        <v>727</v>
      </c>
      <c r="C209" s="410">
        <v>2014</v>
      </c>
      <c r="D209" s="407">
        <v>6</v>
      </c>
      <c r="E209" s="411"/>
      <c r="F209" s="397" t="s">
        <v>668</v>
      </c>
      <c r="G209" s="397">
        <v>10</v>
      </c>
      <c r="H209" s="407">
        <f t="shared" si="98"/>
        <v>2024</v>
      </c>
      <c r="I209" s="393"/>
      <c r="J209" s="393"/>
      <c r="K209" s="417">
        <v>6753</v>
      </c>
      <c r="L209" s="393"/>
      <c r="M209" s="235">
        <f t="shared" si="99"/>
        <v>6753</v>
      </c>
      <c r="N209" s="235">
        <f t="shared" si="100"/>
        <v>56.274999999999999</v>
      </c>
      <c r="O209" s="235">
        <f t="shared" si="101"/>
        <v>675.3</v>
      </c>
      <c r="P209" s="235">
        <f t="shared" si="102"/>
        <v>0</v>
      </c>
      <c r="Q209" s="235">
        <f t="shared" si="103"/>
        <v>675.3</v>
      </c>
      <c r="R209" s="393">
        <v>1</v>
      </c>
      <c r="S209" s="235">
        <f t="shared" si="104"/>
        <v>675.3</v>
      </c>
      <c r="T209" s="393"/>
      <c r="U209" s="235">
        <f t="shared" si="105"/>
        <v>3770.4249999999488</v>
      </c>
      <c r="V209" s="235">
        <f t="shared" si="106"/>
        <v>3770.4249999999488</v>
      </c>
      <c r="W209" s="393">
        <v>1</v>
      </c>
      <c r="X209" s="235">
        <f t="shared" si="107"/>
        <v>3770.4249999999488</v>
      </c>
      <c r="Y209" s="235">
        <f t="shared" si="108"/>
        <v>4445.7249999999485</v>
      </c>
      <c r="Z209" s="235">
        <f t="shared" si="97"/>
        <v>2644.9250000000511</v>
      </c>
      <c r="AA209" s="235"/>
      <c r="AB209" s="235">
        <f t="shared" si="109"/>
        <v>2014.4166666666667</v>
      </c>
      <c r="AC209" s="235">
        <f t="shared" si="110"/>
        <v>2021</v>
      </c>
      <c r="AD209" s="235">
        <f t="shared" si="111"/>
        <v>2024.4166666666667</v>
      </c>
      <c r="AE209" s="413">
        <f t="shared" si="112"/>
        <v>2020</v>
      </c>
      <c r="AF209" s="413">
        <f t="shared" si="113"/>
        <v>-8.3333333333333329E-2</v>
      </c>
      <c r="AG209" s="413">
        <f t="shared" si="114"/>
        <v>2024.4166666666667</v>
      </c>
      <c r="AH209" s="413">
        <f t="shared" si="115"/>
        <v>2020</v>
      </c>
      <c r="AI209" s="413">
        <f t="shared" si="116"/>
        <v>-8.3333333333333329E-2</v>
      </c>
      <c r="AJ209" s="307"/>
      <c r="AK209" s="307"/>
      <c r="AL209" s="307"/>
    </row>
    <row r="210" spans="1:38" ht="15.75">
      <c r="A210" s="307">
        <v>226</v>
      </c>
      <c r="B210" s="415" t="s">
        <v>728</v>
      </c>
      <c r="C210" s="410">
        <v>2015</v>
      </c>
      <c r="D210" s="407">
        <v>4</v>
      </c>
      <c r="E210" s="411"/>
      <c r="F210" s="397" t="s">
        <v>668</v>
      </c>
      <c r="G210" s="397">
        <v>10</v>
      </c>
      <c r="H210" s="407">
        <f t="shared" si="98"/>
        <v>2025</v>
      </c>
      <c r="I210" s="393"/>
      <c r="J210" s="393"/>
      <c r="K210" s="417">
        <v>5175</v>
      </c>
      <c r="L210" s="393"/>
      <c r="M210" s="235">
        <f t="shared" si="99"/>
        <v>5175</v>
      </c>
      <c r="N210" s="235">
        <f t="shared" si="100"/>
        <v>43.125</v>
      </c>
      <c r="O210" s="235">
        <f t="shared" si="101"/>
        <v>517.5</v>
      </c>
      <c r="P210" s="235">
        <f t="shared" si="102"/>
        <v>0</v>
      </c>
      <c r="Q210" s="235">
        <f t="shared" si="103"/>
        <v>517.5</v>
      </c>
      <c r="R210" s="393">
        <v>1</v>
      </c>
      <c r="S210" s="235">
        <f t="shared" si="104"/>
        <v>517.5</v>
      </c>
      <c r="T210" s="393"/>
      <c r="U210" s="235">
        <f t="shared" si="105"/>
        <v>2458.125</v>
      </c>
      <c r="V210" s="235">
        <f t="shared" si="106"/>
        <v>2458.125</v>
      </c>
      <c r="W210" s="393">
        <v>1</v>
      </c>
      <c r="X210" s="235">
        <f t="shared" si="107"/>
        <v>2458.125</v>
      </c>
      <c r="Y210" s="235">
        <f t="shared" si="108"/>
        <v>2975.625</v>
      </c>
      <c r="Z210" s="235">
        <f t="shared" si="97"/>
        <v>2458.125</v>
      </c>
      <c r="AA210" s="235"/>
      <c r="AB210" s="235">
        <f t="shared" si="109"/>
        <v>2015.25</v>
      </c>
      <c r="AC210" s="235">
        <f t="shared" si="110"/>
        <v>2021</v>
      </c>
      <c r="AD210" s="235">
        <f t="shared" si="111"/>
        <v>2025.25</v>
      </c>
      <c r="AE210" s="413">
        <f t="shared" si="112"/>
        <v>2020</v>
      </c>
      <c r="AF210" s="413">
        <f t="shared" si="113"/>
        <v>-8.3333333333333329E-2</v>
      </c>
      <c r="AG210" s="413">
        <f t="shared" si="114"/>
        <v>2025.25</v>
      </c>
      <c r="AH210" s="413">
        <f t="shared" si="115"/>
        <v>2020</v>
      </c>
      <c r="AI210" s="413">
        <f t="shared" si="116"/>
        <v>-8.3333333333333329E-2</v>
      </c>
      <c r="AJ210" s="307"/>
      <c r="AK210" s="307"/>
      <c r="AL210" s="307"/>
    </row>
    <row r="211" spans="1:38" ht="15.75">
      <c r="A211" s="307">
        <v>224</v>
      </c>
      <c r="B211" s="415" t="s">
        <v>729</v>
      </c>
      <c r="C211" s="410">
        <v>2015</v>
      </c>
      <c r="D211" s="407">
        <v>9</v>
      </c>
      <c r="E211" s="411"/>
      <c r="F211" s="397" t="s">
        <v>668</v>
      </c>
      <c r="G211" s="397">
        <v>10</v>
      </c>
      <c r="H211" s="407">
        <f t="shared" si="98"/>
        <v>2025</v>
      </c>
      <c r="I211" s="393"/>
      <c r="J211" s="393"/>
      <c r="K211" s="417">
        <v>46499</v>
      </c>
      <c r="L211" s="393"/>
      <c r="M211" s="235">
        <f t="shared" si="99"/>
        <v>46499</v>
      </c>
      <c r="N211" s="235">
        <f t="shared" si="100"/>
        <v>387.49166666666662</v>
      </c>
      <c r="O211" s="235">
        <f t="shared" si="101"/>
        <v>4649.8999999999996</v>
      </c>
      <c r="P211" s="235">
        <f t="shared" si="102"/>
        <v>0</v>
      </c>
      <c r="Q211" s="235">
        <f t="shared" si="103"/>
        <v>4649.8999999999996</v>
      </c>
      <c r="R211" s="393">
        <v>1</v>
      </c>
      <c r="S211" s="235">
        <f t="shared" si="104"/>
        <v>4649.8999999999996</v>
      </c>
      <c r="T211" s="393"/>
      <c r="U211" s="235">
        <f t="shared" si="105"/>
        <v>20149.566666666313</v>
      </c>
      <c r="V211" s="235">
        <f t="shared" si="106"/>
        <v>20149.566666666313</v>
      </c>
      <c r="W211" s="393">
        <v>1</v>
      </c>
      <c r="X211" s="235">
        <f t="shared" si="107"/>
        <v>20149.566666666313</v>
      </c>
      <c r="Y211" s="235">
        <f t="shared" si="108"/>
        <v>24799.466666666311</v>
      </c>
      <c r="Z211" s="235">
        <f t="shared" si="97"/>
        <v>24024.483333333686</v>
      </c>
      <c r="AA211" s="235"/>
      <c r="AB211" s="235">
        <f t="shared" si="109"/>
        <v>2015.6666666666667</v>
      </c>
      <c r="AC211" s="235">
        <f t="shared" si="110"/>
        <v>2021</v>
      </c>
      <c r="AD211" s="235">
        <f t="shared" si="111"/>
        <v>2025.6666666666667</v>
      </c>
      <c r="AE211" s="413">
        <f t="shared" si="112"/>
        <v>2020</v>
      </c>
      <c r="AF211" s="413">
        <f t="shared" si="113"/>
        <v>-8.3333333333333329E-2</v>
      </c>
      <c r="AG211" s="413">
        <f t="shared" si="114"/>
        <v>2025.6666666666667</v>
      </c>
      <c r="AH211" s="413">
        <f t="shared" si="115"/>
        <v>2020</v>
      </c>
      <c r="AI211" s="413">
        <f t="shared" si="116"/>
        <v>-8.3333333333333329E-2</v>
      </c>
      <c r="AJ211" s="307"/>
      <c r="AK211" s="307"/>
      <c r="AL211" s="307"/>
    </row>
    <row r="212" spans="1:38" ht="15.75">
      <c r="A212" s="307">
        <v>225</v>
      </c>
      <c r="B212" s="415" t="s">
        <v>728</v>
      </c>
      <c r="C212" s="410">
        <v>2015</v>
      </c>
      <c r="D212" s="407">
        <v>3</v>
      </c>
      <c r="E212" s="411"/>
      <c r="F212" s="397" t="s">
        <v>668</v>
      </c>
      <c r="G212" s="397">
        <v>10</v>
      </c>
      <c r="H212" s="407">
        <f t="shared" si="98"/>
        <v>2025</v>
      </c>
      <c r="I212" s="393"/>
      <c r="J212" s="393"/>
      <c r="K212" s="417">
        <v>1346</v>
      </c>
      <c r="L212" s="393"/>
      <c r="M212" s="235">
        <f t="shared" si="99"/>
        <v>1346</v>
      </c>
      <c r="N212" s="235">
        <f t="shared" si="100"/>
        <v>11.216666666666667</v>
      </c>
      <c r="O212" s="235">
        <f t="shared" si="101"/>
        <v>134.6</v>
      </c>
      <c r="P212" s="235">
        <f t="shared" si="102"/>
        <v>0</v>
      </c>
      <c r="Q212" s="235">
        <f t="shared" si="103"/>
        <v>134.6</v>
      </c>
      <c r="R212" s="393">
        <v>1</v>
      </c>
      <c r="S212" s="235">
        <f t="shared" si="104"/>
        <v>134.6</v>
      </c>
      <c r="T212" s="393"/>
      <c r="U212" s="235">
        <f t="shared" si="105"/>
        <v>650.56666666665649</v>
      </c>
      <c r="V212" s="235">
        <f t="shared" si="106"/>
        <v>650.56666666665649</v>
      </c>
      <c r="W212" s="393">
        <v>1</v>
      </c>
      <c r="X212" s="235">
        <f t="shared" si="107"/>
        <v>650.56666666665649</v>
      </c>
      <c r="Y212" s="235">
        <f t="shared" si="108"/>
        <v>785.16666666665651</v>
      </c>
      <c r="Z212" s="235">
        <f t="shared" si="97"/>
        <v>628.13333333334344</v>
      </c>
      <c r="AA212" s="235"/>
      <c r="AB212" s="235">
        <f t="shared" si="109"/>
        <v>2015.1666666666667</v>
      </c>
      <c r="AC212" s="235">
        <f t="shared" si="110"/>
        <v>2021</v>
      </c>
      <c r="AD212" s="235">
        <f t="shared" si="111"/>
        <v>2025.1666666666667</v>
      </c>
      <c r="AE212" s="413">
        <f t="shared" si="112"/>
        <v>2020</v>
      </c>
      <c r="AF212" s="413">
        <f t="shared" si="113"/>
        <v>-8.3333333333333329E-2</v>
      </c>
      <c r="AG212" s="413">
        <f t="shared" si="114"/>
        <v>2025.1666666666667</v>
      </c>
      <c r="AH212" s="413">
        <f t="shared" si="115"/>
        <v>2020</v>
      </c>
      <c r="AI212" s="413">
        <f t="shared" si="116"/>
        <v>-8.3333333333333329E-2</v>
      </c>
      <c r="AJ212" s="307"/>
      <c r="AK212" s="307"/>
      <c r="AL212" s="307"/>
    </row>
    <row r="213" spans="1:38" ht="15.75">
      <c r="A213" s="307">
        <v>228</v>
      </c>
      <c r="B213" s="415" t="s">
        <v>694</v>
      </c>
      <c r="C213" s="410">
        <v>2017</v>
      </c>
      <c r="D213" s="407">
        <v>11</v>
      </c>
      <c r="E213" s="411"/>
      <c r="F213" s="397" t="s">
        <v>668</v>
      </c>
      <c r="G213" s="397">
        <v>10</v>
      </c>
      <c r="H213" s="407">
        <f t="shared" si="98"/>
        <v>2027</v>
      </c>
      <c r="I213" s="393"/>
      <c r="J213" s="393"/>
      <c r="K213" s="417">
        <v>2805</v>
      </c>
      <c r="L213" s="393"/>
      <c r="M213" s="235">
        <f t="shared" si="99"/>
        <v>2805</v>
      </c>
      <c r="N213" s="235">
        <f t="shared" si="100"/>
        <v>23.375</v>
      </c>
      <c r="O213" s="235">
        <f t="shared" si="101"/>
        <v>280.5</v>
      </c>
      <c r="P213" s="235">
        <f t="shared" si="102"/>
        <v>0</v>
      </c>
      <c r="Q213" s="235">
        <f t="shared" si="103"/>
        <v>280.5</v>
      </c>
      <c r="R213" s="393">
        <v>1</v>
      </c>
      <c r="S213" s="235">
        <f t="shared" si="104"/>
        <v>280.5</v>
      </c>
      <c r="T213" s="393"/>
      <c r="U213" s="235">
        <f t="shared" si="105"/>
        <v>607.75000000002126</v>
      </c>
      <c r="V213" s="235">
        <f t="shared" si="106"/>
        <v>607.75000000002126</v>
      </c>
      <c r="W213" s="393">
        <v>1</v>
      </c>
      <c r="X213" s="235">
        <f t="shared" si="107"/>
        <v>607.75000000002126</v>
      </c>
      <c r="Y213" s="235">
        <f t="shared" si="108"/>
        <v>888.25000000002126</v>
      </c>
      <c r="Z213" s="235">
        <f t="shared" si="97"/>
        <v>2056.9999999999786</v>
      </c>
      <c r="AA213" s="235"/>
      <c r="AB213" s="235">
        <f t="shared" si="109"/>
        <v>2017.8333333333333</v>
      </c>
      <c r="AC213" s="235">
        <f t="shared" si="110"/>
        <v>2021</v>
      </c>
      <c r="AD213" s="235">
        <f t="shared" si="111"/>
        <v>2027.8333333333333</v>
      </c>
      <c r="AE213" s="413">
        <f t="shared" si="112"/>
        <v>2020</v>
      </c>
      <c r="AF213" s="413">
        <f t="shared" si="113"/>
        <v>-8.3333333333333329E-2</v>
      </c>
      <c r="AG213" s="413">
        <f t="shared" si="114"/>
        <v>2027.8333333333333</v>
      </c>
      <c r="AH213" s="413">
        <f t="shared" si="115"/>
        <v>2020</v>
      </c>
      <c r="AI213" s="413">
        <f t="shared" si="116"/>
        <v>-8.3333333333333329E-2</v>
      </c>
      <c r="AJ213" s="307"/>
      <c r="AK213" s="307"/>
      <c r="AL213" s="307"/>
    </row>
    <row r="214" spans="1:38" ht="15.75">
      <c r="A214" s="307">
        <v>230</v>
      </c>
      <c r="B214" s="415" t="s">
        <v>730</v>
      </c>
      <c r="C214" s="410">
        <v>2017</v>
      </c>
      <c r="D214" s="407">
        <v>2</v>
      </c>
      <c r="E214" s="411"/>
      <c r="F214" s="397" t="s">
        <v>668</v>
      </c>
      <c r="G214" s="397">
        <v>10</v>
      </c>
      <c r="H214" s="407">
        <f t="shared" si="98"/>
        <v>2027</v>
      </c>
      <c r="I214" s="393"/>
      <c r="J214" s="393"/>
      <c r="K214" s="417">
        <v>9435.86</v>
      </c>
      <c r="L214" s="393"/>
      <c r="M214" s="235">
        <f t="shared" si="99"/>
        <v>9435.86</v>
      </c>
      <c r="N214" s="235">
        <f t="shared" si="100"/>
        <v>78.632166666666663</v>
      </c>
      <c r="O214" s="235">
        <f t="shared" si="101"/>
        <v>943.58600000000001</v>
      </c>
      <c r="P214" s="235">
        <f t="shared" si="102"/>
        <v>0</v>
      </c>
      <c r="Q214" s="235">
        <f t="shared" si="103"/>
        <v>943.58600000000001</v>
      </c>
      <c r="R214" s="393">
        <v>1</v>
      </c>
      <c r="S214" s="235">
        <f t="shared" si="104"/>
        <v>943.58600000000001</v>
      </c>
      <c r="T214" s="393"/>
      <c r="U214" s="235">
        <f t="shared" si="105"/>
        <v>2752.1258333334049</v>
      </c>
      <c r="V214" s="235">
        <f t="shared" si="106"/>
        <v>2752.1258333334049</v>
      </c>
      <c r="W214" s="393">
        <v>1</v>
      </c>
      <c r="X214" s="235">
        <f t="shared" si="107"/>
        <v>2752.1258333334049</v>
      </c>
      <c r="Y214" s="235">
        <f t="shared" si="108"/>
        <v>3695.7118333334047</v>
      </c>
      <c r="Z214" s="235">
        <f t="shared" si="97"/>
        <v>6211.9411666665965</v>
      </c>
      <c r="AA214" s="235"/>
      <c r="AB214" s="235">
        <f t="shared" si="109"/>
        <v>2017.0833333333333</v>
      </c>
      <c r="AC214" s="235">
        <f t="shared" si="110"/>
        <v>2021</v>
      </c>
      <c r="AD214" s="235">
        <f t="shared" si="111"/>
        <v>2027.0833333333333</v>
      </c>
      <c r="AE214" s="413">
        <f t="shared" si="112"/>
        <v>2020</v>
      </c>
      <c r="AF214" s="413">
        <f t="shared" si="113"/>
        <v>-8.3333333333333329E-2</v>
      </c>
      <c r="AG214" s="413">
        <f t="shared" si="114"/>
        <v>2027.0833333333333</v>
      </c>
      <c r="AH214" s="413">
        <f t="shared" si="115"/>
        <v>2020</v>
      </c>
      <c r="AI214" s="413">
        <f t="shared" si="116"/>
        <v>-8.3333333333333329E-2</v>
      </c>
      <c r="AJ214" s="307"/>
      <c r="AK214" s="307"/>
      <c r="AL214" s="307"/>
    </row>
    <row r="215" spans="1:38" ht="15.75">
      <c r="A215" s="307">
        <v>231</v>
      </c>
      <c r="B215" s="415" t="s">
        <v>731</v>
      </c>
      <c r="C215" s="410">
        <v>2017</v>
      </c>
      <c r="D215" s="407">
        <v>5</v>
      </c>
      <c r="E215" s="411"/>
      <c r="F215" s="397" t="s">
        <v>668</v>
      </c>
      <c r="G215" s="397">
        <v>10</v>
      </c>
      <c r="H215" s="407">
        <f t="shared" si="98"/>
        <v>2027</v>
      </c>
      <c r="I215" s="393"/>
      <c r="J215" s="393"/>
      <c r="K215" s="417">
        <v>1426</v>
      </c>
      <c r="L215" s="393"/>
      <c r="M215" s="235">
        <f t="shared" si="99"/>
        <v>1426</v>
      </c>
      <c r="N215" s="235">
        <f t="shared" si="100"/>
        <v>11.883333333333333</v>
      </c>
      <c r="O215" s="235">
        <f t="shared" si="101"/>
        <v>142.6</v>
      </c>
      <c r="P215" s="235">
        <f t="shared" si="102"/>
        <v>0</v>
      </c>
      <c r="Q215" s="235">
        <f t="shared" si="103"/>
        <v>142.6</v>
      </c>
      <c r="R215" s="393">
        <v>1</v>
      </c>
      <c r="S215" s="235">
        <f t="shared" si="104"/>
        <v>142.6</v>
      </c>
      <c r="T215" s="393"/>
      <c r="U215" s="235">
        <f t="shared" si="105"/>
        <v>380.26666666667745</v>
      </c>
      <c r="V215" s="235">
        <f t="shared" si="106"/>
        <v>380.26666666667745</v>
      </c>
      <c r="W215" s="393">
        <v>1</v>
      </c>
      <c r="X215" s="235">
        <f t="shared" si="107"/>
        <v>380.26666666667745</v>
      </c>
      <c r="Y215" s="235">
        <f t="shared" si="108"/>
        <v>522.86666666667747</v>
      </c>
      <c r="Z215" s="235">
        <f t="shared" si="97"/>
        <v>974.43333333332259</v>
      </c>
      <c r="AA215" s="235"/>
      <c r="AB215" s="235">
        <f t="shared" si="109"/>
        <v>2017.3333333333333</v>
      </c>
      <c r="AC215" s="235">
        <f t="shared" si="110"/>
        <v>2021</v>
      </c>
      <c r="AD215" s="235">
        <f t="shared" si="111"/>
        <v>2027.3333333333333</v>
      </c>
      <c r="AE215" s="413">
        <f t="shared" si="112"/>
        <v>2020</v>
      </c>
      <c r="AF215" s="413">
        <f t="shared" si="113"/>
        <v>-8.3333333333333329E-2</v>
      </c>
      <c r="AG215" s="413">
        <f t="shared" si="114"/>
        <v>2027.3333333333333</v>
      </c>
      <c r="AH215" s="413">
        <f t="shared" si="115"/>
        <v>2020</v>
      </c>
      <c r="AI215" s="413">
        <f t="shared" si="116"/>
        <v>-8.3333333333333329E-2</v>
      </c>
      <c r="AJ215" s="307"/>
      <c r="AK215" s="307"/>
      <c r="AL215" s="307"/>
    </row>
    <row r="216" spans="1:38" ht="15.75">
      <c r="A216" s="307">
        <v>232</v>
      </c>
      <c r="B216" s="415" t="s">
        <v>732</v>
      </c>
      <c r="C216" s="410">
        <v>2017</v>
      </c>
      <c r="D216" s="407">
        <v>6</v>
      </c>
      <c r="E216" s="411"/>
      <c r="F216" s="397" t="s">
        <v>668</v>
      </c>
      <c r="G216" s="397">
        <v>10</v>
      </c>
      <c r="H216" s="407">
        <f t="shared" si="98"/>
        <v>2027</v>
      </c>
      <c r="I216" s="393"/>
      <c r="J216" s="393"/>
      <c r="K216" s="417">
        <v>2960.77</v>
      </c>
      <c r="L216" s="393"/>
      <c r="M216" s="235">
        <f t="shared" si="99"/>
        <v>2960.77</v>
      </c>
      <c r="N216" s="235">
        <f t="shared" si="100"/>
        <v>24.673083333333334</v>
      </c>
      <c r="O216" s="235">
        <f t="shared" si="101"/>
        <v>296.077</v>
      </c>
      <c r="P216" s="235">
        <f t="shared" si="102"/>
        <v>0</v>
      </c>
      <c r="Q216" s="235">
        <f t="shared" si="103"/>
        <v>296.077</v>
      </c>
      <c r="R216" s="393">
        <v>1</v>
      </c>
      <c r="S216" s="235">
        <f t="shared" si="104"/>
        <v>296.077</v>
      </c>
      <c r="T216" s="393"/>
      <c r="U216" s="235">
        <f t="shared" si="105"/>
        <v>764.86558333331095</v>
      </c>
      <c r="V216" s="235">
        <f t="shared" si="106"/>
        <v>764.86558333331095</v>
      </c>
      <c r="W216" s="393">
        <v>1</v>
      </c>
      <c r="X216" s="235">
        <f t="shared" si="107"/>
        <v>764.86558333331095</v>
      </c>
      <c r="Y216" s="235">
        <f t="shared" si="108"/>
        <v>1060.9425833333109</v>
      </c>
      <c r="Z216" s="235">
        <f t="shared" si="97"/>
        <v>2047.8659166666889</v>
      </c>
      <c r="AA216" s="235"/>
      <c r="AB216" s="235">
        <f t="shared" si="109"/>
        <v>2017.4166666666667</v>
      </c>
      <c r="AC216" s="235">
        <f t="shared" si="110"/>
        <v>2021</v>
      </c>
      <c r="AD216" s="235">
        <f t="shared" si="111"/>
        <v>2027.4166666666667</v>
      </c>
      <c r="AE216" s="413">
        <f t="shared" si="112"/>
        <v>2020</v>
      </c>
      <c r="AF216" s="413">
        <f t="shared" si="113"/>
        <v>-8.3333333333333329E-2</v>
      </c>
      <c r="AG216" s="413">
        <f t="shared" si="114"/>
        <v>2027.4166666666667</v>
      </c>
      <c r="AH216" s="413">
        <f t="shared" si="115"/>
        <v>2020</v>
      </c>
      <c r="AI216" s="413">
        <f t="shared" si="116"/>
        <v>-8.3333333333333329E-2</v>
      </c>
      <c r="AJ216" s="307"/>
      <c r="AK216" s="307"/>
      <c r="AL216" s="307"/>
    </row>
    <row r="217" spans="1:38" ht="15.75">
      <c r="A217" s="307">
        <v>233</v>
      </c>
      <c r="B217" s="415" t="s">
        <v>733</v>
      </c>
      <c r="C217" s="410">
        <v>2017</v>
      </c>
      <c r="D217" s="407">
        <v>1</v>
      </c>
      <c r="E217" s="411"/>
      <c r="F217" s="397" t="s">
        <v>668</v>
      </c>
      <c r="G217" s="397">
        <v>10</v>
      </c>
      <c r="H217" s="407">
        <f t="shared" si="98"/>
        <v>2027</v>
      </c>
      <c r="I217" s="393"/>
      <c r="J217" s="393"/>
      <c r="K217" s="417">
        <v>4717.93</v>
      </c>
      <c r="L217" s="393"/>
      <c r="M217" s="235">
        <f t="shared" si="99"/>
        <v>4717.93</v>
      </c>
      <c r="N217" s="235">
        <f t="shared" si="100"/>
        <v>39.316083333333331</v>
      </c>
      <c r="O217" s="235">
        <f t="shared" si="101"/>
        <v>471.79300000000001</v>
      </c>
      <c r="P217" s="235">
        <f t="shared" si="102"/>
        <v>0</v>
      </c>
      <c r="Q217" s="235">
        <f t="shared" si="103"/>
        <v>471.79300000000001</v>
      </c>
      <c r="R217" s="393">
        <v>1</v>
      </c>
      <c r="S217" s="235">
        <f t="shared" si="104"/>
        <v>471.79300000000001</v>
      </c>
      <c r="T217" s="393"/>
      <c r="U217" s="235">
        <f t="shared" si="105"/>
        <v>1415.3789999999999</v>
      </c>
      <c r="V217" s="235">
        <f t="shared" si="106"/>
        <v>1415.3789999999999</v>
      </c>
      <c r="W217" s="393">
        <v>1</v>
      </c>
      <c r="X217" s="235">
        <f t="shared" si="107"/>
        <v>1415.3789999999999</v>
      </c>
      <c r="Y217" s="235">
        <f t="shared" si="108"/>
        <v>1887.172</v>
      </c>
      <c r="Z217" s="235">
        <f t="shared" si="97"/>
        <v>3066.6545000000006</v>
      </c>
      <c r="AA217" s="235"/>
      <c r="AB217" s="235">
        <f t="shared" si="109"/>
        <v>2017</v>
      </c>
      <c r="AC217" s="235">
        <f t="shared" si="110"/>
        <v>2021</v>
      </c>
      <c r="AD217" s="235">
        <f t="shared" si="111"/>
        <v>2027</v>
      </c>
      <c r="AE217" s="413">
        <f t="shared" si="112"/>
        <v>2020</v>
      </c>
      <c r="AF217" s="413">
        <f t="shared" si="113"/>
        <v>-8.3333333333333329E-2</v>
      </c>
      <c r="AG217" s="413">
        <f t="shared" si="114"/>
        <v>2027</v>
      </c>
      <c r="AH217" s="413">
        <f t="shared" si="115"/>
        <v>2020</v>
      </c>
      <c r="AI217" s="413">
        <f t="shared" si="116"/>
        <v>-8.3333333333333329E-2</v>
      </c>
      <c r="AJ217" s="307"/>
      <c r="AK217" s="307"/>
      <c r="AL217" s="307"/>
    </row>
    <row r="218" spans="1:38" ht="15.75">
      <c r="A218" s="307">
        <v>239</v>
      </c>
      <c r="B218" s="415" t="s">
        <v>727</v>
      </c>
      <c r="C218" s="410">
        <v>2018</v>
      </c>
      <c r="D218" s="407">
        <v>6</v>
      </c>
      <c r="E218" s="411"/>
      <c r="F218" s="397" t="s">
        <v>668</v>
      </c>
      <c r="G218" s="397">
        <v>10</v>
      </c>
      <c r="H218" s="407">
        <f t="shared" si="98"/>
        <v>2028</v>
      </c>
      <c r="I218" s="393"/>
      <c r="J218" s="393"/>
      <c r="K218" s="417">
        <v>6118</v>
      </c>
      <c r="L218" s="393"/>
      <c r="M218" s="235">
        <f t="shared" si="99"/>
        <v>6118</v>
      </c>
      <c r="N218" s="235">
        <f t="shared" si="100"/>
        <v>50.983333333333327</v>
      </c>
      <c r="O218" s="235">
        <f t="shared" si="101"/>
        <v>611.79999999999995</v>
      </c>
      <c r="P218" s="235">
        <f t="shared" si="102"/>
        <v>0</v>
      </c>
      <c r="Q218" s="235">
        <f t="shared" si="103"/>
        <v>611.79999999999995</v>
      </c>
      <c r="R218" s="393">
        <v>1</v>
      </c>
      <c r="S218" s="235">
        <f t="shared" si="104"/>
        <v>611.79999999999995</v>
      </c>
      <c r="T218" s="393"/>
      <c r="U218" s="235">
        <f t="shared" si="105"/>
        <v>968.6833333332869</v>
      </c>
      <c r="V218" s="235">
        <f t="shared" si="106"/>
        <v>968.6833333332869</v>
      </c>
      <c r="W218" s="393">
        <v>1</v>
      </c>
      <c r="X218" s="235">
        <f t="shared" si="107"/>
        <v>968.6833333332869</v>
      </c>
      <c r="Y218" s="235">
        <f t="shared" si="108"/>
        <v>1580.4833333332867</v>
      </c>
      <c r="Z218" s="235">
        <f t="shared" si="97"/>
        <v>4843.4166666667134</v>
      </c>
      <c r="AA218" s="235"/>
      <c r="AB218" s="235">
        <f t="shared" si="109"/>
        <v>2018.4166666666667</v>
      </c>
      <c r="AC218" s="235">
        <f t="shared" si="110"/>
        <v>2021</v>
      </c>
      <c r="AD218" s="235">
        <f t="shared" si="111"/>
        <v>2028.4166666666667</v>
      </c>
      <c r="AE218" s="413">
        <f t="shared" si="112"/>
        <v>2020</v>
      </c>
      <c r="AF218" s="413">
        <f t="shared" si="113"/>
        <v>-8.3333333333333329E-2</v>
      </c>
      <c r="AG218" s="413">
        <f t="shared" si="114"/>
        <v>2028.4166666666667</v>
      </c>
      <c r="AH218" s="413">
        <f t="shared" si="115"/>
        <v>2020</v>
      </c>
      <c r="AI218" s="413">
        <f t="shared" si="116"/>
        <v>-8.3333333333333329E-2</v>
      </c>
      <c r="AJ218" s="307"/>
      <c r="AK218" s="307"/>
      <c r="AL218" s="307"/>
    </row>
    <row r="219" spans="1:38" ht="15.75">
      <c r="A219" s="307">
        <v>240</v>
      </c>
      <c r="B219" s="415" t="s">
        <v>734</v>
      </c>
      <c r="C219" s="410">
        <v>2018</v>
      </c>
      <c r="D219" s="407">
        <v>10</v>
      </c>
      <c r="E219" s="411"/>
      <c r="F219" s="397" t="s">
        <v>668</v>
      </c>
      <c r="G219" s="397">
        <v>10</v>
      </c>
      <c r="H219" s="407">
        <f t="shared" si="98"/>
        <v>2028</v>
      </c>
      <c r="I219" s="393"/>
      <c r="J219" s="393"/>
      <c r="K219" s="417">
        <v>10790</v>
      </c>
      <c r="L219" s="393"/>
      <c r="M219" s="235">
        <f t="shared" si="99"/>
        <v>10790</v>
      </c>
      <c r="N219" s="235">
        <f t="shared" si="100"/>
        <v>89.916666666666671</v>
      </c>
      <c r="O219" s="235">
        <f t="shared" si="101"/>
        <v>1079</v>
      </c>
      <c r="P219" s="235">
        <f t="shared" si="102"/>
        <v>0</v>
      </c>
      <c r="Q219" s="235">
        <f t="shared" si="103"/>
        <v>1079</v>
      </c>
      <c r="R219" s="393">
        <v>1</v>
      </c>
      <c r="S219" s="235">
        <f t="shared" si="104"/>
        <v>1079</v>
      </c>
      <c r="T219" s="393"/>
      <c r="U219" s="235">
        <f t="shared" si="105"/>
        <v>1348.75</v>
      </c>
      <c r="V219" s="235">
        <f t="shared" si="106"/>
        <v>1348.75</v>
      </c>
      <c r="W219" s="393">
        <v>1</v>
      </c>
      <c r="X219" s="235">
        <f t="shared" si="107"/>
        <v>1348.75</v>
      </c>
      <c r="Y219" s="235">
        <f t="shared" si="108"/>
        <v>2427.75</v>
      </c>
      <c r="Z219" s="235">
        <f t="shared" si="97"/>
        <v>8901.75</v>
      </c>
      <c r="AA219" s="235"/>
      <c r="AB219" s="235">
        <f t="shared" si="109"/>
        <v>2018.75</v>
      </c>
      <c r="AC219" s="235">
        <f t="shared" si="110"/>
        <v>2021</v>
      </c>
      <c r="AD219" s="235">
        <f t="shared" si="111"/>
        <v>2028.75</v>
      </c>
      <c r="AE219" s="413">
        <f t="shared" si="112"/>
        <v>2020</v>
      </c>
      <c r="AF219" s="413">
        <f t="shared" si="113"/>
        <v>-8.3333333333333329E-2</v>
      </c>
      <c r="AG219" s="413">
        <f t="shared" si="114"/>
        <v>2028.75</v>
      </c>
      <c r="AH219" s="413">
        <f t="shared" si="115"/>
        <v>2020</v>
      </c>
      <c r="AI219" s="413">
        <f t="shared" si="116"/>
        <v>-8.3333333333333329E-2</v>
      </c>
      <c r="AJ219" s="307"/>
      <c r="AK219" s="307"/>
      <c r="AL219" s="307"/>
    </row>
    <row r="220" spans="1:38" ht="15.75">
      <c r="A220" s="307">
        <v>243</v>
      </c>
      <c r="B220" s="415" t="s">
        <v>694</v>
      </c>
      <c r="C220" s="410">
        <v>2019</v>
      </c>
      <c r="D220" s="407">
        <v>5</v>
      </c>
      <c r="E220" s="411"/>
      <c r="F220" s="397" t="s">
        <v>668</v>
      </c>
      <c r="G220" s="397">
        <v>10</v>
      </c>
      <c r="H220" s="407">
        <f t="shared" si="98"/>
        <v>2029</v>
      </c>
      <c r="I220" s="393"/>
      <c r="J220" s="393"/>
      <c r="K220" s="417">
        <v>13204</v>
      </c>
      <c r="L220" s="393"/>
      <c r="M220" s="235">
        <f t="shared" si="99"/>
        <v>13204</v>
      </c>
      <c r="N220" s="235">
        <f t="shared" si="100"/>
        <v>110.03333333333335</v>
      </c>
      <c r="O220" s="235">
        <f t="shared" si="101"/>
        <v>1320.4</v>
      </c>
      <c r="P220" s="235">
        <f t="shared" si="102"/>
        <v>0</v>
      </c>
      <c r="Q220" s="235">
        <f t="shared" si="103"/>
        <v>1320.4</v>
      </c>
      <c r="R220" s="393">
        <v>1</v>
      </c>
      <c r="S220" s="235">
        <f t="shared" si="104"/>
        <v>1320.4</v>
      </c>
      <c r="T220" s="393"/>
      <c r="U220" s="235">
        <f t="shared" si="105"/>
        <v>880.26666666676681</v>
      </c>
      <c r="V220" s="235">
        <f t="shared" si="106"/>
        <v>880.26666666676681</v>
      </c>
      <c r="W220" s="393">
        <v>1</v>
      </c>
      <c r="X220" s="235">
        <f t="shared" si="107"/>
        <v>880.26666666676681</v>
      </c>
      <c r="Y220" s="235">
        <f t="shared" si="108"/>
        <v>2200.666666666767</v>
      </c>
      <c r="Z220" s="235">
        <f t="shared" si="97"/>
        <v>11663.533333333235</v>
      </c>
      <c r="AA220" s="235"/>
      <c r="AB220" s="235">
        <f t="shared" si="109"/>
        <v>2019.3333333333333</v>
      </c>
      <c r="AC220" s="235">
        <f t="shared" si="110"/>
        <v>2021</v>
      </c>
      <c r="AD220" s="235">
        <f t="shared" si="111"/>
        <v>2029.3333333333333</v>
      </c>
      <c r="AE220" s="413">
        <f t="shared" si="112"/>
        <v>2020</v>
      </c>
      <c r="AF220" s="413">
        <f t="shared" si="113"/>
        <v>-8.3333333333333329E-2</v>
      </c>
      <c r="AG220" s="413">
        <f t="shared" si="114"/>
        <v>2029.3333333333333</v>
      </c>
      <c r="AH220" s="413">
        <f t="shared" si="115"/>
        <v>2020</v>
      </c>
      <c r="AI220" s="413">
        <f t="shared" si="116"/>
        <v>-8.3333333333333329E-2</v>
      </c>
      <c r="AJ220" s="307"/>
      <c r="AK220" s="307"/>
      <c r="AL220" s="307"/>
    </row>
    <row r="221" spans="1:38" ht="15.75">
      <c r="A221" s="307">
        <v>244</v>
      </c>
      <c r="B221" s="415" t="s">
        <v>694</v>
      </c>
      <c r="C221" s="410">
        <v>2019</v>
      </c>
      <c r="D221" s="407">
        <v>9</v>
      </c>
      <c r="E221" s="411"/>
      <c r="F221" s="397" t="s">
        <v>668</v>
      </c>
      <c r="G221" s="397">
        <v>10</v>
      </c>
      <c r="H221" s="407">
        <f t="shared" si="98"/>
        <v>2029</v>
      </c>
      <c r="I221" s="393"/>
      <c r="J221" s="393"/>
      <c r="K221" s="417">
        <v>6162</v>
      </c>
      <c r="L221" s="393"/>
      <c r="M221" s="235">
        <f t="shared" si="99"/>
        <v>6162</v>
      </c>
      <c r="N221" s="235">
        <f t="shared" si="100"/>
        <v>51.35</v>
      </c>
      <c r="O221" s="235">
        <f t="shared" si="101"/>
        <v>616.20000000000005</v>
      </c>
      <c r="P221" s="235">
        <f t="shared" si="102"/>
        <v>0</v>
      </c>
      <c r="Q221" s="235">
        <f t="shared" si="103"/>
        <v>616.20000000000005</v>
      </c>
      <c r="R221" s="393">
        <v>1</v>
      </c>
      <c r="S221" s="235">
        <f t="shared" si="104"/>
        <v>616.20000000000005</v>
      </c>
      <c r="T221" s="393"/>
      <c r="U221" s="235">
        <f t="shared" si="105"/>
        <v>205.39999999995331</v>
      </c>
      <c r="V221" s="235">
        <f t="shared" si="106"/>
        <v>205.39999999995331</v>
      </c>
      <c r="W221" s="393">
        <v>1</v>
      </c>
      <c r="X221" s="235">
        <f t="shared" si="107"/>
        <v>205.39999999995331</v>
      </c>
      <c r="Y221" s="235">
        <f t="shared" si="108"/>
        <v>821.5999999999533</v>
      </c>
      <c r="Z221" s="235">
        <f t="shared" si="97"/>
        <v>5648.5000000000473</v>
      </c>
      <c r="AA221" s="235"/>
      <c r="AB221" s="235">
        <f t="shared" si="109"/>
        <v>2019.6666666666667</v>
      </c>
      <c r="AC221" s="235">
        <f t="shared" si="110"/>
        <v>2021</v>
      </c>
      <c r="AD221" s="235">
        <f t="shared" si="111"/>
        <v>2029.6666666666667</v>
      </c>
      <c r="AE221" s="413">
        <f t="shared" si="112"/>
        <v>2020</v>
      </c>
      <c r="AF221" s="413">
        <f t="shared" si="113"/>
        <v>-8.3333333333333329E-2</v>
      </c>
      <c r="AG221" s="413">
        <f t="shared" si="114"/>
        <v>2029.6666666666667</v>
      </c>
      <c r="AH221" s="413">
        <f t="shared" si="115"/>
        <v>2020</v>
      </c>
      <c r="AI221" s="413">
        <f t="shared" si="116"/>
        <v>-8.3333333333333329E-2</v>
      </c>
      <c r="AJ221" s="307"/>
      <c r="AK221" s="307"/>
      <c r="AL221" s="307"/>
    </row>
    <row r="222" spans="1:38" ht="15.75">
      <c r="A222" s="307">
        <v>245</v>
      </c>
      <c r="B222" s="415" t="s">
        <v>694</v>
      </c>
      <c r="C222" s="410">
        <v>2019</v>
      </c>
      <c r="D222" s="407">
        <v>12</v>
      </c>
      <c r="E222" s="411"/>
      <c r="F222" s="397" t="s">
        <v>668</v>
      </c>
      <c r="G222" s="397">
        <v>10</v>
      </c>
      <c r="H222" s="407">
        <f t="shared" si="98"/>
        <v>2029</v>
      </c>
      <c r="I222" s="393"/>
      <c r="J222" s="393"/>
      <c r="K222" s="417">
        <v>14678</v>
      </c>
      <c r="L222" s="393"/>
      <c r="M222" s="235">
        <f t="shared" si="99"/>
        <v>14678</v>
      </c>
      <c r="N222" s="235">
        <f t="shared" si="100"/>
        <v>122.31666666666666</v>
      </c>
      <c r="O222" s="235">
        <f t="shared" si="101"/>
        <v>1467.8</v>
      </c>
      <c r="P222" s="235">
        <f t="shared" si="102"/>
        <v>0</v>
      </c>
      <c r="Q222" s="235">
        <f t="shared" si="103"/>
        <v>1467.8</v>
      </c>
      <c r="R222" s="393">
        <v>1</v>
      </c>
      <c r="S222" s="235">
        <f t="shared" si="104"/>
        <v>1467.8</v>
      </c>
      <c r="T222" s="393"/>
      <c r="U222" s="235">
        <f t="shared" si="105"/>
        <v>122.31666666655542</v>
      </c>
      <c r="V222" s="235">
        <f t="shared" si="106"/>
        <v>122.31666666655542</v>
      </c>
      <c r="W222" s="393">
        <v>1</v>
      </c>
      <c r="X222" s="235">
        <f t="shared" si="107"/>
        <v>122.31666666655542</v>
      </c>
      <c r="Y222" s="235">
        <f t="shared" si="108"/>
        <v>1590.1166666665554</v>
      </c>
      <c r="Z222" s="235">
        <f t="shared" si="97"/>
        <v>13821.783333333446</v>
      </c>
      <c r="AA222" s="235"/>
      <c r="AB222" s="235">
        <f t="shared" si="109"/>
        <v>2019.9166666666667</v>
      </c>
      <c r="AC222" s="235">
        <f t="shared" si="110"/>
        <v>2021</v>
      </c>
      <c r="AD222" s="235">
        <f t="shared" si="111"/>
        <v>2029.9166666666667</v>
      </c>
      <c r="AE222" s="413">
        <f t="shared" si="112"/>
        <v>2020</v>
      </c>
      <c r="AF222" s="413">
        <f t="shared" si="113"/>
        <v>-8.3333333333333329E-2</v>
      </c>
      <c r="AG222" s="413">
        <f t="shared" si="114"/>
        <v>2029.9166666666667</v>
      </c>
      <c r="AH222" s="413">
        <f t="shared" si="115"/>
        <v>2020</v>
      </c>
      <c r="AI222" s="413">
        <f t="shared" si="116"/>
        <v>-8.3333333333333329E-2</v>
      </c>
      <c r="AJ222" s="307"/>
      <c r="AK222" s="307"/>
      <c r="AL222" s="307"/>
    </row>
    <row r="223" spans="1:38" ht="15.75">
      <c r="A223" s="307">
        <v>246</v>
      </c>
      <c r="B223" s="415" t="s">
        <v>694</v>
      </c>
      <c r="C223" s="410">
        <v>2020</v>
      </c>
      <c r="D223" s="407">
        <v>2</v>
      </c>
      <c r="E223" s="411"/>
      <c r="F223" s="397" t="s">
        <v>668</v>
      </c>
      <c r="G223" s="397">
        <v>10</v>
      </c>
      <c r="H223" s="407">
        <f t="shared" si="98"/>
        <v>2030</v>
      </c>
      <c r="I223" s="393"/>
      <c r="J223" s="393"/>
      <c r="K223" s="417">
        <v>8034.42</v>
      </c>
      <c r="L223" s="393"/>
      <c r="M223" s="235">
        <f t="shared" si="99"/>
        <v>8034.42</v>
      </c>
      <c r="N223" s="235">
        <f t="shared" si="100"/>
        <v>66.953500000000005</v>
      </c>
      <c r="O223" s="235">
        <f>+N223*12</f>
        <v>803.44200000000001</v>
      </c>
      <c r="P223" s="235">
        <f t="shared" si="102"/>
        <v>0</v>
      </c>
      <c r="Q223" s="235">
        <f t="shared" si="103"/>
        <v>803.44200000000001</v>
      </c>
      <c r="R223" s="393">
        <v>1</v>
      </c>
      <c r="S223" s="235">
        <f t="shared" si="104"/>
        <v>803.44200000000001</v>
      </c>
      <c r="T223" s="393"/>
      <c r="U223" s="235">
        <f t="shared" si="105"/>
        <v>0</v>
      </c>
      <c r="V223" s="235">
        <f t="shared" si="106"/>
        <v>0</v>
      </c>
      <c r="W223" s="393">
        <v>1</v>
      </c>
      <c r="X223" s="235">
        <f t="shared" si="107"/>
        <v>0</v>
      </c>
      <c r="Y223" s="235">
        <f t="shared" si="108"/>
        <v>803.44200000000001</v>
      </c>
      <c r="Z223" s="235">
        <f t="shared" ref="Z223:Z230" si="117">+M223-(Y223/2)</f>
        <v>7632.6990000000005</v>
      </c>
      <c r="AA223" s="235"/>
      <c r="AB223" s="235">
        <f t="shared" si="109"/>
        <v>2020.0833333333333</v>
      </c>
      <c r="AC223" s="235">
        <f t="shared" si="110"/>
        <v>2021</v>
      </c>
      <c r="AD223" s="235">
        <f t="shared" si="111"/>
        <v>2030.0833333333333</v>
      </c>
      <c r="AE223" s="413">
        <f t="shared" si="112"/>
        <v>2020</v>
      </c>
      <c r="AF223" s="413">
        <f t="shared" si="113"/>
        <v>-8.3333333333333329E-2</v>
      </c>
      <c r="AG223" s="413">
        <f t="shared" si="114"/>
        <v>2030.0833333333333</v>
      </c>
      <c r="AH223" s="413">
        <f t="shared" si="115"/>
        <v>2020</v>
      </c>
      <c r="AI223" s="413">
        <f t="shared" si="116"/>
        <v>-8.3333333333333329E-2</v>
      </c>
      <c r="AJ223" s="307"/>
      <c r="AK223" s="307"/>
      <c r="AL223" s="307"/>
    </row>
    <row r="224" spans="1:38" ht="15.75">
      <c r="A224" s="307">
        <v>247</v>
      </c>
      <c r="B224" s="415" t="s">
        <v>694</v>
      </c>
      <c r="C224" s="410">
        <v>2020</v>
      </c>
      <c r="D224" s="407">
        <v>4</v>
      </c>
      <c r="E224" s="411"/>
      <c r="F224" s="397" t="s">
        <v>668</v>
      </c>
      <c r="G224" s="397">
        <v>10</v>
      </c>
      <c r="H224" s="407">
        <f t="shared" si="98"/>
        <v>2030</v>
      </c>
      <c r="I224" s="393"/>
      <c r="J224" s="393"/>
      <c r="K224" s="417">
        <v>1655.28</v>
      </c>
      <c r="L224" s="393"/>
      <c r="M224" s="235">
        <f t="shared" si="99"/>
        <v>1655.28</v>
      </c>
      <c r="N224" s="235">
        <f t="shared" si="100"/>
        <v>13.793999999999999</v>
      </c>
      <c r="O224" s="235">
        <f t="shared" ref="O224:O230" si="118">+N224*12</f>
        <v>165.52799999999999</v>
      </c>
      <c r="P224" s="235">
        <f t="shared" si="102"/>
        <v>0</v>
      </c>
      <c r="Q224" s="235">
        <f t="shared" si="103"/>
        <v>165.52799999999999</v>
      </c>
      <c r="R224" s="393">
        <v>1</v>
      </c>
      <c r="S224" s="235">
        <f t="shared" si="104"/>
        <v>165.52799999999999</v>
      </c>
      <c r="T224" s="393"/>
      <c r="U224" s="235">
        <f t="shared" si="105"/>
        <v>0</v>
      </c>
      <c r="V224" s="235">
        <f t="shared" si="106"/>
        <v>0</v>
      </c>
      <c r="W224" s="393">
        <v>1</v>
      </c>
      <c r="X224" s="235">
        <f t="shared" si="107"/>
        <v>0</v>
      </c>
      <c r="Y224" s="235">
        <f t="shared" si="108"/>
        <v>165.52799999999999</v>
      </c>
      <c r="Z224" s="235">
        <f t="shared" si="117"/>
        <v>1572.5160000000001</v>
      </c>
      <c r="AA224" s="235"/>
      <c r="AB224" s="235">
        <f t="shared" si="109"/>
        <v>2020.25</v>
      </c>
      <c r="AC224" s="235">
        <f t="shared" si="110"/>
        <v>2021</v>
      </c>
      <c r="AD224" s="235">
        <f t="shared" si="111"/>
        <v>2030.25</v>
      </c>
      <c r="AE224" s="413">
        <f t="shared" si="112"/>
        <v>2020</v>
      </c>
      <c r="AF224" s="413">
        <f t="shared" si="113"/>
        <v>-8.3333333333333329E-2</v>
      </c>
      <c r="AG224" s="413">
        <f t="shared" si="114"/>
        <v>2030.25</v>
      </c>
      <c r="AH224" s="413">
        <f t="shared" si="115"/>
        <v>2020</v>
      </c>
      <c r="AI224" s="413">
        <f t="shared" si="116"/>
        <v>-8.3333333333333329E-2</v>
      </c>
      <c r="AJ224" s="307"/>
      <c r="AK224" s="307"/>
      <c r="AL224" s="307"/>
    </row>
    <row r="225" spans="1:38" ht="15.75">
      <c r="A225" s="307">
        <v>248</v>
      </c>
      <c r="B225" s="415" t="s">
        <v>694</v>
      </c>
      <c r="C225" s="410">
        <v>2020</v>
      </c>
      <c r="D225" s="407">
        <v>4</v>
      </c>
      <c r="E225" s="411"/>
      <c r="F225" s="397" t="s">
        <v>668</v>
      </c>
      <c r="G225" s="397">
        <v>10</v>
      </c>
      <c r="H225" s="407">
        <f t="shared" si="98"/>
        <v>2030</v>
      </c>
      <c r="I225" s="393"/>
      <c r="J225" s="393"/>
      <c r="K225" s="417">
        <v>5028.4799999999996</v>
      </c>
      <c r="L225" s="393"/>
      <c r="M225" s="235">
        <f t="shared" si="99"/>
        <v>5028.4799999999996</v>
      </c>
      <c r="N225" s="235">
        <f t="shared" si="100"/>
        <v>41.903999999999996</v>
      </c>
      <c r="O225" s="235">
        <f t="shared" si="118"/>
        <v>502.84799999999996</v>
      </c>
      <c r="P225" s="235">
        <f t="shared" si="102"/>
        <v>0</v>
      </c>
      <c r="Q225" s="235">
        <f t="shared" si="103"/>
        <v>502.84799999999996</v>
      </c>
      <c r="R225" s="393">
        <v>1</v>
      </c>
      <c r="S225" s="235">
        <f t="shared" si="104"/>
        <v>502.84799999999996</v>
      </c>
      <c r="T225" s="393"/>
      <c r="U225" s="235">
        <f t="shared" si="105"/>
        <v>0</v>
      </c>
      <c r="V225" s="235">
        <f t="shared" si="106"/>
        <v>0</v>
      </c>
      <c r="W225" s="393">
        <v>1</v>
      </c>
      <c r="X225" s="235">
        <f t="shared" si="107"/>
        <v>0</v>
      </c>
      <c r="Y225" s="235">
        <f t="shared" si="108"/>
        <v>502.84799999999996</v>
      </c>
      <c r="Z225" s="235">
        <f t="shared" si="117"/>
        <v>4777.0559999999996</v>
      </c>
      <c r="AA225" s="235"/>
      <c r="AB225" s="235">
        <f t="shared" si="109"/>
        <v>2020.25</v>
      </c>
      <c r="AC225" s="235">
        <f t="shared" si="110"/>
        <v>2021</v>
      </c>
      <c r="AD225" s="235">
        <f t="shared" si="111"/>
        <v>2030.25</v>
      </c>
      <c r="AE225" s="413">
        <f t="shared" si="112"/>
        <v>2020</v>
      </c>
      <c r="AF225" s="413">
        <f t="shared" si="113"/>
        <v>-8.3333333333333329E-2</v>
      </c>
      <c r="AG225" s="413">
        <f t="shared" si="114"/>
        <v>2030.25</v>
      </c>
      <c r="AH225" s="413">
        <f t="shared" si="115"/>
        <v>2020</v>
      </c>
      <c r="AI225" s="413">
        <f t="shared" si="116"/>
        <v>-8.3333333333333329E-2</v>
      </c>
      <c r="AJ225" s="307"/>
      <c r="AK225" s="307"/>
      <c r="AL225" s="307"/>
    </row>
    <row r="226" spans="1:38" ht="15.75">
      <c r="A226" s="307">
        <v>249</v>
      </c>
      <c r="B226" s="415" t="s">
        <v>694</v>
      </c>
      <c r="C226" s="410">
        <v>2020</v>
      </c>
      <c r="D226" s="407">
        <v>6</v>
      </c>
      <c r="E226" s="411"/>
      <c r="F226" s="397" t="s">
        <v>668</v>
      </c>
      <c r="G226" s="397">
        <v>10</v>
      </c>
      <c r="H226" s="407">
        <f t="shared" si="98"/>
        <v>2030</v>
      </c>
      <c r="I226" s="393"/>
      <c r="J226" s="393"/>
      <c r="K226" s="417">
        <v>12434</v>
      </c>
      <c r="L226" s="393"/>
      <c r="M226" s="235">
        <f t="shared" si="99"/>
        <v>12434</v>
      </c>
      <c r="N226" s="235">
        <f t="shared" si="100"/>
        <v>103.61666666666667</v>
      </c>
      <c r="O226" s="235">
        <f t="shared" si="118"/>
        <v>1243.4000000000001</v>
      </c>
      <c r="P226" s="235">
        <f t="shared" si="102"/>
        <v>0</v>
      </c>
      <c r="Q226" s="235">
        <f t="shared" si="103"/>
        <v>1243.4000000000001</v>
      </c>
      <c r="R226" s="393">
        <v>1</v>
      </c>
      <c r="S226" s="235">
        <f t="shared" si="104"/>
        <v>1243.4000000000001</v>
      </c>
      <c r="T226" s="393"/>
      <c r="U226" s="235">
        <f t="shared" si="105"/>
        <v>0</v>
      </c>
      <c r="V226" s="235">
        <f t="shared" si="106"/>
        <v>0</v>
      </c>
      <c r="W226" s="393">
        <v>1</v>
      </c>
      <c r="X226" s="235">
        <f t="shared" si="107"/>
        <v>0</v>
      </c>
      <c r="Y226" s="235">
        <f t="shared" si="108"/>
        <v>1243.4000000000001</v>
      </c>
      <c r="Z226" s="235">
        <f t="shared" si="117"/>
        <v>11812.3</v>
      </c>
      <c r="AA226" s="235"/>
      <c r="AB226" s="235">
        <f t="shared" si="109"/>
        <v>2020.4166666666667</v>
      </c>
      <c r="AC226" s="235">
        <f t="shared" si="110"/>
        <v>2021</v>
      </c>
      <c r="AD226" s="235">
        <f t="shared" si="111"/>
        <v>2030.4166666666667</v>
      </c>
      <c r="AE226" s="413">
        <f t="shared" si="112"/>
        <v>2020</v>
      </c>
      <c r="AF226" s="413">
        <f t="shared" si="113"/>
        <v>-8.3333333333333329E-2</v>
      </c>
      <c r="AG226" s="413">
        <f t="shared" si="114"/>
        <v>2030.4166666666667</v>
      </c>
      <c r="AH226" s="413">
        <f t="shared" si="115"/>
        <v>2020</v>
      </c>
      <c r="AI226" s="413">
        <f t="shared" si="116"/>
        <v>-8.3333333333333329E-2</v>
      </c>
      <c r="AJ226" s="307"/>
      <c r="AK226" s="307"/>
      <c r="AL226" s="307"/>
    </row>
    <row r="227" spans="1:38" ht="15.75">
      <c r="A227" s="307">
        <v>250</v>
      </c>
      <c r="B227" s="415" t="s">
        <v>694</v>
      </c>
      <c r="C227" s="410">
        <v>2020</v>
      </c>
      <c r="D227" s="407">
        <v>7</v>
      </c>
      <c r="E227" s="411"/>
      <c r="F227" s="397" t="s">
        <v>668</v>
      </c>
      <c r="G227" s="397">
        <v>10</v>
      </c>
      <c r="H227" s="407">
        <f t="shared" si="98"/>
        <v>2030</v>
      </c>
      <c r="I227" s="393"/>
      <c r="J227" s="393"/>
      <c r="K227" s="417">
        <v>31812</v>
      </c>
      <c r="L227" s="393"/>
      <c r="M227" s="235">
        <f t="shared" si="99"/>
        <v>31812</v>
      </c>
      <c r="N227" s="235">
        <f t="shared" si="100"/>
        <v>265.09999999999997</v>
      </c>
      <c r="O227" s="235">
        <f t="shared" si="118"/>
        <v>3181.2</v>
      </c>
      <c r="P227" s="235">
        <f t="shared" si="102"/>
        <v>0</v>
      </c>
      <c r="Q227" s="235">
        <f t="shared" si="103"/>
        <v>3181.2</v>
      </c>
      <c r="R227" s="393">
        <v>1</v>
      </c>
      <c r="S227" s="235">
        <f t="shared" si="104"/>
        <v>3181.2</v>
      </c>
      <c r="T227" s="393"/>
      <c r="U227" s="235">
        <f t="shared" si="105"/>
        <v>0</v>
      </c>
      <c r="V227" s="235">
        <f t="shared" si="106"/>
        <v>0</v>
      </c>
      <c r="W227" s="393">
        <v>1</v>
      </c>
      <c r="X227" s="235">
        <f t="shared" si="107"/>
        <v>0</v>
      </c>
      <c r="Y227" s="235">
        <f t="shared" si="108"/>
        <v>3181.2</v>
      </c>
      <c r="Z227" s="235">
        <f t="shared" si="117"/>
        <v>30221.4</v>
      </c>
      <c r="AA227" s="235"/>
      <c r="AB227" s="235">
        <f t="shared" si="109"/>
        <v>2020.5</v>
      </c>
      <c r="AC227" s="235">
        <f t="shared" si="110"/>
        <v>2021</v>
      </c>
      <c r="AD227" s="235">
        <f t="shared" si="111"/>
        <v>2030.5</v>
      </c>
      <c r="AE227" s="413">
        <f t="shared" si="112"/>
        <v>2020</v>
      </c>
      <c r="AF227" s="413">
        <f t="shared" si="113"/>
        <v>-8.3333333333333329E-2</v>
      </c>
      <c r="AG227" s="413">
        <f t="shared" si="114"/>
        <v>2030.5</v>
      </c>
      <c r="AH227" s="413">
        <f t="shared" si="115"/>
        <v>2020</v>
      </c>
      <c r="AI227" s="413">
        <f t="shared" si="116"/>
        <v>-8.3333333333333329E-2</v>
      </c>
      <c r="AJ227" s="307"/>
      <c r="AK227" s="307"/>
      <c r="AL227" s="307"/>
    </row>
    <row r="228" spans="1:38" ht="15.75">
      <c r="A228" s="307">
        <v>251</v>
      </c>
      <c r="B228" s="415" t="s">
        <v>694</v>
      </c>
      <c r="C228" s="410">
        <v>2020</v>
      </c>
      <c r="D228" s="407">
        <v>11</v>
      </c>
      <c r="E228" s="411"/>
      <c r="F228" s="397" t="s">
        <v>668</v>
      </c>
      <c r="G228" s="397">
        <v>10</v>
      </c>
      <c r="H228" s="407">
        <f t="shared" si="98"/>
        <v>2030</v>
      </c>
      <c r="I228" s="393"/>
      <c r="J228" s="393"/>
      <c r="K228" s="417">
        <v>10260</v>
      </c>
      <c r="L228" s="393"/>
      <c r="M228" s="235">
        <f t="shared" si="99"/>
        <v>10260</v>
      </c>
      <c r="N228" s="235">
        <f t="shared" si="100"/>
        <v>85.5</v>
      </c>
      <c r="O228" s="235">
        <f t="shared" si="118"/>
        <v>1026</v>
      </c>
      <c r="P228" s="235">
        <f t="shared" si="102"/>
        <v>0</v>
      </c>
      <c r="Q228" s="235">
        <f t="shared" si="103"/>
        <v>1026</v>
      </c>
      <c r="R228" s="393">
        <v>1</v>
      </c>
      <c r="S228" s="235">
        <f t="shared" si="104"/>
        <v>1026</v>
      </c>
      <c r="T228" s="393"/>
      <c r="U228" s="235">
        <f t="shared" si="105"/>
        <v>0</v>
      </c>
      <c r="V228" s="235">
        <f t="shared" si="106"/>
        <v>0</v>
      </c>
      <c r="W228" s="393">
        <v>1</v>
      </c>
      <c r="X228" s="235">
        <f t="shared" si="107"/>
        <v>0</v>
      </c>
      <c r="Y228" s="235">
        <f t="shared" si="108"/>
        <v>1026</v>
      </c>
      <c r="Z228" s="235">
        <f t="shared" si="117"/>
        <v>9747</v>
      </c>
      <c r="AA228" s="235"/>
      <c r="AB228" s="235">
        <f t="shared" si="109"/>
        <v>2020.8333333333333</v>
      </c>
      <c r="AC228" s="235">
        <f t="shared" si="110"/>
        <v>2021</v>
      </c>
      <c r="AD228" s="235">
        <f t="shared" si="111"/>
        <v>2030.8333333333333</v>
      </c>
      <c r="AE228" s="413">
        <f t="shared" si="112"/>
        <v>2020</v>
      </c>
      <c r="AF228" s="413">
        <f t="shared" si="113"/>
        <v>-8.3333333333333329E-2</v>
      </c>
      <c r="AG228" s="413">
        <f t="shared" si="114"/>
        <v>2030.8333333333333</v>
      </c>
      <c r="AH228" s="413">
        <f t="shared" si="115"/>
        <v>2020</v>
      </c>
      <c r="AI228" s="413">
        <f t="shared" si="116"/>
        <v>-8.3333333333333329E-2</v>
      </c>
      <c r="AJ228" s="307"/>
      <c r="AK228" s="307"/>
      <c r="AL228" s="307"/>
    </row>
    <row r="229" spans="1:38" ht="15.75">
      <c r="A229" s="307">
        <v>252</v>
      </c>
      <c r="B229" s="415" t="s">
        <v>694</v>
      </c>
      <c r="C229" s="410">
        <v>2020</v>
      </c>
      <c r="D229" s="407">
        <v>12</v>
      </c>
      <c r="E229" s="411"/>
      <c r="F229" s="397" t="s">
        <v>668</v>
      </c>
      <c r="G229" s="397">
        <v>10</v>
      </c>
      <c r="H229" s="407">
        <f t="shared" si="98"/>
        <v>2030</v>
      </c>
      <c r="I229" s="393"/>
      <c r="J229" s="393"/>
      <c r="K229" s="417">
        <v>5746</v>
      </c>
      <c r="L229" s="393"/>
      <c r="M229" s="235">
        <f t="shared" si="99"/>
        <v>5746</v>
      </c>
      <c r="N229" s="235">
        <f t="shared" si="100"/>
        <v>47.883333333333333</v>
      </c>
      <c r="O229" s="235">
        <f t="shared" si="118"/>
        <v>574.6</v>
      </c>
      <c r="P229" s="235">
        <f t="shared" si="102"/>
        <v>0</v>
      </c>
      <c r="Q229" s="235">
        <f t="shared" si="103"/>
        <v>574.6</v>
      </c>
      <c r="R229" s="393">
        <v>1</v>
      </c>
      <c r="S229" s="235">
        <f t="shared" si="104"/>
        <v>574.6</v>
      </c>
      <c r="T229" s="393"/>
      <c r="U229" s="235">
        <f t="shared" si="105"/>
        <v>0</v>
      </c>
      <c r="V229" s="235">
        <f t="shared" si="106"/>
        <v>0</v>
      </c>
      <c r="W229" s="393">
        <v>1</v>
      </c>
      <c r="X229" s="235">
        <f t="shared" si="107"/>
        <v>0</v>
      </c>
      <c r="Y229" s="235">
        <f t="shared" si="108"/>
        <v>574.6</v>
      </c>
      <c r="Z229" s="235">
        <f t="shared" si="117"/>
        <v>5458.7</v>
      </c>
      <c r="AA229" s="235"/>
      <c r="AB229" s="235">
        <f t="shared" si="109"/>
        <v>2020.9166666666667</v>
      </c>
      <c r="AC229" s="235">
        <f t="shared" si="110"/>
        <v>2021</v>
      </c>
      <c r="AD229" s="235">
        <f t="shared" si="111"/>
        <v>2030.9166666666667</v>
      </c>
      <c r="AE229" s="413">
        <f t="shared" si="112"/>
        <v>2020</v>
      </c>
      <c r="AF229" s="413">
        <f t="shared" si="113"/>
        <v>-8.3333333333333329E-2</v>
      </c>
      <c r="AG229" s="413">
        <f t="shared" si="114"/>
        <v>2030.9166666666667</v>
      </c>
      <c r="AH229" s="413">
        <f t="shared" si="115"/>
        <v>2020</v>
      </c>
      <c r="AI229" s="413">
        <f t="shared" si="116"/>
        <v>-8.3333333333333329E-2</v>
      </c>
      <c r="AJ229" s="307"/>
      <c r="AK229" s="307"/>
      <c r="AL229" s="307"/>
    </row>
    <row r="230" spans="1:38" ht="15.75">
      <c r="A230" s="307">
        <v>253</v>
      </c>
      <c r="B230" s="415" t="s">
        <v>694</v>
      </c>
      <c r="C230" s="410">
        <v>2020</v>
      </c>
      <c r="D230" s="407">
        <v>12</v>
      </c>
      <c r="E230" s="411"/>
      <c r="F230" s="397" t="s">
        <v>668</v>
      </c>
      <c r="G230" s="397">
        <v>10</v>
      </c>
      <c r="H230" s="407">
        <f t="shared" si="98"/>
        <v>2030</v>
      </c>
      <c r="I230" s="393"/>
      <c r="J230" s="393"/>
      <c r="K230" s="418">
        <v>13551</v>
      </c>
      <c r="L230" s="393"/>
      <c r="M230" s="419">
        <f t="shared" si="99"/>
        <v>13551</v>
      </c>
      <c r="N230" s="419">
        <f t="shared" si="100"/>
        <v>112.925</v>
      </c>
      <c r="O230" s="419">
        <f t="shared" si="118"/>
        <v>1355.1</v>
      </c>
      <c r="P230" s="419">
        <f t="shared" si="102"/>
        <v>0</v>
      </c>
      <c r="Q230" s="419">
        <f t="shared" si="103"/>
        <v>1355.1</v>
      </c>
      <c r="R230" s="420">
        <v>1</v>
      </c>
      <c r="S230" s="419">
        <f t="shared" si="104"/>
        <v>1355.1</v>
      </c>
      <c r="T230" s="420"/>
      <c r="U230" s="419">
        <f t="shared" si="105"/>
        <v>0</v>
      </c>
      <c r="V230" s="419">
        <f t="shared" si="106"/>
        <v>0</v>
      </c>
      <c r="W230" s="420">
        <v>1</v>
      </c>
      <c r="X230" s="419">
        <f t="shared" si="107"/>
        <v>0</v>
      </c>
      <c r="Y230" s="419">
        <f t="shared" si="108"/>
        <v>1355.1</v>
      </c>
      <c r="Z230" s="419">
        <f t="shared" si="117"/>
        <v>12873.45</v>
      </c>
      <c r="AA230" s="235"/>
      <c r="AB230" s="235">
        <f t="shared" si="109"/>
        <v>2020.9166666666667</v>
      </c>
      <c r="AC230" s="235">
        <f t="shared" si="110"/>
        <v>2021</v>
      </c>
      <c r="AD230" s="235">
        <f t="shared" si="111"/>
        <v>2030.9166666666667</v>
      </c>
      <c r="AE230" s="413">
        <f t="shared" si="112"/>
        <v>2020</v>
      </c>
      <c r="AF230" s="413">
        <f t="shared" si="113"/>
        <v>-8.3333333333333329E-2</v>
      </c>
      <c r="AG230" s="413">
        <f t="shared" si="114"/>
        <v>2030.9166666666667</v>
      </c>
      <c r="AH230" s="413">
        <f t="shared" si="115"/>
        <v>2020</v>
      </c>
      <c r="AI230" s="413">
        <f t="shared" si="116"/>
        <v>-8.3333333333333329E-2</v>
      </c>
      <c r="AJ230" s="307"/>
      <c r="AK230" s="307"/>
      <c r="AL230" s="307"/>
    </row>
    <row r="231" spans="1:38" ht="15.75">
      <c r="A231" s="307"/>
      <c r="B231" s="307"/>
      <c r="C231" s="410"/>
      <c r="D231" s="407"/>
      <c r="E231" s="411"/>
      <c r="F231" s="397"/>
      <c r="G231" s="397"/>
      <c r="H231" s="407"/>
      <c r="I231" s="393"/>
      <c r="J231" s="393"/>
      <c r="K231" s="235">
        <f>SUM(K44:K230)</f>
        <v>875182</v>
      </c>
      <c r="L231" s="393"/>
      <c r="M231" s="235">
        <f t="shared" ref="M231:Z231" si="119">SUM(M44:M230)</f>
        <v>875182</v>
      </c>
      <c r="N231" s="235">
        <f t="shared" si="119"/>
        <v>7293.1833333333316</v>
      </c>
      <c r="O231" s="235">
        <f t="shared" si="119"/>
        <v>32444.54166666677</v>
      </c>
      <c r="P231" s="235">
        <f t="shared" si="119"/>
        <v>0</v>
      </c>
      <c r="Q231" s="235">
        <f t="shared" si="119"/>
        <v>32444.54166666677</v>
      </c>
      <c r="R231" s="235">
        <f t="shared" si="119"/>
        <v>187</v>
      </c>
      <c r="S231" s="235">
        <f t="shared" si="119"/>
        <v>32444.54166666677</v>
      </c>
      <c r="T231" s="235">
        <f t="shared" si="119"/>
        <v>0</v>
      </c>
      <c r="U231" s="235">
        <f t="shared" si="119"/>
        <v>675920.07858333224</v>
      </c>
      <c r="V231" s="235">
        <f t="shared" si="119"/>
        <v>675920.07858333224</v>
      </c>
      <c r="W231" s="235">
        <f t="shared" si="119"/>
        <v>187</v>
      </c>
      <c r="X231" s="235">
        <f t="shared" si="119"/>
        <v>675920.07858333224</v>
      </c>
      <c r="Y231" s="235">
        <f t="shared" si="119"/>
        <v>708364.62024999969</v>
      </c>
      <c r="Z231" s="235">
        <f t="shared" si="119"/>
        <v>183039.65058333371</v>
      </c>
      <c r="AA231" s="235"/>
      <c r="AB231" s="235"/>
      <c r="AC231" s="235"/>
      <c r="AD231" s="235"/>
      <c r="AE231" s="413"/>
      <c r="AF231" s="413"/>
      <c r="AG231" s="413"/>
      <c r="AH231" s="413"/>
      <c r="AI231" s="413"/>
      <c r="AJ231" s="307"/>
      <c r="AK231" s="307"/>
      <c r="AL231" s="307"/>
    </row>
    <row r="232" spans="1:38" ht="15.75">
      <c r="A232" s="307"/>
      <c r="B232" s="307"/>
      <c r="C232" s="410"/>
      <c r="D232" s="407"/>
      <c r="E232" s="411"/>
      <c r="F232" s="397"/>
      <c r="G232" s="397"/>
      <c r="H232" s="407"/>
      <c r="I232" s="393"/>
      <c r="J232" s="393"/>
      <c r="K232" s="235"/>
      <c r="L232" s="393"/>
      <c r="M232" s="235"/>
      <c r="N232" s="235"/>
      <c r="O232" s="235"/>
      <c r="P232" s="235"/>
      <c r="Q232" s="235"/>
      <c r="R232" s="393"/>
      <c r="S232" s="235"/>
      <c r="T232" s="393"/>
      <c r="U232" s="235"/>
      <c r="V232" s="235"/>
      <c r="W232" s="393"/>
      <c r="X232" s="235"/>
      <c r="Y232" s="235"/>
      <c r="Z232" s="235"/>
      <c r="AA232" s="235"/>
      <c r="AB232" s="235"/>
      <c r="AC232" s="235"/>
      <c r="AD232" s="235"/>
      <c r="AE232" s="413"/>
      <c r="AF232" s="413"/>
      <c r="AG232" s="413"/>
      <c r="AH232" s="413"/>
      <c r="AI232" s="413"/>
      <c r="AJ232" s="307"/>
      <c r="AK232" s="307"/>
      <c r="AL232" s="307"/>
    </row>
    <row r="233" spans="1:38" ht="15.75">
      <c r="A233" s="423"/>
      <c r="B233" s="424" t="s">
        <v>735</v>
      </c>
      <c r="C233" s="410"/>
      <c r="D233" s="407"/>
      <c r="E233" s="411"/>
      <c r="F233" s="397"/>
      <c r="G233" s="397"/>
      <c r="H233" s="407"/>
      <c r="I233" s="393"/>
      <c r="J233" s="393"/>
      <c r="K233" s="235"/>
      <c r="L233" s="393"/>
      <c r="M233" s="235"/>
      <c r="N233" s="235"/>
      <c r="O233" s="235"/>
      <c r="P233" s="235"/>
      <c r="Q233" s="235"/>
      <c r="R233" s="393"/>
      <c r="S233" s="235"/>
      <c r="T233" s="393"/>
      <c r="U233" s="235"/>
      <c r="V233" s="235"/>
      <c r="W233" s="393"/>
      <c r="X233" s="235"/>
      <c r="Y233" s="235"/>
      <c r="Z233" s="235"/>
      <c r="AA233" s="235"/>
      <c r="AB233" s="235"/>
      <c r="AC233" s="235"/>
      <c r="AD233" s="235"/>
      <c r="AE233" s="413"/>
      <c r="AF233" s="413"/>
      <c r="AG233" s="413"/>
      <c r="AH233" s="413"/>
      <c r="AI233" s="413"/>
      <c r="AJ233" s="307"/>
      <c r="AK233" s="307"/>
      <c r="AL233" s="307"/>
    </row>
    <row r="234" spans="1:38" ht="15.75">
      <c r="A234" s="307">
        <v>227</v>
      </c>
      <c r="B234" s="415" t="s">
        <v>736</v>
      </c>
      <c r="C234" s="410">
        <v>2016</v>
      </c>
      <c r="D234" s="407">
        <v>12</v>
      </c>
      <c r="E234" s="411">
        <v>1</v>
      </c>
      <c r="F234" s="397" t="s">
        <v>668</v>
      </c>
      <c r="G234" s="397"/>
      <c r="H234" s="407">
        <f t="shared" ref="H234:H236" si="120">+C234+G234</f>
        <v>2016</v>
      </c>
      <c r="I234" s="393"/>
      <c r="J234" s="393"/>
      <c r="K234" s="417">
        <v>48760</v>
      </c>
      <c r="L234" s="393"/>
      <c r="M234" s="235">
        <f t="shared" ref="M234:M236" si="121">K234-K234*E234</f>
        <v>0</v>
      </c>
      <c r="N234" s="235">
        <v>0</v>
      </c>
      <c r="O234" s="235">
        <v>0</v>
      </c>
      <c r="P234" s="235">
        <f t="shared" ref="P234:P236" si="122">IF(L234=0,0,IF((AND((AF234&gt;=AE234),(AF234&lt;=AD234))),((AF234-AE234)*12)*N234,0))</f>
        <v>0</v>
      </c>
      <c r="Q234" s="235">
        <f t="shared" ref="Q234:Q236" si="123">IF(P234&gt;0,P234,O234)</f>
        <v>0</v>
      </c>
      <c r="R234" s="393">
        <v>1</v>
      </c>
      <c r="S234" s="235">
        <f t="shared" ref="S234:S236" si="124">R234*SUM(O234:P234)</f>
        <v>0</v>
      </c>
      <c r="T234" s="393"/>
      <c r="U234" s="235">
        <v>0</v>
      </c>
      <c r="V234" s="235">
        <f t="shared" ref="V234:V236" si="125">U234*R234</f>
        <v>0</v>
      </c>
      <c r="W234" s="393">
        <v>1</v>
      </c>
      <c r="X234" s="235">
        <f t="shared" ref="X234:X236" si="126">V234*W234</f>
        <v>0</v>
      </c>
      <c r="Y234" s="235">
        <f t="shared" ref="Y234:Y236" si="127">IF(L234&gt;0,0,X234+S234*W234)*W234</f>
        <v>0</v>
      </c>
      <c r="Z234" s="235">
        <f>+K234-Y234</f>
        <v>48760</v>
      </c>
      <c r="AA234" s="235"/>
      <c r="AB234" s="235">
        <f t="shared" ref="AB234:AB236" si="128">$C234+(($D234-1)/12)</f>
        <v>2016.9166666666667</v>
      </c>
      <c r="AC234" s="235">
        <f t="shared" ref="AC234:AC236" si="129">($M$5+1)-($M$2/12)</f>
        <v>2021</v>
      </c>
      <c r="AD234" s="235">
        <f t="shared" ref="AD234:AD236" si="130">$H234+(($D234-1)/12)</f>
        <v>2016.9166666666667</v>
      </c>
      <c r="AE234" s="413">
        <f t="shared" ref="AE234:AE236" si="131">$M$4+($M$3/12)</f>
        <v>2020</v>
      </c>
      <c r="AF234" s="413">
        <f t="shared" ref="AF234:AF236" si="132">$I234+(($J234-1)/12)</f>
        <v>-8.3333333333333329E-2</v>
      </c>
      <c r="AG234" s="413">
        <f t="shared" ref="AG234:AG236" si="133">$H234+(($D234-1)/12)</f>
        <v>2016.9166666666667</v>
      </c>
      <c r="AH234" s="413">
        <f t="shared" ref="AH234:AH236" si="134">$M$4+($M$3/12)</f>
        <v>2020</v>
      </c>
      <c r="AI234" s="413">
        <f t="shared" ref="AI234:AI236" si="135">$I234+(($J234-1)/12)</f>
        <v>-8.3333333333333329E-2</v>
      </c>
      <c r="AJ234" s="307"/>
      <c r="AK234" s="307"/>
      <c r="AL234" s="307"/>
    </row>
    <row r="235" spans="1:38" ht="15.75">
      <c r="A235" s="307">
        <v>236</v>
      </c>
      <c r="B235" s="415" t="s">
        <v>737</v>
      </c>
      <c r="C235" s="410">
        <v>2017</v>
      </c>
      <c r="D235" s="407">
        <v>8</v>
      </c>
      <c r="E235" s="411">
        <v>1</v>
      </c>
      <c r="F235" s="397" t="s">
        <v>668</v>
      </c>
      <c r="G235" s="397"/>
      <c r="H235" s="407">
        <f t="shared" si="120"/>
        <v>2017</v>
      </c>
      <c r="I235" s="393"/>
      <c r="J235" s="393"/>
      <c r="K235" s="417">
        <v>34240</v>
      </c>
      <c r="L235" s="393"/>
      <c r="M235" s="235">
        <f t="shared" si="121"/>
        <v>0</v>
      </c>
      <c r="N235" s="235">
        <v>0</v>
      </c>
      <c r="O235" s="235">
        <v>0</v>
      </c>
      <c r="P235" s="235">
        <f t="shared" si="122"/>
        <v>0</v>
      </c>
      <c r="Q235" s="235">
        <f t="shared" si="123"/>
        <v>0</v>
      </c>
      <c r="R235" s="393">
        <v>1</v>
      </c>
      <c r="S235" s="235">
        <f t="shared" si="124"/>
        <v>0</v>
      </c>
      <c r="T235" s="393"/>
      <c r="U235" s="235">
        <v>0</v>
      </c>
      <c r="V235" s="235">
        <f t="shared" si="125"/>
        <v>0</v>
      </c>
      <c r="W235" s="393">
        <v>1</v>
      </c>
      <c r="X235" s="235">
        <f t="shared" si="126"/>
        <v>0</v>
      </c>
      <c r="Y235" s="235">
        <f t="shared" si="127"/>
        <v>0</v>
      </c>
      <c r="Z235" s="235">
        <f>+K235-Y235</f>
        <v>34240</v>
      </c>
      <c r="AA235" s="235"/>
      <c r="AB235" s="235">
        <f t="shared" si="128"/>
        <v>2017.5833333333333</v>
      </c>
      <c r="AC235" s="235">
        <f t="shared" si="129"/>
        <v>2021</v>
      </c>
      <c r="AD235" s="235">
        <f t="shared" si="130"/>
        <v>2017.5833333333333</v>
      </c>
      <c r="AE235" s="413">
        <f t="shared" si="131"/>
        <v>2020</v>
      </c>
      <c r="AF235" s="413">
        <f t="shared" si="132"/>
        <v>-8.3333333333333329E-2</v>
      </c>
      <c r="AG235" s="413">
        <f t="shared" si="133"/>
        <v>2017.5833333333333</v>
      </c>
      <c r="AH235" s="413">
        <f t="shared" si="134"/>
        <v>2020</v>
      </c>
      <c r="AI235" s="413">
        <f t="shared" si="135"/>
        <v>-8.3333333333333329E-2</v>
      </c>
      <c r="AJ235" s="307"/>
      <c r="AK235" s="307"/>
      <c r="AL235" s="307"/>
    </row>
    <row r="236" spans="1:38" ht="15.75">
      <c r="A236" s="307">
        <v>237</v>
      </c>
      <c r="B236" s="415" t="s">
        <v>738</v>
      </c>
      <c r="C236" s="410">
        <v>2017</v>
      </c>
      <c r="D236" s="407">
        <v>8</v>
      </c>
      <c r="E236" s="411"/>
      <c r="F236" s="397" t="s">
        <v>668</v>
      </c>
      <c r="G236" s="397">
        <v>20</v>
      </c>
      <c r="H236" s="407">
        <f t="shared" si="120"/>
        <v>2037</v>
      </c>
      <c r="I236" s="393"/>
      <c r="J236" s="393"/>
      <c r="K236" s="418">
        <v>385865.9</v>
      </c>
      <c r="L236" s="393"/>
      <c r="M236" s="419">
        <f t="shared" si="121"/>
        <v>385865.9</v>
      </c>
      <c r="N236" s="419">
        <f t="shared" ref="N236" si="136">M236/G236/12</f>
        <v>1607.7745833333336</v>
      </c>
      <c r="O236" s="419">
        <f>IF(L236&gt;0,0,IF((OR((AB236&gt;AC236),(AD236&lt;AE236))),0,IF((AND((AD236&gt;=AE236),(AD236&lt;=AC236))),N236*((AD236-AE236)*12),IF((AND((AE236&lt;=AB236),(AC236&gt;=AB236))),((AC236-AB236)*12)*N236,IF(AD236&gt;AC236,12*N236,0)))))</f>
        <v>19293.295000000002</v>
      </c>
      <c r="P236" s="419">
        <f t="shared" si="122"/>
        <v>0</v>
      </c>
      <c r="Q236" s="419">
        <f t="shared" si="123"/>
        <v>19293.295000000002</v>
      </c>
      <c r="R236" s="420">
        <v>1</v>
      </c>
      <c r="S236" s="419">
        <f t="shared" si="124"/>
        <v>19293.295000000002</v>
      </c>
      <c r="T236" s="420"/>
      <c r="U236" s="419">
        <f t="shared" ref="U236" si="137">IF(AB236&gt;AC236,0,IF(AD236&lt;AE236,M236,IF((AND((AD236&gt;=AE236),(AD236&lt;=AC236))),(M236-Q236),IF((AND((AE236&lt;=AB236),(AC236&gt;=AB236))),0,IF(AD236&gt;AC236,((AE236-AB236)*12)*N236,0)))))</f>
        <v>46625.462916668133</v>
      </c>
      <c r="V236" s="419">
        <f t="shared" si="125"/>
        <v>46625.462916668133</v>
      </c>
      <c r="W236" s="420">
        <v>1</v>
      </c>
      <c r="X236" s="419">
        <f t="shared" si="126"/>
        <v>46625.462916668133</v>
      </c>
      <c r="Y236" s="419">
        <f t="shared" si="127"/>
        <v>65918.757916668139</v>
      </c>
      <c r="Z236" s="419">
        <f t="shared" ref="Z236" si="138">+M236-Y236</f>
        <v>319947.14208333188</v>
      </c>
      <c r="AA236" s="235"/>
      <c r="AB236" s="235">
        <f t="shared" si="128"/>
        <v>2017.5833333333333</v>
      </c>
      <c r="AC236" s="235">
        <f t="shared" si="129"/>
        <v>2021</v>
      </c>
      <c r="AD236" s="235">
        <f t="shared" si="130"/>
        <v>2037.5833333333333</v>
      </c>
      <c r="AE236" s="413">
        <f t="shared" si="131"/>
        <v>2020</v>
      </c>
      <c r="AF236" s="413">
        <f t="shared" si="132"/>
        <v>-8.3333333333333329E-2</v>
      </c>
      <c r="AG236" s="413">
        <f t="shared" si="133"/>
        <v>2037.5833333333333</v>
      </c>
      <c r="AH236" s="413">
        <f t="shared" si="134"/>
        <v>2020</v>
      </c>
      <c r="AI236" s="413">
        <f t="shared" si="135"/>
        <v>-8.3333333333333329E-2</v>
      </c>
      <c r="AJ236" s="307"/>
      <c r="AK236" s="307"/>
      <c r="AL236" s="307"/>
    </row>
    <row r="237" spans="1:38" ht="15.75">
      <c r="A237" s="307"/>
      <c r="B237" s="307"/>
      <c r="C237" s="410"/>
      <c r="D237" s="407"/>
      <c r="E237" s="411"/>
      <c r="F237" s="397"/>
      <c r="G237" s="397"/>
      <c r="H237" s="407"/>
      <c r="I237" s="393"/>
      <c r="J237" s="393"/>
      <c r="K237" s="235">
        <f>SUM(K234:K236)</f>
        <v>468865.9</v>
      </c>
      <c r="L237" s="393"/>
      <c r="M237" s="235">
        <f t="shared" ref="M237:Z237" si="139">SUM(M234:M236)</f>
        <v>385865.9</v>
      </c>
      <c r="N237" s="235">
        <f t="shared" si="139"/>
        <v>1607.7745833333336</v>
      </c>
      <c r="O237" s="235">
        <f t="shared" si="139"/>
        <v>19293.295000000002</v>
      </c>
      <c r="P237" s="235">
        <f t="shared" si="139"/>
        <v>0</v>
      </c>
      <c r="Q237" s="235">
        <f t="shared" si="139"/>
        <v>19293.295000000002</v>
      </c>
      <c r="R237" s="393">
        <f t="shared" si="139"/>
        <v>3</v>
      </c>
      <c r="S237" s="235">
        <f t="shared" si="139"/>
        <v>19293.295000000002</v>
      </c>
      <c r="T237" s="393">
        <f t="shared" si="139"/>
        <v>0</v>
      </c>
      <c r="U237" s="235">
        <f t="shared" si="139"/>
        <v>46625.462916668133</v>
      </c>
      <c r="V237" s="235">
        <f t="shared" si="139"/>
        <v>46625.462916668133</v>
      </c>
      <c r="W237" s="393">
        <f t="shared" si="139"/>
        <v>3</v>
      </c>
      <c r="X237" s="235">
        <f t="shared" si="139"/>
        <v>46625.462916668133</v>
      </c>
      <c r="Y237" s="235">
        <f t="shared" si="139"/>
        <v>65918.757916668139</v>
      </c>
      <c r="Z237" s="235">
        <f t="shared" si="139"/>
        <v>402947.14208333188</v>
      </c>
      <c r="AA237" s="235"/>
      <c r="AB237" s="235"/>
      <c r="AC237" s="235"/>
      <c r="AD237" s="235"/>
      <c r="AE237" s="413"/>
      <c r="AF237" s="413"/>
      <c r="AG237" s="413"/>
      <c r="AH237" s="413"/>
      <c r="AI237" s="413"/>
      <c r="AJ237" s="307"/>
      <c r="AK237" s="307"/>
      <c r="AL237" s="307"/>
    </row>
    <row r="238" spans="1:38" ht="15.75">
      <c r="A238" s="307"/>
      <c r="B238" s="307"/>
      <c r="C238" s="410"/>
      <c r="D238" s="407"/>
      <c r="E238" s="411"/>
      <c r="F238" s="397"/>
      <c r="G238" s="397"/>
      <c r="H238" s="407"/>
      <c r="I238" s="393"/>
      <c r="J238" s="393"/>
      <c r="K238" s="235"/>
      <c r="L238" s="393"/>
      <c r="M238" s="235"/>
      <c r="N238" s="235"/>
      <c r="O238" s="235"/>
      <c r="P238" s="235"/>
      <c r="Q238" s="235"/>
      <c r="R238" s="393"/>
      <c r="S238" s="235"/>
      <c r="T238" s="393"/>
      <c r="U238" s="235"/>
      <c r="V238" s="235"/>
      <c r="W238" s="393"/>
      <c r="X238" s="235"/>
      <c r="Y238" s="235"/>
      <c r="Z238" s="235"/>
      <c r="AA238" s="235"/>
      <c r="AB238" s="235"/>
      <c r="AC238" s="235"/>
      <c r="AD238" s="235"/>
      <c r="AE238" s="413"/>
      <c r="AF238" s="413"/>
      <c r="AG238" s="413"/>
      <c r="AH238" s="413"/>
      <c r="AI238" s="413"/>
      <c r="AJ238" s="307"/>
      <c r="AK238" s="307"/>
      <c r="AL238" s="307"/>
    </row>
    <row r="239" spans="1:38" ht="15.75">
      <c r="A239" s="307"/>
      <c r="B239" s="403" t="s">
        <v>739</v>
      </c>
      <c r="C239" s="407"/>
      <c r="D239" s="407"/>
      <c r="E239" s="393"/>
      <c r="F239" s="393"/>
      <c r="G239" s="397"/>
      <c r="H239" s="397"/>
      <c r="I239" s="425"/>
      <c r="J239" s="393"/>
      <c r="K239" s="393"/>
      <c r="L239" s="393"/>
      <c r="M239" s="393"/>
      <c r="N239" s="393"/>
      <c r="O239" s="393"/>
      <c r="P239" s="393"/>
      <c r="Q239" s="393"/>
      <c r="R239" s="393"/>
      <c r="S239" s="393"/>
      <c r="T239" s="393"/>
      <c r="U239" s="393"/>
      <c r="V239" s="393"/>
      <c r="W239" s="393"/>
      <c r="X239" s="393"/>
      <c r="Y239" s="393"/>
      <c r="Z239" s="393"/>
      <c r="AA239" s="393"/>
      <c r="AB239" s="393"/>
      <c r="AC239" s="393"/>
      <c r="AD239" s="393"/>
      <c r="AE239" s="393"/>
      <c r="AF239" s="408"/>
      <c r="AG239" s="408"/>
      <c r="AH239" s="408"/>
      <c r="AI239" s="408"/>
      <c r="AJ239" s="408"/>
      <c r="AK239" s="307"/>
      <c r="AL239" s="307"/>
    </row>
    <row r="240" spans="1:38" ht="15.75">
      <c r="A240" s="307">
        <v>21</v>
      </c>
      <c r="B240" s="415" t="s">
        <v>740</v>
      </c>
      <c r="C240" s="426">
        <v>2005</v>
      </c>
      <c r="D240" s="407">
        <v>8</v>
      </c>
      <c r="E240" s="393"/>
      <c r="F240" s="397" t="s">
        <v>668</v>
      </c>
      <c r="G240" s="397">
        <v>5</v>
      </c>
      <c r="H240" s="407">
        <f t="shared" ref="H240:H247" si="140">+C240+G240</f>
        <v>2010</v>
      </c>
      <c r="I240" s="407">
        <f t="shared" ref="I240:I247" si="141">+C240+G240</f>
        <v>2010</v>
      </c>
      <c r="J240" s="393"/>
      <c r="K240" s="417">
        <v>175</v>
      </c>
      <c r="L240" s="427"/>
      <c r="M240" s="235">
        <f t="shared" ref="M240:M247" si="142">K240-K240*E240</f>
        <v>175</v>
      </c>
      <c r="N240" s="235">
        <f>M240/G240/12</f>
        <v>2.9166666666666665</v>
      </c>
      <c r="O240" s="235">
        <f t="shared" ref="O240:O246" si="143">IF(L240&gt;0,0,IF((OR((AB240&gt;AC240),(AD240&lt;AE240))),0,IF((AND((AD240&gt;=AE240),(AD240&lt;=AC240))),N240*((AD240-AE240)*12),IF((AND((AE240&lt;=AB240),(AC240&gt;=AB240))),((AC240-AB240)*12)*N240,IF(AD240&gt;AC240,12*N240,0)))))</f>
        <v>0</v>
      </c>
      <c r="P240" s="235">
        <f t="shared" ref="P240:P246" si="144">IF(L240=0,0,IF((AND((AF240&gt;=AE240),(AF240&lt;=AD240))),((AF240-AE240)*12)*N240,0))</f>
        <v>0</v>
      </c>
      <c r="Q240" s="235">
        <f t="shared" ref="Q240:Q246" si="145">IF(P240&gt;0,P240,O240)</f>
        <v>0</v>
      </c>
      <c r="R240" s="393">
        <v>1</v>
      </c>
      <c r="S240" s="235">
        <f t="shared" ref="S240:S246" si="146">R240*SUM(O240:P240)</f>
        <v>0</v>
      </c>
      <c r="T240" s="393"/>
      <c r="U240" s="235">
        <f t="shared" ref="U240:U246" si="147">IF(AB240&gt;AC240,0,IF(AD240&lt;AE240,M240,IF((AND((AD240&gt;=AE240),(AD240&lt;=AC240))),(M240-Q240),IF((AND((AE240&lt;=AB240),(AC240&gt;=AB240))),0,IF(AD240&gt;AC240,((AE240-AB240)*12)*N240,0)))))</f>
        <v>175</v>
      </c>
      <c r="V240" s="235">
        <f t="shared" ref="V240:V246" si="148">U240*R240</f>
        <v>175</v>
      </c>
      <c r="W240" s="393">
        <v>1</v>
      </c>
      <c r="X240" s="235">
        <f t="shared" ref="X240:X246" si="149">V240*W240</f>
        <v>175</v>
      </c>
      <c r="Y240" s="235">
        <f t="shared" ref="Y240:Y246" si="150">IF(L240&gt;0,0,X240+S240*W240)*W240</f>
        <v>175</v>
      </c>
      <c r="Z240" s="235">
        <f>IF(L240&gt;0,(K240-X240)/2,IF(AA240&gt;=AD240,(((K240*R240)*W240)-Y240)/2,((((K240*R240)*W240)-X240)+(((K240*R240)*W240)-Y240))/2))</f>
        <v>0</v>
      </c>
      <c r="AA240" s="235"/>
      <c r="AB240" s="235">
        <f t="shared" ref="AB240:AB246" si="151">$C240+(($D240-1)/12)</f>
        <v>2005.5833333333333</v>
      </c>
      <c r="AC240" s="235">
        <f t="shared" ref="AC240:AC246" si="152">($M$5+1)-($M$2/12)</f>
        <v>2021</v>
      </c>
      <c r="AD240" s="235">
        <f t="shared" ref="AD240:AD246" si="153">$G240+(($D240-1)/12)</f>
        <v>5.583333333333333</v>
      </c>
      <c r="AE240" s="413">
        <f t="shared" ref="AE240:AE246" si="154">$M$4+($M$3/12)</f>
        <v>2020</v>
      </c>
      <c r="AF240" s="413">
        <f t="shared" ref="AF240:AF246" si="155">$I240+(($J240-1)/12)</f>
        <v>2009.9166666666667</v>
      </c>
      <c r="AG240" s="413">
        <f t="shared" ref="AG240:AG246" si="156">$G240+(($D240-1)/12)</f>
        <v>5.583333333333333</v>
      </c>
      <c r="AH240" s="413">
        <f t="shared" ref="AH240:AH246" si="157">$M$4+($M$3/12)</f>
        <v>2020</v>
      </c>
      <c r="AI240" s="413">
        <f t="shared" ref="AI240:AI246" si="158">$I240+(($J240-1)/12)</f>
        <v>2009.9166666666667</v>
      </c>
      <c r="AJ240" s="307"/>
      <c r="AK240" s="307"/>
      <c r="AL240" s="307"/>
    </row>
    <row r="241" spans="1:38" ht="15.75">
      <c r="A241" s="307">
        <v>48</v>
      </c>
      <c r="B241" s="415" t="s">
        <v>741</v>
      </c>
      <c r="C241" s="426">
        <v>1996</v>
      </c>
      <c r="D241" s="407">
        <v>2</v>
      </c>
      <c r="E241" s="393"/>
      <c r="F241" s="397" t="s">
        <v>668</v>
      </c>
      <c r="G241" s="397">
        <v>5</v>
      </c>
      <c r="H241" s="407">
        <f t="shared" si="140"/>
        <v>2001</v>
      </c>
      <c r="I241" s="407">
        <f t="shared" si="141"/>
        <v>2001</v>
      </c>
      <c r="J241" s="393"/>
      <c r="K241" s="417">
        <v>1580</v>
      </c>
      <c r="L241" s="427"/>
      <c r="M241" s="235">
        <f t="shared" si="142"/>
        <v>1580</v>
      </c>
      <c r="N241" s="235">
        <f t="shared" ref="N241:N246" si="159">M241/G241/12</f>
        <v>26.333333333333332</v>
      </c>
      <c r="O241" s="235">
        <f t="shared" si="143"/>
        <v>0</v>
      </c>
      <c r="P241" s="235">
        <f t="shared" si="144"/>
        <v>0</v>
      </c>
      <c r="Q241" s="235">
        <f t="shared" si="145"/>
        <v>0</v>
      </c>
      <c r="R241" s="393">
        <v>1</v>
      </c>
      <c r="S241" s="235">
        <f t="shared" si="146"/>
        <v>0</v>
      </c>
      <c r="T241" s="393"/>
      <c r="U241" s="235">
        <f t="shared" si="147"/>
        <v>1580</v>
      </c>
      <c r="V241" s="235">
        <f t="shared" si="148"/>
        <v>1580</v>
      </c>
      <c r="W241" s="393">
        <v>1</v>
      </c>
      <c r="X241" s="235">
        <f t="shared" si="149"/>
        <v>1580</v>
      </c>
      <c r="Y241" s="235">
        <f t="shared" si="150"/>
        <v>1580</v>
      </c>
      <c r="Z241" s="235">
        <f t="shared" ref="Z241:Z246" si="160">+M241-Y241</f>
        <v>0</v>
      </c>
      <c r="AA241" s="235"/>
      <c r="AB241" s="235">
        <f t="shared" si="151"/>
        <v>1996.0833333333333</v>
      </c>
      <c r="AC241" s="235">
        <f t="shared" si="152"/>
        <v>2021</v>
      </c>
      <c r="AD241" s="235">
        <f t="shared" si="153"/>
        <v>5.083333333333333</v>
      </c>
      <c r="AE241" s="413">
        <f t="shared" si="154"/>
        <v>2020</v>
      </c>
      <c r="AF241" s="413">
        <f t="shared" si="155"/>
        <v>2000.9166666666667</v>
      </c>
      <c r="AG241" s="413">
        <f t="shared" si="156"/>
        <v>5.083333333333333</v>
      </c>
      <c r="AH241" s="413">
        <f t="shared" si="157"/>
        <v>2020</v>
      </c>
      <c r="AI241" s="413">
        <f t="shared" si="158"/>
        <v>2000.9166666666667</v>
      </c>
      <c r="AJ241" s="307"/>
      <c r="AK241" s="307"/>
      <c r="AL241" s="307"/>
    </row>
    <row r="242" spans="1:38" ht="15.75">
      <c r="A242" s="307">
        <v>49</v>
      </c>
      <c r="B242" s="415" t="s">
        <v>741</v>
      </c>
      <c r="C242" s="426">
        <v>1995</v>
      </c>
      <c r="D242" s="407">
        <v>10</v>
      </c>
      <c r="E242" s="393"/>
      <c r="F242" s="397" t="s">
        <v>668</v>
      </c>
      <c r="G242" s="397">
        <v>5</v>
      </c>
      <c r="H242" s="407">
        <f t="shared" si="140"/>
        <v>2000</v>
      </c>
      <c r="I242" s="407">
        <f t="shared" si="141"/>
        <v>2000</v>
      </c>
      <c r="J242" s="393"/>
      <c r="K242" s="417">
        <v>769</v>
      </c>
      <c r="L242" s="427"/>
      <c r="M242" s="235">
        <f t="shared" si="142"/>
        <v>769</v>
      </c>
      <c r="N242" s="235">
        <f t="shared" si="159"/>
        <v>12.816666666666668</v>
      </c>
      <c r="O242" s="235">
        <f t="shared" si="143"/>
        <v>0</v>
      </c>
      <c r="P242" s="235">
        <f t="shared" si="144"/>
        <v>0</v>
      </c>
      <c r="Q242" s="235">
        <f t="shared" si="145"/>
        <v>0</v>
      </c>
      <c r="R242" s="393">
        <v>1</v>
      </c>
      <c r="S242" s="235">
        <f t="shared" si="146"/>
        <v>0</v>
      </c>
      <c r="T242" s="393"/>
      <c r="U242" s="235">
        <f t="shared" si="147"/>
        <v>769</v>
      </c>
      <c r="V242" s="235">
        <f t="shared" si="148"/>
        <v>769</v>
      </c>
      <c r="W242" s="393">
        <v>1</v>
      </c>
      <c r="X242" s="235">
        <f t="shared" si="149"/>
        <v>769</v>
      </c>
      <c r="Y242" s="235">
        <f t="shared" si="150"/>
        <v>769</v>
      </c>
      <c r="Z242" s="235">
        <f t="shared" si="160"/>
        <v>0</v>
      </c>
      <c r="AA242" s="235"/>
      <c r="AB242" s="235">
        <f t="shared" si="151"/>
        <v>1995.75</v>
      </c>
      <c r="AC242" s="235">
        <f t="shared" si="152"/>
        <v>2021</v>
      </c>
      <c r="AD242" s="235">
        <f t="shared" si="153"/>
        <v>5.75</v>
      </c>
      <c r="AE242" s="413">
        <f t="shared" si="154"/>
        <v>2020</v>
      </c>
      <c r="AF242" s="413">
        <f t="shared" si="155"/>
        <v>1999.9166666666667</v>
      </c>
      <c r="AG242" s="413">
        <f t="shared" si="156"/>
        <v>5.75</v>
      </c>
      <c r="AH242" s="413">
        <f t="shared" si="157"/>
        <v>2020</v>
      </c>
      <c r="AI242" s="413">
        <f t="shared" si="158"/>
        <v>1999.9166666666667</v>
      </c>
      <c r="AJ242" s="307"/>
      <c r="AK242" s="307"/>
      <c r="AL242" s="307"/>
    </row>
    <row r="243" spans="1:38" ht="15.75">
      <c r="A243" s="307">
        <v>151</v>
      </c>
      <c r="B243" s="415" t="s">
        <v>742</v>
      </c>
      <c r="C243" s="426">
        <v>2005</v>
      </c>
      <c r="D243" s="407">
        <v>8</v>
      </c>
      <c r="E243" s="393"/>
      <c r="F243" s="397" t="s">
        <v>668</v>
      </c>
      <c r="G243" s="397">
        <v>5</v>
      </c>
      <c r="H243" s="407">
        <f t="shared" si="140"/>
        <v>2010</v>
      </c>
      <c r="I243" s="407">
        <f t="shared" si="141"/>
        <v>2010</v>
      </c>
      <c r="J243" s="393"/>
      <c r="K243" s="417">
        <v>400</v>
      </c>
      <c r="L243" s="427"/>
      <c r="M243" s="235">
        <f t="shared" si="142"/>
        <v>400</v>
      </c>
      <c r="N243" s="235">
        <f t="shared" si="159"/>
        <v>6.666666666666667</v>
      </c>
      <c r="O243" s="235">
        <f t="shared" si="143"/>
        <v>0</v>
      </c>
      <c r="P243" s="235">
        <f t="shared" si="144"/>
        <v>0</v>
      </c>
      <c r="Q243" s="235">
        <f t="shared" si="145"/>
        <v>0</v>
      </c>
      <c r="R243" s="393">
        <v>1</v>
      </c>
      <c r="S243" s="235">
        <f t="shared" si="146"/>
        <v>0</v>
      </c>
      <c r="T243" s="393"/>
      <c r="U243" s="235">
        <f t="shared" si="147"/>
        <v>400</v>
      </c>
      <c r="V243" s="235">
        <f t="shared" si="148"/>
        <v>400</v>
      </c>
      <c r="W243" s="393">
        <v>1</v>
      </c>
      <c r="X243" s="235">
        <f t="shared" si="149"/>
        <v>400</v>
      </c>
      <c r="Y243" s="235">
        <f t="shared" si="150"/>
        <v>400</v>
      </c>
      <c r="Z243" s="235">
        <f t="shared" si="160"/>
        <v>0</v>
      </c>
      <c r="AA243" s="235"/>
      <c r="AB243" s="235">
        <f t="shared" si="151"/>
        <v>2005.5833333333333</v>
      </c>
      <c r="AC243" s="235">
        <f t="shared" si="152"/>
        <v>2021</v>
      </c>
      <c r="AD243" s="235">
        <f t="shared" si="153"/>
        <v>5.583333333333333</v>
      </c>
      <c r="AE243" s="413">
        <f t="shared" si="154"/>
        <v>2020</v>
      </c>
      <c r="AF243" s="413">
        <f t="shared" si="155"/>
        <v>2009.9166666666667</v>
      </c>
      <c r="AG243" s="413">
        <f t="shared" si="156"/>
        <v>5.583333333333333</v>
      </c>
      <c r="AH243" s="413">
        <f t="shared" si="157"/>
        <v>2020</v>
      </c>
      <c r="AI243" s="413">
        <f t="shared" si="158"/>
        <v>2009.9166666666667</v>
      </c>
      <c r="AJ243" s="307"/>
      <c r="AK243" s="307"/>
      <c r="AL243" s="307"/>
    </row>
    <row r="244" spans="1:38" ht="15.75">
      <c r="A244" s="307">
        <v>153</v>
      </c>
      <c r="B244" s="415" t="s">
        <v>743</v>
      </c>
      <c r="C244" s="426">
        <v>2005</v>
      </c>
      <c r="D244" s="407">
        <v>8</v>
      </c>
      <c r="E244" s="393"/>
      <c r="F244" s="397" t="s">
        <v>668</v>
      </c>
      <c r="G244" s="397">
        <v>5</v>
      </c>
      <c r="H244" s="407">
        <f t="shared" si="140"/>
        <v>2010</v>
      </c>
      <c r="I244" s="407">
        <f t="shared" si="141"/>
        <v>2010</v>
      </c>
      <c r="J244" s="393"/>
      <c r="K244" s="417">
        <v>400</v>
      </c>
      <c r="L244" s="427"/>
      <c r="M244" s="235">
        <f t="shared" si="142"/>
        <v>400</v>
      </c>
      <c r="N244" s="235">
        <f t="shared" si="159"/>
        <v>6.666666666666667</v>
      </c>
      <c r="O244" s="235">
        <f t="shared" si="143"/>
        <v>0</v>
      </c>
      <c r="P244" s="235">
        <f t="shared" si="144"/>
        <v>0</v>
      </c>
      <c r="Q244" s="235">
        <f t="shared" si="145"/>
        <v>0</v>
      </c>
      <c r="R244" s="393">
        <v>1</v>
      </c>
      <c r="S244" s="235">
        <f t="shared" si="146"/>
        <v>0</v>
      </c>
      <c r="T244" s="393"/>
      <c r="U244" s="235">
        <f t="shared" si="147"/>
        <v>400</v>
      </c>
      <c r="V244" s="235">
        <f t="shared" si="148"/>
        <v>400</v>
      </c>
      <c r="W244" s="393">
        <v>1</v>
      </c>
      <c r="X244" s="235">
        <f t="shared" si="149"/>
        <v>400</v>
      </c>
      <c r="Y244" s="235">
        <f t="shared" si="150"/>
        <v>400</v>
      </c>
      <c r="Z244" s="235">
        <f t="shared" si="160"/>
        <v>0</v>
      </c>
      <c r="AA244" s="235"/>
      <c r="AB244" s="235">
        <f t="shared" si="151"/>
        <v>2005.5833333333333</v>
      </c>
      <c r="AC244" s="235">
        <f t="shared" si="152"/>
        <v>2021</v>
      </c>
      <c r="AD244" s="235">
        <f t="shared" si="153"/>
        <v>5.583333333333333</v>
      </c>
      <c r="AE244" s="413">
        <f t="shared" si="154"/>
        <v>2020</v>
      </c>
      <c r="AF244" s="413">
        <f t="shared" si="155"/>
        <v>2009.9166666666667</v>
      </c>
      <c r="AG244" s="413">
        <f t="shared" si="156"/>
        <v>5.583333333333333</v>
      </c>
      <c r="AH244" s="413">
        <f t="shared" si="157"/>
        <v>2020</v>
      </c>
      <c r="AI244" s="413">
        <f t="shared" si="158"/>
        <v>2009.9166666666667</v>
      </c>
      <c r="AJ244" s="307"/>
      <c r="AK244" s="307"/>
      <c r="AL244" s="307"/>
    </row>
    <row r="245" spans="1:38" ht="15.75">
      <c r="A245" s="307">
        <v>165</v>
      </c>
      <c r="B245" s="415" t="s">
        <v>744</v>
      </c>
      <c r="C245" s="426">
        <v>2005</v>
      </c>
      <c r="D245" s="407">
        <v>8</v>
      </c>
      <c r="E245" s="393"/>
      <c r="F245" s="397" t="s">
        <v>668</v>
      </c>
      <c r="G245" s="397">
        <v>5</v>
      </c>
      <c r="H245" s="407">
        <f t="shared" si="140"/>
        <v>2010</v>
      </c>
      <c r="I245" s="407">
        <f t="shared" si="141"/>
        <v>2010</v>
      </c>
      <c r="J245" s="393"/>
      <c r="K245" s="417">
        <v>150</v>
      </c>
      <c r="L245" s="427"/>
      <c r="M245" s="235">
        <f t="shared" si="142"/>
        <v>150</v>
      </c>
      <c r="N245" s="235">
        <f t="shared" si="159"/>
        <v>2.5</v>
      </c>
      <c r="O245" s="235">
        <f t="shared" si="143"/>
        <v>0</v>
      </c>
      <c r="P245" s="235">
        <f t="shared" si="144"/>
        <v>0</v>
      </c>
      <c r="Q245" s="235">
        <f t="shared" si="145"/>
        <v>0</v>
      </c>
      <c r="R245" s="393">
        <v>1</v>
      </c>
      <c r="S245" s="235">
        <f t="shared" si="146"/>
        <v>0</v>
      </c>
      <c r="T245" s="393"/>
      <c r="U245" s="235">
        <f t="shared" si="147"/>
        <v>150</v>
      </c>
      <c r="V245" s="235">
        <f t="shared" si="148"/>
        <v>150</v>
      </c>
      <c r="W245" s="393">
        <v>1</v>
      </c>
      <c r="X245" s="235">
        <f t="shared" si="149"/>
        <v>150</v>
      </c>
      <c r="Y245" s="235">
        <f t="shared" si="150"/>
        <v>150</v>
      </c>
      <c r="Z245" s="235">
        <f t="shared" si="160"/>
        <v>0</v>
      </c>
      <c r="AA245" s="235"/>
      <c r="AB245" s="235">
        <f t="shared" si="151"/>
        <v>2005.5833333333333</v>
      </c>
      <c r="AC245" s="235">
        <f t="shared" si="152"/>
        <v>2021</v>
      </c>
      <c r="AD245" s="235">
        <f t="shared" si="153"/>
        <v>5.583333333333333</v>
      </c>
      <c r="AE245" s="413">
        <f t="shared" si="154"/>
        <v>2020</v>
      </c>
      <c r="AF245" s="413">
        <f t="shared" si="155"/>
        <v>2009.9166666666667</v>
      </c>
      <c r="AG245" s="413">
        <f t="shared" si="156"/>
        <v>5.583333333333333</v>
      </c>
      <c r="AH245" s="413">
        <f t="shared" si="157"/>
        <v>2020</v>
      </c>
      <c r="AI245" s="413">
        <f t="shared" si="158"/>
        <v>2009.9166666666667</v>
      </c>
      <c r="AJ245" s="307"/>
      <c r="AK245" s="307"/>
      <c r="AL245" s="307"/>
    </row>
    <row r="246" spans="1:38" ht="15.75">
      <c r="A246" s="307">
        <v>219</v>
      </c>
      <c r="B246" s="415" t="s">
        <v>745</v>
      </c>
      <c r="C246" s="426">
        <v>2014</v>
      </c>
      <c r="D246" s="407">
        <v>5</v>
      </c>
      <c r="E246" s="393"/>
      <c r="F246" s="397" t="s">
        <v>668</v>
      </c>
      <c r="G246" s="397">
        <v>5</v>
      </c>
      <c r="H246" s="407">
        <f t="shared" si="140"/>
        <v>2019</v>
      </c>
      <c r="I246" s="407">
        <f t="shared" si="141"/>
        <v>2019</v>
      </c>
      <c r="J246" s="393"/>
      <c r="K246" s="417">
        <v>1800</v>
      </c>
      <c r="L246" s="427"/>
      <c r="M246" s="235">
        <f t="shared" si="142"/>
        <v>1800</v>
      </c>
      <c r="N246" s="235">
        <f t="shared" si="159"/>
        <v>30</v>
      </c>
      <c r="O246" s="235">
        <f t="shared" si="143"/>
        <v>0</v>
      </c>
      <c r="P246" s="235">
        <f t="shared" si="144"/>
        <v>0</v>
      </c>
      <c r="Q246" s="235">
        <f t="shared" si="145"/>
        <v>0</v>
      </c>
      <c r="R246" s="393">
        <v>1</v>
      </c>
      <c r="S246" s="235">
        <f t="shared" si="146"/>
        <v>0</v>
      </c>
      <c r="T246" s="393"/>
      <c r="U246" s="235">
        <f t="shared" si="147"/>
        <v>1800</v>
      </c>
      <c r="V246" s="235">
        <f t="shared" si="148"/>
        <v>1800</v>
      </c>
      <c r="W246" s="393">
        <v>1</v>
      </c>
      <c r="X246" s="235">
        <f t="shared" si="149"/>
        <v>1800</v>
      </c>
      <c r="Y246" s="235">
        <f t="shared" si="150"/>
        <v>1800</v>
      </c>
      <c r="Z246" s="235">
        <f t="shared" si="160"/>
        <v>0</v>
      </c>
      <c r="AA246" s="235"/>
      <c r="AB246" s="235">
        <f t="shared" si="151"/>
        <v>2014.3333333333333</v>
      </c>
      <c r="AC246" s="235">
        <f t="shared" si="152"/>
        <v>2021</v>
      </c>
      <c r="AD246" s="235">
        <f t="shared" si="153"/>
        <v>5.333333333333333</v>
      </c>
      <c r="AE246" s="413">
        <f t="shared" si="154"/>
        <v>2020</v>
      </c>
      <c r="AF246" s="413">
        <f t="shared" si="155"/>
        <v>2018.9166666666667</v>
      </c>
      <c r="AG246" s="413">
        <f t="shared" si="156"/>
        <v>5.333333333333333</v>
      </c>
      <c r="AH246" s="413">
        <f t="shared" si="157"/>
        <v>2020</v>
      </c>
      <c r="AI246" s="413">
        <f t="shared" si="158"/>
        <v>2018.9166666666667</v>
      </c>
      <c r="AJ246" s="307"/>
      <c r="AK246" s="307"/>
      <c r="AL246" s="307"/>
    </row>
    <row r="247" spans="1:38" ht="15.75">
      <c r="A247" s="307">
        <v>238</v>
      </c>
      <c r="B247" s="415" t="s">
        <v>746</v>
      </c>
      <c r="C247" s="426">
        <v>2018</v>
      </c>
      <c r="D247" s="407">
        <v>9</v>
      </c>
      <c r="E247" s="393"/>
      <c r="F247" s="397" t="s">
        <v>668</v>
      </c>
      <c r="G247" s="397">
        <v>5</v>
      </c>
      <c r="H247" s="407">
        <f t="shared" si="140"/>
        <v>2023</v>
      </c>
      <c r="I247" s="407">
        <f t="shared" si="141"/>
        <v>2023</v>
      </c>
      <c r="J247" s="393"/>
      <c r="K247" s="418">
        <v>2200</v>
      </c>
      <c r="L247" s="428"/>
      <c r="M247" s="419">
        <f t="shared" si="142"/>
        <v>2200</v>
      </c>
      <c r="N247" s="419">
        <f>M247/G247/12</f>
        <v>36.666666666666664</v>
      </c>
      <c r="O247" s="419">
        <f>IF(L247&gt;0,0,IF((OR((AB247&gt;AC247),(AD247&lt;AE247))),0,IF((AND((AD247&gt;=AE247),(AD247&lt;=AC247))),N247*((AD247-AE247)*12),IF((AND((AE247&lt;=AB247),(AC247&gt;=AB247))),((AC247-AB247)*12)*N247,IF(AD247&gt;AC247,12*N247,0)))))</f>
        <v>440</v>
      </c>
      <c r="P247" s="419">
        <f>IF(L247=0,0,IF((AND((AF247&gt;=AE247),(AF247&lt;=AD247))),((AF247-AE247)*12)*N247,0))</f>
        <v>0</v>
      </c>
      <c r="Q247" s="419">
        <f>IF(P247&gt;0,P247,O247)</f>
        <v>440</v>
      </c>
      <c r="R247" s="420">
        <v>1</v>
      </c>
      <c r="S247" s="419">
        <f>R247*SUM(O247:P247)</f>
        <v>440</v>
      </c>
      <c r="T247" s="420"/>
      <c r="U247" s="419">
        <f>IF(AB247&gt;AC247,0,IF(AD247&lt;AE247,M247,IF((AND((AD247&gt;=AE247),(AD247&lt;=AC247))),(M247-Q247),IF((AND((AE247&lt;=AB247),(AC247&gt;=AB247))),0,IF(AD247&gt;AC247,((AE247-AB247)*12)*N247,0)))))</f>
        <v>586.66666666663332</v>
      </c>
      <c r="V247" s="419">
        <f>U247*R247</f>
        <v>586.66666666663332</v>
      </c>
      <c r="W247" s="420">
        <v>1</v>
      </c>
      <c r="X247" s="419">
        <f>V247*W247</f>
        <v>586.66666666663332</v>
      </c>
      <c r="Y247" s="419">
        <f>IF(L247&gt;0,0,X247+S247*W247)*W247</f>
        <v>1026.6666666666333</v>
      </c>
      <c r="Z247" s="419">
        <f t="shared" ref="Z247" si="161">IF(L247&gt;0,(K247-X247)/2,IF(AB247&gt;=AE247,(((K247*R247)*W247)-Y247)/2,((((K247*R247)*W247)-X247)+(((K247*R247)*W247)-Y247))/2))</f>
        <v>1393.3333333333667</v>
      </c>
      <c r="AA247" s="235"/>
      <c r="AB247" s="235">
        <f>$C247+(($D247-1)/12)</f>
        <v>2018.6666666666667</v>
      </c>
      <c r="AC247" s="235">
        <f>($M$5+1)-($M$2/12)</f>
        <v>2021</v>
      </c>
      <c r="AD247" s="235">
        <f>$H247+(($D247-1)/12)</f>
        <v>2023.6666666666667</v>
      </c>
      <c r="AE247" s="413">
        <f>$M$4+($M$3/12)</f>
        <v>2020</v>
      </c>
      <c r="AF247" s="413">
        <f>$I247+(($J247-1)/12)</f>
        <v>2022.9166666666667</v>
      </c>
      <c r="AG247" s="413">
        <f>$H247+(($D247-1)/12)</f>
        <v>2023.6666666666667</v>
      </c>
      <c r="AH247" s="413">
        <f>$M$4+($M$3/12)</f>
        <v>2020</v>
      </c>
      <c r="AI247" s="413">
        <f>$I247+(($J247-1)/12)</f>
        <v>2022.9166666666667</v>
      </c>
      <c r="AJ247" s="307"/>
      <c r="AK247" s="307"/>
      <c r="AL247" s="307"/>
    </row>
    <row r="248" spans="1:38" ht="15.75">
      <c r="A248" s="307"/>
      <c r="B248" s="421" t="s">
        <v>747</v>
      </c>
      <c r="C248" s="407"/>
      <c r="D248" s="407"/>
      <c r="E248" s="393"/>
      <c r="F248" s="393"/>
      <c r="G248" s="397"/>
      <c r="H248" s="397"/>
      <c r="I248" s="425"/>
      <c r="J248" s="393"/>
      <c r="K248" s="393">
        <f>SUM(K240:K247)</f>
        <v>7474</v>
      </c>
      <c r="L248" s="429"/>
      <c r="M248" s="393">
        <f>SUM(M240:M247)</f>
        <v>7474</v>
      </c>
      <c r="N248" s="393">
        <f>SUM(N240:N247)</f>
        <v>124.56666666666666</v>
      </c>
      <c r="O248" s="429">
        <f t="shared" ref="O248:AA248" si="162">SUM(O240:O247)</f>
        <v>440</v>
      </c>
      <c r="P248" s="429">
        <f t="shared" si="162"/>
        <v>0</v>
      </c>
      <c r="Q248" s="429">
        <f t="shared" si="162"/>
        <v>440</v>
      </c>
      <c r="R248" s="429">
        <f t="shared" si="162"/>
        <v>8</v>
      </c>
      <c r="S248" s="429">
        <f t="shared" si="162"/>
        <v>440</v>
      </c>
      <c r="T248" s="429">
        <f t="shared" si="162"/>
        <v>0</v>
      </c>
      <c r="U248" s="429">
        <f t="shared" si="162"/>
        <v>5860.6666666666333</v>
      </c>
      <c r="V248" s="429">
        <f t="shared" si="162"/>
        <v>5860.6666666666333</v>
      </c>
      <c r="W248" s="429">
        <f t="shared" si="162"/>
        <v>8</v>
      </c>
      <c r="X248" s="429">
        <f t="shared" si="162"/>
        <v>5860.6666666666333</v>
      </c>
      <c r="Y248" s="429">
        <f t="shared" si="162"/>
        <v>6300.6666666666333</v>
      </c>
      <c r="Z248" s="429">
        <f t="shared" si="162"/>
        <v>1393.3333333333667</v>
      </c>
      <c r="AA248" s="429">
        <f t="shared" si="162"/>
        <v>0</v>
      </c>
      <c r="AB248" s="429"/>
      <c r="AC248" s="235"/>
      <c r="AD248" s="235"/>
      <c r="AE248" s="235"/>
      <c r="AF248" s="413"/>
      <c r="AG248" s="413"/>
      <c r="AH248" s="413"/>
      <c r="AI248" s="413"/>
      <c r="AJ248" s="413"/>
      <c r="AK248" s="307"/>
      <c r="AL248" s="307"/>
    </row>
    <row r="249" spans="1:38" ht="15.75">
      <c r="A249" s="307"/>
      <c r="B249" s="421"/>
      <c r="C249" s="407"/>
      <c r="D249" s="407"/>
      <c r="E249" s="393"/>
      <c r="F249" s="393"/>
      <c r="G249" s="397"/>
      <c r="H249" s="397"/>
      <c r="I249" s="425"/>
      <c r="J249" s="393"/>
      <c r="K249" s="393"/>
      <c r="L249" s="429"/>
      <c r="M249" s="393"/>
      <c r="N249" s="393"/>
      <c r="O249" s="429"/>
      <c r="P249" s="429"/>
      <c r="Q249" s="429"/>
      <c r="R249" s="429"/>
      <c r="S249" s="429"/>
      <c r="T249" s="429"/>
      <c r="U249" s="429"/>
      <c r="V249" s="429"/>
      <c r="W249" s="429"/>
      <c r="X249" s="429"/>
      <c r="Y249" s="429"/>
      <c r="Z249" s="429"/>
      <c r="AA249" s="429"/>
      <c r="AB249" s="429"/>
      <c r="AC249" s="235"/>
      <c r="AD249" s="235"/>
      <c r="AE249" s="235"/>
      <c r="AF249" s="413"/>
      <c r="AG249" s="413"/>
      <c r="AH249" s="413"/>
      <c r="AI249" s="413"/>
      <c r="AJ249" s="413"/>
      <c r="AK249" s="307"/>
      <c r="AL249" s="307"/>
    </row>
    <row r="250" spans="1:38" ht="15.75">
      <c r="A250" s="307" t="s">
        <v>748</v>
      </c>
      <c r="B250" s="307"/>
      <c r="C250" s="410"/>
      <c r="D250" s="407"/>
      <c r="E250" s="416"/>
      <c r="F250" s="397"/>
      <c r="G250" s="397"/>
      <c r="H250" s="407"/>
      <c r="I250" s="393"/>
      <c r="J250" s="393"/>
      <c r="K250" s="235"/>
      <c r="L250" s="393"/>
      <c r="M250" s="235"/>
      <c r="N250" s="235"/>
      <c r="O250" s="235"/>
      <c r="P250" s="235"/>
      <c r="Q250" s="235"/>
      <c r="R250" s="393"/>
      <c r="S250" s="235"/>
      <c r="T250" s="393"/>
      <c r="U250" s="235"/>
      <c r="V250" s="235"/>
      <c r="W250" s="393"/>
      <c r="X250" s="235"/>
      <c r="Y250" s="235"/>
      <c r="Z250" s="235"/>
      <c r="AA250" s="235"/>
      <c r="AB250" s="235"/>
      <c r="AC250" s="235"/>
      <c r="AD250" s="235"/>
      <c r="AE250" s="413"/>
      <c r="AF250" s="413"/>
      <c r="AG250" s="413"/>
      <c r="AH250" s="413"/>
      <c r="AI250" s="413"/>
      <c r="AJ250" s="413"/>
      <c r="AK250" s="307"/>
      <c r="AL250" s="307"/>
    </row>
    <row r="251" spans="1:38" ht="15.75">
      <c r="A251" s="307"/>
      <c r="B251" s="307" t="s">
        <v>749</v>
      </c>
      <c r="C251" s="410">
        <v>2020</v>
      </c>
      <c r="D251" s="407">
        <v>7</v>
      </c>
      <c r="E251" s="416"/>
      <c r="F251" s="397" t="s">
        <v>668</v>
      </c>
      <c r="G251" s="397">
        <v>3</v>
      </c>
      <c r="H251" s="407">
        <f t="shared" ref="H251" si="163">+C251+G251</f>
        <v>2023</v>
      </c>
      <c r="I251" s="393"/>
      <c r="J251" s="393"/>
      <c r="K251" s="235">
        <f>-'[2]Maintenance Supplies'!Q75</f>
        <v>8379.2999999999993</v>
      </c>
      <c r="L251" s="393"/>
      <c r="M251" s="235">
        <f t="shared" ref="M251" si="164">K251-K251*E251</f>
        <v>8379.2999999999993</v>
      </c>
      <c r="N251" s="235">
        <f t="shared" ref="N251" si="165">M251/G251/12</f>
        <v>232.75833333333333</v>
      </c>
      <c r="O251" s="235">
        <f>+N251*12</f>
        <v>2793.1</v>
      </c>
      <c r="P251" s="235">
        <f t="shared" ref="P251" si="166">IF(L251=0,0,IF((AND((AF251&gt;=AE251),(AF251&lt;=AD251))),((AF251-AE251)*12)*N251,0))</f>
        <v>0</v>
      </c>
      <c r="Q251" s="235">
        <f t="shared" ref="Q251" si="167">IF(P251&gt;0,P251,O251)</f>
        <v>2793.1</v>
      </c>
      <c r="R251" s="393">
        <v>1</v>
      </c>
      <c r="S251" s="235">
        <f t="shared" ref="S251" si="168">R251*SUM(O251:P251)</f>
        <v>2793.1</v>
      </c>
      <c r="T251" s="393"/>
      <c r="U251" s="235">
        <f t="shared" ref="U251" si="169">IF(AB251&gt;AC251,0,IF(AD251&lt;AE251,M251,IF((AND((AD251&gt;=AE251),(AD251&lt;=AC251))),(M251-Q251),IF((AND((AE251&lt;=AB251),(AC251&gt;=AB251))),0,IF(AD251&gt;AC251,((AE251-AB251)*12)*N251,0)))))</f>
        <v>0</v>
      </c>
      <c r="V251" s="235">
        <f t="shared" ref="V251" si="170">U251*R251</f>
        <v>0</v>
      </c>
      <c r="W251" s="393">
        <v>1</v>
      </c>
      <c r="X251" s="235">
        <f t="shared" ref="X251" si="171">V251*W251</f>
        <v>0</v>
      </c>
      <c r="Y251" s="235">
        <f t="shared" ref="Y251" si="172">IF(L251&gt;0,0,X251+S251*W251)*W251</f>
        <v>2793.1</v>
      </c>
      <c r="Z251" s="235">
        <f>+M251-(Y251/2)</f>
        <v>6982.7499999999991</v>
      </c>
      <c r="AA251" s="235"/>
      <c r="AB251" s="235">
        <f t="shared" ref="AB251" si="173">$C251+(($D251-1)/12)</f>
        <v>2020.5</v>
      </c>
      <c r="AC251" s="235">
        <f t="shared" ref="AC251" si="174">($M$5+1)-($M$2/12)</f>
        <v>2021</v>
      </c>
      <c r="AD251" s="235">
        <f t="shared" ref="AD251" si="175">$H251+(($D251-1)/12)</f>
        <v>2023.5</v>
      </c>
      <c r="AE251" s="413">
        <f t="shared" ref="AE251" si="176">$M$4+($M$3/12)</f>
        <v>2020</v>
      </c>
      <c r="AF251" s="413">
        <f t="shared" ref="AF251" si="177">$I251+(($J251-1)/12)</f>
        <v>-8.3333333333333329E-2</v>
      </c>
      <c r="AG251" s="413">
        <f t="shared" ref="AG251" si="178">$H251+(($D251-1)/12)</f>
        <v>2023.5</v>
      </c>
      <c r="AH251" s="413">
        <f t="shared" ref="AH251" si="179">$M$4+($M$3/12)</f>
        <v>2020</v>
      </c>
      <c r="AI251" s="413">
        <f t="shared" ref="AI251" si="180">$I251+(($J251-1)/12)</f>
        <v>-8.3333333333333329E-2</v>
      </c>
      <c r="AJ251" s="413"/>
      <c r="AK251" s="307"/>
      <c r="AL251" s="307"/>
    </row>
    <row r="252" spans="1:38" ht="15.75">
      <c r="A252" s="307"/>
      <c r="B252" s="307"/>
      <c r="C252" s="410"/>
      <c r="D252" s="407"/>
      <c r="E252" s="416"/>
      <c r="F252" s="397"/>
      <c r="G252" s="397"/>
      <c r="H252" s="407"/>
      <c r="I252" s="393"/>
      <c r="J252" s="393"/>
      <c r="K252" s="235"/>
      <c r="L252" s="393"/>
      <c r="M252" s="235"/>
      <c r="N252" s="235"/>
      <c r="O252" s="235"/>
      <c r="P252" s="235"/>
      <c r="Q252" s="235"/>
      <c r="R252" s="393"/>
      <c r="S252" s="235"/>
      <c r="T252" s="393"/>
      <c r="U252" s="235"/>
      <c r="V252" s="235"/>
      <c r="W252" s="393"/>
      <c r="X252" s="235"/>
      <c r="Y252" s="235"/>
      <c r="Z252" s="235"/>
      <c r="AA252" s="235"/>
      <c r="AB252" s="235"/>
      <c r="AC252" s="235"/>
      <c r="AD252" s="235"/>
      <c r="AE252" s="413"/>
      <c r="AF252" s="413"/>
      <c r="AG252" s="413"/>
      <c r="AH252" s="413"/>
      <c r="AI252" s="413"/>
      <c r="AJ252" s="413"/>
      <c r="AK252" s="307"/>
      <c r="AL252" s="307"/>
    </row>
    <row r="253" spans="1:38" ht="15.75">
      <c r="A253" s="307"/>
      <c r="B253" s="307"/>
      <c r="C253" s="410"/>
      <c r="D253" s="407"/>
      <c r="E253" s="416"/>
      <c r="F253" s="397"/>
      <c r="G253" s="397"/>
      <c r="H253" s="407"/>
      <c r="I253" s="393"/>
      <c r="J253" s="393"/>
      <c r="K253" s="235"/>
      <c r="L253" s="393"/>
      <c r="M253" s="235"/>
      <c r="N253" s="235"/>
      <c r="O253" s="235"/>
      <c r="P253" s="235"/>
      <c r="Q253" s="235"/>
      <c r="R253" s="393"/>
      <c r="S253" s="235"/>
      <c r="T253" s="393"/>
      <c r="U253" s="235"/>
      <c r="V253" s="235"/>
      <c r="W253" s="393"/>
      <c r="X253" s="235"/>
      <c r="Y253" s="235"/>
      <c r="Z253" s="235"/>
      <c r="AA253" s="235"/>
      <c r="AB253" s="235"/>
      <c r="AC253" s="235"/>
      <c r="AD253" s="235"/>
      <c r="AE253" s="413"/>
      <c r="AF253" s="413"/>
      <c r="AG253" s="413"/>
      <c r="AH253" s="413"/>
      <c r="AI253" s="413"/>
      <c r="AJ253" s="413"/>
      <c r="AK253" s="307"/>
      <c r="AL253" s="307"/>
    </row>
    <row r="254" spans="1:38" ht="15.75">
      <c r="A254" s="307"/>
      <c r="B254" s="307"/>
      <c r="C254" s="410"/>
      <c r="D254" s="407"/>
      <c r="E254" s="416"/>
      <c r="F254" s="397"/>
      <c r="G254" s="397"/>
      <c r="H254" s="407"/>
      <c r="I254" s="393"/>
      <c r="J254" s="393"/>
      <c r="K254" s="235"/>
      <c r="L254" s="393"/>
      <c r="M254" s="235"/>
      <c r="N254" s="235"/>
      <c r="O254" s="235"/>
      <c r="P254" s="235"/>
      <c r="Q254" s="235"/>
      <c r="R254" s="393"/>
      <c r="S254" s="235"/>
      <c r="T254" s="393"/>
      <c r="U254" s="235"/>
      <c r="V254" s="235"/>
      <c r="W254" s="393"/>
      <c r="X254" s="235"/>
      <c r="Y254" s="235"/>
      <c r="Z254" s="235"/>
      <c r="AA254" s="235"/>
      <c r="AB254" s="235"/>
      <c r="AC254" s="235"/>
      <c r="AD254" s="235"/>
      <c r="AE254" s="413"/>
      <c r="AF254" s="413"/>
      <c r="AG254" s="413"/>
      <c r="AH254" s="413"/>
      <c r="AI254" s="413"/>
      <c r="AJ254" s="413"/>
      <c r="AK254" s="307"/>
      <c r="AL254" s="307"/>
    </row>
    <row r="255" spans="1:38" ht="15.75">
      <c r="A255" s="307"/>
      <c r="B255" s="307"/>
      <c r="C255" s="410"/>
      <c r="D255" s="407"/>
      <c r="E255" s="416"/>
      <c r="F255" s="397"/>
      <c r="G255" s="397"/>
      <c r="H255" s="407"/>
      <c r="I255" s="393"/>
      <c r="J255" s="393"/>
      <c r="K255" s="235"/>
      <c r="L255" s="393"/>
      <c r="M255" s="235"/>
      <c r="N255" s="235"/>
      <c r="O255" s="235"/>
      <c r="P255" s="235"/>
      <c r="Q255" s="235"/>
      <c r="R255" s="393"/>
      <c r="S255" s="235"/>
      <c r="T255" s="393"/>
      <c r="U255" s="235"/>
      <c r="V255" s="235"/>
      <c r="W255" s="393"/>
      <c r="X255" s="235"/>
      <c r="Y255" s="235"/>
      <c r="Z255" s="235"/>
      <c r="AA255" s="235"/>
      <c r="AB255" s="235"/>
      <c r="AC255" s="235"/>
      <c r="AD255" s="235"/>
      <c r="AE255" s="413"/>
      <c r="AF255" s="413"/>
      <c r="AG255" s="413"/>
      <c r="AH255" s="413"/>
      <c r="AI255" s="413"/>
      <c r="AJ255" s="413"/>
      <c r="AK255" s="307"/>
      <c r="AL255" s="307"/>
    </row>
    <row r="256" spans="1:38" ht="15.75">
      <c r="A256" s="307"/>
      <c r="B256" s="421"/>
      <c r="C256" s="407"/>
      <c r="D256" s="407"/>
      <c r="E256" s="393"/>
      <c r="F256" s="393"/>
      <c r="G256" s="397"/>
      <c r="H256" s="397"/>
      <c r="I256" s="425"/>
      <c r="J256" s="393"/>
      <c r="K256" s="393"/>
      <c r="L256" s="429"/>
      <c r="M256" s="393"/>
      <c r="N256" s="429"/>
      <c r="O256" s="429"/>
      <c r="P256" s="429"/>
      <c r="Q256" s="429"/>
      <c r="R256" s="429"/>
      <c r="S256" s="429"/>
      <c r="T256" s="429"/>
      <c r="U256" s="429"/>
      <c r="V256" s="429"/>
      <c r="W256" s="429"/>
      <c r="X256" s="429"/>
      <c r="Y256" s="429"/>
      <c r="Z256" s="429"/>
      <c r="AA256" s="429"/>
      <c r="AB256" s="429"/>
      <c r="AC256" s="235"/>
      <c r="AD256" s="235"/>
      <c r="AE256" s="235"/>
      <c r="AF256" s="413"/>
      <c r="AG256" s="413"/>
      <c r="AH256" s="413"/>
      <c r="AI256" s="413"/>
      <c r="AJ256" s="413"/>
      <c r="AK256" s="307"/>
      <c r="AL256" s="307"/>
    </row>
    <row r="257" spans="1:38" ht="15.75">
      <c r="A257" s="307"/>
      <c r="B257" s="403" t="s">
        <v>750</v>
      </c>
      <c r="C257" s="407"/>
      <c r="D257" s="407"/>
      <c r="E257" s="393"/>
      <c r="F257" s="393"/>
      <c r="G257" s="397"/>
      <c r="H257" s="397"/>
      <c r="I257" s="425"/>
      <c r="J257" s="393"/>
      <c r="K257" s="393"/>
      <c r="L257" s="393"/>
      <c r="M257" s="393"/>
      <c r="N257" s="235"/>
      <c r="O257" s="235"/>
      <c r="P257" s="235"/>
      <c r="Q257" s="235"/>
      <c r="R257" s="235"/>
      <c r="S257" s="393"/>
      <c r="T257" s="235"/>
      <c r="U257" s="393"/>
      <c r="V257" s="235"/>
      <c r="W257" s="235"/>
      <c r="X257" s="393"/>
      <c r="Y257" s="235"/>
      <c r="Z257" s="235"/>
      <c r="AA257" s="235"/>
      <c r="AB257" s="235"/>
      <c r="AC257" s="235"/>
      <c r="AD257" s="235"/>
      <c r="AE257" s="235"/>
      <c r="AF257" s="413"/>
      <c r="AG257" s="413"/>
      <c r="AH257" s="413"/>
      <c r="AI257" s="413"/>
      <c r="AJ257" s="413"/>
      <c r="AK257" s="307"/>
      <c r="AL257" s="307"/>
    </row>
    <row r="258" spans="1:38" ht="15.75">
      <c r="A258" s="307">
        <v>11</v>
      </c>
      <c r="B258" s="415" t="s">
        <v>751</v>
      </c>
      <c r="C258" s="430">
        <v>2005</v>
      </c>
      <c r="D258" s="407">
        <v>11</v>
      </c>
      <c r="E258" s="393"/>
      <c r="F258" s="397" t="s">
        <v>668</v>
      </c>
      <c r="G258" s="397">
        <v>5</v>
      </c>
      <c r="H258" s="407">
        <f t="shared" ref="H258:H286" si="181">+C258+G258</f>
        <v>2010</v>
      </c>
      <c r="I258" s="407">
        <f t="shared" ref="I258:I286" si="182">+C258+G258</f>
        <v>2010</v>
      </c>
      <c r="J258" s="393"/>
      <c r="K258" s="417">
        <v>140</v>
      </c>
      <c r="L258" s="427"/>
      <c r="M258" s="235">
        <f t="shared" ref="M258:M286" si="183">K258-K258*E258</f>
        <v>140</v>
      </c>
      <c r="N258" s="235">
        <f t="shared" ref="N258:N285" si="184">M258/G258/12</f>
        <v>2.3333333333333335</v>
      </c>
      <c r="O258" s="235">
        <f t="shared" ref="O258:O285" si="185">IF(L258&gt;0,0,IF((OR((AB258&gt;AC258),(AD258&lt;AE258))),0,IF((AND((AD258&gt;=AE258),(AD258&lt;=AC258))),N258*((AD258-AE258)*12),IF((AND((AE258&lt;=AB258),(AC258&gt;=AB258))),((AC258-AB258)*12)*N258,IF(AD258&gt;AC258,12*N258,0)))))</f>
        <v>0</v>
      </c>
      <c r="P258" s="235">
        <f t="shared" ref="P258:P285" si="186">IF(L258=0,0,IF((AND((AF258&gt;=AE258),(AF258&lt;=AD258))),((AF258-AE258)*12)*N258,0))</f>
        <v>0</v>
      </c>
      <c r="Q258" s="235">
        <f t="shared" ref="Q258:Q285" si="187">IF(P258&gt;0,P258,O258)</f>
        <v>0</v>
      </c>
      <c r="R258" s="393">
        <v>1</v>
      </c>
      <c r="S258" s="235">
        <f t="shared" ref="S258:S285" si="188">R258*SUM(O258:P258)</f>
        <v>0</v>
      </c>
      <c r="T258" s="393"/>
      <c r="U258" s="235">
        <f t="shared" ref="U258:U285" si="189">IF(AB258&gt;AC258,0,IF(AD258&lt;AE258,M258,IF((AND((AD258&gt;=AE258),(AD258&lt;=AC258))),(M258-Q258),IF((AND((AE258&lt;=AB258),(AC258&gt;=AB258))),0,IF(AD258&gt;AC258,((AE258-AB258)*12)*N258,0)))))</f>
        <v>140</v>
      </c>
      <c r="V258" s="235">
        <f t="shared" ref="V258:V285" si="190">U258*R258</f>
        <v>140</v>
      </c>
      <c r="W258" s="393">
        <v>1</v>
      </c>
      <c r="X258" s="235">
        <f t="shared" ref="X258:X285" si="191">V258*W258</f>
        <v>140</v>
      </c>
      <c r="Y258" s="235">
        <f t="shared" ref="Y258:Y285" si="192">IF(L258&gt;0,0,X258+S258*W258)*W258</f>
        <v>140</v>
      </c>
      <c r="Z258" s="235">
        <f t="shared" ref="Z258:Z285" si="193">+M258-Y258</f>
        <v>0</v>
      </c>
      <c r="AA258" s="235"/>
      <c r="AB258" s="235">
        <f t="shared" ref="AB258:AB285" si="194">$C258+(($D258-1)/12)</f>
        <v>2005.8333333333333</v>
      </c>
      <c r="AC258" s="235">
        <f t="shared" ref="AC258:AC285" si="195">($M$5+1)-($M$2/12)</f>
        <v>2021</v>
      </c>
      <c r="AD258" s="235">
        <f t="shared" ref="AD258:AD285" si="196">$G258+(($D258-1)/12)</f>
        <v>5.833333333333333</v>
      </c>
      <c r="AE258" s="413">
        <f t="shared" ref="AE258:AE285" si="197">$M$4+($M$3/12)</f>
        <v>2020</v>
      </c>
      <c r="AF258" s="413">
        <f t="shared" ref="AF258:AF285" si="198">$I258+(($J258-1)/12)</f>
        <v>2009.9166666666667</v>
      </c>
      <c r="AG258" s="413">
        <f t="shared" ref="AG258:AG285" si="199">$G258+(($D258-1)/12)</f>
        <v>5.833333333333333</v>
      </c>
      <c r="AH258" s="413">
        <f t="shared" ref="AH258:AH285" si="200">$M$4+($M$3/12)</f>
        <v>2020</v>
      </c>
      <c r="AI258" s="413">
        <f t="shared" ref="AI258:AI285" si="201">$I258+(($J258-1)/12)</f>
        <v>2009.9166666666667</v>
      </c>
      <c r="AJ258" s="413"/>
      <c r="AK258" s="307"/>
      <c r="AL258" s="307"/>
    </row>
    <row r="259" spans="1:38" ht="15.75">
      <c r="A259" s="307">
        <v>47</v>
      </c>
      <c r="B259" s="415" t="s">
        <v>752</v>
      </c>
      <c r="C259" s="430">
        <v>1998</v>
      </c>
      <c r="D259" s="407">
        <v>1</v>
      </c>
      <c r="E259" s="393"/>
      <c r="F259" s="397" t="s">
        <v>668</v>
      </c>
      <c r="G259" s="397">
        <v>5</v>
      </c>
      <c r="H259" s="407">
        <f t="shared" si="181"/>
        <v>2003</v>
      </c>
      <c r="I259" s="407">
        <f t="shared" si="182"/>
        <v>2003</v>
      </c>
      <c r="J259" s="393"/>
      <c r="K259" s="417">
        <v>183</v>
      </c>
      <c r="L259" s="427"/>
      <c r="M259" s="235">
        <f t="shared" si="183"/>
        <v>183</v>
      </c>
      <c r="N259" s="235">
        <f t="shared" si="184"/>
        <v>3.0500000000000003</v>
      </c>
      <c r="O259" s="235">
        <f t="shared" si="185"/>
        <v>0</v>
      </c>
      <c r="P259" s="235">
        <f t="shared" si="186"/>
        <v>0</v>
      </c>
      <c r="Q259" s="235">
        <f t="shared" si="187"/>
        <v>0</v>
      </c>
      <c r="R259" s="393">
        <v>1</v>
      </c>
      <c r="S259" s="235">
        <f t="shared" si="188"/>
        <v>0</v>
      </c>
      <c r="T259" s="393"/>
      <c r="U259" s="235">
        <f t="shared" si="189"/>
        <v>183</v>
      </c>
      <c r="V259" s="235">
        <f t="shared" si="190"/>
        <v>183</v>
      </c>
      <c r="W259" s="393">
        <v>1</v>
      </c>
      <c r="X259" s="235">
        <f t="shared" si="191"/>
        <v>183</v>
      </c>
      <c r="Y259" s="235">
        <f t="shared" si="192"/>
        <v>183</v>
      </c>
      <c r="Z259" s="235">
        <f t="shared" si="193"/>
        <v>0</v>
      </c>
      <c r="AA259" s="235"/>
      <c r="AB259" s="235">
        <f t="shared" si="194"/>
        <v>1998</v>
      </c>
      <c r="AC259" s="235">
        <f t="shared" si="195"/>
        <v>2021</v>
      </c>
      <c r="AD259" s="235">
        <f t="shared" si="196"/>
        <v>5</v>
      </c>
      <c r="AE259" s="413">
        <f t="shared" si="197"/>
        <v>2020</v>
      </c>
      <c r="AF259" s="413">
        <f t="shared" si="198"/>
        <v>2002.9166666666667</v>
      </c>
      <c r="AG259" s="413">
        <f t="shared" si="199"/>
        <v>5</v>
      </c>
      <c r="AH259" s="413">
        <f t="shared" si="200"/>
        <v>2020</v>
      </c>
      <c r="AI259" s="413">
        <f t="shared" si="201"/>
        <v>2002.9166666666667</v>
      </c>
      <c r="AJ259" s="413"/>
      <c r="AK259" s="307"/>
      <c r="AL259" s="307"/>
    </row>
    <row r="260" spans="1:38" ht="15.75">
      <c r="A260" s="307">
        <v>50</v>
      </c>
      <c r="B260" s="415" t="s">
        <v>753</v>
      </c>
      <c r="C260" s="430">
        <v>1999</v>
      </c>
      <c r="D260" s="407">
        <v>2</v>
      </c>
      <c r="E260" s="393"/>
      <c r="F260" s="397" t="s">
        <v>668</v>
      </c>
      <c r="G260" s="397">
        <v>5</v>
      </c>
      <c r="H260" s="407">
        <f t="shared" si="181"/>
        <v>2004</v>
      </c>
      <c r="I260" s="407">
        <f t="shared" si="182"/>
        <v>2004</v>
      </c>
      <c r="J260" s="393"/>
      <c r="K260" s="417">
        <v>1855</v>
      </c>
      <c r="L260" s="427"/>
      <c r="M260" s="235">
        <f t="shared" si="183"/>
        <v>1855</v>
      </c>
      <c r="N260" s="235">
        <f t="shared" si="184"/>
        <v>30.916666666666668</v>
      </c>
      <c r="O260" s="235">
        <f t="shared" si="185"/>
        <v>0</v>
      </c>
      <c r="P260" s="235">
        <f t="shared" si="186"/>
        <v>0</v>
      </c>
      <c r="Q260" s="235">
        <f t="shared" si="187"/>
        <v>0</v>
      </c>
      <c r="R260" s="393">
        <v>1</v>
      </c>
      <c r="S260" s="235">
        <f t="shared" si="188"/>
        <v>0</v>
      </c>
      <c r="T260" s="393"/>
      <c r="U260" s="235">
        <f t="shared" si="189"/>
        <v>1855</v>
      </c>
      <c r="V260" s="235">
        <f t="shared" si="190"/>
        <v>1855</v>
      </c>
      <c r="W260" s="393">
        <v>1</v>
      </c>
      <c r="X260" s="235">
        <f t="shared" si="191"/>
        <v>1855</v>
      </c>
      <c r="Y260" s="235">
        <f t="shared" si="192"/>
        <v>1855</v>
      </c>
      <c r="Z260" s="235">
        <f t="shared" si="193"/>
        <v>0</v>
      </c>
      <c r="AA260" s="235"/>
      <c r="AB260" s="235">
        <f t="shared" si="194"/>
        <v>1999.0833333333333</v>
      </c>
      <c r="AC260" s="235">
        <f t="shared" si="195"/>
        <v>2021</v>
      </c>
      <c r="AD260" s="235">
        <f t="shared" si="196"/>
        <v>5.083333333333333</v>
      </c>
      <c r="AE260" s="413">
        <f t="shared" si="197"/>
        <v>2020</v>
      </c>
      <c r="AF260" s="413">
        <f t="shared" si="198"/>
        <v>2003.9166666666667</v>
      </c>
      <c r="AG260" s="413">
        <f t="shared" si="199"/>
        <v>5.083333333333333</v>
      </c>
      <c r="AH260" s="413">
        <f t="shared" si="200"/>
        <v>2020</v>
      </c>
      <c r="AI260" s="413">
        <f t="shared" si="201"/>
        <v>2003.9166666666667</v>
      </c>
      <c r="AJ260" s="413"/>
      <c r="AK260" s="307"/>
      <c r="AL260" s="307"/>
    </row>
    <row r="261" spans="1:38" ht="15.75">
      <c r="A261" s="307">
        <v>51</v>
      </c>
      <c r="B261" s="415" t="s">
        <v>753</v>
      </c>
      <c r="C261" s="430">
        <v>1991</v>
      </c>
      <c r="D261" s="407">
        <v>9</v>
      </c>
      <c r="E261" s="393"/>
      <c r="F261" s="397" t="s">
        <v>668</v>
      </c>
      <c r="G261" s="397">
        <v>5</v>
      </c>
      <c r="H261" s="407">
        <f t="shared" si="181"/>
        <v>1996</v>
      </c>
      <c r="I261" s="407">
        <f t="shared" si="182"/>
        <v>1996</v>
      </c>
      <c r="J261" s="393"/>
      <c r="K261" s="417">
        <v>3801</v>
      </c>
      <c r="L261" s="427"/>
      <c r="M261" s="235">
        <f t="shared" si="183"/>
        <v>3801</v>
      </c>
      <c r="N261" s="235">
        <f t="shared" si="184"/>
        <v>63.35</v>
      </c>
      <c r="O261" s="235">
        <f t="shared" si="185"/>
        <v>0</v>
      </c>
      <c r="P261" s="235">
        <f t="shared" si="186"/>
        <v>0</v>
      </c>
      <c r="Q261" s="235">
        <f t="shared" si="187"/>
        <v>0</v>
      </c>
      <c r="R261" s="393">
        <v>1</v>
      </c>
      <c r="S261" s="235">
        <f t="shared" si="188"/>
        <v>0</v>
      </c>
      <c r="T261" s="393"/>
      <c r="U261" s="235">
        <f t="shared" si="189"/>
        <v>3801</v>
      </c>
      <c r="V261" s="235">
        <f t="shared" si="190"/>
        <v>3801</v>
      </c>
      <c r="W261" s="393">
        <v>1</v>
      </c>
      <c r="X261" s="235">
        <f t="shared" si="191"/>
        <v>3801</v>
      </c>
      <c r="Y261" s="235">
        <f t="shared" si="192"/>
        <v>3801</v>
      </c>
      <c r="Z261" s="235">
        <f t="shared" si="193"/>
        <v>0</v>
      </c>
      <c r="AA261" s="235"/>
      <c r="AB261" s="235">
        <f t="shared" si="194"/>
        <v>1991.6666666666667</v>
      </c>
      <c r="AC261" s="235">
        <f t="shared" si="195"/>
        <v>2021</v>
      </c>
      <c r="AD261" s="235">
        <f t="shared" si="196"/>
        <v>5.666666666666667</v>
      </c>
      <c r="AE261" s="413">
        <f t="shared" si="197"/>
        <v>2020</v>
      </c>
      <c r="AF261" s="413">
        <f t="shared" si="198"/>
        <v>1995.9166666666667</v>
      </c>
      <c r="AG261" s="413">
        <f t="shared" si="199"/>
        <v>5.666666666666667</v>
      </c>
      <c r="AH261" s="413">
        <f t="shared" si="200"/>
        <v>2020</v>
      </c>
      <c r="AI261" s="413">
        <f t="shared" si="201"/>
        <v>1995.9166666666667</v>
      </c>
      <c r="AJ261" s="413"/>
      <c r="AK261" s="307"/>
      <c r="AL261" s="307"/>
    </row>
    <row r="262" spans="1:38" ht="15.75">
      <c r="A262" s="307">
        <v>52</v>
      </c>
      <c r="B262" s="415" t="s">
        <v>753</v>
      </c>
      <c r="C262" s="430">
        <v>1999</v>
      </c>
      <c r="D262" s="407">
        <v>12</v>
      </c>
      <c r="E262" s="393"/>
      <c r="F262" s="397" t="s">
        <v>668</v>
      </c>
      <c r="G262" s="397">
        <v>5</v>
      </c>
      <c r="H262" s="407">
        <f t="shared" si="181"/>
        <v>2004</v>
      </c>
      <c r="I262" s="407">
        <f t="shared" si="182"/>
        <v>2004</v>
      </c>
      <c r="J262" s="393"/>
      <c r="K262" s="417">
        <v>829</v>
      </c>
      <c r="L262" s="427"/>
      <c r="M262" s="235">
        <f t="shared" si="183"/>
        <v>829</v>
      </c>
      <c r="N262" s="235">
        <f t="shared" si="184"/>
        <v>13.816666666666668</v>
      </c>
      <c r="O262" s="235">
        <f t="shared" si="185"/>
        <v>0</v>
      </c>
      <c r="P262" s="235">
        <f t="shared" si="186"/>
        <v>0</v>
      </c>
      <c r="Q262" s="235">
        <f t="shared" si="187"/>
        <v>0</v>
      </c>
      <c r="R262" s="393">
        <v>1</v>
      </c>
      <c r="S262" s="235">
        <f t="shared" si="188"/>
        <v>0</v>
      </c>
      <c r="T262" s="393"/>
      <c r="U262" s="235">
        <f t="shared" si="189"/>
        <v>829</v>
      </c>
      <c r="V262" s="235">
        <f t="shared" si="190"/>
        <v>829</v>
      </c>
      <c r="W262" s="393">
        <v>1</v>
      </c>
      <c r="X262" s="235">
        <f t="shared" si="191"/>
        <v>829</v>
      </c>
      <c r="Y262" s="235">
        <f t="shared" si="192"/>
        <v>829</v>
      </c>
      <c r="Z262" s="235">
        <f t="shared" si="193"/>
        <v>0</v>
      </c>
      <c r="AA262" s="235"/>
      <c r="AB262" s="235">
        <f t="shared" si="194"/>
        <v>1999.9166666666667</v>
      </c>
      <c r="AC262" s="235">
        <f t="shared" si="195"/>
        <v>2021</v>
      </c>
      <c r="AD262" s="235">
        <f t="shared" si="196"/>
        <v>5.916666666666667</v>
      </c>
      <c r="AE262" s="413">
        <f t="shared" si="197"/>
        <v>2020</v>
      </c>
      <c r="AF262" s="413">
        <f t="shared" si="198"/>
        <v>2003.9166666666667</v>
      </c>
      <c r="AG262" s="413">
        <f t="shared" si="199"/>
        <v>5.916666666666667</v>
      </c>
      <c r="AH262" s="413">
        <f t="shared" si="200"/>
        <v>2020</v>
      </c>
      <c r="AI262" s="413">
        <f t="shared" si="201"/>
        <v>2003.9166666666667</v>
      </c>
      <c r="AJ262" s="413"/>
      <c r="AK262" s="307"/>
      <c r="AL262" s="307"/>
    </row>
    <row r="263" spans="1:38" ht="15.75">
      <c r="A263" s="307">
        <v>53</v>
      </c>
      <c r="B263" s="415" t="s">
        <v>753</v>
      </c>
      <c r="C263" s="430">
        <v>1999</v>
      </c>
      <c r="D263" s="407">
        <v>2</v>
      </c>
      <c r="E263" s="393"/>
      <c r="F263" s="397" t="s">
        <v>668</v>
      </c>
      <c r="G263" s="397">
        <v>5</v>
      </c>
      <c r="H263" s="407">
        <f t="shared" si="181"/>
        <v>2004</v>
      </c>
      <c r="I263" s="407">
        <f t="shared" si="182"/>
        <v>2004</v>
      </c>
      <c r="J263" s="393"/>
      <c r="K263" s="417">
        <v>1200</v>
      </c>
      <c r="L263" s="427"/>
      <c r="M263" s="235">
        <f t="shared" si="183"/>
        <v>1200</v>
      </c>
      <c r="N263" s="235">
        <f t="shared" si="184"/>
        <v>20</v>
      </c>
      <c r="O263" s="235">
        <f t="shared" si="185"/>
        <v>0</v>
      </c>
      <c r="P263" s="235">
        <f t="shared" si="186"/>
        <v>0</v>
      </c>
      <c r="Q263" s="235">
        <f t="shared" si="187"/>
        <v>0</v>
      </c>
      <c r="R263" s="393">
        <v>1</v>
      </c>
      <c r="S263" s="235">
        <f t="shared" si="188"/>
        <v>0</v>
      </c>
      <c r="T263" s="393"/>
      <c r="U263" s="235">
        <f t="shared" si="189"/>
        <v>1200</v>
      </c>
      <c r="V263" s="235">
        <f t="shared" si="190"/>
        <v>1200</v>
      </c>
      <c r="W263" s="393">
        <v>1</v>
      </c>
      <c r="X263" s="235">
        <f t="shared" si="191"/>
        <v>1200</v>
      </c>
      <c r="Y263" s="235">
        <f t="shared" si="192"/>
        <v>1200</v>
      </c>
      <c r="Z263" s="235">
        <f t="shared" si="193"/>
        <v>0</v>
      </c>
      <c r="AA263" s="235"/>
      <c r="AB263" s="235">
        <f t="shared" si="194"/>
        <v>1999.0833333333333</v>
      </c>
      <c r="AC263" s="235">
        <f t="shared" si="195"/>
        <v>2021</v>
      </c>
      <c r="AD263" s="235">
        <f t="shared" si="196"/>
        <v>5.083333333333333</v>
      </c>
      <c r="AE263" s="413">
        <f t="shared" si="197"/>
        <v>2020</v>
      </c>
      <c r="AF263" s="413">
        <f t="shared" si="198"/>
        <v>2003.9166666666667</v>
      </c>
      <c r="AG263" s="413">
        <f t="shared" si="199"/>
        <v>5.083333333333333</v>
      </c>
      <c r="AH263" s="413">
        <f t="shared" si="200"/>
        <v>2020</v>
      </c>
      <c r="AI263" s="413">
        <f t="shared" si="201"/>
        <v>2003.9166666666667</v>
      </c>
      <c r="AJ263" s="413"/>
      <c r="AK263" s="307"/>
      <c r="AL263" s="307"/>
    </row>
    <row r="264" spans="1:38" ht="15.75">
      <c r="A264" s="307">
        <v>54</v>
      </c>
      <c r="B264" s="415" t="s">
        <v>754</v>
      </c>
      <c r="C264" s="430">
        <v>1996</v>
      </c>
      <c r="D264" s="407">
        <v>4</v>
      </c>
      <c r="E264" s="393"/>
      <c r="F264" s="397" t="s">
        <v>668</v>
      </c>
      <c r="G264" s="397">
        <v>5</v>
      </c>
      <c r="H264" s="407">
        <f t="shared" si="181"/>
        <v>2001</v>
      </c>
      <c r="I264" s="407">
        <f t="shared" si="182"/>
        <v>2001</v>
      </c>
      <c r="J264" s="393"/>
      <c r="K264" s="417">
        <v>2632</v>
      </c>
      <c r="L264" s="427"/>
      <c r="M264" s="235">
        <f t="shared" si="183"/>
        <v>2632</v>
      </c>
      <c r="N264" s="235">
        <f t="shared" si="184"/>
        <v>43.866666666666667</v>
      </c>
      <c r="O264" s="235">
        <f t="shared" si="185"/>
        <v>0</v>
      </c>
      <c r="P264" s="235">
        <f t="shared" si="186"/>
        <v>0</v>
      </c>
      <c r="Q264" s="235">
        <f t="shared" si="187"/>
        <v>0</v>
      </c>
      <c r="R264" s="393">
        <v>1</v>
      </c>
      <c r="S264" s="235">
        <f t="shared" si="188"/>
        <v>0</v>
      </c>
      <c r="T264" s="393"/>
      <c r="U264" s="235">
        <f t="shared" si="189"/>
        <v>2632</v>
      </c>
      <c r="V264" s="235">
        <f t="shared" si="190"/>
        <v>2632</v>
      </c>
      <c r="W264" s="393">
        <v>1</v>
      </c>
      <c r="X264" s="235">
        <f t="shared" si="191"/>
        <v>2632</v>
      </c>
      <c r="Y264" s="235">
        <f t="shared" si="192"/>
        <v>2632</v>
      </c>
      <c r="Z264" s="235">
        <f t="shared" si="193"/>
        <v>0</v>
      </c>
      <c r="AA264" s="235"/>
      <c r="AB264" s="235">
        <f t="shared" si="194"/>
        <v>1996.25</v>
      </c>
      <c r="AC264" s="235">
        <f t="shared" si="195"/>
        <v>2021</v>
      </c>
      <c r="AD264" s="235">
        <f t="shared" si="196"/>
        <v>5.25</v>
      </c>
      <c r="AE264" s="413">
        <f t="shared" si="197"/>
        <v>2020</v>
      </c>
      <c r="AF264" s="413">
        <f t="shared" si="198"/>
        <v>2000.9166666666667</v>
      </c>
      <c r="AG264" s="413">
        <f t="shared" si="199"/>
        <v>5.25</v>
      </c>
      <c r="AH264" s="413">
        <f t="shared" si="200"/>
        <v>2020</v>
      </c>
      <c r="AI264" s="413">
        <f t="shared" si="201"/>
        <v>2000.9166666666667</v>
      </c>
      <c r="AJ264" s="413"/>
      <c r="AK264" s="307"/>
      <c r="AL264" s="307"/>
    </row>
    <row r="265" spans="1:38" ht="15.75">
      <c r="A265" s="307">
        <v>55</v>
      </c>
      <c r="B265" s="415" t="s">
        <v>755</v>
      </c>
      <c r="C265" s="430">
        <v>2005</v>
      </c>
      <c r="D265" s="407">
        <v>7</v>
      </c>
      <c r="E265" s="393"/>
      <c r="F265" s="397" t="s">
        <v>668</v>
      </c>
      <c r="G265" s="397">
        <v>5</v>
      </c>
      <c r="H265" s="407">
        <f t="shared" si="181"/>
        <v>2010</v>
      </c>
      <c r="I265" s="407">
        <f t="shared" si="182"/>
        <v>2010</v>
      </c>
      <c r="J265" s="393"/>
      <c r="K265" s="417">
        <v>843</v>
      </c>
      <c r="L265" s="427"/>
      <c r="M265" s="235">
        <f t="shared" si="183"/>
        <v>843</v>
      </c>
      <c r="N265" s="235">
        <f t="shared" si="184"/>
        <v>14.049999999999999</v>
      </c>
      <c r="O265" s="235">
        <f t="shared" si="185"/>
        <v>0</v>
      </c>
      <c r="P265" s="235">
        <f t="shared" si="186"/>
        <v>0</v>
      </c>
      <c r="Q265" s="235">
        <f t="shared" si="187"/>
        <v>0</v>
      </c>
      <c r="R265" s="393">
        <v>1</v>
      </c>
      <c r="S265" s="235">
        <f t="shared" si="188"/>
        <v>0</v>
      </c>
      <c r="T265" s="393"/>
      <c r="U265" s="235">
        <f t="shared" si="189"/>
        <v>843</v>
      </c>
      <c r="V265" s="235">
        <f t="shared" si="190"/>
        <v>843</v>
      </c>
      <c r="W265" s="393">
        <v>1</v>
      </c>
      <c r="X265" s="235">
        <f t="shared" si="191"/>
        <v>843</v>
      </c>
      <c r="Y265" s="235">
        <f t="shared" si="192"/>
        <v>843</v>
      </c>
      <c r="Z265" s="235">
        <f t="shared" si="193"/>
        <v>0</v>
      </c>
      <c r="AA265" s="235"/>
      <c r="AB265" s="235">
        <f t="shared" si="194"/>
        <v>2005.5</v>
      </c>
      <c r="AC265" s="235">
        <f t="shared" si="195"/>
        <v>2021</v>
      </c>
      <c r="AD265" s="235">
        <f t="shared" si="196"/>
        <v>5.5</v>
      </c>
      <c r="AE265" s="413">
        <f t="shared" si="197"/>
        <v>2020</v>
      </c>
      <c r="AF265" s="413">
        <f t="shared" si="198"/>
        <v>2009.9166666666667</v>
      </c>
      <c r="AG265" s="413">
        <f t="shared" si="199"/>
        <v>5.5</v>
      </c>
      <c r="AH265" s="413">
        <f t="shared" si="200"/>
        <v>2020</v>
      </c>
      <c r="AI265" s="413">
        <f t="shared" si="201"/>
        <v>2009.9166666666667</v>
      </c>
      <c r="AJ265" s="413"/>
      <c r="AK265" s="307"/>
      <c r="AL265" s="307"/>
    </row>
    <row r="266" spans="1:38" ht="15.75">
      <c r="A266" s="307">
        <v>56</v>
      </c>
      <c r="B266" s="415" t="s">
        <v>755</v>
      </c>
      <c r="C266" s="430">
        <v>2005</v>
      </c>
      <c r="D266" s="407">
        <v>7</v>
      </c>
      <c r="E266" s="393"/>
      <c r="F266" s="397" t="s">
        <v>668</v>
      </c>
      <c r="G266" s="397">
        <v>5</v>
      </c>
      <c r="H266" s="407">
        <f t="shared" si="181"/>
        <v>2010</v>
      </c>
      <c r="I266" s="407">
        <f t="shared" si="182"/>
        <v>2010</v>
      </c>
      <c r="J266" s="393"/>
      <c r="K266" s="417">
        <v>1000</v>
      </c>
      <c r="L266" s="427"/>
      <c r="M266" s="235">
        <f t="shared" si="183"/>
        <v>1000</v>
      </c>
      <c r="N266" s="235">
        <f t="shared" si="184"/>
        <v>16.666666666666668</v>
      </c>
      <c r="O266" s="235">
        <f t="shared" si="185"/>
        <v>0</v>
      </c>
      <c r="P266" s="235">
        <f t="shared" si="186"/>
        <v>0</v>
      </c>
      <c r="Q266" s="235">
        <f t="shared" si="187"/>
        <v>0</v>
      </c>
      <c r="R266" s="393">
        <v>1</v>
      </c>
      <c r="S266" s="235">
        <f t="shared" si="188"/>
        <v>0</v>
      </c>
      <c r="T266" s="393"/>
      <c r="U266" s="235">
        <f t="shared" si="189"/>
        <v>1000</v>
      </c>
      <c r="V266" s="235">
        <f t="shared" si="190"/>
        <v>1000</v>
      </c>
      <c r="W266" s="393">
        <v>1</v>
      </c>
      <c r="X266" s="235">
        <f t="shared" si="191"/>
        <v>1000</v>
      </c>
      <c r="Y266" s="235">
        <f t="shared" si="192"/>
        <v>1000</v>
      </c>
      <c r="Z266" s="235">
        <f t="shared" si="193"/>
        <v>0</v>
      </c>
      <c r="AA266" s="235"/>
      <c r="AB266" s="235">
        <f t="shared" si="194"/>
        <v>2005.5</v>
      </c>
      <c r="AC266" s="235">
        <f t="shared" si="195"/>
        <v>2021</v>
      </c>
      <c r="AD266" s="235">
        <f t="shared" si="196"/>
        <v>5.5</v>
      </c>
      <c r="AE266" s="413">
        <f t="shared" si="197"/>
        <v>2020</v>
      </c>
      <c r="AF266" s="413">
        <f t="shared" si="198"/>
        <v>2009.9166666666667</v>
      </c>
      <c r="AG266" s="413">
        <f t="shared" si="199"/>
        <v>5.5</v>
      </c>
      <c r="AH266" s="413">
        <f t="shared" si="200"/>
        <v>2020</v>
      </c>
      <c r="AI266" s="413">
        <f t="shared" si="201"/>
        <v>2009.9166666666667</v>
      </c>
      <c r="AJ266" s="413"/>
      <c r="AK266" s="307"/>
      <c r="AL266" s="307"/>
    </row>
    <row r="267" spans="1:38" ht="15.75">
      <c r="A267" s="307">
        <v>57</v>
      </c>
      <c r="B267" s="415" t="s">
        <v>755</v>
      </c>
      <c r="C267" s="430">
        <v>2005</v>
      </c>
      <c r="D267" s="407">
        <v>7</v>
      </c>
      <c r="E267" s="393"/>
      <c r="F267" s="397" t="s">
        <v>668</v>
      </c>
      <c r="G267" s="397">
        <v>5</v>
      </c>
      <c r="H267" s="407">
        <f t="shared" si="181"/>
        <v>2010</v>
      </c>
      <c r="I267" s="407">
        <f t="shared" si="182"/>
        <v>2010</v>
      </c>
      <c r="J267" s="393"/>
      <c r="K267" s="417">
        <v>1265</v>
      </c>
      <c r="L267" s="427"/>
      <c r="M267" s="235">
        <f t="shared" si="183"/>
        <v>1265</v>
      </c>
      <c r="N267" s="235">
        <f t="shared" si="184"/>
        <v>21.083333333333332</v>
      </c>
      <c r="O267" s="235">
        <f t="shared" si="185"/>
        <v>0</v>
      </c>
      <c r="P267" s="235">
        <f t="shared" si="186"/>
        <v>0</v>
      </c>
      <c r="Q267" s="235">
        <f t="shared" si="187"/>
        <v>0</v>
      </c>
      <c r="R267" s="393">
        <v>1</v>
      </c>
      <c r="S267" s="235">
        <f t="shared" si="188"/>
        <v>0</v>
      </c>
      <c r="T267" s="393"/>
      <c r="U267" s="235">
        <f t="shared" si="189"/>
        <v>1265</v>
      </c>
      <c r="V267" s="235">
        <f t="shared" si="190"/>
        <v>1265</v>
      </c>
      <c r="W267" s="393">
        <v>1</v>
      </c>
      <c r="X267" s="235">
        <f t="shared" si="191"/>
        <v>1265</v>
      </c>
      <c r="Y267" s="235">
        <f t="shared" si="192"/>
        <v>1265</v>
      </c>
      <c r="Z267" s="235">
        <f t="shared" si="193"/>
        <v>0</v>
      </c>
      <c r="AA267" s="235"/>
      <c r="AB267" s="235">
        <f t="shared" si="194"/>
        <v>2005.5</v>
      </c>
      <c r="AC267" s="235">
        <f t="shared" si="195"/>
        <v>2021</v>
      </c>
      <c r="AD267" s="235">
        <f t="shared" si="196"/>
        <v>5.5</v>
      </c>
      <c r="AE267" s="413">
        <f t="shared" si="197"/>
        <v>2020</v>
      </c>
      <c r="AF267" s="413">
        <f t="shared" si="198"/>
        <v>2009.9166666666667</v>
      </c>
      <c r="AG267" s="413">
        <f t="shared" si="199"/>
        <v>5.5</v>
      </c>
      <c r="AH267" s="413">
        <f t="shared" si="200"/>
        <v>2020</v>
      </c>
      <c r="AI267" s="413">
        <f t="shared" si="201"/>
        <v>2009.9166666666667</v>
      </c>
      <c r="AJ267" s="413"/>
      <c r="AK267" s="307"/>
      <c r="AL267" s="307"/>
    </row>
    <row r="268" spans="1:38" ht="15.75">
      <c r="A268" s="307">
        <v>60</v>
      </c>
      <c r="B268" s="415" t="s">
        <v>756</v>
      </c>
      <c r="C268" s="430">
        <v>1999</v>
      </c>
      <c r="D268" s="407">
        <v>6</v>
      </c>
      <c r="E268" s="393"/>
      <c r="F268" s="397" t="s">
        <v>668</v>
      </c>
      <c r="G268" s="397">
        <v>5</v>
      </c>
      <c r="H268" s="407">
        <f t="shared" si="181"/>
        <v>2004</v>
      </c>
      <c r="I268" s="407">
        <f t="shared" si="182"/>
        <v>2004</v>
      </c>
      <c r="J268" s="393"/>
      <c r="K268" s="417">
        <v>681</v>
      </c>
      <c r="L268" s="427"/>
      <c r="M268" s="235">
        <f t="shared" si="183"/>
        <v>681</v>
      </c>
      <c r="N268" s="235">
        <f t="shared" si="184"/>
        <v>11.35</v>
      </c>
      <c r="O268" s="235">
        <f t="shared" si="185"/>
        <v>0</v>
      </c>
      <c r="P268" s="235">
        <f t="shared" si="186"/>
        <v>0</v>
      </c>
      <c r="Q268" s="235">
        <f t="shared" si="187"/>
        <v>0</v>
      </c>
      <c r="R268" s="393">
        <v>1</v>
      </c>
      <c r="S268" s="235">
        <f t="shared" si="188"/>
        <v>0</v>
      </c>
      <c r="T268" s="393"/>
      <c r="U268" s="235">
        <f t="shared" si="189"/>
        <v>681</v>
      </c>
      <c r="V268" s="235">
        <f t="shared" si="190"/>
        <v>681</v>
      </c>
      <c r="W268" s="393">
        <v>1</v>
      </c>
      <c r="X268" s="235">
        <f t="shared" si="191"/>
        <v>681</v>
      </c>
      <c r="Y268" s="235">
        <f t="shared" si="192"/>
        <v>681</v>
      </c>
      <c r="Z268" s="235">
        <f t="shared" si="193"/>
        <v>0</v>
      </c>
      <c r="AA268" s="235"/>
      <c r="AB268" s="235">
        <f t="shared" si="194"/>
        <v>1999.4166666666667</v>
      </c>
      <c r="AC268" s="235">
        <f t="shared" si="195"/>
        <v>2021</v>
      </c>
      <c r="AD268" s="235">
        <f t="shared" si="196"/>
        <v>5.416666666666667</v>
      </c>
      <c r="AE268" s="413">
        <f t="shared" si="197"/>
        <v>2020</v>
      </c>
      <c r="AF268" s="413">
        <f t="shared" si="198"/>
        <v>2003.9166666666667</v>
      </c>
      <c r="AG268" s="413">
        <f t="shared" si="199"/>
        <v>5.416666666666667</v>
      </c>
      <c r="AH268" s="413">
        <f t="shared" si="200"/>
        <v>2020</v>
      </c>
      <c r="AI268" s="413">
        <f t="shared" si="201"/>
        <v>2003.9166666666667</v>
      </c>
      <c r="AJ268" s="413"/>
      <c r="AK268" s="307"/>
      <c r="AL268" s="307"/>
    </row>
    <row r="269" spans="1:38" ht="15.75">
      <c r="A269" s="307">
        <v>61</v>
      </c>
      <c r="B269" s="415" t="s">
        <v>757</v>
      </c>
      <c r="C269" s="430">
        <v>2005</v>
      </c>
      <c r="D269" s="407">
        <v>10</v>
      </c>
      <c r="E269" s="393"/>
      <c r="F269" s="397" t="s">
        <v>668</v>
      </c>
      <c r="G269" s="397">
        <v>5</v>
      </c>
      <c r="H269" s="407">
        <f t="shared" si="181"/>
        <v>2010</v>
      </c>
      <c r="I269" s="407">
        <f t="shared" si="182"/>
        <v>2010</v>
      </c>
      <c r="J269" s="393"/>
      <c r="K269" s="417">
        <v>923</v>
      </c>
      <c r="L269" s="427"/>
      <c r="M269" s="235">
        <f t="shared" si="183"/>
        <v>923</v>
      </c>
      <c r="N269" s="235">
        <f t="shared" si="184"/>
        <v>15.383333333333333</v>
      </c>
      <c r="O269" s="235">
        <f t="shared" si="185"/>
        <v>0</v>
      </c>
      <c r="P269" s="235">
        <f t="shared" si="186"/>
        <v>0</v>
      </c>
      <c r="Q269" s="235">
        <f t="shared" si="187"/>
        <v>0</v>
      </c>
      <c r="R269" s="393">
        <v>1</v>
      </c>
      <c r="S269" s="235">
        <f t="shared" si="188"/>
        <v>0</v>
      </c>
      <c r="T269" s="393"/>
      <c r="U269" s="235">
        <f t="shared" si="189"/>
        <v>923</v>
      </c>
      <c r="V269" s="235">
        <f t="shared" si="190"/>
        <v>923</v>
      </c>
      <c r="W269" s="393">
        <v>1</v>
      </c>
      <c r="X269" s="235">
        <f t="shared" si="191"/>
        <v>923</v>
      </c>
      <c r="Y269" s="235">
        <f t="shared" si="192"/>
        <v>923</v>
      </c>
      <c r="Z269" s="235">
        <f t="shared" si="193"/>
        <v>0</v>
      </c>
      <c r="AA269" s="235"/>
      <c r="AB269" s="235">
        <f t="shared" si="194"/>
        <v>2005.75</v>
      </c>
      <c r="AC269" s="235">
        <f t="shared" si="195"/>
        <v>2021</v>
      </c>
      <c r="AD269" s="235">
        <f t="shared" si="196"/>
        <v>5.75</v>
      </c>
      <c r="AE269" s="413">
        <f t="shared" si="197"/>
        <v>2020</v>
      </c>
      <c r="AF269" s="413">
        <f t="shared" si="198"/>
        <v>2009.9166666666667</v>
      </c>
      <c r="AG269" s="413">
        <f t="shared" si="199"/>
        <v>5.75</v>
      </c>
      <c r="AH269" s="413">
        <f t="shared" si="200"/>
        <v>2020</v>
      </c>
      <c r="AI269" s="413">
        <f t="shared" si="201"/>
        <v>2009.9166666666667</v>
      </c>
      <c r="AJ269" s="413"/>
      <c r="AK269" s="307"/>
      <c r="AL269" s="307"/>
    </row>
    <row r="270" spans="1:38" ht="15.75">
      <c r="A270" s="307">
        <v>62</v>
      </c>
      <c r="B270" s="415" t="s">
        <v>758</v>
      </c>
      <c r="C270" s="430">
        <v>2003</v>
      </c>
      <c r="D270" s="407">
        <v>5</v>
      </c>
      <c r="E270" s="393"/>
      <c r="F270" s="397" t="s">
        <v>668</v>
      </c>
      <c r="G270" s="397">
        <v>5</v>
      </c>
      <c r="H270" s="407">
        <f t="shared" si="181"/>
        <v>2008</v>
      </c>
      <c r="I270" s="407">
        <f t="shared" si="182"/>
        <v>2008</v>
      </c>
      <c r="J270" s="393"/>
      <c r="K270" s="417">
        <v>1004</v>
      </c>
      <c r="L270" s="427"/>
      <c r="M270" s="235">
        <f t="shared" si="183"/>
        <v>1004</v>
      </c>
      <c r="N270" s="235">
        <f t="shared" si="184"/>
        <v>16.733333333333334</v>
      </c>
      <c r="O270" s="235">
        <f t="shared" si="185"/>
        <v>0</v>
      </c>
      <c r="P270" s="235">
        <f t="shared" si="186"/>
        <v>0</v>
      </c>
      <c r="Q270" s="235">
        <f t="shared" si="187"/>
        <v>0</v>
      </c>
      <c r="R270" s="393">
        <v>1</v>
      </c>
      <c r="S270" s="235">
        <f t="shared" si="188"/>
        <v>0</v>
      </c>
      <c r="T270" s="393"/>
      <c r="U270" s="235">
        <f t="shared" si="189"/>
        <v>1004</v>
      </c>
      <c r="V270" s="235">
        <f t="shared" si="190"/>
        <v>1004</v>
      </c>
      <c r="W270" s="393">
        <v>1</v>
      </c>
      <c r="X270" s="235">
        <f t="shared" si="191"/>
        <v>1004</v>
      </c>
      <c r="Y270" s="235">
        <f t="shared" si="192"/>
        <v>1004</v>
      </c>
      <c r="Z270" s="235">
        <f t="shared" si="193"/>
        <v>0</v>
      </c>
      <c r="AA270" s="235"/>
      <c r="AB270" s="235">
        <f t="shared" si="194"/>
        <v>2003.3333333333333</v>
      </c>
      <c r="AC270" s="235">
        <f t="shared" si="195"/>
        <v>2021</v>
      </c>
      <c r="AD270" s="235">
        <f t="shared" si="196"/>
        <v>5.333333333333333</v>
      </c>
      <c r="AE270" s="413">
        <f t="shared" si="197"/>
        <v>2020</v>
      </c>
      <c r="AF270" s="413">
        <f t="shared" si="198"/>
        <v>2007.9166666666667</v>
      </c>
      <c r="AG270" s="413">
        <f t="shared" si="199"/>
        <v>5.333333333333333</v>
      </c>
      <c r="AH270" s="413">
        <f t="shared" si="200"/>
        <v>2020</v>
      </c>
      <c r="AI270" s="413">
        <f t="shared" si="201"/>
        <v>2007.9166666666667</v>
      </c>
      <c r="AJ270" s="413"/>
      <c r="AK270" s="307"/>
      <c r="AL270" s="307"/>
    </row>
    <row r="271" spans="1:38" ht="15.75">
      <c r="A271" s="307">
        <v>148</v>
      </c>
      <c r="B271" s="415" t="s">
        <v>759</v>
      </c>
      <c r="C271" s="430">
        <v>2005</v>
      </c>
      <c r="D271" s="407">
        <v>8</v>
      </c>
      <c r="E271" s="393"/>
      <c r="F271" s="397" t="s">
        <v>668</v>
      </c>
      <c r="G271" s="397">
        <v>5</v>
      </c>
      <c r="H271" s="407">
        <f t="shared" si="181"/>
        <v>2010</v>
      </c>
      <c r="I271" s="407">
        <f t="shared" si="182"/>
        <v>2010</v>
      </c>
      <c r="J271" s="393"/>
      <c r="K271" s="417">
        <v>250</v>
      </c>
      <c r="L271" s="427"/>
      <c r="M271" s="235">
        <f t="shared" si="183"/>
        <v>250</v>
      </c>
      <c r="N271" s="235">
        <f t="shared" si="184"/>
        <v>4.166666666666667</v>
      </c>
      <c r="O271" s="235">
        <f t="shared" si="185"/>
        <v>0</v>
      </c>
      <c r="P271" s="235">
        <f t="shared" si="186"/>
        <v>0</v>
      </c>
      <c r="Q271" s="235">
        <f t="shared" si="187"/>
        <v>0</v>
      </c>
      <c r="R271" s="393">
        <v>1</v>
      </c>
      <c r="S271" s="235">
        <f t="shared" si="188"/>
        <v>0</v>
      </c>
      <c r="T271" s="393"/>
      <c r="U271" s="235">
        <f t="shared" si="189"/>
        <v>250</v>
      </c>
      <c r="V271" s="235">
        <f t="shared" si="190"/>
        <v>250</v>
      </c>
      <c r="W271" s="393">
        <v>1</v>
      </c>
      <c r="X271" s="235">
        <f t="shared" si="191"/>
        <v>250</v>
      </c>
      <c r="Y271" s="235">
        <f t="shared" si="192"/>
        <v>250</v>
      </c>
      <c r="Z271" s="235">
        <f t="shared" si="193"/>
        <v>0</v>
      </c>
      <c r="AA271" s="235"/>
      <c r="AB271" s="235">
        <f t="shared" si="194"/>
        <v>2005.5833333333333</v>
      </c>
      <c r="AC271" s="235">
        <f t="shared" si="195"/>
        <v>2021</v>
      </c>
      <c r="AD271" s="235">
        <f t="shared" si="196"/>
        <v>5.583333333333333</v>
      </c>
      <c r="AE271" s="413">
        <f t="shared" si="197"/>
        <v>2020</v>
      </c>
      <c r="AF271" s="413">
        <f t="shared" si="198"/>
        <v>2009.9166666666667</v>
      </c>
      <c r="AG271" s="413">
        <f t="shared" si="199"/>
        <v>5.583333333333333</v>
      </c>
      <c r="AH271" s="413">
        <f t="shared" si="200"/>
        <v>2020</v>
      </c>
      <c r="AI271" s="413">
        <f t="shared" si="201"/>
        <v>2009.9166666666667</v>
      </c>
      <c r="AJ271" s="413"/>
      <c r="AK271" s="307"/>
      <c r="AL271" s="307"/>
    </row>
    <row r="272" spans="1:38" ht="15.75">
      <c r="A272" s="307">
        <v>149</v>
      </c>
      <c r="B272" s="415" t="s">
        <v>760</v>
      </c>
      <c r="C272" s="430">
        <v>1998</v>
      </c>
      <c r="D272" s="407">
        <v>2</v>
      </c>
      <c r="E272" s="393"/>
      <c r="F272" s="397" t="s">
        <v>668</v>
      </c>
      <c r="G272" s="397">
        <v>5</v>
      </c>
      <c r="H272" s="407">
        <f t="shared" si="181"/>
        <v>2003</v>
      </c>
      <c r="I272" s="407">
        <f t="shared" si="182"/>
        <v>2003</v>
      </c>
      <c r="J272" s="393"/>
      <c r="K272" s="417">
        <v>139</v>
      </c>
      <c r="L272" s="427"/>
      <c r="M272" s="235">
        <f t="shared" si="183"/>
        <v>139</v>
      </c>
      <c r="N272" s="235">
        <f t="shared" si="184"/>
        <v>2.3166666666666669</v>
      </c>
      <c r="O272" s="235">
        <f t="shared" si="185"/>
        <v>0</v>
      </c>
      <c r="P272" s="235">
        <f t="shared" si="186"/>
        <v>0</v>
      </c>
      <c r="Q272" s="235">
        <f t="shared" si="187"/>
        <v>0</v>
      </c>
      <c r="R272" s="393">
        <v>1</v>
      </c>
      <c r="S272" s="235">
        <f t="shared" si="188"/>
        <v>0</v>
      </c>
      <c r="T272" s="393"/>
      <c r="U272" s="235">
        <f t="shared" si="189"/>
        <v>139</v>
      </c>
      <c r="V272" s="235">
        <f t="shared" si="190"/>
        <v>139</v>
      </c>
      <c r="W272" s="393">
        <v>1</v>
      </c>
      <c r="X272" s="235">
        <f t="shared" si="191"/>
        <v>139</v>
      </c>
      <c r="Y272" s="235">
        <f t="shared" si="192"/>
        <v>139</v>
      </c>
      <c r="Z272" s="235">
        <f t="shared" si="193"/>
        <v>0</v>
      </c>
      <c r="AA272" s="235"/>
      <c r="AB272" s="235">
        <f t="shared" si="194"/>
        <v>1998.0833333333333</v>
      </c>
      <c r="AC272" s="235">
        <f t="shared" si="195"/>
        <v>2021</v>
      </c>
      <c r="AD272" s="235">
        <f t="shared" si="196"/>
        <v>5.083333333333333</v>
      </c>
      <c r="AE272" s="413">
        <f t="shared" si="197"/>
        <v>2020</v>
      </c>
      <c r="AF272" s="413">
        <f t="shared" si="198"/>
        <v>2002.9166666666667</v>
      </c>
      <c r="AG272" s="413">
        <f t="shared" si="199"/>
        <v>5.083333333333333</v>
      </c>
      <c r="AH272" s="413">
        <f t="shared" si="200"/>
        <v>2020</v>
      </c>
      <c r="AI272" s="413">
        <f t="shared" si="201"/>
        <v>2002.9166666666667</v>
      </c>
      <c r="AJ272" s="413"/>
      <c r="AK272" s="307"/>
      <c r="AL272" s="307"/>
    </row>
    <row r="273" spans="1:38" ht="15.75">
      <c r="A273" s="307">
        <v>150</v>
      </c>
      <c r="B273" s="415" t="s">
        <v>761</v>
      </c>
      <c r="C273" s="430">
        <v>2005</v>
      </c>
      <c r="D273" s="407">
        <v>8</v>
      </c>
      <c r="E273" s="393"/>
      <c r="F273" s="397" t="s">
        <v>668</v>
      </c>
      <c r="G273" s="397">
        <v>5</v>
      </c>
      <c r="H273" s="407">
        <f t="shared" si="181"/>
        <v>2010</v>
      </c>
      <c r="I273" s="407">
        <f t="shared" si="182"/>
        <v>2010</v>
      </c>
      <c r="J273" s="393"/>
      <c r="K273" s="417">
        <v>100</v>
      </c>
      <c r="L273" s="427"/>
      <c r="M273" s="235">
        <f t="shared" si="183"/>
        <v>100</v>
      </c>
      <c r="N273" s="235">
        <f t="shared" si="184"/>
        <v>1.6666666666666667</v>
      </c>
      <c r="O273" s="235">
        <f t="shared" si="185"/>
        <v>0</v>
      </c>
      <c r="P273" s="235">
        <f t="shared" si="186"/>
        <v>0</v>
      </c>
      <c r="Q273" s="235">
        <f t="shared" si="187"/>
        <v>0</v>
      </c>
      <c r="R273" s="393">
        <v>1</v>
      </c>
      <c r="S273" s="235">
        <f t="shared" si="188"/>
        <v>0</v>
      </c>
      <c r="T273" s="393"/>
      <c r="U273" s="235">
        <f t="shared" si="189"/>
        <v>100</v>
      </c>
      <c r="V273" s="235">
        <f t="shared" si="190"/>
        <v>100</v>
      </c>
      <c r="W273" s="393">
        <v>1</v>
      </c>
      <c r="X273" s="235">
        <f t="shared" si="191"/>
        <v>100</v>
      </c>
      <c r="Y273" s="235">
        <f t="shared" si="192"/>
        <v>100</v>
      </c>
      <c r="Z273" s="235">
        <f t="shared" si="193"/>
        <v>0</v>
      </c>
      <c r="AA273" s="235"/>
      <c r="AB273" s="235">
        <f t="shared" si="194"/>
        <v>2005.5833333333333</v>
      </c>
      <c r="AC273" s="235">
        <f t="shared" si="195"/>
        <v>2021</v>
      </c>
      <c r="AD273" s="235">
        <f t="shared" si="196"/>
        <v>5.583333333333333</v>
      </c>
      <c r="AE273" s="413">
        <f t="shared" si="197"/>
        <v>2020</v>
      </c>
      <c r="AF273" s="413">
        <f t="shared" si="198"/>
        <v>2009.9166666666667</v>
      </c>
      <c r="AG273" s="413">
        <f t="shared" si="199"/>
        <v>5.583333333333333</v>
      </c>
      <c r="AH273" s="413">
        <f t="shared" si="200"/>
        <v>2020</v>
      </c>
      <c r="AI273" s="413">
        <f t="shared" si="201"/>
        <v>2009.9166666666667</v>
      </c>
      <c r="AJ273" s="413"/>
      <c r="AK273" s="307"/>
      <c r="AL273" s="307"/>
    </row>
    <row r="274" spans="1:38" ht="15.75">
      <c r="A274" s="307">
        <v>154</v>
      </c>
      <c r="B274" s="415" t="s">
        <v>762</v>
      </c>
      <c r="C274" s="430">
        <v>1997</v>
      </c>
      <c r="D274" s="407">
        <v>10</v>
      </c>
      <c r="E274" s="393"/>
      <c r="F274" s="397" t="s">
        <v>668</v>
      </c>
      <c r="G274" s="397">
        <v>5</v>
      </c>
      <c r="H274" s="407">
        <f t="shared" si="181"/>
        <v>2002</v>
      </c>
      <c r="I274" s="407">
        <f t="shared" si="182"/>
        <v>2002</v>
      </c>
      <c r="J274" s="393"/>
      <c r="K274" s="417">
        <v>200</v>
      </c>
      <c r="L274" s="427"/>
      <c r="M274" s="235">
        <f t="shared" si="183"/>
        <v>200</v>
      </c>
      <c r="N274" s="235">
        <f t="shared" si="184"/>
        <v>3.3333333333333335</v>
      </c>
      <c r="O274" s="235">
        <f t="shared" si="185"/>
        <v>0</v>
      </c>
      <c r="P274" s="235">
        <f t="shared" si="186"/>
        <v>0</v>
      </c>
      <c r="Q274" s="235">
        <f t="shared" si="187"/>
        <v>0</v>
      </c>
      <c r="R274" s="393">
        <v>1</v>
      </c>
      <c r="S274" s="235">
        <f t="shared" si="188"/>
        <v>0</v>
      </c>
      <c r="T274" s="393"/>
      <c r="U274" s="235">
        <f t="shared" si="189"/>
        <v>200</v>
      </c>
      <c r="V274" s="235">
        <f t="shared" si="190"/>
        <v>200</v>
      </c>
      <c r="W274" s="393">
        <v>1</v>
      </c>
      <c r="X274" s="235">
        <f t="shared" si="191"/>
        <v>200</v>
      </c>
      <c r="Y274" s="235">
        <f t="shared" si="192"/>
        <v>200</v>
      </c>
      <c r="Z274" s="235">
        <f t="shared" si="193"/>
        <v>0</v>
      </c>
      <c r="AA274" s="235"/>
      <c r="AB274" s="235">
        <f t="shared" si="194"/>
        <v>1997.75</v>
      </c>
      <c r="AC274" s="235">
        <f t="shared" si="195"/>
        <v>2021</v>
      </c>
      <c r="AD274" s="235">
        <f t="shared" si="196"/>
        <v>5.75</v>
      </c>
      <c r="AE274" s="413">
        <f t="shared" si="197"/>
        <v>2020</v>
      </c>
      <c r="AF274" s="413">
        <f t="shared" si="198"/>
        <v>2001.9166666666667</v>
      </c>
      <c r="AG274" s="413">
        <f t="shared" si="199"/>
        <v>5.75</v>
      </c>
      <c r="AH274" s="413">
        <f t="shared" si="200"/>
        <v>2020</v>
      </c>
      <c r="AI274" s="413">
        <f t="shared" si="201"/>
        <v>2001.9166666666667</v>
      </c>
      <c r="AJ274" s="413"/>
      <c r="AK274" s="307"/>
      <c r="AL274" s="307"/>
    </row>
    <row r="275" spans="1:38" ht="15.75">
      <c r="A275" s="307">
        <v>155</v>
      </c>
      <c r="B275" s="415" t="s">
        <v>763</v>
      </c>
      <c r="C275" s="430">
        <v>1980</v>
      </c>
      <c r="D275" s="407">
        <v>1</v>
      </c>
      <c r="E275" s="393"/>
      <c r="F275" s="397" t="s">
        <v>668</v>
      </c>
      <c r="G275" s="397">
        <v>5</v>
      </c>
      <c r="H275" s="407">
        <f t="shared" si="181"/>
        <v>1985</v>
      </c>
      <c r="I275" s="407">
        <f t="shared" si="182"/>
        <v>1985</v>
      </c>
      <c r="J275" s="393"/>
      <c r="K275" s="417">
        <v>139</v>
      </c>
      <c r="L275" s="427"/>
      <c r="M275" s="235">
        <f t="shared" si="183"/>
        <v>139</v>
      </c>
      <c r="N275" s="235">
        <f t="shared" si="184"/>
        <v>2.3166666666666669</v>
      </c>
      <c r="O275" s="235">
        <f t="shared" si="185"/>
        <v>0</v>
      </c>
      <c r="P275" s="235">
        <f t="shared" si="186"/>
        <v>0</v>
      </c>
      <c r="Q275" s="235">
        <f t="shared" si="187"/>
        <v>0</v>
      </c>
      <c r="R275" s="393">
        <v>1</v>
      </c>
      <c r="S275" s="235">
        <f t="shared" si="188"/>
        <v>0</v>
      </c>
      <c r="T275" s="393"/>
      <c r="U275" s="235">
        <f t="shared" si="189"/>
        <v>139</v>
      </c>
      <c r="V275" s="235">
        <f t="shared" si="190"/>
        <v>139</v>
      </c>
      <c r="W275" s="393">
        <v>1</v>
      </c>
      <c r="X275" s="235">
        <f t="shared" si="191"/>
        <v>139</v>
      </c>
      <c r="Y275" s="235">
        <f t="shared" si="192"/>
        <v>139</v>
      </c>
      <c r="Z275" s="235">
        <f t="shared" si="193"/>
        <v>0</v>
      </c>
      <c r="AA275" s="235"/>
      <c r="AB275" s="235">
        <f t="shared" si="194"/>
        <v>1980</v>
      </c>
      <c r="AC275" s="235">
        <f t="shared" si="195"/>
        <v>2021</v>
      </c>
      <c r="AD275" s="235">
        <f t="shared" si="196"/>
        <v>5</v>
      </c>
      <c r="AE275" s="413">
        <f t="shared" si="197"/>
        <v>2020</v>
      </c>
      <c r="AF275" s="413">
        <f t="shared" si="198"/>
        <v>1984.9166666666667</v>
      </c>
      <c r="AG275" s="413">
        <f t="shared" si="199"/>
        <v>5</v>
      </c>
      <c r="AH275" s="413">
        <f t="shared" si="200"/>
        <v>2020</v>
      </c>
      <c r="AI275" s="413">
        <f t="shared" si="201"/>
        <v>1984.9166666666667</v>
      </c>
      <c r="AJ275" s="413"/>
      <c r="AK275" s="307"/>
      <c r="AL275" s="307"/>
    </row>
    <row r="276" spans="1:38" ht="15.75">
      <c r="A276" s="307">
        <v>156</v>
      </c>
      <c r="B276" s="415" t="s">
        <v>764</v>
      </c>
      <c r="C276" s="430">
        <v>1995</v>
      </c>
      <c r="D276" s="407">
        <v>11</v>
      </c>
      <c r="E276" s="393"/>
      <c r="F276" s="397" t="s">
        <v>668</v>
      </c>
      <c r="G276" s="397">
        <v>5</v>
      </c>
      <c r="H276" s="407">
        <f t="shared" si="181"/>
        <v>2000</v>
      </c>
      <c r="I276" s="407">
        <f t="shared" si="182"/>
        <v>2000</v>
      </c>
      <c r="J276" s="393"/>
      <c r="K276" s="417">
        <v>295</v>
      </c>
      <c r="L276" s="427"/>
      <c r="M276" s="235">
        <f t="shared" si="183"/>
        <v>295</v>
      </c>
      <c r="N276" s="235">
        <f t="shared" si="184"/>
        <v>4.916666666666667</v>
      </c>
      <c r="O276" s="235">
        <f t="shared" si="185"/>
        <v>0</v>
      </c>
      <c r="P276" s="235">
        <f t="shared" si="186"/>
        <v>0</v>
      </c>
      <c r="Q276" s="235">
        <f t="shared" si="187"/>
        <v>0</v>
      </c>
      <c r="R276" s="393">
        <v>1</v>
      </c>
      <c r="S276" s="235">
        <f t="shared" si="188"/>
        <v>0</v>
      </c>
      <c r="T276" s="393"/>
      <c r="U276" s="235">
        <f t="shared" si="189"/>
        <v>295</v>
      </c>
      <c r="V276" s="235">
        <f t="shared" si="190"/>
        <v>295</v>
      </c>
      <c r="W276" s="393">
        <v>1</v>
      </c>
      <c r="X276" s="235">
        <f t="shared" si="191"/>
        <v>295</v>
      </c>
      <c r="Y276" s="235">
        <f t="shared" si="192"/>
        <v>295</v>
      </c>
      <c r="Z276" s="235">
        <f t="shared" si="193"/>
        <v>0</v>
      </c>
      <c r="AA276" s="235"/>
      <c r="AB276" s="235">
        <f t="shared" si="194"/>
        <v>1995.8333333333333</v>
      </c>
      <c r="AC276" s="235">
        <f t="shared" si="195"/>
        <v>2021</v>
      </c>
      <c r="AD276" s="235">
        <f t="shared" si="196"/>
        <v>5.833333333333333</v>
      </c>
      <c r="AE276" s="413">
        <f t="shared" si="197"/>
        <v>2020</v>
      </c>
      <c r="AF276" s="413">
        <f t="shared" si="198"/>
        <v>1999.9166666666667</v>
      </c>
      <c r="AG276" s="413">
        <f t="shared" si="199"/>
        <v>5.833333333333333</v>
      </c>
      <c r="AH276" s="413">
        <f t="shared" si="200"/>
        <v>2020</v>
      </c>
      <c r="AI276" s="413">
        <f t="shared" si="201"/>
        <v>1999.9166666666667</v>
      </c>
      <c r="AJ276" s="413"/>
      <c r="AK276" s="307"/>
      <c r="AL276" s="307"/>
    </row>
    <row r="277" spans="1:38" ht="15.75">
      <c r="A277" s="307">
        <v>157</v>
      </c>
      <c r="B277" s="415" t="s">
        <v>765</v>
      </c>
      <c r="C277" s="430">
        <v>1998</v>
      </c>
      <c r="D277" s="407">
        <v>8</v>
      </c>
      <c r="E277" s="393"/>
      <c r="F277" s="397" t="s">
        <v>668</v>
      </c>
      <c r="G277" s="397">
        <v>5</v>
      </c>
      <c r="H277" s="407">
        <f t="shared" si="181"/>
        <v>2003</v>
      </c>
      <c r="I277" s="407">
        <f t="shared" si="182"/>
        <v>2003</v>
      </c>
      <c r="J277" s="393"/>
      <c r="K277" s="417">
        <v>94</v>
      </c>
      <c r="L277" s="427"/>
      <c r="M277" s="235">
        <f t="shared" si="183"/>
        <v>94</v>
      </c>
      <c r="N277" s="235">
        <f t="shared" si="184"/>
        <v>1.5666666666666667</v>
      </c>
      <c r="O277" s="235">
        <f t="shared" si="185"/>
        <v>0</v>
      </c>
      <c r="P277" s="235">
        <f t="shared" si="186"/>
        <v>0</v>
      </c>
      <c r="Q277" s="235">
        <f t="shared" si="187"/>
        <v>0</v>
      </c>
      <c r="R277" s="393">
        <v>1</v>
      </c>
      <c r="S277" s="235">
        <f t="shared" si="188"/>
        <v>0</v>
      </c>
      <c r="T277" s="393"/>
      <c r="U277" s="235">
        <f t="shared" si="189"/>
        <v>94</v>
      </c>
      <c r="V277" s="235">
        <f t="shared" si="190"/>
        <v>94</v>
      </c>
      <c r="W277" s="393">
        <v>1</v>
      </c>
      <c r="X277" s="235">
        <f t="shared" si="191"/>
        <v>94</v>
      </c>
      <c r="Y277" s="235">
        <f t="shared" si="192"/>
        <v>94</v>
      </c>
      <c r="Z277" s="235">
        <f t="shared" si="193"/>
        <v>0</v>
      </c>
      <c r="AA277" s="235"/>
      <c r="AB277" s="235">
        <f t="shared" si="194"/>
        <v>1998.5833333333333</v>
      </c>
      <c r="AC277" s="235">
        <f t="shared" si="195"/>
        <v>2021</v>
      </c>
      <c r="AD277" s="235">
        <f t="shared" si="196"/>
        <v>5.583333333333333</v>
      </c>
      <c r="AE277" s="413">
        <f t="shared" si="197"/>
        <v>2020</v>
      </c>
      <c r="AF277" s="413">
        <f t="shared" si="198"/>
        <v>2002.9166666666667</v>
      </c>
      <c r="AG277" s="413">
        <f t="shared" si="199"/>
        <v>5.583333333333333</v>
      </c>
      <c r="AH277" s="413">
        <f t="shared" si="200"/>
        <v>2020</v>
      </c>
      <c r="AI277" s="413">
        <f t="shared" si="201"/>
        <v>2002.9166666666667</v>
      </c>
      <c r="AJ277" s="393"/>
      <c r="AK277" s="307"/>
      <c r="AL277" s="307"/>
    </row>
    <row r="278" spans="1:38" ht="15.75">
      <c r="A278" s="307">
        <v>158</v>
      </c>
      <c r="B278" s="415" t="s">
        <v>765</v>
      </c>
      <c r="C278" s="430">
        <v>1997</v>
      </c>
      <c r="D278" s="407">
        <v>3</v>
      </c>
      <c r="E278" s="393"/>
      <c r="F278" s="397" t="s">
        <v>668</v>
      </c>
      <c r="G278" s="397">
        <v>5</v>
      </c>
      <c r="H278" s="407">
        <f t="shared" si="181"/>
        <v>2002</v>
      </c>
      <c r="I278" s="407">
        <f t="shared" si="182"/>
        <v>2002</v>
      </c>
      <c r="J278" s="393"/>
      <c r="K278" s="417">
        <v>136</v>
      </c>
      <c r="L278" s="427"/>
      <c r="M278" s="235">
        <f t="shared" si="183"/>
        <v>136</v>
      </c>
      <c r="N278" s="235">
        <f t="shared" si="184"/>
        <v>2.2666666666666666</v>
      </c>
      <c r="O278" s="235">
        <f t="shared" si="185"/>
        <v>0</v>
      </c>
      <c r="P278" s="235">
        <f t="shared" si="186"/>
        <v>0</v>
      </c>
      <c r="Q278" s="235">
        <f t="shared" si="187"/>
        <v>0</v>
      </c>
      <c r="R278" s="393">
        <v>1</v>
      </c>
      <c r="S278" s="235">
        <f t="shared" si="188"/>
        <v>0</v>
      </c>
      <c r="T278" s="393"/>
      <c r="U278" s="235">
        <f t="shared" si="189"/>
        <v>136</v>
      </c>
      <c r="V278" s="235">
        <f t="shared" si="190"/>
        <v>136</v>
      </c>
      <c r="W278" s="393">
        <v>1</v>
      </c>
      <c r="X278" s="235">
        <f t="shared" si="191"/>
        <v>136</v>
      </c>
      <c r="Y278" s="235">
        <f t="shared" si="192"/>
        <v>136</v>
      </c>
      <c r="Z278" s="235">
        <f t="shared" si="193"/>
        <v>0</v>
      </c>
      <c r="AA278" s="235"/>
      <c r="AB278" s="235">
        <f t="shared" si="194"/>
        <v>1997.1666666666667</v>
      </c>
      <c r="AC278" s="235">
        <f t="shared" si="195"/>
        <v>2021</v>
      </c>
      <c r="AD278" s="235">
        <f t="shared" si="196"/>
        <v>5.166666666666667</v>
      </c>
      <c r="AE278" s="413">
        <f t="shared" si="197"/>
        <v>2020</v>
      </c>
      <c r="AF278" s="413">
        <f t="shared" si="198"/>
        <v>2001.9166666666667</v>
      </c>
      <c r="AG278" s="413">
        <f t="shared" si="199"/>
        <v>5.166666666666667</v>
      </c>
      <c r="AH278" s="413">
        <f t="shared" si="200"/>
        <v>2020</v>
      </c>
      <c r="AI278" s="413">
        <f t="shared" si="201"/>
        <v>2001.9166666666667</v>
      </c>
      <c r="AJ278" s="393"/>
      <c r="AK278" s="307"/>
      <c r="AL278" s="307"/>
    </row>
    <row r="279" spans="1:38" ht="15.75">
      <c r="A279" s="307">
        <v>160</v>
      </c>
      <c r="B279" s="415" t="s">
        <v>766</v>
      </c>
      <c r="C279" s="430">
        <v>2005</v>
      </c>
      <c r="D279" s="407">
        <v>8</v>
      </c>
      <c r="E279" s="393"/>
      <c r="F279" s="397" t="s">
        <v>668</v>
      </c>
      <c r="G279" s="397">
        <v>5</v>
      </c>
      <c r="H279" s="407">
        <f t="shared" si="181"/>
        <v>2010</v>
      </c>
      <c r="I279" s="407">
        <f t="shared" si="182"/>
        <v>2010</v>
      </c>
      <c r="J279" s="393"/>
      <c r="K279" s="417">
        <v>200</v>
      </c>
      <c r="L279" s="427"/>
      <c r="M279" s="235">
        <f t="shared" si="183"/>
        <v>200</v>
      </c>
      <c r="N279" s="235">
        <f t="shared" si="184"/>
        <v>3.3333333333333335</v>
      </c>
      <c r="O279" s="235">
        <f t="shared" si="185"/>
        <v>0</v>
      </c>
      <c r="P279" s="235">
        <f t="shared" si="186"/>
        <v>0</v>
      </c>
      <c r="Q279" s="235">
        <f t="shared" si="187"/>
        <v>0</v>
      </c>
      <c r="R279" s="393">
        <v>1</v>
      </c>
      <c r="S279" s="235">
        <f t="shared" si="188"/>
        <v>0</v>
      </c>
      <c r="T279" s="393"/>
      <c r="U279" s="235">
        <f t="shared" si="189"/>
        <v>200</v>
      </c>
      <c r="V279" s="235">
        <f t="shared" si="190"/>
        <v>200</v>
      </c>
      <c r="W279" s="393">
        <v>1</v>
      </c>
      <c r="X279" s="235">
        <f t="shared" si="191"/>
        <v>200</v>
      </c>
      <c r="Y279" s="235">
        <f t="shared" si="192"/>
        <v>200</v>
      </c>
      <c r="Z279" s="235">
        <f t="shared" si="193"/>
        <v>0</v>
      </c>
      <c r="AA279" s="235"/>
      <c r="AB279" s="235">
        <f t="shared" si="194"/>
        <v>2005.5833333333333</v>
      </c>
      <c r="AC279" s="235">
        <f t="shared" si="195"/>
        <v>2021</v>
      </c>
      <c r="AD279" s="235">
        <f t="shared" si="196"/>
        <v>5.583333333333333</v>
      </c>
      <c r="AE279" s="413">
        <f t="shared" si="197"/>
        <v>2020</v>
      </c>
      <c r="AF279" s="413">
        <f t="shared" si="198"/>
        <v>2009.9166666666667</v>
      </c>
      <c r="AG279" s="413">
        <f t="shared" si="199"/>
        <v>5.583333333333333</v>
      </c>
      <c r="AH279" s="413">
        <f t="shared" si="200"/>
        <v>2020</v>
      </c>
      <c r="AI279" s="413">
        <f t="shared" si="201"/>
        <v>2009.9166666666667</v>
      </c>
      <c r="AJ279" s="393"/>
      <c r="AK279" s="307"/>
      <c r="AL279" s="307"/>
    </row>
    <row r="280" spans="1:38" ht="15.75">
      <c r="A280" s="307">
        <v>161</v>
      </c>
      <c r="B280" s="415" t="s">
        <v>767</v>
      </c>
      <c r="C280" s="430">
        <v>1996</v>
      </c>
      <c r="D280" s="407">
        <v>2</v>
      </c>
      <c r="E280" s="393"/>
      <c r="F280" s="397" t="s">
        <v>668</v>
      </c>
      <c r="G280" s="397">
        <v>5</v>
      </c>
      <c r="H280" s="407">
        <f t="shared" si="181"/>
        <v>2001</v>
      </c>
      <c r="I280" s="407">
        <f t="shared" si="182"/>
        <v>2001</v>
      </c>
      <c r="J280" s="393"/>
      <c r="K280" s="417">
        <v>690</v>
      </c>
      <c r="L280" s="427"/>
      <c r="M280" s="235">
        <f t="shared" si="183"/>
        <v>690</v>
      </c>
      <c r="N280" s="235">
        <f t="shared" si="184"/>
        <v>11.5</v>
      </c>
      <c r="O280" s="235">
        <f t="shared" si="185"/>
        <v>0</v>
      </c>
      <c r="P280" s="235">
        <f t="shared" si="186"/>
        <v>0</v>
      </c>
      <c r="Q280" s="235">
        <f t="shared" si="187"/>
        <v>0</v>
      </c>
      <c r="R280" s="393">
        <v>1</v>
      </c>
      <c r="S280" s="235">
        <f t="shared" si="188"/>
        <v>0</v>
      </c>
      <c r="T280" s="393"/>
      <c r="U280" s="235">
        <f t="shared" si="189"/>
        <v>690</v>
      </c>
      <c r="V280" s="235">
        <f t="shared" si="190"/>
        <v>690</v>
      </c>
      <c r="W280" s="393">
        <v>1</v>
      </c>
      <c r="X280" s="235">
        <f t="shared" si="191"/>
        <v>690</v>
      </c>
      <c r="Y280" s="235">
        <f t="shared" si="192"/>
        <v>690</v>
      </c>
      <c r="Z280" s="235">
        <f t="shared" si="193"/>
        <v>0</v>
      </c>
      <c r="AA280" s="235"/>
      <c r="AB280" s="235">
        <f t="shared" si="194"/>
        <v>1996.0833333333333</v>
      </c>
      <c r="AC280" s="235">
        <f t="shared" si="195"/>
        <v>2021</v>
      </c>
      <c r="AD280" s="235">
        <f t="shared" si="196"/>
        <v>5.083333333333333</v>
      </c>
      <c r="AE280" s="413">
        <f t="shared" si="197"/>
        <v>2020</v>
      </c>
      <c r="AF280" s="413">
        <f t="shared" si="198"/>
        <v>2000.9166666666667</v>
      </c>
      <c r="AG280" s="413">
        <f t="shared" si="199"/>
        <v>5.083333333333333</v>
      </c>
      <c r="AH280" s="413">
        <f t="shared" si="200"/>
        <v>2020</v>
      </c>
      <c r="AI280" s="413">
        <f t="shared" si="201"/>
        <v>2000.9166666666667</v>
      </c>
      <c r="AJ280" s="393"/>
      <c r="AK280" s="307"/>
      <c r="AL280" s="307"/>
    </row>
    <row r="281" spans="1:38" ht="15.75">
      <c r="A281" s="307">
        <v>162</v>
      </c>
      <c r="B281" s="415" t="s">
        <v>768</v>
      </c>
      <c r="C281" s="430">
        <v>1993</v>
      </c>
      <c r="D281" s="407">
        <v>10</v>
      </c>
      <c r="E281" s="393"/>
      <c r="F281" s="397" t="s">
        <v>668</v>
      </c>
      <c r="G281" s="397">
        <v>5</v>
      </c>
      <c r="H281" s="407">
        <f t="shared" si="181"/>
        <v>1998</v>
      </c>
      <c r="I281" s="407">
        <f t="shared" si="182"/>
        <v>1998</v>
      </c>
      <c r="J281" s="393"/>
      <c r="K281" s="417">
        <v>753</v>
      </c>
      <c r="L281" s="427"/>
      <c r="M281" s="235">
        <f t="shared" si="183"/>
        <v>753</v>
      </c>
      <c r="N281" s="235">
        <f t="shared" si="184"/>
        <v>12.549999999999999</v>
      </c>
      <c r="O281" s="235">
        <f t="shared" si="185"/>
        <v>0</v>
      </c>
      <c r="P281" s="235">
        <f t="shared" si="186"/>
        <v>0</v>
      </c>
      <c r="Q281" s="235">
        <f t="shared" si="187"/>
        <v>0</v>
      </c>
      <c r="R281" s="393">
        <v>1</v>
      </c>
      <c r="S281" s="235">
        <f t="shared" si="188"/>
        <v>0</v>
      </c>
      <c r="T281" s="393"/>
      <c r="U281" s="235">
        <f t="shared" si="189"/>
        <v>753</v>
      </c>
      <c r="V281" s="235">
        <f t="shared" si="190"/>
        <v>753</v>
      </c>
      <c r="W281" s="393">
        <v>1</v>
      </c>
      <c r="X281" s="235">
        <f t="shared" si="191"/>
        <v>753</v>
      </c>
      <c r="Y281" s="235">
        <f t="shared" si="192"/>
        <v>753</v>
      </c>
      <c r="Z281" s="235">
        <f t="shared" si="193"/>
        <v>0</v>
      </c>
      <c r="AA281" s="235"/>
      <c r="AB281" s="235">
        <f t="shared" si="194"/>
        <v>1993.75</v>
      </c>
      <c r="AC281" s="235">
        <f t="shared" si="195"/>
        <v>2021</v>
      </c>
      <c r="AD281" s="235">
        <f t="shared" si="196"/>
        <v>5.75</v>
      </c>
      <c r="AE281" s="413">
        <f t="shared" si="197"/>
        <v>2020</v>
      </c>
      <c r="AF281" s="413">
        <f t="shared" si="198"/>
        <v>1997.9166666666667</v>
      </c>
      <c r="AG281" s="413">
        <f t="shared" si="199"/>
        <v>5.75</v>
      </c>
      <c r="AH281" s="413">
        <f t="shared" si="200"/>
        <v>2020</v>
      </c>
      <c r="AI281" s="413">
        <f t="shared" si="201"/>
        <v>1997.9166666666667</v>
      </c>
      <c r="AJ281" s="393"/>
      <c r="AK281" s="307"/>
      <c r="AL281" s="307"/>
    </row>
    <row r="282" spans="1:38" ht="15.75">
      <c r="A282" s="307">
        <v>163</v>
      </c>
      <c r="B282" s="415" t="s">
        <v>768</v>
      </c>
      <c r="C282" s="430">
        <v>1994</v>
      </c>
      <c r="D282" s="407">
        <v>1</v>
      </c>
      <c r="E282" s="393"/>
      <c r="F282" s="397" t="s">
        <v>668</v>
      </c>
      <c r="G282" s="397">
        <v>5</v>
      </c>
      <c r="H282" s="407">
        <f t="shared" si="181"/>
        <v>1999</v>
      </c>
      <c r="I282" s="407">
        <f t="shared" si="182"/>
        <v>1999</v>
      </c>
      <c r="J282" s="393"/>
      <c r="K282" s="417">
        <v>2602</v>
      </c>
      <c r="L282" s="427"/>
      <c r="M282" s="235">
        <f t="shared" si="183"/>
        <v>2602</v>
      </c>
      <c r="N282" s="235">
        <f t="shared" si="184"/>
        <v>43.366666666666667</v>
      </c>
      <c r="O282" s="235">
        <f t="shared" si="185"/>
        <v>0</v>
      </c>
      <c r="P282" s="235">
        <f t="shared" si="186"/>
        <v>0</v>
      </c>
      <c r="Q282" s="235">
        <f t="shared" si="187"/>
        <v>0</v>
      </c>
      <c r="R282" s="393">
        <v>1</v>
      </c>
      <c r="S282" s="235">
        <f t="shared" si="188"/>
        <v>0</v>
      </c>
      <c r="T282" s="393"/>
      <c r="U282" s="235">
        <f t="shared" si="189"/>
        <v>2602</v>
      </c>
      <c r="V282" s="235">
        <f t="shared" si="190"/>
        <v>2602</v>
      </c>
      <c r="W282" s="393">
        <v>1</v>
      </c>
      <c r="X282" s="235">
        <f t="shared" si="191"/>
        <v>2602</v>
      </c>
      <c r="Y282" s="235">
        <f t="shared" si="192"/>
        <v>2602</v>
      </c>
      <c r="Z282" s="235">
        <f t="shared" si="193"/>
        <v>0</v>
      </c>
      <c r="AA282" s="235"/>
      <c r="AB282" s="235">
        <f t="shared" si="194"/>
        <v>1994</v>
      </c>
      <c r="AC282" s="235">
        <f t="shared" si="195"/>
        <v>2021</v>
      </c>
      <c r="AD282" s="235">
        <f t="shared" si="196"/>
        <v>5</v>
      </c>
      <c r="AE282" s="413">
        <f t="shared" si="197"/>
        <v>2020</v>
      </c>
      <c r="AF282" s="413">
        <f t="shared" si="198"/>
        <v>1998.9166666666667</v>
      </c>
      <c r="AG282" s="413">
        <f t="shared" si="199"/>
        <v>5</v>
      </c>
      <c r="AH282" s="413">
        <f t="shared" si="200"/>
        <v>2020</v>
      </c>
      <c r="AI282" s="413">
        <f t="shared" si="201"/>
        <v>1998.9166666666667</v>
      </c>
      <c r="AJ282" s="393"/>
      <c r="AK282" s="307"/>
      <c r="AL282" s="307"/>
    </row>
    <row r="283" spans="1:38" ht="15.75">
      <c r="A283" s="307">
        <v>164</v>
      </c>
      <c r="B283" s="415" t="s">
        <v>768</v>
      </c>
      <c r="C283" s="430">
        <v>1999</v>
      </c>
      <c r="D283" s="407">
        <v>3</v>
      </c>
      <c r="E283" s="393"/>
      <c r="F283" s="397" t="s">
        <v>668</v>
      </c>
      <c r="G283" s="397">
        <v>5</v>
      </c>
      <c r="H283" s="407">
        <f t="shared" si="181"/>
        <v>2004</v>
      </c>
      <c r="I283" s="407">
        <f t="shared" si="182"/>
        <v>2004</v>
      </c>
      <c r="J283" s="393"/>
      <c r="K283" s="417">
        <v>817</v>
      </c>
      <c r="L283" s="427"/>
      <c r="M283" s="235">
        <f t="shared" si="183"/>
        <v>817</v>
      </c>
      <c r="N283" s="235">
        <f t="shared" si="184"/>
        <v>13.616666666666667</v>
      </c>
      <c r="O283" s="235">
        <f t="shared" si="185"/>
        <v>0</v>
      </c>
      <c r="P283" s="235">
        <f t="shared" si="186"/>
        <v>0</v>
      </c>
      <c r="Q283" s="235">
        <f t="shared" si="187"/>
        <v>0</v>
      </c>
      <c r="R283" s="393">
        <v>1</v>
      </c>
      <c r="S283" s="235">
        <f t="shared" si="188"/>
        <v>0</v>
      </c>
      <c r="T283" s="393"/>
      <c r="U283" s="235">
        <f t="shared" si="189"/>
        <v>817</v>
      </c>
      <c r="V283" s="235">
        <f t="shared" si="190"/>
        <v>817</v>
      </c>
      <c r="W283" s="393">
        <v>1</v>
      </c>
      <c r="X283" s="235">
        <f t="shared" si="191"/>
        <v>817</v>
      </c>
      <c r="Y283" s="235">
        <f t="shared" si="192"/>
        <v>817</v>
      </c>
      <c r="Z283" s="235">
        <f t="shared" si="193"/>
        <v>0</v>
      </c>
      <c r="AA283" s="235"/>
      <c r="AB283" s="235">
        <f t="shared" si="194"/>
        <v>1999.1666666666667</v>
      </c>
      <c r="AC283" s="235">
        <f t="shared" si="195"/>
        <v>2021</v>
      </c>
      <c r="AD283" s="235">
        <f t="shared" si="196"/>
        <v>5.166666666666667</v>
      </c>
      <c r="AE283" s="413">
        <f t="shared" si="197"/>
        <v>2020</v>
      </c>
      <c r="AF283" s="413">
        <f t="shared" si="198"/>
        <v>2003.9166666666667</v>
      </c>
      <c r="AG283" s="413">
        <f t="shared" si="199"/>
        <v>5.166666666666667</v>
      </c>
      <c r="AH283" s="413">
        <f t="shared" si="200"/>
        <v>2020</v>
      </c>
      <c r="AI283" s="413">
        <f t="shared" si="201"/>
        <v>2003.9166666666667</v>
      </c>
      <c r="AJ283" s="393"/>
      <c r="AK283" s="307"/>
      <c r="AL283" s="307"/>
    </row>
    <row r="284" spans="1:38" ht="15.75">
      <c r="A284" s="307">
        <v>181</v>
      </c>
      <c r="B284" s="415" t="s">
        <v>769</v>
      </c>
      <c r="C284" s="430">
        <v>2000</v>
      </c>
      <c r="D284" s="407">
        <v>3</v>
      </c>
      <c r="E284" s="393"/>
      <c r="F284" s="397" t="s">
        <v>668</v>
      </c>
      <c r="G284" s="397">
        <v>5</v>
      </c>
      <c r="H284" s="407">
        <f t="shared" si="181"/>
        <v>2005</v>
      </c>
      <c r="I284" s="407">
        <f t="shared" si="182"/>
        <v>2005</v>
      </c>
      <c r="J284" s="393"/>
      <c r="K284" s="417">
        <v>290</v>
      </c>
      <c r="L284" s="427"/>
      <c r="M284" s="235">
        <f t="shared" si="183"/>
        <v>290</v>
      </c>
      <c r="N284" s="235">
        <f t="shared" si="184"/>
        <v>4.833333333333333</v>
      </c>
      <c r="O284" s="235">
        <f t="shared" si="185"/>
        <v>0</v>
      </c>
      <c r="P284" s="235">
        <f t="shared" si="186"/>
        <v>0</v>
      </c>
      <c r="Q284" s="235">
        <f t="shared" si="187"/>
        <v>0</v>
      </c>
      <c r="R284" s="393">
        <v>1</v>
      </c>
      <c r="S284" s="235">
        <f t="shared" si="188"/>
        <v>0</v>
      </c>
      <c r="T284" s="393"/>
      <c r="U284" s="235">
        <f t="shared" si="189"/>
        <v>290</v>
      </c>
      <c r="V284" s="235">
        <f t="shared" si="190"/>
        <v>290</v>
      </c>
      <c r="W284" s="393">
        <v>1</v>
      </c>
      <c r="X284" s="235">
        <f t="shared" si="191"/>
        <v>290</v>
      </c>
      <c r="Y284" s="235">
        <f t="shared" si="192"/>
        <v>290</v>
      </c>
      <c r="Z284" s="235">
        <f t="shared" si="193"/>
        <v>0</v>
      </c>
      <c r="AA284" s="235"/>
      <c r="AB284" s="235">
        <f t="shared" si="194"/>
        <v>2000.1666666666667</v>
      </c>
      <c r="AC284" s="235">
        <f t="shared" si="195"/>
        <v>2021</v>
      </c>
      <c r="AD284" s="235">
        <f t="shared" si="196"/>
        <v>5.166666666666667</v>
      </c>
      <c r="AE284" s="413">
        <f t="shared" si="197"/>
        <v>2020</v>
      </c>
      <c r="AF284" s="413">
        <f t="shared" si="198"/>
        <v>2004.9166666666667</v>
      </c>
      <c r="AG284" s="413">
        <f t="shared" si="199"/>
        <v>5.166666666666667</v>
      </c>
      <c r="AH284" s="413">
        <f t="shared" si="200"/>
        <v>2020</v>
      </c>
      <c r="AI284" s="413">
        <f t="shared" si="201"/>
        <v>2004.9166666666667</v>
      </c>
      <c r="AJ284" s="393"/>
      <c r="AK284" s="307"/>
      <c r="AL284" s="307"/>
    </row>
    <row r="285" spans="1:38" ht="15.75">
      <c r="A285" s="307">
        <v>183</v>
      </c>
      <c r="B285" s="415" t="s">
        <v>770</v>
      </c>
      <c r="C285" s="430">
        <v>1999</v>
      </c>
      <c r="D285" s="407">
        <v>7</v>
      </c>
      <c r="E285" s="393"/>
      <c r="F285" s="397" t="s">
        <v>668</v>
      </c>
      <c r="G285" s="397">
        <v>5</v>
      </c>
      <c r="H285" s="407">
        <f t="shared" si="181"/>
        <v>2004</v>
      </c>
      <c r="I285" s="407">
        <f t="shared" si="182"/>
        <v>2004</v>
      </c>
      <c r="J285" s="393"/>
      <c r="K285" s="417">
        <v>193</v>
      </c>
      <c r="L285" s="427"/>
      <c r="M285" s="235">
        <f t="shared" si="183"/>
        <v>193</v>
      </c>
      <c r="N285" s="235">
        <f t="shared" si="184"/>
        <v>3.2166666666666668</v>
      </c>
      <c r="O285" s="235">
        <f t="shared" si="185"/>
        <v>0</v>
      </c>
      <c r="P285" s="235">
        <f t="shared" si="186"/>
        <v>0</v>
      </c>
      <c r="Q285" s="235">
        <f t="shared" si="187"/>
        <v>0</v>
      </c>
      <c r="R285" s="393">
        <v>1</v>
      </c>
      <c r="S285" s="235">
        <f t="shared" si="188"/>
        <v>0</v>
      </c>
      <c r="T285" s="393"/>
      <c r="U285" s="235">
        <f t="shared" si="189"/>
        <v>193</v>
      </c>
      <c r="V285" s="235">
        <f t="shared" si="190"/>
        <v>193</v>
      </c>
      <c r="W285" s="393">
        <v>1</v>
      </c>
      <c r="X285" s="235">
        <f t="shared" si="191"/>
        <v>193</v>
      </c>
      <c r="Y285" s="235">
        <f t="shared" si="192"/>
        <v>193</v>
      </c>
      <c r="Z285" s="235">
        <f t="shared" si="193"/>
        <v>0</v>
      </c>
      <c r="AA285" s="235"/>
      <c r="AB285" s="235">
        <f t="shared" si="194"/>
        <v>1999.5</v>
      </c>
      <c r="AC285" s="235">
        <f t="shared" si="195"/>
        <v>2021</v>
      </c>
      <c r="AD285" s="235">
        <f t="shared" si="196"/>
        <v>5.5</v>
      </c>
      <c r="AE285" s="413">
        <f t="shared" si="197"/>
        <v>2020</v>
      </c>
      <c r="AF285" s="413">
        <f t="shared" si="198"/>
        <v>2003.9166666666667</v>
      </c>
      <c r="AG285" s="413">
        <f t="shared" si="199"/>
        <v>5.5</v>
      </c>
      <c r="AH285" s="413">
        <f t="shared" si="200"/>
        <v>2020</v>
      </c>
      <c r="AI285" s="413">
        <f t="shared" si="201"/>
        <v>2003.9166666666667</v>
      </c>
      <c r="AJ285" s="393"/>
      <c r="AK285" s="307"/>
      <c r="AL285" s="307"/>
    </row>
    <row r="286" spans="1:38" ht="15.75">
      <c r="A286" s="307">
        <v>216</v>
      </c>
      <c r="B286" s="415" t="s">
        <v>771</v>
      </c>
      <c r="C286" s="430">
        <v>2013</v>
      </c>
      <c r="D286" s="407">
        <v>9</v>
      </c>
      <c r="E286" s="393"/>
      <c r="F286" s="397" t="s">
        <v>668</v>
      </c>
      <c r="G286" s="397">
        <v>5</v>
      </c>
      <c r="H286" s="407">
        <f t="shared" si="181"/>
        <v>2018</v>
      </c>
      <c r="I286" s="407">
        <f t="shared" si="182"/>
        <v>2018</v>
      </c>
      <c r="J286" s="393"/>
      <c r="K286" s="418">
        <v>412.03</v>
      </c>
      <c r="L286" s="428"/>
      <c r="M286" s="419">
        <f t="shared" si="183"/>
        <v>412.03</v>
      </c>
      <c r="N286" s="419">
        <f>M286/G286/12</f>
        <v>6.867166666666666</v>
      </c>
      <c r="O286" s="419">
        <f>IF(L286&gt;0,0,IF((OR((AB286&gt;AC286),(AD286&lt;AE286))),0,IF((AND((AD286&gt;=AE286),(AD286&lt;=AC286))),N286*((AD286-AE286)*12),IF((AND((AE286&lt;=AB286),(AC286&gt;=AB286))),((AC286-AB286)*12)*N286,IF(AD286&gt;AC286,12*N286,0)))))</f>
        <v>0</v>
      </c>
      <c r="P286" s="419">
        <f>IF(L286=0,0,IF((AND((AF286&gt;=AE286),(AF286&lt;=AD286))),((AF286-AE286)*12)*N286,0))</f>
        <v>0</v>
      </c>
      <c r="Q286" s="419">
        <f>IF(P286&gt;0,P286,O286)</f>
        <v>0</v>
      </c>
      <c r="R286" s="420">
        <v>1</v>
      </c>
      <c r="S286" s="419">
        <f>R286*SUM(O286:P286)</f>
        <v>0</v>
      </c>
      <c r="T286" s="420"/>
      <c r="U286" s="419">
        <f>IF(AB286&gt;AC286,0,IF(AD286&lt;AE286,M286,IF((AND((AD286&gt;=AE286),(AD286&lt;=AC286))),(M286-Q286),IF((AND((AE286&lt;=AB286),(AC286&gt;=AB286))),0,IF(AD286&gt;AC286,((AE286-AB286)*12)*N286,0)))))</f>
        <v>412.03</v>
      </c>
      <c r="V286" s="419">
        <f>U286*R286</f>
        <v>412.03</v>
      </c>
      <c r="W286" s="420">
        <v>1</v>
      </c>
      <c r="X286" s="419">
        <f>V286*W286</f>
        <v>412.03</v>
      </c>
      <c r="Y286" s="419">
        <f>IF(L286&gt;0,0,X286+S286*W286)*W286</f>
        <v>412.03</v>
      </c>
      <c r="Z286" s="419">
        <f t="shared" ref="Z286" si="202">IF(L286&gt;0,(K286-X286)/2,IF(AB286&gt;=AE286,(((K286*R286)*W286)-Y286)/2,((((K286*R286)*W286)-X286)+(((K286*R286)*W286)-Y286))/2))</f>
        <v>0</v>
      </c>
      <c r="AA286" s="235"/>
      <c r="AB286" s="235">
        <f>$C286+(($D286-1)/12)</f>
        <v>2013.6666666666667</v>
      </c>
      <c r="AC286" s="235">
        <f>($M$5+1)-($M$2/12)</f>
        <v>2021</v>
      </c>
      <c r="AD286" s="235">
        <f>$H286+(($D286-1)/12)</f>
        <v>2018.6666666666667</v>
      </c>
      <c r="AE286" s="413">
        <f>$M$4+($M$3/12)</f>
        <v>2020</v>
      </c>
      <c r="AF286" s="413">
        <f>$I286+(($J286-1)/12)</f>
        <v>2017.9166666666667</v>
      </c>
      <c r="AG286" s="413">
        <f>$H286+(($D286-1)/12)</f>
        <v>2018.6666666666667</v>
      </c>
      <c r="AH286" s="413">
        <f>$M$4+($M$3/12)</f>
        <v>2020</v>
      </c>
      <c r="AI286" s="413">
        <f>$I286+(($J286-1)/12)</f>
        <v>2017.9166666666667</v>
      </c>
      <c r="AJ286" s="393"/>
      <c r="AK286" s="307"/>
      <c r="AL286" s="307"/>
    </row>
    <row r="287" spans="1:38" ht="15.75">
      <c r="A287" s="307"/>
      <c r="B287" s="393"/>
      <c r="C287" s="430"/>
      <c r="D287" s="407"/>
      <c r="E287" s="393"/>
      <c r="F287" s="393"/>
      <c r="G287" s="397"/>
      <c r="H287" s="393"/>
      <c r="I287" s="393"/>
      <c r="J287" s="393"/>
      <c r="K287" s="393">
        <f t="shared" ref="K287:Z287" si="203">SUM(K258:K286)</f>
        <v>23666.03</v>
      </c>
      <c r="L287" s="393">
        <f t="shared" si="203"/>
        <v>0</v>
      </c>
      <c r="M287" s="393">
        <f t="shared" si="203"/>
        <v>23666.03</v>
      </c>
      <c r="N287" s="393">
        <f t="shared" si="203"/>
        <v>394.43383333333333</v>
      </c>
      <c r="O287" s="393">
        <f t="shared" si="203"/>
        <v>0</v>
      </c>
      <c r="P287" s="393">
        <f t="shared" si="203"/>
        <v>0</v>
      </c>
      <c r="Q287" s="393">
        <f t="shared" si="203"/>
        <v>0</v>
      </c>
      <c r="R287" s="393">
        <f t="shared" si="203"/>
        <v>29</v>
      </c>
      <c r="S287" s="393">
        <f t="shared" si="203"/>
        <v>0</v>
      </c>
      <c r="T287" s="393">
        <f t="shared" si="203"/>
        <v>0</v>
      </c>
      <c r="U287" s="393">
        <f t="shared" si="203"/>
        <v>23666.03</v>
      </c>
      <c r="V287" s="393">
        <f t="shared" si="203"/>
        <v>23666.03</v>
      </c>
      <c r="W287" s="393">
        <f t="shared" si="203"/>
        <v>29</v>
      </c>
      <c r="X287" s="393">
        <f t="shared" si="203"/>
        <v>23666.03</v>
      </c>
      <c r="Y287" s="393">
        <f t="shared" si="203"/>
        <v>23666.03</v>
      </c>
      <c r="Z287" s="393">
        <f t="shared" si="203"/>
        <v>0</v>
      </c>
      <c r="AA287" s="393"/>
      <c r="AB287" s="393"/>
      <c r="AC287" s="393"/>
      <c r="AD287" s="393"/>
      <c r="AE287" s="393"/>
      <c r="AF287" s="393"/>
      <c r="AG287" s="393"/>
      <c r="AH287" s="393"/>
      <c r="AI287" s="393"/>
      <c r="AJ287" s="393"/>
      <c r="AK287" s="307"/>
      <c r="AL287" s="307"/>
    </row>
    <row r="288" spans="1:38" ht="15.75">
      <c r="A288" s="307"/>
      <c r="B288" s="393"/>
      <c r="C288" s="407"/>
      <c r="D288" s="407"/>
      <c r="E288" s="393"/>
      <c r="F288" s="393"/>
      <c r="G288" s="397"/>
      <c r="H288" s="393"/>
      <c r="I288" s="393"/>
      <c r="J288" s="393"/>
      <c r="K288" s="393"/>
      <c r="L288" s="393"/>
      <c r="M288" s="393"/>
      <c r="N288" s="393"/>
      <c r="O288" s="393"/>
      <c r="P288" s="393"/>
      <c r="Q288" s="393"/>
      <c r="R288" s="393"/>
      <c r="S288" s="393"/>
      <c r="T288" s="393"/>
      <c r="U288" s="393"/>
      <c r="V288" s="393"/>
      <c r="W288" s="393"/>
      <c r="X288" s="393"/>
      <c r="Y288" s="393"/>
      <c r="Z288" s="393"/>
      <c r="AA288" s="393"/>
      <c r="AB288" s="393"/>
      <c r="AC288" s="393"/>
      <c r="AD288" s="393"/>
      <c r="AE288" s="393"/>
      <c r="AF288" s="393"/>
      <c r="AG288" s="393"/>
      <c r="AH288" s="393"/>
      <c r="AI288" s="393"/>
      <c r="AJ288" s="393"/>
      <c r="AK288" s="307"/>
      <c r="AL288" s="307"/>
    </row>
    <row r="289" spans="1:38" ht="15.75">
      <c r="A289" s="307"/>
      <c r="B289" s="393"/>
      <c r="C289" s="407"/>
      <c r="D289" s="407"/>
      <c r="E289" s="393"/>
      <c r="F289" s="393"/>
      <c r="G289" s="397"/>
      <c r="H289" s="393"/>
      <c r="I289" s="393"/>
      <c r="J289" s="393"/>
      <c r="K289" s="393"/>
      <c r="L289" s="393"/>
      <c r="M289" s="393"/>
      <c r="N289" s="393"/>
      <c r="O289" s="393"/>
      <c r="P289" s="393"/>
      <c r="Q289" s="393"/>
      <c r="R289" s="393"/>
      <c r="S289" s="393"/>
      <c r="T289" s="393"/>
      <c r="U289" s="393"/>
      <c r="V289" s="393"/>
      <c r="W289" s="393"/>
      <c r="X289" s="393"/>
      <c r="Y289" s="393"/>
      <c r="Z289" s="393"/>
      <c r="AA289" s="393"/>
      <c r="AB289" s="393"/>
      <c r="AC289" s="393"/>
      <c r="AD289" s="393"/>
      <c r="AE289" s="393"/>
      <c r="AF289" s="393"/>
      <c r="AG289" s="393"/>
      <c r="AH289" s="393"/>
      <c r="AI289" s="393"/>
      <c r="AJ289" s="393"/>
      <c r="AK289" s="307"/>
      <c r="AL289" s="307"/>
    </row>
    <row r="290" spans="1:38" ht="15.75">
      <c r="A290" s="307"/>
      <c r="B290" s="393"/>
      <c r="C290" s="407"/>
      <c r="D290" s="407"/>
      <c r="E290" s="393"/>
      <c r="F290" s="393"/>
      <c r="G290" s="397"/>
      <c r="H290" s="393"/>
      <c r="I290" s="393"/>
      <c r="J290" s="393"/>
      <c r="K290" s="393"/>
      <c r="L290" s="393"/>
      <c r="M290" s="393"/>
      <c r="N290" s="393"/>
      <c r="O290" s="393"/>
      <c r="P290" s="393"/>
      <c r="Q290" s="393"/>
      <c r="R290" s="393"/>
      <c r="S290" s="393"/>
      <c r="T290" s="393"/>
      <c r="U290" s="393"/>
      <c r="V290" s="393"/>
      <c r="W290" s="393"/>
      <c r="X290" s="393"/>
      <c r="Y290" s="393"/>
      <c r="Z290" s="393"/>
      <c r="AA290" s="393"/>
      <c r="AB290" s="393"/>
      <c r="AC290" s="393"/>
      <c r="AD290" s="393"/>
      <c r="AE290" s="393"/>
      <c r="AF290" s="393"/>
      <c r="AG290" s="393"/>
      <c r="AH290" s="393"/>
      <c r="AI290" s="393"/>
      <c r="AJ290" s="393"/>
      <c r="AK290" s="307"/>
      <c r="AL290" s="307"/>
    </row>
    <row r="291" spans="1:38" ht="15.75">
      <c r="A291" s="307"/>
      <c r="B291" s="400" t="s">
        <v>772</v>
      </c>
      <c r="C291" s="407"/>
      <c r="D291" s="407"/>
      <c r="E291" s="393"/>
      <c r="F291" s="393"/>
      <c r="G291" s="397"/>
      <c r="H291" s="393"/>
      <c r="I291" s="393"/>
      <c r="J291" s="393"/>
      <c r="K291" s="393"/>
      <c r="L291" s="393"/>
      <c r="M291" s="393"/>
      <c r="N291" s="393"/>
      <c r="O291" s="393"/>
      <c r="P291" s="393"/>
      <c r="Q291" s="393"/>
      <c r="R291" s="393"/>
      <c r="S291" s="393"/>
      <c r="T291" s="393"/>
      <c r="U291" s="393"/>
      <c r="V291" s="393"/>
      <c r="W291" s="393"/>
      <c r="X291" s="393"/>
      <c r="Y291" s="393"/>
      <c r="Z291" s="393"/>
      <c r="AA291" s="393"/>
      <c r="AB291" s="393"/>
      <c r="AC291" s="393"/>
      <c r="AD291" s="393"/>
      <c r="AE291" s="393"/>
      <c r="AF291" s="393"/>
      <c r="AG291" s="393"/>
      <c r="AH291" s="393"/>
      <c r="AI291" s="393"/>
      <c r="AJ291" s="393"/>
      <c r="AK291" s="307"/>
      <c r="AL291" s="307"/>
    </row>
    <row r="292" spans="1:38" ht="15.75">
      <c r="A292" s="307"/>
      <c r="B292" s="393" t="s">
        <v>773</v>
      </c>
      <c r="C292" s="407"/>
      <c r="D292" s="407"/>
      <c r="E292" s="393"/>
      <c r="F292" s="393"/>
      <c r="G292" s="397"/>
      <c r="H292" s="393"/>
      <c r="I292" s="393"/>
      <c r="J292" s="393"/>
      <c r="K292" s="393">
        <f>+K31+K36</f>
        <v>1732788.54</v>
      </c>
      <c r="L292" s="393"/>
      <c r="M292" s="393">
        <f t="shared" ref="M292:Z292" si="204">+M31+M36</f>
        <v>1490755.1799999997</v>
      </c>
      <c r="N292" s="393">
        <f t="shared" si="204"/>
        <v>24618.843158730153</v>
      </c>
      <c r="O292" s="393">
        <f t="shared" si="204"/>
        <v>217129.84361904766</v>
      </c>
      <c r="P292" s="393">
        <f t="shared" si="204"/>
        <v>0</v>
      </c>
      <c r="Q292" s="393">
        <f t="shared" si="204"/>
        <v>217129.84361904766</v>
      </c>
      <c r="R292" s="393">
        <f t="shared" si="204"/>
        <v>20</v>
      </c>
      <c r="S292" s="393">
        <f t="shared" si="204"/>
        <v>217129.84361904766</v>
      </c>
      <c r="T292" s="393">
        <f t="shared" si="204"/>
        <v>0</v>
      </c>
      <c r="U292" s="393">
        <f t="shared" si="204"/>
        <v>803604.53704762342</v>
      </c>
      <c r="V292" s="393">
        <f t="shared" si="204"/>
        <v>803604.53704762342</v>
      </c>
      <c r="W292" s="393">
        <f t="shared" si="204"/>
        <v>20</v>
      </c>
      <c r="X292" s="393">
        <f t="shared" si="204"/>
        <v>803604.53704762342</v>
      </c>
      <c r="Y292" s="393">
        <f t="shared" si="204"/>
        <v>1020734.3806666714</v>
      </c>
      <c r="Z292" s="393">
        <f t="shared" si="204"/>
        <v>510889.57066666207</v>
      </c>
      <c r="AA292" s="393"/>
      <c r="AB292" s="393"/>
      <c r="AC292" s="393"/>
      <c r="AD292" s="393"/>
      <c r="AE292" s="393"/>
      <c r="AF292" s="393"/>
      <c r="AG292" s="393"/>
      <c r="AH292" s="393"/>
      <c r="AI292" s="393"/>
      <c r="AJ292" s="393"/>
      <c r="AK292" s="307"/>
      <c r="AL292" s="307"/>
    </row>
    <row r="293" spans="1:38" ht="15.75">
      <c r="A293" s="307"/>
      <c r="B293" s="393" t="s">
        <v>689</v>
      </c>
      <c r="C293" s="407"/>
      <c r="D293" s="407"/>
      <c r="E293" s="393"/>
      <c r="F293" s="393"/>
      <c r="G293" s="397"/>
      <c r="H293" s="393"/>
      <c r="I293" s="393"/>
      <c r="J293" s="393"/>
      <c r="K293" s="393">
        <f>+K41</f>
        <v>112243.6</v>
      </c>
      <c r="L293" s="393"/>
      <c r="M293" s="393">
        <f t="shared" ref="M293:Z293" si="205">+M41</f>
        <v>100225</v>
      </c>
      <c r="N293" s="393">
        <f t="shared" si="205"/>
        <v>1803.9566666666667</v>
      </c>
      <c r="O293" s="393">
        <f t="shared" si="205"/>
        <v>6924.4666666660032</v>
      </c>
      <c r="P293" s="393">
        <f t="shared" si="205"/>
        <v>0</v>
      </c>
      <c r="Q293" s="393">
        <f t="shared" si="205"/>
        <v>6924.4666666660032</v>
      </c>
      <c r="R293" s="393">
        <f t="shared" si="205"/>
        <v>3</v>
      </c>
      <c r="S293" s="393">
        <f t="shared" si="205"/>
        <v>6924.4666666660032</v>
      </c>
      <c r="T293" s="393">
        <f t="shared" si="205"/>
        <v>0</v>
      </c>
      <c r="U293" s="393">
        <f t="shared" si="205"/>
        <v>83952.733333334298</v>
      </c>
      <c r="V293" s="393">
        <f t="shared" si="205"/>
        <v>83952.733333334298</v>
      </c>
      <c r="W293" s="393">
        <f t="shared" si="205"/>
        <v>3</v>
      </c>
      <c r="X293" s="393">
        <f t="shared" si="205"/>
        <v>83952.733333334298</v>
      </c>
      <c r="Y293" s="393">
        <f t="shared" si="205"/>
        <v>90877.200000000303</v>
      </c>
      <c r="Z293" s="393">
        <f t="shared" si="205"/>
        <v>11474.633333332544</v>
      </c>
      <c r="AA293" s="393"/>
      <c r="AB293" s="393"/>
      <c r="AC293" s="393"/>
      <c r="AD293" s="393"/>
      <c r="AE293" s="393"/>
      <c r="AF293" s="393"/>
      <c r="AG293" s="393"/>
      <c r="AH293" s="393"/>
      <c r="AI293" s="393"/>
      <c r="AJ293" s="393"/>
      <c r="AK293" s="307"/>
      <c r="AL293" s="307"/>
    </row>
    <row r="294" spans="1:38" ht="15.75">
      <c r="A294" s="307"/>
      <c r="B294" s="393" t="s">
        <v>774</v>
      </c>
      <c r="C294" s="407"/>
      <c r="D294" s="407"/>
      <c r="E294" s="393"/>
      <c r="F294" s="393"/>
      <c r="G294" s="397"/>
      <c r="H294" s="393"/>
      <c r="I294" s="393"/>
      <c r="J294" s="393"/>
      <c r="K294" s="393">
        <f>+K231</f>
        <v>875182</v>
      </c>
      <c r="L294" s="393"/>
      <c r="M294" s="393">
        <f t="shared" ref="M294:Z294" si="206">+M231</f>
        <v>875182</v>
      </c>
      <c r="N294" s="393">
        <f t="shared" si="206"/>
        <v>7293.1833333333316</v>
      </c>
      <c r="O294" s="393">
        <f t="shared" si="206"/>
        <v>32444.54166666677</v>
      </c>
      <c r="P294" s="393">
        <f t="shared" si="206"/>
        <v>0</v>
      </c>
      <c r="Q294" s="393">
        <f t="shared" si="206"/>
        <v>32444.54166666677</v>
      </c>
      <c r="R294" s="393">
        <f t="shared" si="206"/>
        <v>187</v>
      </c>
      <c r="S294" s="393">
        <f t="shared" si="206"/>
        <v>32444.54166666677</v>
      </c>
      <c r="T294" s="393">
        <f t="shared" si="206"/>
        <v>0</v>
      </c>
      <c r="U294" s="393">
        <f t="shared" si="206"/>
        <v>675920.07858333224</v>
      </c>
      <c r="V294" s="393">
        <f t="shared" si="206"/>
        <v>675920.07858333224</v>
      </c>
      <c r="W294" s="393">
        <f t="shared" si="206"/>
        <v>187</v>
      </c>
      <c r="X294" s="393">
        <f t="shared" si="206"/>
        <v>675920.07858333224</v>
      </c>
      <c r="Y294" s="393">
        <f t="shared" si="206"/>
        <v>708364.62024999969</v>
      </c>
      <c r="Z294" s="393">
        <f t="shared" si="206"/>
        <v>183039.65058333371</v>
      </c>
      <c r="AA294" s="393"/>
      <c r="AB294" s="393"/>
      <c r="AC294" s="393"/>
      <c r="AD294" s="393"/>
      <c r="AE294" s="393"/>
      <c r="AF294" s="393"/>
      <c r="AG294" s="393"/>
      <c r="AH294" s="393"/>
      <c r="AI294" s="393"/>
      <c r="AJ294" s="393"/>
      <c r="AK294" s="307"/>
      <c r="AL294" s="307"/>
    </row>
    <row r="295" spans="1:38" ht="15.75">
      <c r="A295" s="307"/>
      <c r="B295" s="393" t="s">
        <v>775</v>
      </c>
      <c r="C295" s="307"/>
      <c r="D295" s="307"/>
      <c r="E295" s="307"/>
      <c r="F295" s="307"/>
      <c r="G295" s="307"/>
      <c r="H295" s="307"/>
      <c r="I295" s="307"/>
      <c r="J295" s="307"/>
      <c r="K295" s="235">
        <f>+K237</f>
        <v>468865.9</v>
      </c>
      <c r="L295" s="307"/>
      <c r="M295" s="235">
        <f t="shared" ref="M295:Z295" si="207">+M237</f>
        <v>385865.9</v>
      </c>
      <c r="N295" s="235">
        <f t="shared" si="207"/>
        <v>1607.7745833333336</v>
      </c>
      <c r="O295" s="235">
        <f t="shared" si="207"/>
        <v>19293.295000000002</v>
      </c>
      <c r="P295" s="235">
        <f t="shared" si="207"/>
        <v>0</v>
      </c>
      <c r="Q295" s="235">
        <f t="shared" si="207"/>
        <v>19293.295000000002</v>
      </c>
      <c r="R295" s="235">
        <f t="shared" si="207"/>
        <v>3</v>
      </c>
      <c r="S295" s="235">
        <f t="shared" si="207"/>
        <v>19293.295000000002</v>
      </c>
      <c r="T295" s="235">
        <f t="shared" si="207"/>
        <v>0</v>
      </c>
      <c r="U295" s="235">
        <f t="shared" si="207"/>
        <v>46625.462916668133</v>
      </c>
      <c r="V295" s="235">
        <f t="shared" si="207"/>
        <v>46625.462916668133</v>
      </c>
      <c r="W295" s="235">
        <f t="shared" si="207"/>
        <v>3</v>
      </c>
      <c r="X295" s="235">
        <f t="shared" si="207"/>
        <v>46625.462916668133</v>
      </c>
      <c r="Y295" s="235">
        <f t="shared" si="207"/>
        <v>65918.757916668139</v>
      </c>
      <c r="Z295" s="235">
        <f t="shared" si="207"/>
        <v>402947.14208333188</v>
      </c>
      <c r="AA295" s="307"/>
      <c r="AB295" s="307"/>
      <c r="AC295" s="307"/>
      <c r="AD295" s="307"/>
      <c r="AE295" s="307"/>
      <c r="AF295" s="307"/>
      <c r="AG295" s="307"/>
      <c r="AH295" s="307"/>
      <c r="AI295" s="307"/>
      <c r="AJ295" s="307"/>
      <c r="AK295" s="307"/>
      <c r="AL295" s="307"/>
    </row>
    <row r="296" spans="1:38" ht="15.75">
      <c r="A296" s="307"/>
      <c r="B296" s="393" t="s">
        <v>776</v>
      </c>
      <c r="C296" s="307"/>
      <c r="D296" s="307"/>
      <c r="E296" s="307"/>
      <c r="F296" s="307"/>
      <c r="G296" s="307"/>
      <c r="H296" s="307"/>
      <c r="I296" s="307"/>
      <c r="J296" s="307"/>
      <c r="K296" s="235">
        <f>+K248</f>
        <v>7474</v>
      </c>
      <c r="L296" s="307"/>
      <c r="M296" s="235">
        <f t="shared" ref="M296:Z296" si="208">+M248</f>
        <v>7474</v>
      </c>
      <c r="N296" s="235">
        <f t="shared" si="208"/>
        <v>124.56666666666666</v>
      </c>
      <c r="O296" s="235">
        <f t="shared" si="208"/>
        <v>440</v>
      </c>
      <c r="P296" s="235">
        <f t="shared" si="208"/>
        <v>0</v>
      </c>
      <c r="Q296" s="235">
        <f t="shared" si="208"/>
        <v>440</v>
      </c>
      <c r="R296" s="235">
        <f t="shared" si="208"/>
        <v>8</v>
      </c>
      <c r="S296" s="235">
        <f t="shared" si="208"/>
        <v>440</v>
      </c>
      <c r="T296" s="235">
        <f t="shared" si="208"/>
        <v>0</v>
      </c>
      <c r="U296" s="235">
        <f t="shared" si="208"/>
        <v>5860.6666666666333</v>
      </c>
      <c r="V296" s="235">
        <f t="shared" si="208"/>
        <v>5860.6666666666333</v>
      </c>
      <c r="W296" s="235">
        <f t="shared" si="208"/>
        <v>8</v>
      </c>
      <c r="X296" s="235">
        <f t="shared" si="208"/>
        <v>5860.6666666666333</v>
      </c>
      <c r="Y296" s="235">
        <f t="shared" si="208"/>
        <v>6300.6666666666333</v>
      </c>
      <c r="Z296" s="235">
        <f t="shared" si="208"/>
        <v>1393.3333333333667</v>
      </c>
      <c r="AA296" s="307"/>
      <c r="AB296" s="307"/>
      <c r="AC296" s="307"/>
      <c r="AD296" s="307"/>
      <c r="AE296" s="307"/>
      <c r="AF296" s="307"/>
      <c r="AG296" s="307"/>
      <c r="AH296" s="307"/>
      <c r="AI296" s="307"/>
      <c r="AJ296" s="307"/>
      <c r="AK296" s="307"/>
      <c r="AL296" s="307"/>
    </row>
    <row r="297" spans="1:38" ht="15.75">
      <c r="A297" s="307"/>
      <c r="B297" s="393" t="s">
        <v>777</v>
      </c>
      <c r="C297" s="307"/>
      <c r="D297" s="307"/>
      <c r="E297" s="307"/>
      <c r="F297" s="307"/>
      <c r="G297" s="307"/>
      <c r="H297" s="307"/>
      <c r="I297" s="307"/>
      <c r="J297" s="307"/>
      <c r="K297" s="419">
        <f>+K287</f>
        <v>23666.03</v>
      </c>
      <c r="L297" s="431"/>
      <c r="M297" s="419">
        <f t="shared" ref="M297:Z297" si="209">+M287</f>
        <v>23666.03</v>
      </c>
      <c r="N297" s="419">
        <f t="shared" si="209"/>
        <v>394.43383333333333</v>
      </c>
      <c r="O297" s="419">
        <f t="shared" si="209"/>
        <v>0</v>
      </c>
      <c r="P297" s="419">
        <f t="shared" si="209"/>
        <v>0</v>
      </c>
      <c r="Q297" s="419">
        <f t="shared" si="209"/>
        <v>0</v>
      </c>
      <c r="R297" s="419">
        <f t="shared" si="209"/>
        <v>29</v>
      </c>
      <c r="S297" s="419">
        <f t="shared" si="209"/>
        <v>0</v>
      </c>
      <c r="T297" s="419">
        <f t="shared" si="209"/>
        <v>0</v>
      </c>
      <c r="U297" s="419">
        <f t="shared" si="209"/>
        <v>23666.03</v>
      </c>
      <c r="V297" s="419">
        <f t="shared" si="209"/>
        <v>23666.03</v>
      </c>
      <c r="W297" s="419">
        <f t="shared" si="209"/>
        <v>29</v>
      </c>
      <c r="X297" s="419">
        <f t="shared" si="209"/>
        <v>23666.03</v>
      </c>
      <c r="Y297" s="419">
        <f t="shared" si="209"/>
        <v>23666.03</v>
      </c>
      <c r="Z297" s="419">
        <f t="shared" si="209"/>
        <v>0</v>
      </c>
      <c r="AA297" s="307"/>
      <c r="AB297" s="307"/>
      <c r="AC297" s="307"/>
      <c r="AD297" s="307"/>
      <c r="AE297" s="307"/>
      <c r="AF297" s="307"/>
      <c r="AG297" s="307"/>
      <c r="AH297" s="307"/>
      <c r="AI297" s="307"/>
      <c r="AJ297" s="307"/>
      <c r="AK297" s="307"/>
      <c r="AL297" s="307"/>
    </row>
    <row r="298" spans="1:38" ht="15.75">
      <c r="A298" s="307"/>
      <c r="B298" s="307"/>
      <c r="C298" s="307"/>
      <c r="D298" s="307"/>
      <c r="E298" s="307"/>
      <c r="F298" s="307"/>
      <c r="G298" s="307"/>
      <c r="H298" s="307"/>
      <c r="I298" s="307"/>
      <c r="J298" s="307"/>
      <c r="K298" s="235">
        <f t="shared" ref="K298:Z298" si="210">SUM(K292:K297)</f>
        <v>3220220.07</v>
      </c>
      <c r="L298" s="235"/>
      <c r="M298" s="235">
        <f t="shared" si="210"/>
        <v>2883168.1099999994</v>
      </c>
      <c r="N298" s="235">
        <f t="shared" si="210"/>
        <v>35842.758242063486</v>
      </c>
      <c r="O298" s="235">
        <f t="shared" si="210"/>
        <v>276232.14695238043</v>
      </c>
      <c r="P298" s="235">
        <f t="shared" si="210"/>
        <v>0</v>
      </c>
      <c r="Q298" s="235">
        <f t="shared" si="210"/>
        <v>276232.14695238043</v>
      </c>
      <c r="R298" s="235">
        <f t="shared" si="210"/>
        <v>250</v>
      </c>
      <c r="S298" s="235">
        <f t="shared" si="210"/>
        <v>276232.14695238043</v>
      </c>
      <c r="T298" s="235">
        <f t="shared" si="210"/>
        <v>0</v>
      </c>
      <c r="U298" s="235">
        <f t="shared" si="210"/>
        <v>1639629.5085476248</v>
      </c>
      <c r="V298" s="235">
        <f t="shared" si="210"/>
        <v>1639629.5085476248</v>
      </c>
      <c r="W298" s="235">
        <f t="shared" si="210"/>
        <v>250</v>
      </c>
      <c r="X298" s="235">
        <f t="shared" si="210"/>
        <v>1639629.5085476248</v>
      </c>
      <c r="Y298" s="235">
        <f t="shared" si="210"/>
        <v>1915861.6555000064</v>
      </c>
      <c r="Z298" s="235">
        <f t="shared" si="210"/>
        <v>1109744.3299999936</v>
      </c>
      <c r="AA298" s="307"/>
      <c r="AB298" s="307"/>
      <c r="AC298" s="307"/>
      <c r="AD298" s="307"/>
      <c r="AE298" s="307"/>
      <c r="AF298" s="307"/>
      <c r="AG298" s="307"/>
      <c r="AH298" s="307"/>
      <c r="AI298" s="307"/>
      <c r="AJ298" s="307"/>
      <c r="AK298" s="307"/>
      <c r="AL298" s="307"/>
    </row>
    <row r="299" spans="1:38" ht="15.75">
      <c r="A299" s="307"/>
      <c r="B299" s="307"/>
      <c r="C299" s="307"/>
      <c r="D299" s="307"/>
      <c r="E299" s="307"/>
      <c r="F299" s="307"/>
      <c r="G299" s="307"/>
      <c r="H299" s="307"/>
      <c r="I299" s="307"/>
      <c r="J299" s="307"/>
      <c r="K299" s="307"/>
      <c r="L299" s="307"/>
      <c r="M299" s="307"/>
      <c r="N299" s="307"/>
      <c r="O299" s="307"/>
      <c r="P299" s="307"/>
      <c r="Q299" s="307"/>
      <c r="R299" s="307"/>
      <c r="S299" s="307"/>
      <c r="T299" s="307"/>
      <c r="U299" s="307"/>
      <c r="V299" s="307"/>
      <c r="W299" s="307"/>
      <c r="X299" s="307"/>
      <c r="Y299" s="307"/>
      <c r="Z299" s="307"/>
      <c r="AA299" s="307"/>
      <c r="AB299" s="307"/>
      <c r="AC299" s="307"/>
      <c r="AD299" s="307"/>
      <c r="AE299" s="307"/>
      <c r="AF299" s="307"/>
      <c r="AG299" s="307"/>
      <c r="AH299" s="307"/>
      <c r="AI299" s="307"/>
      <c r="AJ299" s="307"/>
      <c r="AK299" s="307"/>
      <c r="AL299" s="307"/>
    </row>
    <row r="300" spans="1:38" ht="15.75">
      <c r="A300" s="307"/>
      <c r="B300" s="307"/>
      <c r="C300" s="307"/>
      <c r="D300" s="307"/>
      <c r="E300" s="307"/>
      <c r="F300" s="307"/>
      <c r="G300" s="307"/>
      <c r="H300" s="307"/>
      <c r="I300" s="307"/>
      <c r="J300" s="307"/>
      <c r="K300" s="307"/>
      <c r="L300" s="307"/>
      <c r="M300" s="307"/>
      <c r="N300" s="307"/>
      <c r="O300" s="307"/>
      <c r="P300" s="307"/>
      <c r="Q300" s="307"/>
      <c r="R300" s="307"/>
      <c r="S300" s="307"/>
      <c r="T300" s="307"/>
      <c r="U300" s="307"/>
      <c r="V300" s="307"/>
      <c r="W300" s="307"/>
      <c r="X300" s="307"/>
      <c r="Y300" s="307"/>
      <c r="Z300" s="307"/>
      <c r="AA300" s="307"/>
      <c r="AB300" s="307"/>
      <c r="AC300" s="307"/>
      <c r="AD300" s="307"/>
      <c r="AE300" s="307"/>
      <c r="AF300" s="307"/>
      <c r="AG300" s="307"/>
      <c r="AH300" s="307"/>
      <c r="AI300" s="307"/>
      <c r="AJ300" s="307"/>
      <c r="AK300" s="307"/>
      <c r="AL300" s="307"/>
    </row>
    <row r="301" spans="1:38" ht="15.75">
      <c r="A301" s="307"/>
      <c r="B301" s="401" t="s">
        <v>778</v>
      </c>
      <c r="C301" s="307"/>
      <c r="D301" s="307"/>
      <c r="E301" s="307"/>
      <c r="F301" s="307"/>
      <c r="G301" s="307"/>
      <c r="H301" s="307"/>
      <c r="I301" s="307"/>
      <c r="J301" s="307"/>
      <c r="K301" s="307"/>
      <c r="L301" s="307"/>
      <c r="M301" s="307"/>
      <c r="N301" s="307"/>
      <c r="O301" s="307"/>
      <c r="P301" s="307"/>
      <c r="Q301" s="307"/>
      <c r="R301" s="307"/>
      <c r="S301" s="307"/>
      <c r="T301" s="307"/>
      <c r="U301" s="307"/>
      <c r="V301" s="307"/>
      <c r="W301" s="307"/>
      <c r="X301" s="307"/>
      <c r="Y301" s="307"/>
      <c r="Z301" s="307"/>
      <c r="AA301" s="307"/>
      <c r="AB301" s="307"/>
      <c r="AC301" s="307"/>
      <c r="AD301" s="307"/>
      <c r="AE301" s="307"/>
      <c r="AF301" s="307"/>
      <c r="AG301" s="307"/>
      <c r="AH301" s="307"/>
      <c r="AI301" s="307"/>
      <c r="AJ301" s="307"/>
      <c r="AK301" s="307"/>
      <c r="AL301" s="307"/>
    </row>
    <row r="302" spans="1:38" ht="15.75">
      <c r="A302" s="307"/>
      <c r="B302" s="393" t="s">
        <v>773</v>
      </c>
      <c r="C302" s="307" t="s">
        <v>779</v>
      </c>
      <c r="D302" s="307"/>
      <c r="E302" s="307"/>
      <c r="F302" s="307"/>
      <c r="G302" s="307"/>
      <c r="H302" s="307"/>
      <c r="I302" s="307"/>
      <c r="J302" s="307"/>
      <c r="K302" s="235">
        <f>+K292*'[1]Allocation Matrix'!$H$9</f>
        <v>1503659.4768595041</v>
      </c>
      <c r="L302" s="307"/>
      <c r="M302" s="235">
        <f>+M292*'[1]Allocation Matrix'!$H$9</f>
        <v>1293630.5280991732</v>
      </c>
      <c r="N302" s="235">
        <f>+N292*'[1]Allocation Matrix'!$H$9</f>
        <v>21363.458939393935</v>
      </c>
      <c r="O302" s="235">
        <f>+O292*'[1]Allocation Matrix'!$H$9</f>
        <v>188418.45933884301</v>
      </c>
      <c r="P302" s="235">
        <f>+P292*'[1]Allocation Matrix'!$H$9</f>
        <v>0</v>
      </c>
      <c r="Q302" s="235">
        <f>+Q292*'[1]Allocation Matrix'!$H$9</f>
        <v>188418.45933884301</v>
      </c>
      <c r="R302" s="235">
        <f>+R292*'[1]Allocation Matrix'!$H$9</f>
        <v>17.355371900826448</v>
      </c>
      <c r="S302" s="235">
        <f>+S292*'[1]Allocation Matrix'!$H$9</f>
        <v>188418.45933884301</v>
      </c>
      <c r="T302" s="235">
        <f>+T292*'[1]Allocation Matrix'!$H$9</f>
        <v>0</v>
      </c>
      <c r="U302" s="235">
        <f>+U292*'[1]Allocation Matrix'!$H$9</f>
        <v>697342.78008264839</v>
      </c>
      <c r="V302" s="235">
        <f>+V292*'[1]Allocation Matrix'!$H$9</f>
        <v>697342.78008264839</v>
      </c>
      <c r="W302" s="235">
        <f>+W292*'[1]Allocation Matrix'!$H$9</f>
        <v>17.355371900826448</v>
      </c>
      <c r="X302" s="235">
        <f>+X292*'[1]Allocation Matrix'!$H$9</f>
        <v>697342.78008264839</v>
      </c>
      <c r="Y302" s="235">
        <f>+Y292*'[1]Allocation Matrix'!$H$9</f>
        <v>885761.23942149174</v>
      </c>
      <c r="Z302" s="235">
        <f>+Z292*'[1]Allocation Matrix'!$H$9</f>
        <v>443333.92495867371</v>
      </c>
      <c r="AA302" s="307"/>
      <c r="AB302" s="307"/>
      <c r="AC302" s="307"/>
      <c r="AD302" s="307"/>
      <c r="AE302" s="307"/>
      <c r="AF302" s="307"/>
      <c r="AG302" s="307"/>
      <c r="AH302" s="307"/>
      <c r="AI302" s="307"/>
      <c r="AJ302" s="307"/>
      <c r="AK302" s="307"/>
      <c r="AL302" s="307"/>
    </row>
    <row r="303" spans="1:38" ht="15.75">
      <c r="A303" s="307"/>
      <c r="B303" s="393" t="s">
        <v>689</v>
      </c>
      <c r="C303" s="307" t="s">
        <v>779</v>
      </c>
      <c r="D303" s="307"/>
      <c r="E303" s="307"/>
      <c r="F303" s="307"/>
      <c r="G303" s="307"/>
      <c r="H303" s="307"/>
      <c r="I303" s="307"/>
      <c r="J303" s="307"/>
      <c r="K303" s="235">
        <f>+K293*'[1]Allocation Matrix'!$H$9</f>
        <v>97401.47107438017</v>
      </c>
      <c r="L303" s="307"/>
      <c r="M303" s="235">
        <f>+M293*'[1]Allocation Matrix'!$H$9</f>
        <v>86972.107438016523</v>
      </c>
      <c r="N303" s="235">
        <f>+N293*'[1]Allocation Matrix'!$H$9</f>
        <v>1565.4169421487604</v>
      </c>
      <c r="O303" s="235">
        <f>+O293*'[1]Allocation Matrix'!$H$9</f>
        <v>6008.8347107432255</v>
      </c>
      <c r="P303" s="235">
        <f>+P293*'[1]Allocation Matrix'!$H$9</f>
        <v>0</v>
      </c>
      <c r="Q303" s="235">
        <f>+Q293*'[1]Allocation Matrix'!$H$9</f>
        <v>6008.8347107432255</v>
      </c>
      <c r="R303" s="235">
        <f>+R293*'[1]Allocation Matrix'!$H$9</f>
        <v>2.6033057851239669</v>
      </c>
      <c r="S303" s="235">
        <f>+S293*'[1]Allocation Matrix'!$H$9</f>
        <v>6008.8347107432255</v>
      </c>
      <c r="T303" s="235">
        <f>+T293*'[1]Allocation Matrix'!$H$9</f>
        <v>0</v>
      </c>
      <c r="U303" s="235">
        <f>+U293*'[1]Allocation Matrix'!$H$9</f>
        <v>72851.545454546285</v>
      </c>
      <c r="V303" s="235">
        <f>+V293*'[1]Allocation Matrix'!$H$9</f>
        <v>72851.545454546285</v>
      </c>
      <c r="W303" s="235">
        <f>+W293*'[1]Allocation Matrix'!$H$9</f>
        <v>2.6033057851239669</v>
      </c>
      <c r="X303" s="235">
        <f>+X293*'[1]Allocation Matrix'!$H$9</f>
        <v>72851.545454546285</v>
      </c>
      <c r="Y303" s="235">
        <f>+Y293*'[1]Allocation Matrix'!$H$9</f>
        <v>78860.38016528952</v>
      </c>
      <c r="Z303" s="235">
        <f>+Z293*'[1]Allocation Matrix'!$H$9</f>
        <v>9957.3264462803072</v>
      </c>
      <c r="AA303" s="307"/>
      <c r="AB303" s="307"/>
      <c r="AC303" s="307"/>
      <c r="AD303" s="307"/>
      <c r="AE303" s="307"/>
      <c r="AF303" s="307"/>
      <c r="AG303" s="307"/>
      <c r="AH303" s="307"/>
      <c r="AI303" s="307"/>
      <c r="AJ303" s="307"/>
      <c r="AK303" s="307"/>
      <c r="AL303" s="307"/>
    </row>
    <row r="304" spans="1:38" ht="15.75">
      <c r="A304" s="307"/>
      <c r="B304" s="393" t="s">
        <v>774</v>
      </c>
      <c r="C304" s="307" t="s">
        <v>780</v>
      </c>
      <c r="D304" s="307"/>
      <c r="E304" s="307"/>
      <c r="F304" s="307"/>
      <c r="G304" s="307"/>
      <c r="H304" s="307"/>
      <c r="I304" s="307"/>
      <c r="J304" s="307"/>
      <c r="K304" s="235">
        <f>+K294*'[1]Allocation Matrix'!$H$8</f>
        <v>751620.76052422565</v>
      </c>
      <c r="L304" s="307"/>
      <c r="M304" s="235">
        <f>+M294*'[1]Allocation Matrix'!$H$8</f>
        <v>751620.76052422565</v>
      </c>
      <c r="N304" s="235">
        <f>+N294*'[1]Allocation Matrix'!$H$8</f>
        <v>6263.5063377018787</v>
      </c>
      <c r="O304" s="235">
        <f>+O294*'[1]Allocation Matrix'!$H$8</f>
        <v>27863.908401178272</v>
      </c>
      <c r="P304" s="235">
        <f>+P294*'[1]Allocation Matrix'!$H$8</f>
        <v>0</v>
      </c>
      <c r="Q304" s="235">
        <f>+Q294*'[1]Allocation Matrix'!$H$8</f>
        <v>27863.908401178272</v>
      </c>
      <c r="R304" s="235">
        <f>+R294*'[1]Allocation Matrix'!$H$8</f>
        <v>160.59868943606037</v>
      </c>
      <c r="S304" s="235">
        <f>+S294*'[1]Allocation Matrix'!$H$8</f>
        <v>27863.908401178272</v>
      </c>
      <c r="T304" s="235">
        <f>+T294*'[1]Allocation Matrix'!$H$8</f>
        <v>0</v>
      </c>
      <c r="U304" s="235">
        <f>+U294*'[1]Allocation Matrix'!$H$8</f>
        <v>580491.33039573312</v>
      </c>
      <c r="V304" s="235">
        <f>+V294*'[1]Allocation Matrix'!$H$8</f>
        <v>580491.33039573312</v>
      </c>
      <c r="W304" s="235">
        <f>+W294*'[1]Allocation Matrix'!$H$8</f>
        <v>160.59868943606037</v>
      </c>
      <c r="X304" s="235">
        <f>+X294*'[1]Allocation Matrix'!$H$8</f>
        <v>580491.33039573312</v>
      </c>
      <c r="Y304" s="235">
        <f>+Y294*'[1]Allocation Matrix'!$H$8</f>
        <v>608355.23879691202</v>
      </c>
      <c r="Z304" s="235">
        <f>+Z294*'[1]Allocation Matrix'!$H$8</f>
        <v>157197.47592790276</v>
      </c>
      <c r="AA304" s="307"/>
      <c r="AB304" s="307"/>
      <c r="AC304" s="307"/>
      <c r="AD304" s="307"/>
      <c r="AE304" s="307"/>
      <c r="AF304" s="307"/>
      <c r="AG304" s="307"/>
      <c r="AH304" s="307"/>
      <c r="AI304" s="307"/>
      <c r="AJ304" s="307"/>
      <c r="AK304" s="307"/>
      <c r="AL304" s="307"/>
    </row>
    <row r="305" spans="1:38" ht="15.75">
      <c r="A305" s="307"/>
      <c r="B305" s="393" t="s">
        <v>775</v>
      </c>
      <c r="C305" s="307" t="s">
        <v>780</v>
      </c>
      <c r="D305" s="307"/>
      <c r="E305" s="307"/>
      <c r="F305" s="307"/>
      <c r="G305" s="307"/>
      <c r="H305" s="307"/>
      <c r="I305" s="307"/>
      <c r="J305" s="307"/>
      <c r="K305" s="235">
        <f>+K295*'[1]Allocation Matrix'!$H$8</f>
        <v>402669.78107625101</v>
      </c>
      <c r="L305" s="307"/>
      <c r="M305" s="235">
        <f>+M295*'[1]Allocation Matrix'!$H$8</f>
        <v>331388.00982922956</v>
      </c>
      <c r="N305" s="235">
        <f>+N295*'[1]Allocation Matrix'!$H$8</f>
        <v>1380.7833742884568</v>
      </c>
      <c r="O305" s="235">
        <f>+O295*'[1]Allocation Matrix'!$H$8</f>
        <v>16569.400491461478</v>
      </c>
      <c r="P305" s="235">
        <f>+P295*'[1]Allocation Matrix'!$H$8</f>
        <v>0</v>
      </c>
      <c r="Q305" s="235">
        <f>+Q295*'[1]Allocation Matrix'!$H$8</f>
        <v>16569.400491461478</v>
      </c>
      <c r="R305" s="235">
        <f>+R295*'[1]Allocation Matrix'!$H$8</f>
        <v>2.5764495631453537</v>
      </c>
      <c r="S305" s="235">
        <f>+S295*'[1]Allocation Matrix'!$H$8</f>
        <v>16569.400491461478</v>
      </c>
      <c r="T305" s="235">
        <f>+T295*'[1]Allocation Matrix'!$H$8</f>
        <v>0</v>
      </c>
      <c r="U305" s="235">
        <f>+U295*'[1]Allocation Matrix'!$H$8</f>
        <v>40042.7178543665</v>
      </c>
      <c r="V305" s="235">
        <f>+V295*'[1]Allocation Matrix'!$H$8</f>
        <v>40042.7178543665</v>
      </c>
      <c r="W305" s="235">
        <f>+W295*'[1]Allocation Matrix'!$H$8</f>
        <v>2.5764495631453537</v>
      </c>
      <c r="X305" s="235">
        <f>+X295*'[1]Allocation Matrix'!$H$8</f>
        <v>40042.7178543665</v>
      </c>
      <c r="Y305" s="235">
        <f>+Y295*'[1]Allocation Matrix'!$H$8</f>
        <v>56612.118345827977</v>
      </c>
      <c r="Z305" s="235">
        <f>+Z295*'[1]Allocation Matrix'!$H$8</f>
        <v>346057.66273042304</v>
      </c>
      <c r="AA305" s="307"/>
      <c r="AB305" s="307"/>
      <c r="AC305" s="307"/>
      <c r="AD305" s="307"/>
      <c r="AE305" s="307"/>
      <c r="AF305" s="307"/>
      <c r="AG305" s="307"/>
      <c r="AH305" s="307"/>
      <c r="AI305" s="307"/>
      <c r="AJ305" s="307"/>
      <c r="AK305" s="307"/>
      <c r="AL305" s="307"/>
    </row>
    <row r="306" spans="1:38" ht="15.75">
      <c r="A306" s="307"/>
      <c r="B306" s="393" t="s">
        <v>776</v>
      </c>
      <c r="C306" s="307" t="s">
        <v>780</v>
      </c>
      <c r="D306" s="307"/>
      <c r="E306" s="307"/>
      <c r="F306" s="307"/>
      <c r="G306" s="307"/>
      <c r="H306" s="307"/>
      <c r="I306" s="307"/>
      <c r="J306" s="307"/>
      <c r="K306" s="235">
        <f>+K296*'[1]Allocation Matrix'!$H$8</f>
        <v>6418.7946783161242</v>
      </c>
      <c r="L306" s="307"/>
      <c r="M306" s="235">
        <f>+M296*'[1]Allocation Matrix'!$H$8</f>
        <v>6418.7946783161242</v>
      </c>
      <c r="N306" s="235">
        <f>+N296*'[1]Allocation Matrix'!$H$8</f>
        <v>106.97991130526873</v>
      </c>
      <c r="O306" s="235">
        <f>+O296*'[1]Allocation Matrix'!$H$8</f>
        <v>377.87926926131854</v>
      </c>
      <c r="P306" s="235">
        <f>+P296*'[1]Allocation Matrix'!$H$8</f>
        <v>0</v>
      </c>
      <c r="Q306" s="235">
        <f>+Q296*'[1]Allocation Matrix'!$H$8</f>
        <v>377.87926926131854</v>
      </c>
      <c r="R306" s="235">
        <f>+R296*'[1]Allocation Matrix'!$H$8</f>
        <v>6.8705321683876095</v>
      </c>
      <c r="S306" s="235">
        <f>+S296*'[1]Allocation Matrix'!$H$8</f>
        <v>377.87926926131854</v>
      </c>
      <c r="T306" s="235">
        <f>+T296*'[1]Allocation Matrix'!$H$8</f>
        <v>0</v>
      </c>
      <c r="U306" s="235">
        <f>+U296*'[1]Allocation Matrix'!$H$8</f>
        <v>5033.2373576912605</v>
      </c>
      <c r="V306" s="235">
        <f>+V296*'[1]Allocation Matrix'!$H$8</f>
        <v>5033.2373576912605</v>
      </c>
      <c r="W306" s="235">
        <f>+W296*'[1]Allocation Matrix'!$H$8</f>
        <v>6.8705321683876095</v>
      </c>
      <c r="X306" s="235">
        <f>+X296*'[1]Allocation Matrix'!$H$8</f>
        <v>5033.2373576912605</v>
      </c>
      <c r="Y306" s="235">
        <f>+Y296*'[1]Allocation Matrix'!$H$8</f>
        <v>5411.1166269525793</v>
      </c>
      <c r="Z306" s="235">
        <f>+Z296*'[1]Allocation Matrix'!$H$8</f>
        <v>1196.6176859942041</v>
      </c>
      <c r="AA306" s="307"/>
      <c r="AB306" s="307"/>
      <c r="AC306" s="307"/>
      <c r="AD306" s="307"/>
      <c r="AE306" s="307"/>
      <c r="AF306" s="307"/>
      <c r="AG306" s="307"/>
      <c r="AH306" s="307"/>
      <c r="AI306" s="307"/>
      <c r="AJ306" s="307"/>
      <c r="AK306" s="307"/>
      <c r="AL306" s="307"/>
    </row>
    <row r="307" spans="1:38" ht="15.75">
      <c r="A307" s="307"/>
      <c r="B307" s="393" t="s">
        <v>777</v>
      </c>
      <c r="C307" s="307" t="s">
        <v>780</v>
      </c>
      <c r="D307" s="307"/>
      <c r="E307" s="307"/>
      <c r="F307" s="307"/>
      <c r="G307" s="307"/>
      <c r="H307" s="307"/>
      <c r="I307" s="307"/>
      <c r="J307" s="307"/>
      <c r="K307" s="419">
        <f>+K297*'[1]Allocation Matrix'!$H$8</f>
        <v>20324.777551628275</v>
      </c>
      <c r="L307" s="431"/>
      <c r="M307" s="419">
        <f>+M297*'[1]Allocation Matrix'!$H$8</f>
        <v>20324.777551628275</v>
      </c>
      <c r="N307" s="419">
        <f>+N297*'[1]Allocation Matrix'!$H$8</f>
        <v>338.74629252713794</v>
      </c>
      <c r="O307" s="419">
        <f>+O297*'[1]Allocation Matrix'!$H$8</f>
        <v>0</v>
      </c>
      <c r="P307" s="419">
        <f>+P297*'[1]Allocation Matrix'!$H$8</f>
        <v>0</v>
      </c>
      <c r="Q307" s="419">
        <f>+Q297*'[1]Allocation Matrix'!$H$8</f>
        <v>0</v>
      </c>
      <c r="R307" s="419">
        <f>+R297*'[1]Allocation Matrix'!$H$8</f>
        <v>24.905679110405085</v>
      </c>
      <c r="S307" s="419">
        <f>+S297*'[1]Allocation Matrix'!$H$8</f>
        <v>0</v>
      </c>
      <c r="T307" s="419">
        <f>+T297*'[1]Allocation Matrix'!$H$8</f>
        <v>0</v>
      </c>
      <c r="U307" s="419">
        <f>+U297*'[1]Allocation Matrix'!$H$8</f>
        <v>20324.777551628275</v>
      </c>
      <c r="V307" s="419">
        <f>+V297*'[1]Allocation Matrix'!$H$8</f>
        <v>20324.777551628275</v>
      </c>
      <c r="W307" s="419">
        <f>+W297*'[1]Allocation Matrix'!$H$8</f>
        <v>24.905679110405085</v>
      </c>
      <c r="X307" s="419">
        <f>+X297*'[1]Allocation Matrix'!$H$8</f>
        <v>20324.777551628275</v>
      </c>
      <c r="Y307" s="419">
        <f>+Y297*'[1]Allocation Matrix'!$H$8</f>
        <v>20324.777551628275</v>
      </c>
      <c r="Z307" s="419">
        <f>+Z297*'[1]Allocation Matrix'!$H$8</f>
        <v>0</v>
      </c>
      <c r="AA307" s="307"/>
      <c r="AB307" s="307"/>
      <c r="AC307" s="307"/>
      <c r="AD307" s="307"/>
      <c r="AE307" s="307"/>
      <c r="AF307" s="307"/>
      <c r="AG307" s="307"/>
      <c r="AH307" s="307"/>
      <c r="AI307" s="307"/>
      <c r="AJ307" s="307"/>
      <c r="AK307" s="307"/>
      <c r="AL307" s="307"/>
    </row>
    <row r="308" spans="1:38" ht="15.75">
      <c r="A308" s="307"/>
      <c r="B308" s="307"/>
      <c r="C308" s="307"/>
      <c r="D308" s="307"/>
      <c r="E308" s="307"/>
      <c r="F308" s="307"/>
      <c r="G308" s="307"/>
      <c r="H308" s="307"/>
      <c r="I308" s="307"/>
      <c r="J308" s="307"/>
      <c r="K308" s="235">
        <f t="shared" ref="K308:Z308" si="211">SUM(K302:K307)</f>
        <v>2782095.061764305</v>
      </c>
      <c r="L308" s="235"/>
      <c r="M308" s="235">
        <f t="shared" si="211"/>
        <v>2490354.9781205892</v>
      </c>
      <c r="N308" s="235">
        <f t="shared" si="211"/>
        <v>31018.891797365439</v>
      </c>
      <c r="O308" s="235">
        <f t="shared" si="211"/>
        <v>239238.48221148731</v>
      </c>
      <c r="P308" s="235">
        <f t="shared" si="211"/>
        <v>0</v>
      </c>
      <c r="Q308" s="235">
        <f t="shared" si="211"/>
        <v>239238.48221148731</v>
      </c>
      <c r="R308" s="235">
        <f t="shared" si="211"/>
        <v>214.91002796394883</v>
      </c>
      <c r="S308" s="235">
        <f t="shared" si="211"/>
        <v>239238.48221148731</v>
      </c>
      <c r="T308" s="235">
        <f t="shared" si="211"/>
        <v>0</v>
      </c>
      <c r="U308" s="235">
        <f t="shared" si="211"/>
        <v>1416086.3886966137</v>
      </c>
      <c r="V308" s="235">
        <f t="shared" si="211"/>
        <v>1416086.3886966137</v>
      </c>
      <c r="W308" s="235">
        <f t="shared" si="211"/>
        <v>214.91002796394883</v>
      </c>
      <c r="X308" s="235">
        <f t="shared" si="211"/>
        <v>1416086.3886966137</v>
      </c>
      <c r="Y308" s="235">
        <f t="shared" si="211"/>
        <v>1655324.870908102</v>
      </c>
      <c r="Z308" s="235">
        <f t="shared" si="211"/>
        <v>957743.00774927402</v>
      </c>
      <c r="AA308" s="307"/>
      <c r="AB308" s="307"/>
      <c r="AC308" s="307"/>
      <c r="AD308" s="307"/>
      <c r="AE308" s="307"/>
      <c r="AF308" s="307"/>
      <c r="AG308" s="307"/>
      <c r="AH308" s="307"/>
      <c r="AI308" s="307"/>
      <c r="AJ308" s="307"/>
      <c r="AK308" s="307"/>
      <c r="AL308" s="307"/>
    </row>
    <row r="309" spans="1:38" ht="15.75">
      <c r="A309" s="307"/>
      <c r="B309" s="307"/>
      <c r="C309" s="307"/>
      <c r="D309" s="307"/>
      <c r="E309" s="307"/>
      <c r="F309" s="307"/>
      <c r="G309" s="307"/>
      <c r="H309" s="307"/>
      <c r="I309" s="307"/>
      <c r="J309" s="307"/>
      <c r="K309" s="307"/>
      <c r="L309" s="307"/>
      <c r="M309" s="307"/>
      <c r="N309" s="307"/>
      <c r="O309" s="307"/>
      <c r="P309" s="307"/>
      <c r="Q309" s="307"/>
      <c r="R309" s="307"/>
      <c r="S309" s="307"/>
      <c r="T309" s="307"/>
      <c r="U309" s="307"/>
      <c r="V309" s="307"/>
      <c r="W309" s="307"/>
      <c r="X309" s="307"/>
      <c r="Y309" s="307"/>
      <c r="Z309" s="307"/>
      <c r="AA309" s="307"/>
      <c r="AB309" s="307"/>
      <c r="AC309" s="307"/>
      <c r="AD309" s="307"/>
      <c r="AE309" s="307"/>
      <c r="AF309" s="307"/>
      <c r="AG309" s="307"/>
      <c r="AH309" s="307"/>
      <c r="AI309" s="307"/>
      <c r="AJ309" s="307"/>
      <c r="AK309" s="307"/>
      <c r="AL309" s="307"/>
    </row>
    <row r="310" spans="1:38" ht="15.75">
      <c r="A310" s="307"/>
      <c r="B310" s="401" t="s">
        <v>781</v>
      </c>
      <c r="C310" s="307"/>
      <c r="D310" s="307"/>
      <c r="E310" s="307"/>
      <c r="F310" s="307"/>
      <c r="G310" s="307"/>
      <c r="H310" s="307"/>
      <c r="I310" s="307"/>
      <c r="J310" s="307"/>
      <c r="K310" s="307"/>
      <c r="L310" s="307"/>
      <c r="M310" s="307"/>
      <c r="N310" s="307"/>
      <c r="O310" s="307"/>
      <c r="P310" s="307"/>
      <c r="Q310" s="307"/>
      <c r="R310" s="307"/>
      <c r="S310" s="307"/>
      <c r="T310" s="307"/>
      <c r="U310" s="307"/>
      <c r="V310" s="307"/>
      <c r="W310" s="307"/>
      <c r="X310" s="307"/>
      <c r="Y310" s="307"/>
      <c r="Z310" s="307"/>
      <c r="AA310" s="307"/>
      <c r="AB310" s="307"/>
      <c r="AC310" s="307"/>
      <c r="AD310" s="307"/>
      <c r="AE310" s="307"/>
      <c r="AF310" s="307"/>
      <c r="AG310" s="307"/>
      <c r="AH310" s="307"/>
      <c r="AI310" s="307"/>
      <c r="AJ310" s="307"/>
      <c r="AK310" s="307"/>
      <c r="AL310" s="307"/>
    </row>
    <row r="311" spans="1:38" ht="15.75">
      <c r="A311" s="307"/>
      <c r="B311" s="393" t="s">
        <v>773</v>
      </c>
      <c r="C311" s="307" t="s">
        <v>779</v>
      </c>
      <c r="D311" s="307"/>
      <c r="E311" s="307"/>
      <c r="F311" s="307"/>
      <c r="G311" s="307"/>
      <c r="H311" s="307"/>
      <c r="I311" s="307"/>
      <c r="J311" s="307"/>
      <c r="K311" s="235">
        <f>+K292-K302</f>
        <v>229129.06314049591</v>
      </c>
      <c r="L311" s="307"/>
      <c r="M311" s="235">
        <f t="shared" ref="M311:Z316" si="212">+M292-M302</f>
        <v>197124.65190082649</v>
      </c>
      <c r="N311" s="235">
        <f t="shared" si="212"/>
        <v>3255.3842193362179</v>
      </c>
      <c r="O311" s="235">
        <f t="shared" si="212"/>
        <v>28711.384280204657</v>
      </c>
      <c r="P311" s="235">
        <f t="shared" si="212"/>
        <v>0</v>
      </c>
      <c r="Q311" s="235">
        <f t="shared" si="212"/>
        <v>28711.384280204657</v>
      </c>
      <c r="R311" s="235">
        <f t="shared" si="212"/>
        <v>2.644628099173552</v>
      </c>
      <c r="S311" s="235">
        <f t="shared" si="212"/>
        <v>28711.384280204657</v>
      </c>
      <c r="T311" s="235">
        <f t="shared" si="212"/>
        <v>0</v>
      </c>
      <c r="U311" s="235">
        <f t="shared" si="212"/>
        <v>106261.75696497504</v>
      </c>
      <c r="V311" s="235">
        <f t="shared" si="212"/>
        <v>106261.75696497504</v>
      </c>
      <c r="W311" s="235">
        <f t="shared" si="212"/>
        <v>2.644628099173552</v>
      </c>
      <c r="X311" s="235">
        <f t="shared" si="212"/>
        <v>106261.75696497504</v>
      </c>
      <c r="Y311" s="235">
        <f t="shared" si="212"/>
        <v>134973.14124517969</v>
      </c>
      <c r="Z311" s="235">
        <f t="shared" si="212"/>
        <v>67555.645707988355</v>
      </c>
      <c r="AA311" s="307"/>
      <c r="AB311" s="307"/>
      <c r="AC311" s="307"/>
      <c r="AD311" s="307"/>
      <c r="AE311" s="307"/>
      <c r="AF311" s="307"/>
      <c r="AG311" s="307"/>
      <c r="AH311" s="307"/>
      <c r="AI311" s="307"/>
      <c r="AJ311" s="307"/>
      <c r="AK311" s="307"/>
      <c r="AL311" s="307"/>
    </row>
    <row r="312" spans="1:38" ht="15.75">
      <c r="A312" s="307"/>
      <c r="B312" s="393" t="s">
        <v>689</v>
      </c>
      <c r="C312" s="307" t="s">
        <v>779</v>
      </c>
      <c r="D312" s="307"/>
      <c r="E312" s="307"/>
      <c r="F312" s="307"/>
      <c r="G312" s="307"/>
      <c r="H312" s="307"/>
      <c r="I312" s="307"/>
      <c r="J312" s="307"/>
      <c r="K312" s="235">
        <f t="shared" ref="K312:K316" si="213">+K293-K303</f>
        <v>14842.128925619836</v>
      </c>
      <c r="L312" s="307"/>
      <c r="M312" s="235">
        <f t="shared" si="212"/>
        <v>13252.892561983477</v>
      </c>
      <c r="N312" s="235">
        <f t="shared" si="212"/>
        <v>238.53972451790628</v>
      </c>
      <c r="O312" s="235">
        <f t="shared" si="212"/>
        <v>915.63195592277771</v>
      </c>
      <c r="P312" s="235">
        <f t="shared" si="212"/>
        <v>0</v>
      </c>
      <c r="Q312" s="235">
        <f t="shared" si="212"/>
        <v>915.63195592277771</v>
      </c>
      <c r="R312" s="235">
        <f t="shared" si="212"/>
        <v>0.39669421487603307</v>
      </c>
      <c r="S312" s="235">
        <f t="shared" si="212"/>
        <v>915.63195592277771</v>
      </c>
      <c r="T312" s="235">
        <f t="shared" si="212"/>
        <v>0</v>
      </c>
      <c r="U312" s="235">
        <f t="shared" si="212"/>
        <v>11101.187878788012</v>
      </c>
      <c r="V312" s="235">
        <f t="shared" si="212"/>
        <v>11101.187878788012</v>
      </c>
      <c r="W312" s="235">
        <f t="shared" si="212"/>
        <v>0.39669421487603307</v>
      </c>
      <c r="X312" s="235">
        <f t="shared" si="212"/>
        <v>11101.187878788012</v>
      </c>
      <c r="Y312" s="235">
        <f t="shared" si="212"/>
        <v>12016.819834710783</v>
      </c>
      <c r="Z312" s="235">
        <f t="shared" si="212"/>
        <v>1517.3068870522366</v>
      </c>
      <c r="AA312" s="307"/>
      <c r="AB312" s="307"/>
      <c r="AC312" s="307"/>
      <c r="AD312" s="307"/>
      <c r="AE312" s="307"/>
      <c r="AF312" s="307"/>
      <c r="AG312" s="307"/>
      <c r="AH312" s="307"/>
      <c r="AI312" s="307"/>
      <c r="AJ312" s="307"/>
      <c r="AK312" s="307"/>
      <c r="AL312" s="307"/>
    </row>
    <row r="313" spans="1:38" ht="15.75">
      <c r="A313" s="307"/>
      <c r="B313" s="393" t="s">
        <v>774</v>
      </c>
      <c r="C313" s="307" t="s">
        <v>780</v>
      </c>
      <c r="D313" s="307"/>
      <c r="E313" s="307"/>
      <c r="F313" s="307"/>
      <c r="G313" s="307"/>
      <c r="H313" s="307"/>
      <c r="I313" s="307"/>
      <c r="J313" s="307"/>
      <c r="K313" s="235">
        <f t="shared" si="213"/>
        <v>123561.23947577435</v>
      </c>
      <c r="L313" s="307"/>
      <c r="M313" s="235">
        <f t="shared" si="212"/>
        <v>123561.23947577435</v>
      </c>
      <c r="N313" s="235">
        <f t="shared" si="212"/>
        <v>1029.6769956314529</v>
      </c>
      <c r="O313" s="235">
        <f t="shared" si="212"/>
        <v>4580.6332654884973</v>
      </c>
      <c r="P313" s="235">
        <f t="shared" si="212"/>
        <v>0</v>
      </c>
      <c r="Q313" s="235">
        <f t="shared" si="212"/>
        <v>4580.6332654884973</v>
      </c>
      <c r="R313" s="235">
        <f t="shared" si="212"/>
        <v>26.401310563939631</v>
      </c>
      <c r="S313" s="235">
        <f t="shared" si="212"/>
        <v>4580.6332654884973</v>
      </c>
      <c r="T313" s="235">
        <f t="shared" si="212"/>
        <v>0</v>
      </c>
      <c r="U313" s="235">
        <f t="shared" si="212"/>
        <v>95428.748187599122</v>
      </c>
      <c r="V313" s="235">
        <f t="shared" si="212"/>
        <v>95428.748187599122</v>
      </c>
      <c r="W313" s="235">
        <f t="shared" si="212"/>
        <v>26.401310563939631</v>
      </c>
      <c r="X313" s="235">
        <f t="shared" si="212"/>
        <v>95428.748187599122</v>
      </c>
      <c r="Y313" s="235">
        <f t="shared" si="212"/>
        <v>100009.38145308767</v>
      </c>
      <c r="Z313" s="235">
        <f t="shared" si="212"/>
        <v>25842.17465543095</v>
      </c>
      <c r="AA313" s="307"/>
      <c r="AB313" s="307"/>
      <c r="AC313" s="307"/>
      <c r="AD313" s="307"/>
      <c r="AE313" s="307"/>
      <c r="AF313" s="307"/>
      <c r="AG313" s="307"/>
      <c r="AH313" s="307"/>
      <c r="AI313" s="307"/>
      <c r="AJ313" s="307"/>
      <c r="AK313" s="307"/>
      <c r="AL313" s="307"/>
    </row>
    <row r="314" spans="1:38" ht="15.75">
      <c r="A314" s="307"/>
      <c r="B314" s="393" t="s">
        <v>775</v>
      </c>
      <c r="C314" s="307" t="s">
        <v>780</v>
      </c>
      <c r="D314" s="307"/>
      <c r="E314" s="307"/>
      <c r="F314" s="307"/>
      <c r="G314" s="307"/>
      <c r="H314" s="307"/>
      <c r="I314" s="307"/>
      <c r="J314" s="307"/>
      <c r="K314" s="235">
        <f t="shared" si="213"/>
        <v>66196.118923749018</v>
      </c>
      <c r="L314" s="307"/>
      <c r="M314" s="235">
        <f t="shared" si="212"/>
        <v>54477.890170770464</v>
      </c>
      <c r="N314" s="235">
        <f t="shared" si="212"/>
        <v>226.99120904487677</v>
      </c>
      <c r="O314" s="235">
        <f t="shared" si="212"/>
        <v>2723.894508538524</v>
      </c>
      <c r="P314" s="235">
        <f t="shared" si="212"/>
        <v>0</v>
      </c>
      <c r="Q314" s="235">
        <f t="shared" si="212"/>
        <v>2723.894508538524</v>
      </c>
      <c r="R314" s="235">
        <f t="shared" si="212"/>
        <v>0.42355043685464633</v>
      </c>
      <c r="S314" s="235">
        <f t="shared" si="212"/>
        <v>2723.894508538524</v>
      </c>
      <c r="T314" s="235">
        <f t="shared" si="212"/>
        <v>0</v>
      </c>
      <c r="U314" s="235">
        <f t="shared" si="212"/>
        <v>6582.7450623016339</v>
      </c>
      <c r="V314" s="235">
        <f t="shared" si="212"/>
        <v>6582.7450623016339</v>
      </c>
      <c r="W314" s="235">
        <f t="shared" si="212"/>
        <v>0.42355043685464633</v>
      </c>
      <c r="X314" s="235">
        <f t="shared" si="212"/>
        <v>6582.7450623016339</v>
      </c>
      <c r="Y314" s="235">
        <f t="shared" si="212"/>
        <v>9306.6395708401615</v>
      </c>
      <c r="Z314" s="235">
        <f t="shared" si="212"/>
        <v>56889.479352908849</v>
      </c>
      <c r="AA314" s="307"/>
      <c r="AB314" s="307"/>
      <c r="AC314" s="307"/>
      <c r="AD314" s="307"/>
      <c r="AE314" s="307"/>
      <c r="AF314" s="307"/>
      <c r="AG314" s="307"/>
      <c r="AH314" s="307"/>
      <c r="AI314" s="307"/>
      <c r="AJ314" s="307"/>
      <c r="AK314" s="307"/>
      <c r="AL314" s="307"/>
    </row>
    <row r="315" spans="1:38" ht="15.75">
      <c r="A315" s="307"/>
      <c r="B315" s="393" t="s">
        <v>776</v>
      </c>
      <c r="C315" s="307" t="s">
        <v>780</v>
      </c>
      <c r="D315" s="307"/>
      <c r="E315" s="307"/>
      <c r="F315" s="307"/>
      <c r="G315" s="307"/>
      <c r="H315" s="307"/>
      <c r="I315" s="307"/>
      <c r="J315" s="307"/>
      <c r="K315" s="235">
        <f t="shared" si="213"/>
        <v>1055.2053216838758</v>
      </c>
      <c r="L315" s="307"/>
      <c r="M315" s="235">
        <f t="shared" si="212"/>
        <v>1055.2053216838758</v>
      </c>
      <c r="N315" s="235">
        <f t="shared" si="212"/>
        <v>17.586755361397934</v>
      </c>
      <c r="O315" s="235">
        <f t="shared" si="212"/>
        <v>62.120730738681459</v>
      </c>
      <c r="P315" s="235">
        <f t="shared" si="212"/>
        <v>0</v>
      </c>
      <c r="Q315" s="235">
        <f t="shared" si="212"/>
        <v>62.120730738681459</v>
      </c>
      <c r="R315" s="235">
        <f t="shared" si="212"/>
        <v>1.1294678316123905</v>
      </c>
      <c r="S315" s="235">
        <f t="shared" si="212"/>
        <v>62.120730738681459</v>
      </c>
      <c r="T315" s="235">
        <f t="shared" si="212"/>
        <v>0</v>
      </c>
      <c r="U315" s="235">
        <f t="shared" si="212"/>
        <v>827.42930897537281</v>
      </c>
      <c r="V315" s="235">
        <f t="shared" si="212"/>
        <v>827.42930897537281</v>
      </c>
      <c r="W315" s="235">
        <f t="shared" si="212"/>
        <v>1.1294678316123905</v>
      </c>
      <c r="X315" s="235">
        <f t="shared" si="212"/>
        <v>827.42930897537281</v>
      </c>
      <c r="Y315" s="235">
        <f t="shared" si="212"/>
        <v>889.55003971405404</v>
      </c>
      <c r="Z315" s="235">
        <f t="shared" si="212"/>
        <v>196.71564733916262</v>
      </c>
      <c r="AA315" s="307"/>
      <c r="AB315" s="307"/>
      <c r="AC315" s="307"/>
      <c r="AD315" s="307"/>
      <c r="AE315" s="307"/>
      <c r="AF315" s="307"/>
      <c r="AG315" s="307"/>
      <c r="AH315" s="307"/>
      <c r="AI315" s="307"/>
      <c r="AJ315" s="307"/>
      <c r="AK315" s="307"/>
      <c r="AL315" s="307"/>
    </row>
    <row r="316" spans="1:38" ht="15.75">
      <c r="A316" s="307"/>
      <c r="B316" s="393" t="s">
        <v>777</v>
      </c>
      <c r="C316" s="307" t="s">
        <v>780</v>
      </c>
      <c r="D316" s="307"/>
      <c r="E316" s="307"/>
      <c r="F316" s="307"/>
      <c r="G316" s="307"/>
      <c r="H316" s="307"/>
      <c r="I316" s="307"/>
      <c r="J316" s="307"/>
      <c r="K316" s="419">
        <f t="shared" si="213"/>
        <v>3341.2524483717243</v>
      </c>
      <c r="L316" s="431"/>
      <c r="M316" s="419">
        <f t="shared" si="212"/>
        <v>3341.2524483717243</v>
      </c>
      <c r="N316" s="419">
        <f t="shared" si="212"/>
        <v>55.687540806195386</v>
      </c>
      <c r="O316" s="419">
        <f t="shared" si="212"/>
        <v>0</v>
      </c>
      <c r="P316" s="419">
        <f t="shared" si="212"/>
        <v>0</v>
      </c>
      <c r="Q316" s="419">
        <f t="shared" si="212"/>
        <v>0</v>
      </c>
      <c r="R316" s="419">
        <f t="shared" si="212"/>
        <v>4.0943208895949148</v>
      </c>
      <c r="S316" s="419">
        <f t="shared" si="212"/>
        <v>0</v>
      </c>
      <c r="T316" s="419">
        <f t="shared" si="212"/>
        <v>0</v>
      </c>
      <c r="U316" s="419">
        <f t="shared" si="212"/>
        <v>3341.2524483717243</v>
      </c>
      <c r="V316" s="419">
        <f t="shared" si="212"/>
        <v>3341.2524483717243</v>
      </c>
      <c r="W316" s="419">
        <f t="shared" si="212"/>
        <v>4.0943208895949148</v>
      </c>
      <c r="X316" s="419">
        <f t="shared" si="212"/>
        <v>3341.2524483717243</v>
      </c>
      <c r="Y316" s="419">
        <f t="shared" si="212"/>
        <v>3341.2524483717243</v>
      </c>
      <c r="Z316" s="419">
        <f t="shared" si="212"/>
        <v>0</v>
      </c>
      <c r="AA316" s="307"/>
      <c r="AB316" s="307"/>
      <c r="AC316" s="307"/>
      <c r="AD316" s="307"/>
      <c r="AE316" s="307"/>
      <c r="AF316" s="307"/>
      <c r="AG316" s="307"/>
      <c r="AH316" s="307"/>
      <c r="AI316" s="307"/>
      <c r="AJ316" s="307"/>
      <c r="AK316" s="307"/>
      <c r="AL316" s="307"/>
    </row>
    <row r="317" spans="1:38" ht="15.75">
      <c r="A317" s="307"/>
      <c r="B317" s="307"/>
      <c r="C317" s="307"/>
      <c r="D317" s="307"/>
      <c r="E317" s="307"/>
      <c r="F317" s="307"/>
      <c r="G317" s="307"/>
      <c r="H317" s="307"/>
      <c r="I317" s="307"/>
      <c r="J317" s="307"/>
      <c r="K317" s="235">
        <f t="shared" ref="K317:Z317" si="214">SUM(K311:K316)</f>
        <v>438125.00823569472</v>
      </c>
      <c r="L317" s="235"/>
      <c r="M317" s="235">
        <f t="shared" si="214"/>
        <v>392813.13187941042</v>
      </c>
      <c r="N317" s="235">
        <f t="shared" si="214"/>
        <v>4823.8664446980474</v>
      </c>
      <c r="O317" s="235">
        <f t="shared" si="214"/>
        <v>36993.664740893131</v>
      </c>
      <c r="P317" s="235">
        <f t="shared" si="214"/>
        <v>0</v>
      </c>
      <c r="Q317" s="235">
        <f t="shared" si="214"/>
        <v>36993.664740893131</v>
      </c>
      <c r="R317" s="235">
        <f t="shared" si="214"/>
        <v>35.089972036051165</v>
      </c>
      <c r="S317" s="235">
        <f t="shared" si="214"/>
        <v>36993.664740893131</v>
      </c>
      <c r="T317" s="235">
        <f t="shared" si="214"/>
        <v>0</v>
      </c>
      <c r="U317" s="235">
        <f t="shared" si="214"/>
        <v>223543.11985101091</v>
      </c>
      <c r="V317" s="235">
        <f t="shared" si="214"/>
        <v>223543.11985101091</v>
      </c>
      <c r="W317" s="235">
        <f t="shared" si="214"/>
        <v>35.089972036051165</v>
      </c>
      <c r="X317" s="235">
        <f t="shared" si="214"/>
        <v>223543.11985101091</v>
      </c>
      <c r="Y317" s="235">
        <f t="shared" si="214"/>
        <v>260536.78459190411</v>
      </c>
      <c r="Z317" s="235">
        <f t="shared" si="214"/>
        <v>152001.32225071956</v>
      </c>
      <c r="AA317" s="307"/>
      <c r="AB317" s="307"/>
      <c r="AC317" s="307"/>
      <c r="AD317" s="307"/>
      <c r="AE317" s="307"/>
      <c r="AF317" s="307"/>
      <c r="AG317" s="307"/>
      <c r="AH317" s="307"/>
      <c r="AI317" s="307"/>
      <c r="AJ317" s="307"/>
      <c r="AK317" s="307"/>
      <c r="AL317" s="307"/>
    </row>
    <row r="318" spans="1:38" ht="15.75">
      <c r="A318" s="307"/>
      <c r="B318" s="307"/>
      <c r="C318" s="307"/>
      <c r="D318" s="307"/>
      <c r="E318" s="307"/>
      <c r="F318" s="307"/>
      <c r="G318" s="307"/>
      <c r="H318" s="307"/>
      <c r="I318" s="307"/>
      <c r="J318" s="307"/>
      <c r="K318" s="307"/>
      <c r="L318" s="307"/>
      <c r="M318" s="307"/>
      <c r="N318" s="307"/>
      <c r="O318" s="307"/>
      <c r="P318" s="307"/>
      <c r="Q318" s="307"/>
      <c r="R318" s="307"/>
      <c r="S318" s="307"/>
      <c r="T318" s="307"/>
      <c r="U318" s="307"/>
      <c r="V318" s="307"/>
      <c r="W318" s="307"/>
      <c r="X318" s="307"/>
      <c r="Y318" s="307"/>
      <c r="Z318" s="307"/>
      <c r="AA318" s="307"/>
      <c r="AB318" s="307"/>
      <c r="AC318" s="307"/>
      <c r="AD318" s="307"/>
      <c r="AE318" s="307"/>
      <c r="AF318" s="307"/>
      <c r="AG318" s="307"/>
      <c r="AH318" s="307"/>
      <c r="AI318" s="307"/>
      <c r="AJ318" s="307"/>
      <c r="AK318" s="307"/>
      <c r="AL318" s="307"/>
    </row>
    <row r="319" spans="1:38" ht="15.75">
      <c r="A319" s="307"/>
      <c r="B319" s="307"/>
      <c r="C319" s="307"/>
      <c r="D319" s="307"/>
      <c r="E319" s="307"/>
      <c r="F319" s="307"/>
      <c r="G319" s="307"/>
      <c r="H319" s="307"/>
      <c r="I319" s="307"/>
      <c r="J319" s="307"/>
      <c r="K319" s="307"/>
      <c r="L319" s="307"/>
      <c r="M319" s="307"/>
      <c r="N319" s="307"/>
      <c r="O319" s="307"/>
      <c r="P319" s="307"/>
      <c r="Q319" s="307"/>
      <c r="R319" s="307"/>
      <c r="S319" s="307"/>
      <c r="T319" s="307"/>
      <c r="U319" s="307"/>
      <c r="V319" s="307"/>
      <c r="W319" s="307"/>
      <c r="X319" s="307"/>
      <c r="Y319" s="307"/>
      <c r="Z319" s="307"/>
      <c r="AA319" s="307"/>
      <c r="AB319" s="307"/>
      <c r="AC319" s="307"/>
      <c r="AD319" s="307"/>
      <c r="AE319" s="307"/>
      <c r="AF319" s="307"/>
      <c r="AG319" s="307"/>
      <c r="AH319" s="307"/>
      <c r="AI319" s="307"/>
      <c r="AJ319" s="307"/>
      <c r="AK319" s="307"/>
      <c r="AL319" s="307"/>
    </row>
    <row r="320" spans="1:38" ht="15.75">
      <c r="A320" s="307"/>
      <c r="B320" s="307"/>
      <c r="C320" s="307"/>
      <c r="D320" s="307"/>
      <c r="E320" s="307"/>
      <c r="F320" s="307"/>
      <c r="G320" s="307"/>
      <c r="H320" s="307"/>
      <c r="I320" s="307"/>
      <c r="J320" s="307"/>
      <c r="K320" s="307"/>
      <c r="L320" s="307"/>
      <c r="M320" s="307"/>
      <c r="N320" s="307"/>
      <c r="O320" s="307"/>
      <c r="P320" s="307"/>
      <c r="Q320" s="307"/>
      <c r="R320" s="307"/>
      <c r="S320" s="307"/>
      <c r="T320" s="307"/>
      <c r="U320" s="307"/>
      <c r="V320" s="307"/>
      <c r="W320" s="307"/>
      <c r="X320" s="307"/>
      <c r="Y320" s="307"/>
      <c r="Z320" s="307"/>
      <c r="AA320" s="307"/>
      <c r="AB320" s="307"/>
      <c r="AC320" s="307"/>
      <c r="AD320" s="307"/>
      <c r="AE320" s="307"/>
      <c r="AF320" s="307"/>
      <c r="AG320" s="307"/>
      <c r="AH320" s="307"/>
      <c r="AI320" s="307"/>
      <c r="AJ320" s="307"/>
      <c r="AK320" s="307"/>
      <c r="AL320" s="307"/>
    </row>
    <row r="321" spans="1:38" ht="15.75">
      <c r="A321" s="307"/>
      <c r="B321" s="307"/>
      <c r="C321" s="307"/>
      <c r="D321" s="307"/>
      <c r="E321" s="307"/>
      <c r="F321" s="307"/>
      <c r="G321" s="307"/>
      <c r="H321" s="307"/>
      <c r="I321" s="307"/>
      <c r="J321" s="307"/>
      <c r="K321" s="307"/>
      <c r="L321" s="307"/>
      <c r="M321" s="307"/>
      <c r="N321" s="307"/>
      <c r="O321" s="307"/>
      <c r="P321" s="307"/>
      <c r="Q321" s="307"/>
      <c r="R321" s="307"/>
      <c r="S321" s="307"/>
      <c r="T321" s="307"/>
      <c r="U321" s="307"/>
      <c r="V321" s="307"/>
      <c r="W321" s="307"/>
      <c r="X321" s="307"/>
      <c r="Y321" s="307"/>
      <c r="Z321" s="307"/>
      <c r="AA321" s="307"/>
      <c r="AB321" s="307"/>
      <c r="AC321" s="307"/>
      <c r="AD321" s="307"/>
      <c r="AE321" s="307"/>
      <c r="AF321" s="307"/>
      <c r="AG321" s="307"/>
      <c r="AH321" s="307"/>
      <c r="AI321" s="307"/>
      <c r="AJ321" s="307"/>
      <c r="AK321" s="307"/>
      <c r="AL321" s="307"/>
    </row>
  </sheetData>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2C20-3335-49CB-A839-00E4B5088A23}">
  <dimension ref="A1:X122"/>
  <sheetViews>
    <sheetView workbookViewId="0">
      <selection sqref="A1:X122"/>
    </sheetView>
  </sheetViews>
  <sheetFormatPr defaultRowHeight="15"/>
  <cols>
    <col min="1" max="1" width="2.33203125" customWidth="1"/>
    <col min="2" max="2" width="15.77734375" customWidth="1"/>
    <col min="3" max="3" width="12.109375" bestFit="1" customWidth="1"/>
    <col min="4" max="4" width="1.77734375" customWidth="1"/>
    <col min="5" max="5" width="7" bestFit="1" customWidth="1"/>
    <col min="6" max="6" width="1.77734375" customWidth="1"/>
    <col min="7" max="7" width="4.109375" bestFit="1" customWidth="1"/>
    <col min="8" max="8" width="1.77734375" customWidth="1"/>
    <col min="9" max="9" width="23.88671875" customWidth="1"/>
    <col min="10" max="10" width="1.77734375" customWidth="1"/>
    <col min="11" max="11" width="23.88671875" customWidth="1"/>
    <col min="12" max="12" width="1.77734375" customWidth="1"/>
    <col min="13" max="13" width="6.44140625" bestFit="1" customWidth="1"/>
    <col min="14" max="14" width="1.77734375" customWidth="1"/>
    <col min="15" max="15" width="22.21875" bestFit="1" customWidth="1"/>
    <col min="16" max="16" width="1.77734375" customWidth="1"/>
    <col min="17" max="17" width="6.88671875" bestFit="1" customWidth="1"/>
    <col min="18" max="18" width="1.77734375" customWidth="1"/>
    <col min="19" max="19" width="6.88671875" bestFit="1" customWidth="1"/>
  </cols>
  <sheetData>
    <row r="1" spans="1:24" ht="16.5" thickBot="1">
      <c r="A1" s="382"/>
      <c r="B1" s="382"/>
      <c r="C1" s="432" t="s">
        <v>45</v>
      </c>
      <c r="D1" s="382"/>
      <c r="E1" s="432" t="s">
        <v>782</v>
      </c>
      <c r="F1" s="382"/>
      <c r="G1" s="432" t="s">
        <v>783</v>
      </c>
      <c r="H1" s="382"/>
      <c r="I1" s="432" t="s">
        <v>784</v>
      </c>
      <c r="J1" s="382"/>
      <c r="K1" s="432" t="s">
        <v>785</v>
      </c>
      <c r="L1" s="382"/>
      <c r="M1" s="432" t="s">
        <v>786</v>
      </c>
      <c r="N1" s="382"/>
      <c r="O1" s="432" t="s">
        <v>787</v>
      </c>
      <c r="P1" s="382"/>
      <c r="Q1" s="432" t="s">
        <v>47</v>
      </c>
      <c r="R1" s="382"/>
      <c r="S1" s="432" t="s">
        <v>788</v>
      </c>
      <c r="T1" s="225"/>
      <c r="U1" s="203"/>
      <c r="V1" s="203"/>
      <c r="W1" s="203"/>
      <c r="X1" s="203"/>
    </row>
    <row r="2" spans="1:24" ht="16.5" thickTop="1">
      <c r="A2" s="374"/>
      <c r="B2" s="374" t="s">
        <v>168</v>
      </c>
      <c r="C2" s="374"/>
      <c r="D2" s="374"/>
      <c r="E2" s="433"/>
      <c r="F2" s="374"/>
      <c r="G2" s="374"/>
      <c r="H2" s="374"/>
      <c r="I2" s="374"/>
      <c r="J2" s="374"/>
      <c r="K2" s="374"/>
      <c r="L2" s="374"/>
      <c r="M2" s="374"/>
      <c r="N2" s="374"/>
      <c r="O2" s="374"/>
      <c r="P2" s="374"/>
      <c r="Q2" s="388"/>
      <c r="R2" s="374"/>
      <c r="S2" s="388"/>
      <c r="T2" s="225"/>
      <c r="U2" s="203"/>
      <c r="V2" s="203"/>
      <c r="W2" s="203"/>
      <c r="X2" s="203"/>
    </row>
    <row r="3" spans="1:24" ht="15.75">
      <c r="A3" s="385"/>
      <c r="B3" s="385"/>
      <c r="C3" s="385" t="s">
        <v>789</v>
      </c>
      <c r="D3" s="385"/>
      <c r="E3" s="434">
        <v>43840</v>
      </c>
      <c r="F3" s="385"/>
      <c r="G3" s="385" t="s">
        <v>790</v>
      </c>
      <c r="H3" s="385"/>
      <c r="I3" s="385" t="s">
        <v>791</v>
      </c>
      <c r="J3" s="385"/>
      <c r="K3" s="385" t="s">
        <v>792</v>
      </c>
      <c r="L3" s="385"/>
      <c r="M3" s="385" t="s">
        <v>793</v>
      </c>
      <c r="N3" s="385"/>
      <c r="O3" s="385" t="s">
        <v>794</v>
      </c>
      <c r="P3" s="385"/>
      <c r="Q3" s="386">
        <v>-472.83</v>
      </c>
      <c r="R3" s="385"/>
      <c r="S3" s="386">
        <f t="shared" ref="S3:S66" si="0">ROUND(S2+Q3,5)</f>
        <v>-472.83</v>
      </c>
      <c r="T3" s="225"/>
      <c r="U3" s="203"/>
      <c r="V3" s="203"/>
      <c r="W3" s="203"/>
      <c r="X3" s="203"/>
    </row>
    <row r="4" spans="1:24" ht="15.75">
      <c r="A4" s="385"/>
      <c r="B4" s="385"/>
      <c r="C4" s="385" t="s">
        <v>795</v>
      </c>
      <c r="D4" s="385"/>
      <c r="E4" s="434">
        <v>43861</v>
      </c>
      <c r="F4" s="385"/>
      <c r="G4" s="385"/>
      <c r="H4" s="385"/>
      <c r="I4" s="385" t="s">
        <v>796</v>
      </c>
      <c r="J4" s="385"/>
      <c r="K4" s="385"/>
      <c r="L4" s="385"/>
      <c r="M4" s="385" t="s">
        <v>793</v>
      </c>
      <c r="N4" s="385"/>
      <c r="O4" s="385" t="s">
        <v>797</v>
      </c>
      <c r="P4" s="385"/>
      <c r="Q4" s="386">
        <v>6009.71</v>
      </c>
      <c r="R4" s="385"/>
      <c r="S4" s="386">
        <f t="shared" si="0"/>
        <v>5536.88</v>
      </c>
      <c r="T4" s="225"/>
      <c r="U4" s="203"/>
      <c r="V4" s="203"/>
      <c r="W4" s="203"/>
      <c r="X4" s="203"/>
    </row>
    <row r="5" spans="1:24" ht="15.75">
      <c r="A5" s="385"/>
      <c r="B5" s="385"/>
      <c r="C5" s="385" t="s">
        <v>798</v>
      </c>
      <c r="D5" s="385"/>
      <c r="E5" s="434">
        <v>43864</v>
      </c>
      <c r="F5" s="385"/>
      <c r="G5" s="385"/>
      <c r="H5" s="385"/>
      <c r="I5" s="385" t="s">
        <v>799</v>
      </c>
      <c r="J5" s="385"/>
      <c r="K5" s="385" t="s">
        <v>800</v>
      </c>
      <c r="L5" s="385"/>
      <c r="M5" s="385" t="s">
        <v>793</v>
      </c>
      <c r="N5" s="385"/>
      <c r="O5" s="385" t="s">
        <v>801</v>
      </c>
      <c r="P5" s="385"/>
      <c r="Q5" s="386">
        <v>219.57</v>
      </c>
      <c r="R5" s="385"/>
      <c r="S5" s="386">
        <f t="shared" si="0"/>
        <v>5756.45</v>
      </c>
      <c r="T5" s="225"/>
      <c r="U5" s="203"/>
      <c r="V5" s="203"/>
      <c r="W5" s="203"/>
      <c r="X5" s="203"/>
    </row>
    <row r="6" spans="1:24" ht="15.75">
      <c r="A6" s="385"/>
      <c r="B6" s="385"/>
      <c r="C6" s="385" t="s">
        <v>798</v>
      </c>
      <c r="D6" s="385"/>
      <c r="E6" s="434">
        <v>43864</v>
      </c>
      <c r="F6" s="385"/>
      <c r="G6" s="385"/>
      <c r="H6" s="385"/>
      <c r="I6" s="385" t="s">
        <v>799</v>
      </c>
      <c r="J6" s="385"/>
      <c r="K6" s="385" t="s">
        <v>802</v>
      </c>
      <c r="L6" s="385"/>
      <c r="M6" s="385" t="s">
        <v>793</v>
      </c>
      <c r="N6" s="385"/>
      <c r="O6" s="385" t="s">
        <v>801</v>
      </c>
      <c r="P6" s="385"/>
      <c r="Q6" s="386"/>
      <c r="R6" s="385"/>
      <c r="S6" s="386">
        <f t="shared" si="0"/>
        <v>5756.45</v>
      </c>
      <c r="T6" s="225"/>
      <c r="U6" s="203"/>
      <c r="V6" s="203"/>
      <c r="W6" s="203"/>
      <c r="X6" s="203"/>
    </row>
    <row r="7" spans="1:24" ht="15.75">
      <c r="A7" s="385"/>
      <c r="B7" s="385"/>
      <c r="C7" s="385" t="s">
        <v>798</v>
      </c>
      <c r="D7" s="385"/>
      <c r="E7" s="434">
        <v>43864</v>
      </c>
      <c r="F7" s="385"/>
      <c r="G7" s="385"/>
      <c r="H7" s="385"/>
      <c r="I7" s="385" t="s">
        <v>799</v>
      </c>
      <c r="J7" s="385"/>
      <c r="K7" s="385" t="s">
        <v>802</v>
      </c>
      <c r="L7" s="385"/>
      <c r="M7" s="385" t="s">
        <v>793</v>
      </c>
      <c r="N7" s="385"/>
      <c r="O7" s="385" t="s">
        <v>801</v>
      </c>
      <c r="P7" s="385"/>
      <c r="Q7" s="386"/>
      <c r="R7" s="385"/>
      <c r="S7" s="386">
        <f t="shared" si="0"/>
        <v>5756.45</v>
      </c>
      <c r="T7" s="225"/>
      <c r="U7" s="203"/>
      <c r="V7" s="203"/>
      <c r="W7" s="203"/>
      <c r="X7" s="203"/>
    </row>
    <row r="8" spans="1:24" ht="15.75">
      <c r="A8" s="385"/>
      <c r="B8" s="385"/>
      <c r="C8" s="385" t="s">
        <v>795</v>
      </c>
      <c r="D8" s="385"/>
      <c r="E8" s="434">
        <v>43890</v>
      </c>
      <c r="F8" s="385"/>
      <c r="G8" s="385"/>
      <c r="H8" s="385"/>
      <c r="I8" s="385" t="s">
        <v>796</v>
      </c>
      <c r="J8" s="385"/>
      <c r="K8" s="385"/>
      <c r="L8" s="385"/>
      <c r="M8" s="385" t="s">
        <v>793</v>
      </c>
      <c r="N8" s="385"/>
      <c r="O8" s="385" t="s">
        <v>797</v>
      </c>
      <c r="P8" s="385"/>
      <c r="Q8" s="386">
        <v>50.93</v>
      </c>
      <c r="R8" s="385"/>
      <c r="S8" s="386">
        <f t="shared" si="0"/>
        <v>5807.38</v>
      </c>
      <c r="T8" s="225"/>
      <c r="U8" s="203"/>
      <c r="V8" s="203"/>
      <c r="W8" s="203"/>
      <c r="X8" s="203"/>
    </row>
    <row r="9" spans="1:24" ht="15.75">
      <c r="A9" s="385"/>
      <c r="B9" s="385"/>
      <c r="C9" s="385" t="s">
        <v>795</v>
      </c>
      <c r="D9" s="385"/>
      <c r="E9" s="434">
        <v>43890</v>
      </c>
      <c r="F9" s="385"/>
      <c r="G9" s="385"/>
      <c r="H9" s="385"/>
      <c r="I9" s="385" t="s">
        <v>803</v>
      </c>
      <c r="J9" s="385"/>
      <c r="K9" s="385"/>
      <c r="L9" s="385"/>
      <c r="M9" s="385"/>
      <c r="N9" s="385"/>
      <c r="O9" s="385" t="s">
        <v>797</v>
      </c>
      <c r="P9" s="385"/>
      <c r="Q9" s="386">
        <v>429.6</v>
      </c>
      <c r="R9" s="385"/>
      <c r="S9" s="386">
        <f t="shared" si="0"/>
        <v>6236.98</v>
      </c>
      <c r="T9" s="225"/>
      <c r="U9" s="203"/>
      <c r="V9" s="203"/>
      <c r="W9" s="203"/>
      <c r="X9" s="203"/>
    </row>
    <row r="10" spans="1:24" ht="15.75">
      <c r="A10" s="385"/>
      <c r="B10" s="385"/>
      <c r="C10" s="385" t="s">
        <v>795</v>
      </c>
      <c r="D10" s="385"/>
      <c r="E10" s="434">
        <v>43890</v>
      </c>
      <c r="F10" s="385"/>
      <c r="G10" s="385"/>
      <c r="H10" s="385"/>
      <c r="I10" s="385" t="s">
        <v>803</v>
      </c>
      <c r="J10" s="385"/>
      <c r="K10" s="385"/>
      <c r="L10" s="385"/>
      <c r="M10" s="385"/>
      <c r="N10" s="385"/>
      <c r="O10" s="385" t="s">
        <v>797</v>
      </c>
      <c r="P10" s="385"/>
      <c r="Q10" s="386">
        <v>130</v>
      </c>
      <c r="R10" s="385"/>
      <c r="S10" s="386">
        <f t="shared" si="0"/>
        <v>6366.98</v>
      </c>
      <c r="T10" s="225"/>
      <c r="U10" s="203"/>
      <c r="V10" s="203"/>
      <c r="W10" s="203"/>
      <c r="X10" s="203"/>
    </row>
    <row r="11" spans="1:24" ht="15.75">
      <c r="A11" s="385"/>
      <c r="B11" s="385"/>
      <c r="C11" s="385" t="s">
        <v>798</v>
      </c>
      <c r="D11" s="385"/>
      <c r="E11" s="434">
        <v>43924</v>
      </c>
      <c r="F11" s="385"/>
      <c r="G11" s="385"/>
      <c r="H11" s="385"/>
      <c r="I11" s="385" t="s">
        <v>799</v>
      </c>
      <c r="J11" s="385"/>
      <c r="K11" s="385" t="s">
        <v>804</v>
      </c>
      <c r="L11" s="385"/>
      <c r="M11" s="385" t="s">
        <v>793</v>
      </c>
      <c r="N11" s="385"/>
      <c r="O11" s="385" t="s">
        <v>801</v>
      </c>
      <c r="P11" s="385"/>
      <c r="Q11" s="386">
        <v>2137.9299999999998</v>
      </c>
      <c r="R11" s="385"/>
      <c r="S11" s="386">
        <f t="shared" si="0"/>
        <v>8504.91</v>
      </c>
      <c r="T11" s="225"/>
      <c r="U11" s="203"/>
      <c r="V11" s="203"/>
      <c r="W11" s="203"/>
      <c r="X11" s="203"/>
    </row>
    <row r="12" spans="1:24" ht="15.75">
      <c r="A12" s="385"/>
      <c r="B12" s="385"/>
      <c r="C12" s="385" t="s">
        <v>798</v>
      </c>
      <c r="D12" s="385"/>
      <c r="E12" s="434">
        <v>43928</v>
      </c>
      <c r="F12" s="385"/>
      <c r="G12" s="385"/>
      <c r="H12" s="385"/>
      <c r="I12" s="385" t="s">
        <v>799</v>
      </c>
      <c r="J12" s="385"/>
      <c r="K12" s="385" t="s">
        <v>805</v>
      </c>
      <c r="L12" s="385"/>
      <c r="M12" s="385" t="s">
        <v>793</v>
      </c>
      <c r="N12" s="385"/>
      <c r="O12" s="385" t="s">
        <v>801</v>
      </c>
      <c r="P12" s="385"/>
      <c r="Q12" s="386">
        <v>1805.7</v>
      </c>
      <c r="R12" s="385"/>
      <c r="S12" s="386">
        <f t="shared" si="0"/>
        <v>10310.61</v>
      </c>
      <c r="T12" s="225"/>
      <c r="U12" s="203"/>
      <c r="V12" s="203"/>
      <c r="W12" s="203"/>
      <c r="X12" s="203"/>
    </row>
    <row r="13" spans="1:24" ht="15.75">
      <c r="A13" s="385"/>
      <c r="B13" s="385"/>
      <c r="C13" s="385" t="s">
        <v>798</v>
      </c>
      <c r="D13" s="385"/>
      <c r="E13" s="434">
        <v>43928</v>
      </c>
      <c r="F13" s="385"/>
      <c r="G13" s="385"/>
      <c r="H13" s="385"/>
      <c r="I13" s="385" t="s">
        <v>799</v>
      </c>
      <c r="J13" s="385"/>
      <c r="K13" s="385" t="s">
        <v>806</v>
      </c>
      <c r="L13" s="385"/>
      <c r="M13" s="385" t="s">
        <v>793</v>
      </c>
      <c r="N13" s="385"/>
      <c r="O13" s="385" t="s">
        <v>801</v>
      </c>
      <c r="P13" s="385"/>
      <c r="Q13" s="386">
        <v>988.28</v>
      </c>
      <c r="R13" s="385"/>
      <c r="S13" s="386">
        <f t="shared" si="0"/>
        <v>11298.89</v>
      </c>
      <c r="T13" s="225"/>
      <c r="U13" s="203"/>
      <c r="V13" s="203"/>
      <c r="W13" s="203"/>
      <c r="X13" s="203"/>
    </row>
    <row r="14" spans="1:24" ht="15.75">
      <c r="A14" s="385"/>
      <c r="B14" s="385"/>
      <c r="C14" s="385" t="s">
        <v>798</v>
      </c>
      <c r="D14" s="385"/>
      <c r="E14" s="434">
        <v>43931</v>
      </c>
      <c r="F14" s="385"/>
      <c r="G14" s="385"/>
      <c r="H14" s="385"/>
      <c r="I14" s="385" t="s">
        <v>799</v>
      </c>
      <c r="J14" s="385"/>
      <c r="K14" s="385" t="s">
        <v>807</v>
      </c>
      <c r="L14" s="385"/>
      <c r="M14" s="385" t="s">
        <v>793</v>
      </c>
      <c r="N14" s="385"/>
      <c r="O14" s="385" t="s">
        <v>801</v>
      </c>
      <c r="P14" s="385"/>
      <c r="Q14" s="386">
        <v>202.33</v>
      </c>
      <c r="R14" s="385"/>
      <c r="S14" s="386">
        <f t="shared" si="0"/>
        <v>11501.22</v>
      </c>
      <c r="T14" s="225"/>
      <c r="U14" s="203"/>
      <c r="V14" s="203"/>
      <c r="W14" s="203"/>
      <c r="X14" s="203"/>
    </row>
    <row r="15" spans="1:24" ht="15.75">
      <c r="A15" s="385"/>
      <c r="B15" s="385"/>
      <c r="C15" s="385" t="s">
        <v>798</v>
      </c>
      <c r="D15" s="385"/>
      <c r="E15" s="434">
        <v>43931</v>
      </c>
      <c r="F15" s="385"/>
      <c r="G15" s="385"/>
      <c r="H15" s="385"/>
      <c r="I15" s="385" t="s">
        <v>799</v>
      </c>
      <c r="J15" s="385"/>
      <c r="K15" s="385" t="s">
        <v>807</v>
      </c>
      <c r="L15" s="385"/>
      <c r="M15" s="385" t="s">
        <v>793</v>
      </c>
      <c r="N15" s="385"/>
      <c r="O15" s="385" t="s">
        <v>801</v>
      </c>
      <c r="P15" s="385"/>
      <c r="Q15" s="386"/>
      <c r="R15" s="385"/>
      <c r="S15" s="386">
        <f t="shared" si="0"/>
        <v>11501.22</v>
      </c>
      <c r="T15" s="225"/>
      <c r="U15" s="203"/>
      <c r="V15" s="203"/>
      <c r="W15" s="203"/>
      <c r="X15" s="203"/>
    </row>
    <row r="16" spans="1:24" ht="15.75">
      <c r="A16" s="385"/>
      <c r="B16" s="385"/>
      <c r="C16" s="385" t="s">
        <v>798</v>
      </c>
      <c r="D16" s="385"/>
      <c r="E16" s="434">
        <v>43943</v>
      </c>
      <c r="F16" s="385"/>
      <c r="G16" s="385"/>
      <c r="H16" s="385"/>
      <c r="I16" s="385" t="s">
        <v>808</v>
      </c>
      <c r="J16" s="385"/>
      <c r="K16" s="385"/>
      <c r="L16" s="385"/>
      <c r="M16" s="385" t="s">
        <v>809</v>
      </c>
      <c r="N16" s="385"/>
      <c r="O16" s="385" t="s">
        <v>801</v>
      </c>
      <c r="P16" s="385"/>
      <c r="Q16" s="386">
        <v>76.510000000000005</v>
      </c>
      <c r="R16" s="385"/>
      <c r="S16" s="386">
        <f t="shared" si="0"/>
        <v>11577.73</v>
      </c>
      <c r="T16" s="225"/>
      <c r="U16" s="203"/>
      <c r="V16" s="203"/>
      <c r="W16" s="203"/>
      <c r="X16" s="203"/>
    </row>
    <row r="17" spans="1:24" ht="15.75">
      <c r="A17" s="385"/>
      <c r="B17" s="385"/>
      <c r="C17" s="385" t="s">
        <v>798</v>
      </c>
      <c r="D17" s="385"/>
      <c r="E17" s="434">
        <v>43950</v>
      </c>
      <c r="F17" s="385"/>
      <c r="G17" s="385"/>
      <c r="H17" s="385"/>
      <c r="I17" s="385" t="s">
        <v>799</v>
      </c>
      <c r="J17" s="385"/>
      <c r="K17" s="385" t="s">
        <v>810</v>
      </c>
      <c r="L17" s="385"/>
      <c r="M17" s="385" t="s">
        <v>793</v>
      </c>
      <c r="N17" s="385"/>
      <c r="O17" s="385" t="s">
        <v>801</v>
      </c>
      <c r="P17" s="385"/>
      <c r="Q17" s="386"/>
      <c r="R17" s="385"/>
      <c r="S17" s="386">
        <f t="shared" si="0"/>
        <v>11577.73</v>
      </c>
      <c r="T17" s="225"/>
      <c r="U17" s="203"/>
      <c r="V17" s="203"/>
      <c r="W17" s="203"/>
      <c r="X17" s="203"/>
    </row>
    <row r="18" spans="1:24" ht="15.75">
      <c r="A18" s="385"/>
      <c r="B18" s="385"/>
      <c r="C18" s="385" t="s">
        <v>795</v>
      </c>
      <c r="D18" s="385"/>
      <c r="E18" s="434">
        <v>43951</v>
      </c>
      <c r="F18" s="385"/>
      <c r="G18" s="385"/>
      <c r="H18" s="385"/>
      <c r="I18" s="385" t="s">
        <v>796</v>
      </c>
      <c r="J18" s="385"/>
      <c r="K18" s="385"/>
      <c r="L18" s="385"/>
      <c r="M18" s="385" t="s">
        <v>793</v>
      </c>
      <c r="N18" s="385"/>
      <c r="O18" s="385" t="s">
        <v>797</v>
      </c>
      <c r="P18" s="385"/>
      <c r="Q18" s="386">
        <v>1627.25</v>
      </c>
      <c r="R18" s="385"/>
      <c r="S18" s="386">
        <f t="shared" si="0"/>
        <v>13204.98</v>
      </c>
      <c r="T18" s="225"/>
      <c r="U18" s="203"/>
      <c r="V18" s="203"/>
      <c r="W18" s="203"/>
      <c r="X18" s="203"/>
    </row>
    <row r="19" spans="1:24" ht="15.75">
      <c r="A19" s="385"/>
      <c r="B19" s="385"/>
      <c r="C19" s="385" t="s">
        <v>795</v>
      </c>
      <c r="D19" s="385"/>
      <c r="E19" s="434">
        <v>43951</v>
      </c>
      <c r="F19" s="385"/>
      <c r="G19" s="385"/>
      <c r="H19" s="385"/>
      <c r="I19" s="385" t="s">
        <v>811</v>
      </c>
      <c r="J19" s="385"/>
      <c r="K19" s="385" t="s">
        <v>812</v>
      </c>
      <c r="L19" s="385"/>
      <c r="M19" s="385" t="s">
        <v>793</v>
      </c>
      <c r="N19" s="385"/>
      <c r="O19" s="385" t="s">
        <v>797</v>
      </c>
      <c r="P19" s="385"/>
      <c r="Q19" s="386">
        <v>835.4</v>
      </c>
      <c r="R19" s="385"/>
      <c r="S19" s="386">
        <f t="shared" si="0"/>
        <v>14040.38</v>
      </c>
      <c r="T19" s="225"/>
      <c r="U19" s="203"/>
      <c r="V19" s="203"/>
      <c r="W19" s="203"/>
      <c r="X19" s="203"/>
    </row>
    <row r="20" spans="1:24" ht="15.75">
      <c r="A20" s="385"/>
      <c r="B20" s="385"/>
      <c r="C20" s="385" t="s">
        <v>798</v>
      </c>
      <c r="D20" s="385"/>
      <c r="E20" s="434">
        <v>43956</v>
      </c>
      <c r="F20" s="385"/>
      <c r="G20" s="385"/>
      <c r="H20" s="385"/>
      <c r="I20" s="385" t="s">
        <v>799</v>
      </c>
      <c r="J20" s="385"/>
      <c r="K20" s="385" t="s">
        <v>813</v>
      </c>
      <c r="L20" s="385"/>
      <c r="M20" s="385" t="s">
        <v>793</v>
      </c>
      <c r="N20" s="385"/>
      <c r="O20" s="385" t="s">
        <v>801</v>
      </c>
      <c r="P20" s="385"/>
      <c r="Q20" s="386">
        <v>219.34</v>
      </c>
      <c r="R20" s="385"/>
      <c r="S20" s="386">
        <f t="shared" si="0"/>
        <v>14259.72</v>
      </c>
      <c r="T20" s="225"/>
      <c r="U20" s="203"/>
      <c r="V20" s="203"/>
      <c r="W20" s="203"/>
      <c r="X20" s="203"/>
    </row>
    <row r="21" spans="1:24" ht="15.75">
      <c r="A21" s="385"/>
      <c r="B21" s="385"/>
      <c r="C21" s="385" t="s">
        <v>798</v>
      </c>
      <c r="D21" s="385"/>
      <c r="E21" s="434">
        <v>43956</v>
      </c>
      <c r="F21" s="385"/>
      <c r="G21" s="385"/>
      <c r="H21" s="385"/>
      <c r="I21" s="385" t="s">
        <v>799</v>
      </c>
      <c r="J21" s="385"/>
      <c r="K21" s="385" t="s">
        <v>814</v>
      </c>
      <c r="L21" s="385"/>
      <c r="M21" s="385" t="s">
        <v>793</v>
      </c>
      <c r="N21" s="385"/>
      <c r="O21" s="385" t="s">
        <v>801</v>
      </c>
      <c r="P21" s="385"/>
      <c r="Q21" s="386"/>
      <c r="R21" s="385"/>
      <c r="S21" s="386">
        <f t="shared" si="0"/>
        <v>14259.72</v>
      </c>
      <c r="T21" s="225"/>
      <c r="U21" s="203"/>
      <c r="V21" s="203"/>
      <c r="W21" s="203"/>
      <c r="X21" s="203"/>
    </row>
    <row r="22" spans="1:24" ht="15.75">
      <c r="A22" s="385"/>
      <c r="B22" s="385"/>
      <c r="C22" s="385" t="s">
        <v>798</v>
      </c>
      <c r="D22" s="385"/>
      <c r="E22" s="434">
        <v>43964</v>
      </c>
      <c r="F22" s="385"/>
      <c r="G22" s="385"/>
      <c r="H22" s="385"/>
      <c r="I22" s="385" t="s">
        <v>799</v>
      </c>
      <c r="J22" s="385"/>
      <c r="K22" s="385" t="s">
        <v>815</v>
      </c>
      <c r="L22" s="385"/>
      <c r="M22" s="385" t="s">
        <v>793</v>
      </c>
      <c r="N22" s="385"/>
      <c r="O22" s="385" t="s">
        <v>801</v>
      </c>
      <c r="P22" s="385"/>
      <c r="Q22" s="386">
        <v>27.04</v>
      </c>
      <c r="R22" s="385"/>
      <c r="S22" s="386">
        <f t="shared" si="0"/>
        <v>14286.76</v>
      </c>
      <c r="T22" s="225"/>
      <c r="U22" s="203"/>
      <c r="V22" s="203"/>
      <c r="W22" s="203"/>
      <c r="X22" s="203"/>
    </row>
    <row r="23" spans="1:24" ht="15.75">
      <c r="A23" s="385"/>
      <c r="B23" s="385"/>
      <c r="C23" s="385" t="s">
        <v>798</v>
      </c>
      <c r="D23" s="385"/>
      <c r="E23" s="434">
        <v>43964</v>
      </c>
      <c r="F23" s="385"/>
      <c r="G23" s="385"/>
      <c r="H23" s="385"/>
      <c r="I23" s="385" t="s">
        <v>799</v>
      </c>
      <c r="J23" s="385"/>
      <c r="K23" s="385" t="s">
        <v>815</v>
      </c>
      <c r="L23" s="385"/>
      <c r="M23" s="385" t="s">
        <v>793</v>
      </c>
      <c r="N23" s="385"/>
      <c r="O23" s="385" t="s">
        <v>801</v>
      </c>
      <c r="P23" s="385"/>
      <c r="Q23" s="386"/>
      <c r="R23" s="385"/>
      <c r="S23" s="386">
        <f t="shared" si="0"/>
        <v>14286.76</v>
      </c>
      <c r="T23" s="225"/>
      <c r="U23" s="203"/>
      <c r="V23" s="203"/>
      <c r="W23" s="203"/>
      <c r="X23" s="203"/>
    </row>
    <row r="24" spans="1:24" ht="15.75">
      <c r="A24" s="385"/>
      <c r="B24" s="385"/>
      <c r="C24" s="385" t="s">
        <v>798</v>
      </c>
      <c r="D24" s="385"/>
      <c r="E24" s="434">
        <v>43971</v>
      </c>
      <c r="F24" s="385"/>
      <c r="G24" s="385"/>
      <c r="H24" s="385"/>
      <c r="I24" s="385" t="s">
        <v>816</v>
      </c>
      <c r="J24" s="385"/>
      <c r="K24" s="385" t="s">
        <v>817</v>
      </c>
      <c r="L24" s="385"/>
      <c r="M24" s="385"/>
      <c r="N24" s="385"/>
      <c r="O24" s="385" t="s">
        <v>801</v>
      </c>
      <c r="P24" s="385"/>
      <c r="Q24" s="386">
        <v>1350</v>
      </c>
      <c r="R24" s="385"/>
      <c r="S24" s="386">
        <f t="shared" si="0"/>
        <v>15636.76</v>
      </c>
      <c r="T24" s="225"/>
      <c r="U24" s="203"/>
      <c r="V24" s="203"/>
      <c r="W24" s="203"/>
      <c r="X24" s="203"/>
    </row>
    <row r="25" spans="1:24" ht="15.75">
      <c r="A25" s="385"/>
      <c r="B25" s="385"/>
      <c r="C25" s="385" t="s">
        <v>818</v>
      </c>
      <c r="D25" s="385"/>
      <c r="E25" s="434">
        <v>43978</v>
      </c>
      <c r="F25" s="385"/>
      <c r="G25" s="385" t="s">
        <v>819</v>
      </c>
      <c r="H25" s="385"/>
      <c r="I25" s="385" t="s">
        <v>820</v>
      </c>
      <c r="J25" s="385"/>
      <c r="K25" s="385" t="s">
        <v>821</v>
      </c>
      <c r="L25" s="385"/>
      <c r="M25" s="385" t="s">
        <v>793</v>
      </c>
      <c r="N25" s="385"/>
      <c r="O25" s="385" t="s">
        <v>794</v>
      </c>
      <c r="P25" s="385"/>
      <c r="Q25" s="386">
        <v>382.15</v>
      </c>
      <c r="R25" s="385"/>
      <c r="S25" s="386">
        <f t="shared" si="0"/>
        <v>16018.91</v>
      </c>
      <c r="T25" s="225"/>
      <c r="U25" s="203"/>
      <c r="V25" s="203"/>
      <c r="W25" s="203"/>
      <c r="X25" s="203"/>
    </row>
    <row r="26" spans="1:24" ht="15.75">
      <c r="A26" s="385"/>
      <c r="B26" s="385"/>
      <c r="C26" s="385" t="s">
        <v>795</v>
      </c>
      <c r="D26" s="385"/>
      <c r="E26" s="434">
        <v>43982</v>
      </c>
      <c r="F26" s="385"/>
      <c r="G26" s="385"/>
      <c r="H26" s="385"/>
      <c r="I26" s="385" t="s">
        <v>796</v>
      </c>
      <c r="J26" s="385"/>
      <c r="K26" s="385"/>
      <c r="L26" s="385"/>
      <c r="M26" s="385" t="s">
        <v>793</v>
      </c>
      <c r="N26" s="385"/>
      <c r="O26" s="385" t="s">
        <v>797</v>
      </c>
      <c r="P26" s="385"/>
      <c r="Q26" s="386">
        <v>6199.87</v>
      </c>
      <c r="R26" s="385"/>
      <c r="S26" s="386">
        <f t="shared" si="0"/>
        <v>22218.78</v>
      </c>
      <c r="T26" s="225"/>
      <c r="U26" s="203"/>
      <c r="V26" s="203"/>
      <c r="W26" s="203"/>
      <c r="X26" s="203"/>
    </row>
    <row r="27" spans="1:24" ht="15.75">
      <c r="A27" s="385"/>
      <c r="B27" s="385"/>
      <c r="C27" s="385" t="s">
        <v>798</v>
      </c>
      <c r="D27" s="385"/>
      <c r="E27" s="434">
        <v>43986</v>
      </c>
      <c r="F27" s="385"/>
      <c r="G27" s="385"/>
      <c r="H27" s="385"/>
      <c r="I27" s="385" t="s">
        <v>799</v>
      </c>
      <c r="J27" s="385"/>
      <c r="K27" s="385" t="s">
        <v>822</v>
      </c>
      <c r="L27" s="385"/>
      <c r="M27" s="385" t="s">
        <v>793</v>
      </c>
      <c r="N27" s="385"/>
      <c r="O27" s="385" t="s">
        <v>801</v>
      </c>
      <c r="P27" s="385"/>
      <c r="Q27" s="386"/>
      <c r="R27" s="385"/>
      <c r="S27" s="386">
        <f t="shared" si="0"/>
        <v>22218.78</v>
      </c>
      <c r="T27" s="225"/>
      <c r="U27" s="203"/>
      <c r="V27" s="203"/>
      <c r="W27" s="203"/>
      <c r="X27" s="203"/>
    </row>
    <row r="28" spans="1:24" ht="15.75">
      <c r="A28" s="385"/>
      <c r="B28" s="385"/>
      <c r="C28" s="385" t="s">
        <v>798</v>
      </c>
      <c r="D28" s="385"/>
      <c r="E28" s="434">
        <v>43986</v>
      </c>
      <c r="F28" s="385"/>
      <c r="G28" s="385"/>
      <c r="H28" s="385"/>
      <c r="I28" s="385" t="s">
        <v>823</v>
      </c>
      <c r="J28" s="385"/>
      <c r="K28" s="385" t="s">
        <v>824</v>
      </c>
      <c r="L28" s="385"/>
      <c r="M28" s="385" t="s">
        <v>793</v>
      </c>
      <c r="N28" s="385"/>
      <c r="O28" s="385" t="s">
        <v>801</v>
      </c>
      <c r="P28" s="385"/>
      <c r="Q28" s="386">
        <v>615.87</v>
      </c>
      <c r="R28" s="385"/>
      <c r="S28" s="386">
        <f t="shared" si="0"/>
        <v>22834.65</v>
      </c>
      <c r="T28" s="225"/>
      <c r="U28" s="203"/>
      <c r="V28" s="203"/>
      <c r="W28" s="203"/>
      <c r="X28" s="203"/>
    </row>
    <row r="29" spans="1:24" ht="15.75">
      <c r="A29" s="385"/>
      <c r="B29" s="385"/>
      <c r="C29" s="385" t="s">
        <v>795</v>
      </c>
      <c r="D29" s="385"/>
      <c r="E29" s="434">
        <v>44012</v>
      </c>
      <c r="F29" s="385"/>
      <c r="G29" s="385"/>
      <c r="H29" s="385"/>
      <c r="I29" s="385" t="s">
        <v>825</v>
      </c>
      <c r="J29" s="385"/>
      <c r="K29" s="385" t="s">
        <v>826</v>
      </c>
      <c r="L29" s="385"/>
      <c r="M29" s="385" t="s">
        <v>793</v>
      </c>
      <c r="N29" s="385"/>
      <c r="O29" s="385" t="s">
        <v>797</v>
      </c>
      <c r="P29" s="385"/>
      <c r="Q29" s="386">
        <v>42.74</v>
      </c>
      <c r="R29" s="385"/>
      <c r="S29" s="386">
        <f t="shared" si="0"/>
        <v>22877.39</v>
      </c>
      <c r="T29" s="225"/>
      <c r="U29" s="203"/>
      <c r="V29" s="203"/>
      <c r="W29" s="203"/>
      <c r="X29" s="203"/>
    </row>
    <row r="30" spans="1:24" ht="15.75">
      <c r="A30" s="385"/>
      <c r="B30" s="385"/>
      <c r="C30" s="385" t="s">
        <v>795</v>
      </c>
      <c r="D30" s="385"/>
      <c r="E30" s="434">
        <v>44012</v>
      </c>
      <c r="F30" s="385"/>
      <c r="G30" s="385"/>
      <c r="H30" s="385"/>
      <c r="I30" s="385" t="s">
        <v>796</v>
      </c>
      <c r="J30" s="385"/>
      <c r="K30" s="385"/>
      <c r="L30" s="385"/>
      <c r="M30" s="385" t="s">
        <v>793</v>
      </c>
      <c r="N30" s="385"/>
      <c r="O30" s="385" t="s">
        <v>797</v>
      </c>
      <c r="P30" s="385"/>
      <c r="Q30" s="386">
        <v>1843.15</v>
      </c>
      <c r="R30" s="385"/>
      <c r="S30" s="386">
        <f t="shared" si="0"/>
        <v>24720.54</v>
      </c>
      <c r="T30" s="225"/>
      <c r="U30" s="203"/>
      <c r="V30" s="203"/>
      <c r="W30" s="203"/>
      <c r="X30" s="203"/>
    </row>
    <row r="31" spans="1:24" ht="15.75">
      <c r="A31" s="385"/>
      <c r="B31" s="385"/>
      <c r="C31" s="385" t="s">
        <v>798</v>
      </c>
      <c r="D31" s="385"/>
      <c r="E31" s="434">
        <v>44014</v>
      </c>
      <c r="F31" s="385"/>
      <c r="G31" s="385"/>
      <c r="H31" s="385"/>
      <c r="I31" s="385" t="s">
        <v>827</v>
      </c>
      <c r="J31" s="385"/>
      <c r="K31" s="385" t="s">
        <v>828</v>
      </c>
      <c r="L31" s="385"/>
      <c r="M31" s="385"/>
      <c r="N31" s="385"/>
      <c r="O31" s="385" t="s">
        <v>801</v>
      </c>
      <c r="P31" s="385"/>
      <c r="Q31" s="386">
        <v>14.42</v>
      </c>
      <c r="R31" s="385"/>
      <c r="S31" s="386">
        <f t="shared" si="0"/>
        <v>24734.959999999999</v>
      </c>
      <c r="T31" s="225"/>
      <c r="U31" s="203"/>
      <c r="V31" s="203"/>
      <c r="W31" s="203"/>
      <c r="X31" s="203"/>
    </row>
    <row r="32" spans="1:24" ht="15.75">
      <c r="A32" s="385"/>
      <c r="B32" s="385"/>
      <c r="C32" s="385" t="s">
        <v>798</v>
      </c>
      <c r="D32" s="385"/>
      <c r="E32" s="434">
        <v>44019</v>
      </c>
      <c r="F32" s="385"/>
      <c r="G32" s="385"/>
      <c r="H32" s="385"/>
      <c r="I32" s="385" t="s">
        <v>823</v>
      </c>
      <c r="J32" s="385"/>
      <c r="K32" s="385" t="s">
        <v>829</v>
      </c>
      <c r="L32" s="385"/>
      <c r="M32" s="385" t="s">
        <v>793</v>
      </c>
      <c r="N32" s="385"/>
      <c r="O32" s="385" t="s">
        <v>801</v>
      </c>
      <c r="P32" s="385"/>
      <c r="Q32" s="386">
        <v>47.5</v>
      </c>
      <c r="R32" s="385"/>
      <c r="S32" s="386">
        <f t="shared" si="0"/>
        <v>24782.46</v>
      </c>
      <c r="T32" s="225"/>
      <c r="U32" s="203"/>
      <c r="V32" s="203"/>
      <c r="W32" s="203"/>
      <c r="X32" s="203"/>
    </row>
    <row r="33" spans="1:24" ht="15.75">
      <c r="A33" s="385"/>
      <c r="B33" s="385"/>
      <c r="C33" s="385" t="s">
        <v>798</v>
      </c>
      <c r="D33" s="385"/>
      <c r="E33" s="434">
        <v>44032</v>
      </c>
      <c r="F33" s="385"/>
      <c r="G33" s="385"/>
      <c r="H33" s="385"/>
      <c r="I33" s="385" t="s">
        <v>799</v>
      </c>
      <c r="J33" s="385"/>
      <c r="K33" s="385" t="s">
        <v>830</v>
      </c>
      <c r="L33" s="385"/>
      <c r="M33" s="385" t="s">
        <v>793</v>
      </c>
      <c r="N33" s="385"/>
      <c r="O33" s="385" t="s">
        <v>801</v>
      </c>
      <c r="P33" s="385"/>
      <c r="Q33" s="386">
        <v>809.58</v>
      </c>
      <c r="R33" s="385"/>
      <c r="S33" s="386">
        <f t="shared" si="0"/>
        <v>25592.04</v>
      </c>
      <c r="T33" s="225"/>
      <c r="U33" s="203"/>
      <c r="V33" s="203"/>
      <c r="W33" s="203"/>
      <c r="X33" s="203"/>
    </row>
    <row r="34" spans="1:24" ht="15.75">
      <c r="A34" s="385"/>
      <c r="B34" s="385"/>
      <c r="C34" s="385" t="s">
        <v>798</v>
      </c>
      <c r="D34" s="385"/>
      <c r="E34" s="434">
        <v>44032</v>
      </c>
      <c r="F34" s="385"/>
      <c r="G34" s="385"/>
      <c r="H34" s="385"/>
      <c r="I34" s="385" t="s">
        <v>799</v>
      </c>
      <c r="J34" s="385"/>
      <c r="K34" s="385" t="s">
        <v>831</v>
      </c>
      <c r="L34" s="385"/>
      <c r="M34" s="385" t="s">
        <v>793</v>
      </c>
      <c r="N34" s="385"/>
      <c r="O34" s="385" t="s">
        <v>801</v>
      </c>
      <c r="P34" s="385"/>
      <c r="Q34" s="386">
        <v>2877.81</v>
      </c>
      <c r="R34" s="385"/>
      <c r="S34" s="386">
        <f t="shared" si="0"/>
        <v>28469.85</v>
      </c>
      <c r="T34" s="225"/>
      <c r="U34" s="203"/>
      <c r="V34" s="203"/>
      <c r="W34" s="203"/>
      <c r="X34" s="203"/>
    </row>
    <row r="35" spans="1:24" ht="15.75">
      <c r="A35" s="385"/>
      <c r="B35" s="385"/>
      <c r="C35" s="385" t="s">
        <v>798</v>
      </c>
      <c r="D35" s="385"/>
      <c r="E35" s="434">
        <v>44032</v>
      </c>
      <c r="F35" s="385"/>
      <c r="G35" s="385"/>
      <c r="H35" s="385"/>
      <c r="I35" s="385" t="s">
        <v>799</v>
      </c>
      <c r="J35" s="385"/>
      <c r="K35" s="385" t="s">
        <v>832</v>
      </c>
      <c r="L35" s="385"/>
      <c r="M35" s="385" t="s">
        <v>793</v>
      </c>
      <c r="N35" s="385"/>
      <c r="O35" s="385" t="s">
        <v>801</v>
      </c>
      <c r="P35" s="385"/>
      <c r="Q35" s="386">
        <v>62.6</v>
      </c>
      <c r="R35" s="385"/>
      <c r="S35" s="386">
        <f t="shared" si="0"/>
        <v>28532.45</v>
      </c>
      <c r="T35" s="225"/>
      <c r="U35" s="203"/>
      <c r="V35" s="203"/>
      <c r="W35" s="203"/>
      <c r="X35" s="203"/>
    </row>
    <row r="36" spans="1:24" ht="15.75">
      <c r="A36" s="385"/>
      <c r="B36" s="385"/>
      <c r="C36" s="385" t="s">
        <v>818</v>
      </c>
      <c r="D36" s="385"/>
      <c r="E36" s="434">
        <v>44042</v>
      </c>
      <c r="F36" s="385"/>
      <c r="G36" s="385" t="s">
        <v>833</v>
      </c>
      <c r="H36" s="385"/>
      <c r="I36" s="385" t="s">
        <v>834</v>
      </c>
      <c r="J36" s="385"/>
      <c r="K36" s="385" t="s">
        <v>835</v>
      </c>
      <c r="L36" s="385"/>
      <c r="M36" s="385"/>
      <c r="N36" s="385"/>
      <c r="O36" s="385" t="s">
        <v>794</v>
      </c>
      <c r="P36" s="385"/>
      <c r="Q36" s="386">
        <v>215.21</v>
      </c>
      <c r="R36" s="385"/>
      <c r="S36" s="386">
        <f t="shared" si="0"/>
        <v>28747.66</v>
      </c>
      <c r="T36" s="225"/>
      <c r="U36" s="203"/>
      <c r="V36" s="203"/>
      <c r="W36" s="203"/>
      <c r="X36" s="203"/>
    </row>
    <row r="37" spans="1:24" ht="15.75">
      <c r="A37" s="385"/>
      <c r="B37" s="385"/>
      <c r="C37" s="385" t="s">
        <v>795</v>
      </c>
      <c r="D37" s="385"/>
      <c r="E37" s="434">
        <v>44043</v>
      </c>
      <c r="F37" s="385"/>
      <c r="G37" s="385"/>
      <c r="H37" s="385"/>
      <c r="I37" s="385" t="s">
        <v>796</v>
      </c>
      <c r="J37" s="385"/>
      <c r="K37" s="385"/>
      <c r="L37" s="385"/>
      <c r="M37" s="385" t="s">
        <v>793</v>
      </c>
      <c r="N37" s="385"/>
      <c r="O37" s="385" t="s">
        <v>797</v>
      </c>
      <c r="P37" s="385"/>
      <c r="Q37" s="386">
        <v>4149.62</v>
      </c>
      <c r="R37" s="385"/>
      <c r="S37" s="386">
        <f t="shared" si="0"/>
        <v>32897.279999999999</v>
      </c>
      <c r="T37" s="225"/>
      <c r="U37" s="203"/>
      <c r="V37" s="203"/>
      <c r="W37" s="203"/>
      <c r="X37" s="203"/>
    </row>
    <row r="38" spans="1:24" ht="15.75">
      <c r="A38" s="385"/>
      <c r="B38" s="385"/>
      <c r="C38" s="385" t="s">
        <v>795</v>
      </c>
      <c r="D38" s="385"/>
      <c r="E38" s="434">
        <v>44043</v>
      </c>
      <c r="F38" s="385"/>
      <c r="G38" s="385"/>
      <c r="H38" s="385"/>
      <c r="I38" s="385" t="s">
        <v>836</v>
      </c>
      <c r="J38" s="385"/>
      <c r="K38" s="385" t="s">
        <v>837</v>
      </c>
      <c r="L38" s="385"/>
      <c r="M38" s="385" t="s">
        <v>793</v>
      </c>
      <c r="N38" s="385"/>
      <c r="O38" s="385" t="s">
        <v>797</v>
      </c>
      <c r="P38" s="385"/>
      <c r="Q38" s="386">
        <v>88.64</v>
      </c>
      <c r="R38" s="385"/>
      <c r="S38" s="386">
        <f t="shared" si="0"/>
        <v>32985.919999999998</v>
      </c>
      <c r="T38" s="225"/>
      <c r="U38" s="203"/>
      <c r="V38" s="203"/>
      <c r="W38" s="203"/>
      <c r="X38" s="203"/>
    </row>
    <row r="39" spans="1:24" ht="15.75">
      <c r="A39" s="385"/>
      <c r="B39" s="385"/>
      <c r="C39" s="385" t="s">
        <v>798</v>
      </c>
      <c r="D39" s="385"/>
      <c r="E39" s="434">
        <v>44050</v>
      </c>
      <c r="F39" s="385"/>
      <c r="G39" s="385"/>
      <c r="H39" s="385"/>
      <c r="I39" s="385" t="s">
        <v>823</v>
      </c>
      <c r="J39" s="385"/>
      <c r="K39" s="385" t="s">
        <v>829</v>
      </c>
      <c r="L39" s="385"/>
      <c r="M39" s="385" t="s">
        <v>793</v>
      </c>
      <c r="N39" s="385"/>
      <c r="O39" s="385" t="s">
        <v>801</v>
      </c>
      <c r="P39" s="385"/>
      <c r="Q39" s="386">
        <v>28.43</v>
      </c>
      <c r="R39" s="385"/>
      <c r="S39" s="386">
        <f t="shared" si="0"/>
        <v>33014.35</v>
      </c>
      <c r="T39" s="225"/>
      <c r="U39" s="203"/>
      <c r="V39" s="203"/>
      <c r="W39" s="203"/>
      <c r="X39" s="203"/>
    </row>
    <row r="40" spans="1:24" ht="15.75">
      <c r="A40" s="385"/>
      <c r="B40" s="385"/>
      <c r="C40" s="385" t="s">
        <v>798</v>
      </c>
      <c r="D40" s="385"/>
      <c r="E40" s="434">
        <v>44050</v>
      </c>
      <c r="F40" s="385"/>
      <c r="G40" s="385"/>
      <c r="H40" s="385"/>
      <c r="I40" s="385" t="s">
        <v>838</v>
      </c>
      <c r="J40" s="385"/>
      <c r="K40" s="385"/>
      <c r="L40" s="385"/>
      <c r="M40" s="385" t="s">
        <v>793</v>
      </c>
      <c r="N40" s="385"/>
      <c r="O40" s="385" t="s">
        <v>801</v>
      </c>
      <c r="P40" s="385"/>
      <c r="Q40" s="386">
        <v>1995.34</v>
      </c>
      <c r="R40" s="385"/>
      <c r="S40" s="386">
        <f t="shared" si="0"/>
        <v>35009.69</v>
      </c>
      <c r="T40" s="225"/>
      <c r="U40" s="203"/>
      <c r="V40" s="203"/>
      <c r="W40" s="203"/>
      <c r="X40" s="203"/>
    </row>
    <row r="41" spans="1:24" ht="15.75">
      <c r="A41" s="385"/>
      <c r="B41" s="385"/>
      <c r="C41" s="385" t="s">
        <v>798</v>
      </c>
      <c r="D41" s="385"/>
      <c r="E41" s="434">
        <v>44055</v>
      </c>
      <c r="F41" s="385"/>
      <c r="G41" s="385"/>
      <c r="H41" s="385"/>
      <c r="I41" s="385" t="s">
        <v>799</v>
      </c>
      <c r="J41" s="385"/>
      <c r="K41" s="385" t="s">
        <v>839</v>
      </c>
      <c r="L41" s="385"/>
      <c r="M41" s="385" t="s">
        <v>793</v>
      </c>
      <c r="N41" s="385"/>
      <c r="O41" s="385" t="s">
        <v>801</v>
      </c>
      <c r="P41" s="385"/>
      <c r="Q41" s="386">
        <v>184.57</v>
      </c>
      <c r="R41" s="385"/>
      <c r="S41" s="386">
        <f t="shared" si="0"/>
        <v>35194.26</v>
      </c>
      <c r="T41" s="225"/>
      <c r="U41" s="203"/>
      <c r="V41" s="203"/>
      <c r="W41" s="203"/>
      <c r="X41" s="203"/>
    </row>
    <row r="42" spans="1:24" ht="15.75">
      <c r="A42" s="385"/>
      <c r="B42" s="385"/>
      <c r="C42" s="385" t="s">
        <v>798</v>
      </c>
      <c r="D42" s="385"/>
      <c r="E42" s="434">
        <v>44055</v>
      </c>
      <c r="F42" s="385"/>
      <c r="G42" s="385"/>
      <c r="H42" s="385"/>
      <c r="I42" s="385" t="s">
        <v>799</v>
      </c>
      <c r="J42" s="385"/>
      <c r="K42" s="385" t="s">
        <v>840</v>
      </c>
      <c r="L42" s="385"/>
      <c r="M42" s="385" t="s">
        <v>793</v>
      </c>
      <c r="N42" s="385"/>
      <c r="O42" s="385" t="s">
        <v>801</v>
      </c>
      <c r="P42" s="385"/>
      <c r="Q42" s="386">
        <v>483.35</v>
      </c>
      <c r="R42" s="385"/>
      <c r="S42" s="386">
        <f t="shared" si="0"/>
        <v>35677.61</v>
      </c>
      <c r="T42" s="225"/>
      <c r="U42" s="203"/>
      <c r="V42" s="203"/>
      <c r="W42" s="203"/>
      <c r="X42" s="203"/>
    </row>
    <row r="43" spans="1:24" ht="15.75">
      <c r="A43" s="385"/>
      <c r="B43" s="385"/>
      <c r="C43" s="385" t="s">
        <v>798</v>
      </c>
      <c r="D43" s="385"/>
      <c r="E43" s="434">
        <v>44055</v>
      </c>
      <c r="F43" s="385"/>
      <c r="G43" s="385"/>
      <c r="H43" s="385"/>
      <c r="I43" s="385" t="s">
        <v>799</v>
      </c>
      <c r="J43" s="385"/>
      <c r="K43" s="385" t="s">
        <v>841</v>
      </c>
      <c r="L43" s="385"/>
      <c r="M43" s="385" t="s">
        <v>793</v>
      </c>
      <c r="N43" s="385"/>
      <c r="O43" s="385" t="s">
        <v>801</v>
      </c>
      <c r="P43" s="385"/>
      <c r="Q43" s="386"/>
      <c r="R43" s="385"/>
      <c r="S43" s="386">
        <f t="shared" si="0"/>
        <v>35677.61</v>
      </c>
      <c r="T43" s="225"/>
      <c r="U43" s="203"/>
      <c r="V43" s="203"/>
      <c r="W43" s="203"/>
      <c r="X43" s="203"/>
    </row>
    <row r="44" spans="1:24" ht="15.75">
      <c r="A44" s="385"/>
      <c r="B44" s="385"/>
      <c r="C44" s="385" t="s">
        <v>795</v>
      </c>
      <c r="D44" s="385"/>
      <c r="E44" s="434">
        <v>44074</v>
      </c>
      <c r="F44" s="385"/>
      <c r="G44" s="385"/>
      <c r="H44" s="385"/>
      <c r="I44" s="385" t="s">
        <v>803</v>
      </c>
      <c r="J44" s="385"/>
      <c r="K44" s="385"/>
      <c r="L44" s="385"/>
      <c r="M44" s="385"/>
      <c r="N44" s="385"/>
      <c r="O44" s="385" t="s">
        <v>797</v>
      </c>
      <c r="P44" s="385"/>
      <c r="Q44" s="386">
        <v>69.84</v>
      </c>
      <c r="R44" s="385"/>
      <c r="S44" s="386">
        <f t="shared" si="0"/>
        <v>35747.449999999997</v>
      </c>
      <c r="T44" s="225"/>
      <c r="U44" s="203"/>
      <c r="V44" s="203"/>
      <c r="W44" s="203"/>
      <c r="X44" s="203"/>
    </row>
    <row r="45" spans="1:24" ht="15.75">
      <c r="A45" s="385"/>
      <c r="B45" s="385"/>
      <c r="C45" s="385" t="s">
        <v>795</v>
      </c>
      <c r="D45" s="385"/>
      <c r="E45" s="434">
        <v>44074</v>
      </c>
      <c r="F45" s="385"/>
      <c r="G45" s="385"/>
      <c r="H45" s="385"/>
      <c r="I45" s="385" t="s">
        <v>796</v>
      </c>
      <c r="J45" s="385"/>
      <c r="K45" s="385"/>
      <c r="L45" s="385"/>
      <c r="M45" s="385" t="s">
        <v>793</v>
      </c>
      <c r="N45" s="385"/>
      <c r="O45" s="385" t="s">
        <v>797</v>
      </c>
      <c r="P45" s="385"/>
      <c r="Q45" s="386">
        <v>548.29999999999995</v>
      </c>
      <c r="R45" s="385"/>
      <c r="S45" s="386">
        <f t="shared" si="0"/>
        <v>36295.75</v>
      </c>
      <c r="T45" s="225"/>
      <c r="U45" s="203"/>
      <c r="V45" s="203"/>
      <c r="W45" s="203"/>
      <c r="X45" s="203"/>
    </row>
    <row r="46" spans="1:24" ht="15.75">
      <c r="A46" s="385"/>
      <c r="B46" s="385"/>
      <c r="C46" s="385" t="s">
        <v>795</v>
      </c>
      <c r="D46" s="385"/>
      <c r="E46" s="434">
        <v>44074</v>
      </c>
      <c r="F46" s="385"/>
      <c r="G46" s="385"/>
      <c r="H46" s="385"/>
      <c r="I46" s="385" t="s">
        <v>842</v>
      </c>
      <c r="J46" s="385"/>
      <c r="K46" s="385" t="s">
        <v>843</v>
      </c>
      <c r="L46" s="385"/>
      <c r="M46" s="385" t="s">
        <v>793</v>
      </c>
      <c r="N46" s="385"/>
      <c r="O46" s="385" t="s">
        <v>797</v>
      </c>
      <c r="P46" s="385"/>
      <c r="Q46" s="386">
        <v>124.62</v>
      </c>
      <c r="R46" s="385"/>
      <c r="S46" s="386">
        <f t="shared" si="0"/>
        <v>36420.370000000003</v>
      </c>
      <c r="T46" s="225"/>
      <c r="U46" s="203"/>
      <c r="V46" s="203"/>
      <c r="W46" s="203"/>
      <c r="X46" s="203"/>
    </row>
    <row r="47" spans="1:24" ht="15.75">
      <c r="A47" s="385"/>
      <c r="B47" s="385"/>
      <c r="C47" s="385" t="s">
        <v>795</v>
      </c>
      <c r="D47" s="385"/>
      <c r="E47" s="434">
        <v>44074</v>
      </c>
      <c r="F47" s="385"/>
      <c r="G47" s="385"/>
      <c r="H47" s="385"/>
      <c r="I47" s="385" t="s">
        <v>842</v>
      </c>
      <c r="J47" s="385"/>
      <c r="K47" s="385" t="s">
        <v>843</v>
      </c>
      <c r="L47" s="385"/>
      <c r="M47" s="385" t="s">
        <v>793</v>
      </c>
      <c r="N47" s="385"/>
      <c r="O47" s="385" t="s">
        <v>797</v>
      </c>
      <c r="P47" s="385"/>
      <c r="Q47" s="386">
        <v>212.89</v>
      </c>
      <c r="R47" s="385"/>
      <c r="S47" s="386">
        <f t="shared" si="0"/>
        <v>36633.26</v>
      </c>
      <c r="T47" s="225"/>
      <c r="U47" s="203"/>
      <c r="V47" s="203"/>
      <c r="W47" s="203"/>
      <c r="X47" s="203"/>
    </row>
    <row r="48" spans="1:24" ht="15.75">
      <c r="A48" s="385"/>
      <c r="B48" s="385"/>
      <c r="C48" s="385" t="s">
        <v>798</v>
      </c>
      <c r="D48" s="385"/>
      <c r="E48" s="434">
        <v>44076</v>
      </c>
      <c r="F48" s="385"/>
      <c r="G48" s="385"/>
      <c r="H48" s="385"/>
      <c r="I48" s="385" t="s">
        <v>799</v>
      </c>
      <c r="J48" s="385"/>
      <c r="K48" s="385" t="s">
        <v>844</v>
      </c>
      <c r="L48" s="385"/>
      <c r="M48" s="385" t="s">
        <v>793</v>
      </c>
      <c r="N48" s="385"/>
      <c r="O48" s="385" t="s">
        <v>801</v>
      </c>
      <c r="P48" s="385"/>
      <c r="Q48" s="386">
        <v>87.79</v>
      </c>
      <c r="R48" s="385"/>
      <c r="S48" s="386">
        <f t="shared" si="0"/>
        <v>36721.050000000003</v>
      </c>
      <c r="T48" s="225"/>
      <c r="U48" s="203"/>
      <c r="V48" s="203"/>
      <c r="W48" s="203"/>
      <c r="X48" s="203"/>
    </row>
    <row r="49" spans="1:24" ht="15.75">
      <c r="A49" s="385"/>
      <c r="B49" s="385"/>
      <c r="C49" s="385" t="s">
        <v>798</v>
      </c>
      <c r="D49" s="385"/>
      <c r="E49" s="434">
        <v>44076</v>
      </c>
      <c r="F49" s="385"/>
      <c r="G49" s="385"/>
      <c r="H49" s="385"/>
      <c r="I49" s="385" t="s">
        <v>799</v>
      </c>
      <c r="J49" s="385"/>
      <c r="K49" s="385" t="s">
        <v>845</v>
      </c>
      <c r="L49" s="385"/>
      <c r="M49" s="385" t="s">
        <v>793</v>
      </c>
      <c r="N49" s="385"/>
      <c r="O49" s="385" t="s">
        <v>801</v>
      </c>
      <c r="P49" s="385"/>
      <c r="Q49" s="386"/>
      <c r="R49" s="385"/>
      <c r="S49" s="386">
        <f t="shared" si="0"/>
        <v>36721.050000000003</v>
      </c>
      <c r="T49" s="225"/>
      <c r="U49" s="203"/>
      <c r="V49" s="203"/>
      <c r="W49" s="203"/>
      <c r="X49" s="203"/>
    </row>
    <row r="50" spans="1:24" ht="15.75">
      <c r="A50" s="385"/>
      <c r="B50" s="385"/>
      <c r="C50" s="385" t="s">
        <v>798</v>
      </c>
      <c r="D50" s="385"/>
      <c r="E50" s="434">
        <v>44076</v>
      </c>
      <c r="F50" s="385"/>
      <c r="G50" s="385"/>
      <c r="H50" s="385"/>
      <c r="I50" s="385" t="s">
        <v>799</v>
      </c>
      <c r="J50" s="385"/>
      <c r="K50" s="385" t="s">
        <v>845</v>
      </c>
      <c r="L50" s="385"/>
      <c r="M50" s="385" t="s">
        <v>793</v>
      </c>
      <c r="N50" s="385"/>
      <c r="O50" s="385" t="s">
        <v>801</v>
      </c>
      <c r="P50" s="385"/>
      <c r="Q50" s="386"/>
      <c r="R50" s="385"/>
      <c r="S50" s="386">
        <f t="shared" si="0"/>
        <v>36721.050000000003</v>
      </c>
      <c r="T50" s="225"/>
      <c r="U50" s="203"/>
      <c r="V50" s="203"/>
      <c r="W50" s="203"/>
      <c r="X50" s="203"/>
    </row>
    <row r="51" spans="1:24" ht="15.75">
      <c r="A51" s="385"/>
      <c r="B51" s="385"/>
      <c r="C51" s="385" t="s">
        <v>798</v>
      </c>
      <c r="D51" s="385"/>
      <c r="E51" s="434">
        <v>44076</v>
      </c>
      <c r="F51" s="385"/>
      <c r="G51" s="385"/>
      <c r="H51" s="385"/>
      <c r="I51" s="385" t="s">
        <v>838</v>
      </c>
      <c r="J51" s="385"/>
      <c r="K51" s="385"/>
      <c r="L51" s="385"/>
      <c r="M51" s="385" t="s">
        <v>793</v>
      </c>
      <c r="N51" s="385"/>
      <c r="O51" s="385" t="s">
        <v>801</v>
      </c>
      <c r="P51" s="385"/>
      <c r="Q51" s="386">
        <v>117.16</v>
      </c>
      <c r="R51" s="385"/>
      <c r="S51" s="386">
        <f t="shared" si="0"/>
        <v>36838.21</v>
      </c>
      <c r="T51" s="225"/>
      <c r="U51" s="203"/>
      <c r="V51" s="203"/>
      <c r="W51" s="203"/>
      <c r="X51" s="203"/>
    </row>
    <row r="52" spans="1:24" ht="15.75">
      <c r="A52" s="385"/>
      <c r="B52" s="385"/>
      <c r="C52" s="385" t="s">
        <v>798</v>
      </c>
      <c r="D52" s="385"/>
      <c r="E52" s="434">
        <v>44076</v>
      </c>
      <c r="F52" s="385"/>
      <c r="G52" s="385"/>
      <c r="H52" s="385"/>
      <c r="I52" s="385" t="s">
        <v>823</v>
      </c>
      <c r="J52" s="385"/>
      <c r="K52" s="385" t="s">
        <v>846</v>
      </c>
      <c r="L52" s="385"/>
      <c r="M52" s="385" t="s">
        <v>793</v>
      </c>
      <c r="N52" s="385"/>
      <c r="O52" s="385" t="s">
        <v>801</v>
      </c>
      <c r="P52" s="385"/>
      <c r="Q52" s="386">
        <v>976.2</v>
      </c>
      <c r="R52" s="385"/>
      <c r="S52" s="386">
        <f t="shared" si="0"/>
        <v>37814.410000000003</v>
      </c>
      <c r="T52" s="225"/>
      <c r="U52" s="203"/>
      <c r="V52" s="203"/>
      <c r="W52" s="203"/>
      <c r="X52" s="203"/>
    </row>
    <row r="53" spans="1:24" ht="15.75">
      <c r="A53" s="385"/>
      <c r="B53" s="385"/>
      <c r="C53" s="385" t="s">
        <v>798</v>
      </c>
      <c r="D53" s="385"/>
      <c r="E53" s="434">
        <v>44089</v>
      </c>
      <c r="F53" s="385"/>
      <c r="G53" s="385"/>
      <c r="H53" s="385"/>
      <c r="I53" s="385" t="s">
        <v>847</v>
      </c>
      <c r="J53" s="385"/>
      <c r="K53" s="385" t="s">
        <v>848</v>
      </c>
      <c r="L53" s="385"/>
      <c r="M53" s="385" t="s">
        <v>793</v>
      </c>
      <c r="N53" s="385"/>
      <c r="O53" s="385" t="s">
        <v>801</v>
      </c>
      <c r="P53" s="385"/>
      <c r="Q53" s="386">
        <v>700</v>
      </c>
      <c r="R53" s="385"/>
      <c r="S53" s="386">
        <f t="shared" si="0"/>
        <v>38514.410000000003</v>
      </c>
      <c r="T53" s="225"/>
      <c r="U53" s="203"/>
      <c r="V53" s="203"/>
      <c r="W53" s="203"/>
      <c r="X53" s="203"/>
    </row>
    <row r="54" spans="1:24" ht="15.75">
      <c r="A54" s="385"/>
      <c r="B54" s="385"/>
      <c r="C54" s="385" t="s">
        <v>798</v>
      </c>
      <c r="D54" s="385"/>
      <c r="E54" s="434">
        <v>44102</v>
      </c>
      <c r="F54" s="385"/>
      <c r="G54" s="385"/>
      <c r="H54" s="385"/>
      <c r="I54" s="385" t="s">
        <v>799</v>
      </c>
      <c r="J54" s="385"/>
      <c r="K54" s="385" t="s">
        <v>849</v>
      </c>
      <c r="L54" s="385"/>
      <c r="M54" s="385" t="s">
        <v>793</v>
      </c>
      <c r="N54" s="385"/>
      <c r="O54" s="385" t="s">
        <v>801</v>
      </c>
      <c r="P54" s="385"/>
      <c r="Q54" s="386">
        <v>4471.5200000000004</v>
      </c>
      <c r="R54" s="385"/>
      <c r="S54" s="386">
        <f t="shared" si="0"/>
        <v>42985.93</v>
      </c>
      <c r="T54" s="225"/>
      <c r="U54" s="203"/>
      <c r="V54" s="203"/>
      <c r="W54" s="203"/>
      <c r="X54" s="203"/>
    </row>
    <row r="55" spans="1:24" ht="15.75">
      <c r="A55" s="385"/>
      <c r="B55" s="385"/>
      <c r="C55" s="385" t="s">
        <v>798</v>
      </c>
      <c r="D55" s="385"/>
      <c r="E55" s="434">
        <v>44102</v>
      </c>
      <c r="F55" s="385"/>
      <c r="G55" s="385"/>
      <c r="H55" s="385"/>
      <c r="I55" s="385" t="s">
        <v>799</v>
      </c>
      <c r="J55" s="385"/>
      <c r="K55" s="385" t="s">
        <v>849</v>
      </c>
      <c r="L55" s="385"/>
      <c r="M55" s="385" t="s">
        <v>793</v>
      </c>
      <c r="N55" s="385"/>
      <c r="O55" s="385" t="s">
        <v>801</v>
      </c>
      <c r="P55" s="385"/>
      <c r="Q55" s="386"/>
      <c r="R55" s="385"/>
      <c r="S55" s="386">
        <f t="shared" si="0"/>
        <v>42985.93</v>
      </c>
      <c r="T55" s="225"/>
      <c r="U55" s="203"/>
      <c r="V55" s="203"/>
      <c r="W55" s="203"/>
      <c r="X55" s="203"/>
    </row>
    <row r="56" spans="1:24" ht="15.75">
      <c r="A56" s="385"/>
      <c r="B56" s="385"/>
      <c r="C56" s="385" t="s">
        <v>798</v>
      </c>
      <c r="D56" s="385"/>
      <c r="E56" s="434">
        <v>44102</v>
      </c>
      <c r="F56" s="385"/>
      <c r="G56" s="385"/>
      <c r="H56" s="385"/>
      <c r="I56" s="385" t="s">
        <v>799</v>
      </c>
      <c r="J56" s="385"/>
      <c r="K56" s="385" t="s">
        <v>849</v>
      </c>
      <c r="L56" s="385"/>
      <c r="M56" s="385" t="s">
        <v>793</v>
      </c>
      <c r="N56" s="385"/>
      <c r="O56" s="385" t="s">
        <v>801</v>
      </c>
      <c r="P56" s="385"/>
      <c r="Q56" s="386"/>
      <c r="R56" s="385"/>
      <c r="S56" s="386">
        <f t="shared" si="0"/>
        <v>42985.93</v>
      </c>
      <c r="T56" s="225"/>
      <c r="U56" s="203"/>
      <c r="V56" s="203"/>
      <c r="W56" s="203"/>
      <c r="X56" s="203"/>
    </row>
    <row r="57" spans="1:24" ht="15.75">
      <c r="A57" s="385"/>
      <c r="B57" s="385"/>
      <c r="C57" s="385" t="s">
        <v>795</v>
      </c>
      <c r="D57" s="385"/>
      <c r="E57" s="434">
        <v>44104</v>
      </c>
      <c r="F57" s="385"/>
      <c r="G57" s="385"/>
      <c r="H57" s="385"/>
      <c r="I57" s="385" t="s">
        <v>796</v>
      </c>
      <c r="J57" s="385"/>
      <c r="K57" s="385"/>
      <c r="L57" s="385"/>
      <c r="M57" s="385" t="s">
        <v>793</v>
      </c>
      <c r="N57" s="385"/>
      <c r="O57" s="385" t="s">
        <v>797</v>
      </c>
      <c r="P57" s="385"/>
      <c r="Q57" s="386">
        <v>9603.0499999999993</v>
      </c>
      <c r="R57" s="385"/>
      <c r="S57" s="386">
        <f t="shared" si="0"/>
        <v>52588.98</v>
      </c>
      <c r="T57" s="225"/>
      <c r="U57" s="203"/>
      <c r="V57" s="203"/>
      <c r="W57" s="203"/>
      <c r="X57" s="203"/>
    </row>
    <row r="58" spans="1:24" ht="15.75">
      <c r="A58" s="385"/>
      <c r="B58" s="385"/>
      <c r="C58" s="385" t="s">
        <v>795</v>
      </c>
      <c r="D58" s="385"/>
      <c r="E58" s="434">
        <v>44104</v>
      </c>
      <c r="F58" s="385"/>
      <c r="G58" s="385"/>
      <c r="H58" s="385"/>
      <c r="I58" s="385" t="s">
        <v>850</v>
      </c>
      <c r="J58" s="385"/>
      <c r="K58" s="385"/>
      <c r="L58" s="385"/>
      <c r="M58" s="385"/>
      <c r="N58" s="385"/>
      <c r="O58" s="385" t="s">
        <v>797</v>
      </c>
      <c r="P58" s="385"/>
      <c r="Q58" s="386">
        <v>130.36000000000001</v>
      </c>
      <c r="R58" s="385"/>
      <c r="S58" s="386">
        <f t="shared" si="0"/>
        <v>52719.34</v>
      </c>
      <c r="T58" s="225"/>
      <c r="U58" s="203"/>
      <c r="V58" s="203"/>
      <c r="W58" s="203"/>
      <c r="X58" s="203"/>
    </row>
    <row r="59" spans="1:24" ht="15.75">
      <c r="A59" s="385"/>
      <c r="B59" s="385"/>
      <c r="C59" s="385" t="s">
        <v>795</v>
      </c>
      <c r="D59" s="385"/>
      <c r="E59" s="434">
        <v>44104</v>
      </c>
      <c r="F59" s="385"/>
      <c r="G59" s="385"/>
      <c r="H59" s="385"/>
      <c r="I59" s="385" t="s">
        <v>851</v>
      </c>
      <c r="J59" s="385"/>
      <c r="K59" s="385"/>
      <c r="L59" s="385"/>
      <c r="M59" s="385"/>
      <c r="N59" s="385"/>
      <c r="O59" s="385" t="s">
        <v>797</v>
      </c>
      <c r="P59" s="385"/>
      <c r="Q59" s="386">
        <v>939.16</v>
      </c>
      <c r="R59" s="385"/>
      <c r="S59" s="386">
        <f t="shared" si="0"/>
        <v>53658.5</v>
      </c>
      <c r="T59" s="225"/>
      <c r="U59" s="203"/>
      <c r="V59" s="203"/>
      <c r="W59" s="203"/>
      <c r="X59" s="203"/>
    </row>
    <row r="60" spans="1:24" ht="15.75">
      <c r="A60" s="385"/>
      <c r="B60" s="385"/>
      <c r="C60" s="385" t="s">
        <v>798</v>
      </c>
      <c r="D60" s="385"/>
      <c r="E60" s="434">
        <v>44109</v>
      </c>
      <c r="F60" s="385"/>
      <c r="G60" s="385"/>
      <c r="H60" s="385"/>
      <c r="I60" s="385" t="s">
        <v>838</v>
      </c>
      <c r="J60" s="385"/>
      <c r="K60" s="385"/>
      <c r="L60" s="385"/>
      <c r="M60" s="385" t="s">
        <v>793</v>
      </c>
      <c r="N60" s="385"/>
      <c r="O60" s="385" t="s">
        <v>801</v>
      </c>
      <c r="P60" s="385"/>
      <c r="Q60" s="386">
        <v>447.3</v>
      </c>
      <c r="R60" s="385"/>
      <c r="S60" s="386">
        <f t="shared" si="0"/>
        <v>54105.8</v>
      </c>
      <c r="T60" s="225"/>
      <c r="U60" s="203"/>
      <c r="V60" s="203"/>
      <c r="W60" s="203"/>
      <c r="X60" s="203"/>
    </row>
    <row r="61" spans="1:24" ht="15.75">
      <c r="A61" s="385"/>
      <c r="B61" s="385"/>
      <c r="C61" s="385" t="s">
        <v>798</v>
      </c>
      <c r="D61" s="385"/>
      <c r="E61" s="434">
        <v>44109</v>
      </c>
      <c r="F61" s="385"/>
      <c r="G61" s="385"/>
      <c r="H61" s="385"/>
      <c r="I61" s="385" t="s">
        <v>823</v>
      </c>
      <c r="J61" s="385"/>
      <c r="K61" s="385" t="s">
        <v>852</v>
      </c>
      <c r="L61" s="385"/>
      <c r="M61" s="385" t="s">
        <v>793</v>
      </c>
      <c r="N61" s="385"/>
      <c r="O61" s="385" t="s">
        <v>801</v>
      </c>
      <c r="P61" s="385"/>
      <c r="Q61" s="386">
        <v>688.79</v>
      </c>
      <c r="R61" s="385"/>
      <c r="S61" s="386">
        <f t="shared" si="0"/>
        <v>54794.59</v>
      </c>
      <c r="T61" s="225"/>
      <c r="U61" s="203"/>
      <c r="V61" s="203"/>
      <c r="W61" s="203"/>
      <c r="X61" s="203"/>
    </row>
    <row r="62" spans="1:24" ht="15.75">
      <c r="A62" s="385"/>
      <c r="B62" s="385"/>
      <c r="C62" s="385" t="s">
        <v>798</v>
      </c>
      <c r="D62" s="385"/>
      <c r="E62" s="434">
        <v>44131</v>
      </c>
      <c r="F62" s="385"/>
      <c r="G62" s="385"/>
      <c r="H62" s="385"/>
      <c r="I62" s="385" t="s">
        <v>838</v>
      </c>
      <c r="J62" s="385"/>
      <c r="K62" s="385" t="s">
        <v>853</v>
      </c>
      <c r="L62" s="385"/>
      <c r="M62" s="385" t="s">
        <v>793</v>
      </c>
      <c r="N62" s="385"/>
      <c r="O62" s="385" t="s">
        <v>801</v>
      </c>
      <c r="P62" s="385"/>
      <c r="Q62" s="386">
        <v>5000</v>
      </c>
      <c r="R62" s="385"/>
      <c r="S62" s="386">
        <f t="shared" si="0"/>
        <v>59794.59</v>
      </c>
      <c r="T62" s="225"/>
      <c r="U62" s="203"/>
      <c r="V62" s="203"/>
      <c r="W62" s="203"/>
      <c r="X62" s="203"/>
    </row>
    <row r="63" spans="1:24" ht="15.75">
      <c r="A63" s="385"/>
      <c r="B63" s="385"/>
      <c r="C63" s="385" t="s">
        <v>795</v>
      </c>
      <c r="D63" s="385"/>
      <c r="E63" s="434">
        <v>44135</v>
      </c>
      <c r="F63" s="385"/>
      <c r="G63" s="385"/>
      <c r="H63" s="385"/>
      <c r="I63" s="385" t="s">
        <v>851</v>
      </c>
      <c r="J63" s="385"/>
      <c r="K63" s="385"/>
      <c r="L63" s="385"/>
      <c r="M63" s="385"/>
      <c r="N63" s="385"/>
      <c r="O63" s="385" t="s">
        <v>797</v>
      </c>
      <c r="P63" s="385"/>
      <c r="Q63" s="386">
        <v>473.06</v>
      </c>
      <c r="R63" s="385"/>
      <c r="S63" s="386">
        <f t="shared" si="0"/>
        <v>60267.65</v>
      </c>
      <c r="T63" s="225"/>
      <c r="U63" s="203"/>
      <c r="V63" s="203"/>
      <c r="W63" s="203"/>
      <c r="X63" s="203"/>
    </row>
    <row r="64" spans="1:24" ht="15.75">
      <c r="A64" s="385"/>
      <c r="B64" s="385"/>
      <c r="C64" s="385" t="s">
        <v>795</v>
      </c>
      <c r="D64" s="385"/>
      <c r="E64" s="434">
        <v>44135</v>
      </c>
      <c r="F64" s="385"/>
      <c r="G64" s="385"/>
      <c r="H64" s="385"/>
      <c r="I64" s="385" t="s">
        <v>796</v>
      </c>
      <c r="J64" s="385"/>
      <c r="K64" s="385"/>
      <c r="L64" s="385"/>
      <c r="M64" s="385" t="s">
        <v>793</v>
      </c>
      <c r="N64" s="385"/>
      <c r="O64" s="385" t="s">
        <v>797</v>
      </c>
      <c r="P64" s="385"/>
      <c r="Q64" s="386">
        <v>3038.54</v>
      </c>
      <c r="R64" s="385"/>
      <c r="S64" s="386">
        <f t="shared" si="0"/>
        <v>63306.19</v>
      </c>
      <c r="T64" s="225"/>
      <c r="U64" s="203"/>
      <c r="V64" s="203"/>
      <c r="W64" s="203"/>
      <c r="X64" s="203"/>
    </row>
    <row r="65" spans="1:24" ht="15.75">
      <c r="A65" s="385"/>
      <c r="B65" s="385"/>
      <c r="C65" s="385" t="s">
        <v>798</v>
      </c>
      <c r="D65" s="385"/>
      <c r="E65" s="434">
        <v>44140</v>
      </c>
      <c r="F65" s="385"/>
      <c r="G65" s="385"/>
      <c r="H65" s="385"/>
      <c r="I65" s="385" t="s">
        <v>838</v>
      </c>
      <c r="J65" s="385"/>
      <c r="K65" s="385" t="s">
        <v>853</v>
      </c>
      <c r="L65" s="385"/>
      <c r="M65" s="385" t="s">
        <v>793</v>
      </c>
      <c r="N65" s="385"/>
      <c r="O65" s="385" t="s">
        <v>801</v>
      </c>
      <c r="P65" s="385"/>
      <c r="Q65" s="386">
        <v>6624.61</v>
      </c>
      <c r="R65" s="385"/>
      <c r="S65" s="386">
        <f t="shared" si="0"/>
        <v>69930.8</v>
      </c>
      <c r="T65" s="225"/>
      <c r="U65" s="203"/>
      <c r="V65" s="203"/>
      <c r="W65" s="203"/>
      <c r="X65" s="203"/>
    </row>
    <row r="66" spans="1:24" ht="15.75">
      <c r="A66" s="385"/>
      <c r="B66" s="385"/>
      <c r="C66" s="385" t="s">
        <v>798</v>
      </c>
      <c r="D66" s="385"/>
      <c r="E66" s="434">
        <v>44151</v>
      </c>
      <c r="F66" s="385"/>
      <c r="G66" s="385"/>
      <c r="H66" s="385"/>
      <c r="I66" s="385" t="s">
        <v>799</v>
      </c>
      <c r="J66" s="385"/>
      <c r="K66" s="385" t="s">
        <v>849</v>
      </c>
      <c r="L66" s="385"/>
      <c r="M66" s="385" t="s">
        <v>793</v>
      </c>
      <c r="N66" s="385"/>
      <c r="O66" s="385" t="s">
        <v>801</v>
      </c>
      <c r="P66" s="385"/>
      <c r="Q66" s="386"/>
      <c r="R66" s="385"/>
      <c r="S66" s="386">
        <f t="shared" si="0"/>
        <v>69930.8</v>
      </c>
      <c r="T66" s="225"/>
      <c r="U66" s="203"/>
      <c r="V66" s="203"/>
      <c r="W66" s="203"/>
      <c r="X66" s="203"/>
    </row>
    <row r="67" spans="1:24" ht="15.75">
      <c r="A67" s="385"/>
      <c r="B67" s="385"/>
      <c r="C67" s="385" t="s">
        <v>798</v>
      </c>
      <c r="D67" s="385"/>
      <c r="E67" s="434">
        <v>44151</v>
      </c>
      <c r="F67" s="385"/>
      <c r="G67" s="385"/>
      <c r="H67" s="385"/>
      <c r="I67" s="385" t="s">
        <v>799</v>
      </c>
      <c r="J67" s="385"/>
      <c r="K67" s="385" t="s">
        <v>849</v>
      </c>
      <c r="L67" s="385"/>
      <c r="M67" s="385" t="s">
        <v>793</v>
      </c>
      <c r="N67" s="385"/>
      <c r="O67" s="385" t="s">
        <v>801</v>
      </c>
      <c r="P67" s="385"/>
      <c r="Q67" s="386"/>
      <c r="R67" s="385"/>
      <c r="S67" s="386">
        <f t="shared" ref="S67:S83" si="1">ROUND(S66+Q67,5)</f>
        <v>69930.8</v>
      </c>
      <c r="T67" s="225"/>
      <c r="U67" s="203"/>
      <c r="V67" s="203"/>
      <c r="W67" s="203"/>
      <c r="X67" s="203"/>
    </row>
    <row r="68" spans="1:24" ht="15.75">
      <c r="A68" s="385"/>
      <c r="B68" s="385"/>
      <c r="C68" s="385" t="s">
        <v>795</v>
      </c>
      <c r="D68" s="385"/>
      <c r="E68" s="434">
        <v>44165</v>
      </c>
      <c r="F68" s="385"/>
      <c r="G68" s="385"/>
      <c r="H68" s="385"/>
      <c r="I68" s="385" t="s">
        <v>854</v>
      </c>
      <c r="J68" s="385"/>
      <c r="K68" s="385" t="s">
        <v>855</v>
      </c>
      <c r="L68" s="385"/>
      <c r="M68" s="385" t="s">
        <v>793</v>
      </c>
      <c r="N68" s="385"/>
      <c r="O68" s="385" t="s">
        <v>797</v>
      </c>
      <c r="P68" s="385"/>
      <c r="Q68" s="386">
        <v>3188.22</v>
      </c>
      <c r="R68" s="385"/>
      <c r="S68" s="386">
        <f t="shared" si="1"/>
        <v>73119.02</v>
      </c>
      <c r="T68" s="225"/>
      <c r="U68" s="203"/>
      <c r="V68" s="203"/>
      <c r="W68" s="203"/>
      <c r="X68" s="203"/>
    </row>
    <row r="69" spans="1:24" ht="15.75">
      <c r="A69" s="385"/>
      <c r="B69" s="385"/>
      <c r="C69" s="385" t="s">
        <v>798</v>
      </c>
      <c r="D69" s="385"/>
      <c r="E69" s="434">
        <v>44168</v>
      </c>
      <c r="F69" s="385"/>
      <c r="G69" s="385"/>
      <c r="H69" s="385"/>
      <c r="I69" s="385" t="s">
        <v>838</v>
      </c>
      <c r="J69" s="385"/>
      <c r="K69" s="385" t="s">
        <v>856</v>
      </c>
      <c r="L69" s="385"/>
      <c r="M69" s="385" t="s">
        <v>793</v>
      </c>
      <c r="N69" s="385"/>
      <c r="O69" s="385" t="s">
        <v>801</v>
      </c>
      <c r="P69" s="385"/>
      <c r="Q69" s="386">
        <v>407.98</v>
      </c>
      <c r="R69" s="385"/>
      <c r="S69" s="386">
        <f t="shared" si="1"/>
        <v>73527</v>
      </c>
      <c r="T69" s="225"/>
      <c r="U69" s="203"/>
      <c r="V69" s="203"/>
      <c r="W69" s="203"/>
      <c r="X69" s="203"/>
    </row>
    <row r="70" spans="1:24" ht="15.75">
      <c r="A70" s="385"/>
      <c r="B70" s="385"/>
      <c r="C70" s="385" t="s">
        <v>798</v>
      </c>
      <c r="D70" s="385"/>
      <c r="E70" s="434">
        <v>44168</v>
      </c>
      <c r="F70" s="385"/>
      <c r="G70" s="385"/>
      <c r="H70" s="385"/>
      <c r="I70" s="385" t="s">
        <v>838</v>
      </c>
      <c r="J70" s="385"/>
      <c r="K70" s="385" t="s">
        <v>857</v>
      </c>
      <c r="L70" s="385"/>
      <c r="M70" s="385" t="s">
        <v>793</v>
      </c>
      <c r="N70" s="385"/>
      <c r="O70" s="385" t="s">
        <v>801</v>
      </c>
      <c r="P70" s="385"/>
      <c r="Q70" s="386">
        <v>3001.41</v>
      </c>
      <c r="R70" s="385"/>
      <c r="S70" s="386">
        <f t="shared" si="1"/>
        <v>76528.41</v>
      </c>
      <c r="T70" s="225"/>
      <c r="U70" s="203"/>
      <c r="V70" s="203"/>
      <c r="W70" s="203"/>
      <c r="X70" s="203"/>
    </row>
    <row r="71" spans="1:24" ht="15.75">
      <c r="A71" s="385"/>
      <c r="B71" s="385"/>
      <c r="C71" s="385" t="s">
        <v>798</v>
      </c>
      <c r="D71" s="385"/>
      <c r="E71" s="434">
        <v>44168</v>
      </c>
      <c r="F71" s="385"/>
      <c r="G71" s="385"/>
      <c r="H71" s="385"/>
      <c r="I71" s="385" t="s">
        <v>858</v>
      </c>
      <c r="J71" s="385"/>
      <c r="K71" s="385" t="s">
        <v>859</v>
      </c>
      <c r="L71" s="385"/>
      <c r="M71" s="385" t="s">
        <v>793</v>
      </c>
      <c r="N71" s="385"/>
      <c r="O71" s="385" t="s">
        <v>801</v>
      </c>
      <c r="P71" s="385"/>
      <c r="Q71" s="386">
        <v>76.75</v>
      </c>
      <c r="R71" s="385"/>
      <c r="S71" s="386">
        <f t="shared" si="1"/>
        <v>76605.16</v>
      </c>
      <c r="T71" s="225"/>
      <c r="U71" s="203"/>
      <c r="V71" s="203"/>
      <c r="W71" s="203"/>
      <c r="X71" s="203"/>
    </row>
    <row r="72" spans="1:24" ht="15.75">
      <c r="A72" s="385"/>
      <c r="B72" s="385"/>
      <c r="C72" s="385" t="s">
        <v>798</v>
      </c>
      <c r="D72" s="385"/>
      <c r="E72" s="434">
        <v>44168</v>
      </c>
      <c r="F72" s="385"/>
      <c r="G72" s="385"/>
      <c r="H72" s="385"/>
      <c r="I72" s="385" t="s">
        <v>858</v>
      </c>
      <c r="J72" s="385"/>
      <c r="K72" s="385" t="s">
        <v>860</v>
      </c>
      <c r="L72" s="385"/>
      <c r="M72" s="385" t="s">
        <v>793</v>
      </c>
      <c r="N72" s="385"/>
      <c r="O72" s="385" t="s">
        <v>801</v>
      </c>
      <c r="P72" s="385"/>
      <c r="Q72" s="386">
        <v>70.8</v>
      </c>
      <c r="R72" s="385"/>
      <c r="S72" s="386">
        <f t="shared" si="1"/>
        <v>76675.960000000006</v>
      </c>
      <c r="T72" s="225"/>
      <c r="U72" s="203"/>
      <c r="V72" s="203"/>
      <c r="W72" s="203"/>
      <c r="X72" s="203"/>
    </row>
    <row r="73" spans="1:24" ht="15.75">
      <c r="A73" s="385"/>
      <c r="B73" s="385"/>
      <c r="C73" s="385" t="s">
        <v>798</v>
      </c>
      <c r="D73" s="385"/>
      <c r="E73" s="434">
        <v>44187</v>
      </c>
      <c r="F73" s="385"/>
      <c r="G73" s="385"/>
      <c r="H73" s="385"/>
      <c r="I73" s="385" t="s">
        <v>799</v>
      </c>
      <c r="J73" s="385"/>
      <c r="K73" s="385" t="s">
        <v>861</v>
      </c>
      <c r="L73" s="385"/>
      <c r="M73" s="385" t="s">
        <v>793</v>
      </c>
      <c r="N73" s="385"/>
      <c r="O73" s="385" t="s">
        <v>801</v>
      </c>
      <c r="P73" s="385"/>
      <c r="Q73" s="386">
        <v>2861.6</v>
      </c>
      <c r="R73" s="385"/>
      <c r="S73" s="386">
        <f t="shared" si="1"/>
        <v>79537.56</v>
      </c>
      <c r="T73" s="225"/>
      <c r="U73" s="203"/>
      <c r="V73" s="203"/>
      <c r="W73" s="203"/>
      <c r="X73" s="203"/>
    </row>
    <row r="74" spans="1:24" ht="15.75">
      <c r="A74" s="385"/>
      <c r="B74" s="385"/>
      <c r="C74" s="385" t="s">
        <v>798</v>
      </c>
      <c r="D74" s="385"/>
      <c r="E74" s="434">
        <v>44187</v>
      </c>
      <c r="F74" s="385"/>
      <c r="G74" s="385"/>
      <c r="H74" s="385"/>
      <c r="I74" s="385" t="s">
        <v>799</v>
      </c>
      <c r="J74" s="385"/>
      <c r="K74" s="385" t="s">
        <v>862</v>
      </c>
      <c r="L74" s="385"/>
      <c r="M74" s="385" t="s">
        <v>793</v>
      </c>
      <c r="N74" s="385"/>
      <c r="O74" s="385" t="s">
        <v>801</v>
      </c>
      <c r="P74" s="385"/>
      <c r="Q74" s="386">
        <v>1602.51</v>
      </c>
      <c r="R74" s="385"/>
      <c r="S74" s="386">
        <f t="shared" si="1"/>
        <v>81140.070000000007</v>
      </c>
      <c r="T74" s="225"/>
      <c r="U74" s="203"/>
      <c r="V74" s="203"/>
      <c r="W74" s="203"/>
      <c r="X74" s="203"/>
    </row>
    <row r="75" spans="1:24" ht="15.75">
      <c r="A75" s="385"/>
      <c r="B75" s="385"/>
      <c r="C75" s="385" t="s">
        <v>798</v>
      </c>
      <c r="D75" s="385"/>
      <c r="E75" s="434">
        <v>44187</v>
      </c>
      <c r="F75" s="385"/>
      <c r="G75" s="385"/>
      <c r="H75" s="385"/>
      <c r="I75" s="385" t="s">
        <v>799</v>
      </c>
      <c r="J75" s="385"/>
      <c r="K75" s="385" t="s">
        <v>863</v>
      </c>
      <c r="L75" s="385"/>
      <c r="M75" s="385" t="s">
        <v>793</v>
      </c>
      <c r="N75" s="385"/>
      <c r="O75" s="385" t="s">
        <v>801</v>
      </c>
      <c r="P75" s="385"/>
      <c r="Q75" s="386">
        <v>3570.21</v>
      </c>
      <c r="R75" s="385"/>
      <c r="S75" s="386">
        <f t="shared" si="1"/>
        <v>84710.28</v>
      </c>
      <c r="T75" s="225"/>
      <c r="U75" s="203"/>
      <c r="V75" s="203"/>
      <c r="W75" s="203"/>
      <c r="X75" s="203"/>
    </row>
    <row r="76" spans="1:24" ht="15.75">
      <c r="A76" s="385"/>
      <c r="B76" s="385"/>
      <c r="C76" s="385" t="s">
        <v>798</v>
      </c>
      <c r="D76" s="385"/>
      <c r="E76" s="434">
        <v>44187</v>
      </c>
      <c r="F76" s="385"/>
      <c r="G76" s="385"/>
      <c r="H76" s="385"/>
      <c r="I76" s="385" t="s">
        <v>799</v>
      </c>
      <c r="J76" s="385"/>
      <c r="K76" s="385" t="s">
        <v>864</v>
      </c>
      <c r="L76" s="385"/>
      <c r="M76" s="385"/>
      <c r="N76" s="385"/>
      <c r="O76" s="385" t="s">
        <v>801</v>
      </c>
      <c r="P76" s="385"/>
      <c r="Q76" s="386">
        <v>455.85</v>
      </c>
      <c r="R76" s="385"/>
      <c r="S76" s="386">
        <f t="shared" si="1"/>
        <v>85166.13</v>
      </c>
      <c r="T76" s="225"/>
      <c r="U76" s="203"/>
      <c r="V76" s="203"/>
      <c r="W76" s="203"/>
      <c r="X76" s="203"/>
    </row>
    <row r="77" spans="1:24" ht="15.75">
      <c r="A77" s="385"/>
      <c r="B77" s="385"/>
      <c r="C77" s="385" t="s">
        <v>798</v>
      </c>
      <c r="D77" s="385"/>
      <c r="E77" s="434">
        <v>44187</v>
      </c>
      <c r="F77" s="385"/>
      <c r="G77" s="385"/>
      <c r="H77" s="385"/>
      <c r="I77" s="385" t="s">
        <v>799</v>
      </c>
      <c r="J77" s="385"/>
      <c r="K77" s="385" t="s">
        <v>865</v>
      </c>
      <c r="L77" s="385"/>
      <c r="M77" s="385"/>
      <c r="N77" s="385"/>
      <c r="O77" s="385" t="s">
        <v>801</v>
      </c>
      <c r="P77" s="385"/>
      <c r="Q77" s="386">
        <v>504.72</v>
      </c>
      <c r="R77" s="385"/>
      <c r="S77" s="386">
        <f t="shared" si="1"/>
        <v>85670.85</v>
      </c>
      <c r="T77" s="225"/>
      <c r="U77" s="203"/>
      <c r="V77" s="203"/>
      <c r="W77" s="203"/>
      <c r="X77" s="203"/>
    </row>
    <row r="78" spans="1:24" ht="15.75">
      <c r="A78" s="385"/>
      <c r="B78" s="385"/>
      <c r="C78" s="385" t="s">
        <v>798</v>
      </c>
      <c r="D78" s="385"/>
      <c r="E78" s="434">
        <v>44187</v>
      </c>
      <c r="F78" s="385"/>
      <c r="G78" s="385"/>
      <c r="H78" s="385"/>
      <c r="I78" s="385" t="s">
        <v>799</v>
      </c>
      <c r="J78" s="385"/>
      <c r="K78" s="385" t="s">
        <v>849</v>
      </c>
      <c r="L78" s="385"/>
      <c r="M78" s="385"/>
      <c r="N78" s="385"/>
      <c r="O78" s="385" t="s">
        <v>801</v>
      </c>
      <c r="P78" s="385"/>
      <c r="Q78" s="386">
        <v>67.099999999999994</v>
      </c>
      <c r="R78" s="385"/>
      <c r="S78" s="386">
        <f t="shared" si="1"/>
        <v>85737.95</v>
      </c>
      <c r="T78" s="225"/>
      <c r="U78" s="203"/>
      <c r="V78" s="203"/>
      <c r="W78" s="203"/>
      <c r="X78" s="203"/>
    </row>
    <row r="79" spans="1:24" ht="15.75">
      <c r="A79" s="385"/>
      <c r="B79" s="385"/>
      <c r="C79" s="385" t="s">
        <v>795</v>
      </c>
      <c r="D79" s="385"/>
      <c r="E79" s="434">
        <v>44196</v>
      </c>
      <c r="F79" s="385"/>
      <c r="G79" s="385"/>
      <c r="H79" s="385"/>
      <c r="I79" s="385" t="s">
        <v>866</v>
      </c>
      <c r="J79" s="385"/>
      <c r="K79" s="385"/>
      <c r="L79" s="385"/>
      <c r="M79" s="385" t="s">
        <v>793</v>
      </c>
      <c r="N79" s="385"/>
      <c r="O79" s="385" t="s">
        <v>797</v>
      </c>
      <c r="P79" s="385"/>
      <c r="Q79" s="386">
        <v>27.68</v>
      </c>
      <c r="R79" s="385"/>
      <c r="S79" s="386">
        <f t="shared" si="1"/>
        <v>85765.63</v>
      </c>
      <c r="T79" s="225"/>
      <c r="U79" s="203"/>
      <c r="V79" s="203"/>
      <c r="W79" s="203"/>
      <c r="X79" s="203"/>
    </row>
    <row r="80" spans="1:24" ht="15.75">
      <c r="A80" s="385"/>
      <c r="B80" s="385"/>
      <c r="C80" s="385" t="s">
        <v>795</v>
      </c>
      <c r="D80" s="385"/>
      <c r="E80" s="434">
        <v>44196</v>
      </c>
      <c r="F80" s="385"/>
      <c r="G80" s="385"/>
      <c r="H80" s="385"/>
      <c r="I80" s="385" t="s">
        <v>866</v>
      </c>
      <c r="J80" s="385"/>
      <c r="K80" s="385" t="s">
        <v>867</v>
      </c>
      <c r="L80" s="385"/>
      <c r="M80" s="385" t="s">
        <v>793</v>
      </c>
      <c r="N80" s="385"/>
      <c r="O80" s="385" t="s">
        <v>797</v>
      </c>
      <c r="P80" s="385"/>
      <c r="Q80" s="386">
        <v>1051.4000000000001</v>
      </c>
      <c r="R80" s="385"/>
      <c r="S80" s="386">
        <f t="shared" si="1"/>
        <v>86817.03</v>
      </c>
      <c r="T80" s="225"/>
      <c r="U80" s="203"/>
      <c r="V80" s="203"/>
      <c r="W80" s="203"/>
      <c r="X80" s="203"/>
    </row>
    <row r="81" spans="1:24" ht="15.75">
      <c r="A81" s="385"/>
      <c r="B81" s="385"/>
      <c r="C81" s="385" t="s">
        <v>868</v>
      </c>
      <c r="D81" s="385"/>
      <c r="E81" s="434">
        <v>44196</v>
      </c>
      <c r="F81" s="385"/>
      <c r="G81" s="385" t="s">
        <v>869</v>
      </c>
      <c r="H81" s="385"/>
      <c r="I81" s="385"/>
      <c r="J81" s="385"/>
      <c r="K81" s="385"/>
      <c r="L81" s="385"/>
      <c r="M81" s="385"/>
      <c r="N81" s="385"/>
      <c r="O81" s="385" t="s">
        <v>870</v>
      </c>
      <c r="P81" s="385"/>
      <c r="Q81" s="386">
        <v>-6009.71</v>
      </c>
      <c r="R81" s="385"/>
      <c r="S81" s="386">
        <f t="shared" si="1"/>
        <v>80807.320000000007</v>
      </c>
      <c r="T81" s="225"/>
      <c r="U81" s="203"/>
      <c r="V81" s="203"/>
      <c r="W81" s="203"/>
      <c r="X81" s="203"/>
    </row>
    <row r="82" spans="1:24" ht="15.75">
      <c r="A82" s="385"/>
      <c r="B82" s="385"/>
      <c r="C82" s="385" t="s">
        <v>868</v>
      </c>
      <c r="D82" s="385"/>
      <c r="E82" s="434">
        <v>44196</v>
      </c>
      <c r="F82" s="385"/>
      <c r="G82" s="385" t="s">
        <v>869</v>
      </c>
      <c r="H82" s="385"/>
      <c r="I82" s="385"/>
      <c r="J82" s="385"/>
      <c r="K82" s="385"/>
      <c r="L82" s="385"/>
      <c r="M82" s="385"/>
      <c r="N82" s="385"/>
      <c r="O82" s="385" t="s">
        <v>870</v>
      </c>
      <c r="P82" s="385"/>
      <c r="Q82" s="386">
        <v>-25788.81</v>
      </c>
      <c r="R82" s="385"/>
      <c r="S82" s="386">
        <f t="shared" si="1"/>
        <v>55018.51</v>
      </c>
      <c r="T82" s="225"/>
      <c r="U82" s="203"/>
      <c r="V82" s="203"/>
      <c r="W82" s="203"/>
      <c r="X82" s="203"/>
    </row>
    <row r="83" spans="1:24" ht="16.5" thickBot="1">
      <c r="A83" s="385"/>
      <c r="B83" s="385"/>
      <c r="C83" s="385" t="s">
        <v>868</v>
      </c>
      <c r="D83" s="385"/>
      <c r="E83" s="434">
        <v>44196</v>
      </c>
      <c r="F83" s="385"/>
      <c r="G83" s="385" t="s">
        <v>869</v>
      </c>
      <c r="H83" s="385"/>
      <c r="I83" s="385"/>
      <c r="J83" s="385"/>
      <c r="K83" s="385"/>
      <c r="L83" s="385"/>
      <c r="M83" s="385"/>
      <c r="N83" s="385"/>
      <c r="O83" s="385" t="s">
        <v>870</v>
      </c>
      <c r="P83" s="385"/>
      <c r="Q83" s="386">
        <v>-8034.32</v>
      </c>
      <c r="R83" s="385"/>
      <c r="S83" s="386">
        <f t="shared" si="1"/>
        <v>46984.19</v>
      </c>
      <c r="T83" s="225"/>
      <c r="U83" s="203"/>
      <c r="V83" s="203"/>
      <c r="W83" s="203"/>
      <c r="X83" s="203"/>
    </row>
    <row r="84" spans="1:24" ht="16.5" thickBot="1">
      <c r="A84" s="385"/>
      <c r="B84" s="385" t="s">
        <v>871</v>
      </c>
      <c r="C84" s="385"/>
      <c r="D84" s="385"/>
      <c r="E84" s="434"/>
      <c r="F84" s="385"/>
      <c r="G84" s="385"/>
      <c r="H84" s="385"/>
      <c r="I84" s="385"/>
      <c r="J84" s="385"/>
      <c r="K84" s="385"/>
      <c r="L84" s="385"/>
      <c r="M84" s="385"/>
      <c r="N84" s="385"/>
      <c r="O84" s="385"/>
      <c r="P84" s="385"/>
      <c r="Q84" s="435">
        <f>ROUND(SUM(Q2:Q83),5)</f>
        <v>46984.19</v>
      </c>
      <c r="R84" s="385"/>
      <c r="S84" s="435">
        <f>S83</f>
        <v>46984.19</v>
      </c>
      <c r="T84" s="225"/>
      <c r="U84" s="203"/>
      <c r="V84" s="203"/>
      <c r="W84" s="203"/>
      <c r="X84" s="203"/>
    </row>
    <row r="85" spans="1:24" ht="16.5" thickBot="1">
      <c r="A85" s="374" t="s">
        <v>142</v>
      </c>
      <c r="B85" s="374"/>
      <c r="C85" s="374"/>
      <c r="D85" s="374"/>
      <c r="E85" s="433"/>
      <c r="F85" s="374"/>
      <c r="G85" s="374"/>
      <c r="H85" s="374"/>
      <c r="I85" s="374"/>
      <c r="J85" s="374"/>
      <c r="K85" s="374"/>
      <c r="L85" s="374"/>
      <c r="M85" s="374"/>
      <c r="N85" s="374"/>
      <c r="O85" s="374"/>
      <c r="P85" s="374"/>
      <c r="Q85" s="389">
        <f>Q84</f>
        <v>46984.19</v>
      </c>
      <c r="R85" s="374"/>
      <c r="S85" s="389">
        <f>S84</f>
        <v>46984.19</v>
      </c>
      <c r="T85" s="225"/>
      <c r="U85" s="203"/>
      <c r="V85" s="203"/>
      <c r="W85" s="203"/>
      <c r="X85" s="203"/>
    </row>
    <row r="86" spans="1:24" ht="16.5" thickTop="1">
      <c r="A86" s="225"/>
      <c r="B86" s="225"/>
      <c r="C86" s="225"/>
      <c r="D86" s="225"/>
      <c r="E86" s="225"/>
      <c r="F86" s="225"/>
      <c r="G86" s="225"/>
      <c r="H86" s="225"/>
      <c r="I86" s="225"/>
      <c r="J86" s="225"/>
      <c r="K86" s="225"/>
      <c r="L86" s="225"/>
      <c r="M86" s="225"/>
      <c r="N86" s="225"/>
      <c r="O86" s="225"/>
      <c r="P86" s="225"/>
      <c r="Q86" s="225"/>
      <c r="R86" s="225"/>
      <c r="S86" s="225"/>
      <c r="T86" s="225"/>
      <c r="U86" s="203"/>
      <c r="V86" s="203"/>
      <c r="W86" s="203"/>
      <c r="X86" s="203"/>
    </row>
    <row r="87" spans="1:24" ht="15.75">
      <c r="A87" s="225"/>
      <c r="B87" s="225"/>
      <c r="C87" s="225"/>
      <c r="D87" s="225"/>
      <c r="E87" s="225"/>
      <c r="F87" s="225"/>
      <c r="G87" s="225"/>
      <c r="H87" s="225"/>
      <c r="I87" s="225"/>
      <c r="J87" s="225"/>
      <c r="K87" s="225"/>
      <c r="L87" s="225"/>
      <c r="M87" s="225"/>
      <c r="N87" s="225"/>
      <c r="O87" s="225"/>
      <c r="P87" s="225"/>
      <c r="Q87" s="225"/>
      <c r="R87" s="225"/>
      <c r="S87" s="225"/>
      <c r="T87" s="225"/>
      <c r="U87" s="203"/>
      <c r="V87" s="203"/>
      <c r="W87" s="203"/>
      <c r="X87" s="203"/>
    </row>
    <row r="88" spans="1:24" ht="15.75">
      <c r="A88" s="225"/>
      <c r="B88" s="225"/>
      <c r="C88" s="225"/>
      <c r="D88" s="225"/>
      <c r="E88" s="225"/>
      <c r="F88" s="225"/>
      <c r="G88" s="225"/>
      <c r="H88" s="225"/>
      <c r="I88" s="225"/>
      <c r="J88" s="225"/>
      <c r="K88" s="225"/>
      <c r="L88" s="225"/>
      <c r="M88" s="225"/>
      <c r="N88" s="225"/>
      <c r="O88" s="225"/>
      <c r="P88" s="225"/>
      <c r="Q88" s="225"/>
      <c r="R88" s="225"/>
      <c r="S88" s="225"/>
      <c r="T88" s="225"/>
      <c r="U88" s="203"/>
      <c r="V88" s="203"/>
      <c r="W88" s="203"/>
      <c r="X88" s="203"/>
    </row>
    <row r="89" spans="1:24">
      <c r="A89" s="203"/>
      <c r="B89" s="203"/>
      <c r="C89" s="203"/>
      <c r="D89" s="203"/>
      <c r="E89" s="203"/>
      <c r="F89" s="203"/>
      <c r="G89" s="203"/>
      <c r="H89" s="203"/>
      <c r="I89" s="203"/>
      <c r="J89" s="203"/>
      <c r="K89" s="203"/>
      <c r="L89" s="203"/>
      <c r="M89" s="203"/>
      <c r="N89" s="203"/>
      <c r="O89" s="203"/>
      <c r="P89" s="203"/>
      <c r="Q89" s="203"/>
      <c r="R89" s="203"/>
      <c r="S89" s="203"/>
      <c r="T89" s="203"/>
      <c r="U89" s="203"/>
      <c r="V89" s="203"/>
      <c r="W89" s="203"/>
      <c r="X89" s="203"/>
    </row>
    <row r="90" spans="1:24">
      <c r="A90" s="203"/>
      <c r="B90" s="203"/>
      <c r="C90" s="203"/>
      <c r="D90" s="203"/>
      <c r="E90" s="203"/>
      <c r="F90" s="203"/>
      <c r="G90" s="203"/>
      <c r="H90" s="203"/>
      <c r="I90" s="203"/>
      <c r="J90" s="203"/>
      <c r="K90" s="203"/>
      <c r="L90" s="203"/>
      <c r="M90" s="203"/>
      <c r="N90" s="203"/>
      <c r="O90" s="203"/>
      <c r="P90" s="203"/>
      <c r="Q90" s="203"/>
      <c r="R90" s="203"/>
      <c r="S90" s="203"/>
      <c r="T90" s="203"/>
      <c r="U90" s="203"/>
      <c r="V90" s="203"/>
      <c r="W90" s="203"/>
      <c r="X90" s="203"/>
    </row>
    <row r="91" spans="1:24">
      <c r="A91" s="203"/>
      <c r="B91" s="203"/>
      <c r="C91" s="203"/>
      <c r="D91" s="203"/>
      <c r="E91" s="203"/>
      <c r="F91" s="203"/>
      <c r="G91" s="203"/>
      <c r="H91" s="203"/>
      <c r="I91" s="203"/>
      <c r="J91" s="203"/>
      <c r="K91" s="203"/>
      <c r="L91" s="203"/>
      <c r="M91" s="203"/>
      <c r="N91" s="203"/>
      <c r="O91" s="203"/>
      <c r="P91" s="203"/>
      <c r="Q91" s="203"/>
      <c r="R91" s="203"/>
      <c r="S91" s="203"/>
      <c r="T91" s="203"/>
      <c r="U91" s="203"/>
      <c r="V91" s="203"/>
      <c r="W91" s="203"/>
      <c r="X91" s="203"/>
    </row>
    <row r="92" spans="1:24">
      <c r="A92" s="203"/>
      <c r="B92" s="203"/>
      <c r="C92" s="203"/>
      <c r="D92" s="203"/>
      <c r="E92" s="203"/>
      <c r="F92" s="203"/>
      <c r="G92" s="203"/>
      <c r="H92" s="203"/>
      <c r="I92" s="203"/>
      <c r="J92" s="203"/>
      <c r="K92" s="203"/>
      <c r="L92" s="203"/>
      <c r="M92" s="203"/>
      <c r="N92" s="203"/>
      <c r="O92" s="203"/>
      <c r="P92" s="203"/>
      <c r="Q92" s="203"/>
      <c r="R92" s="203"/>
      <c r="S92" s="203"/>
      <c r="T92" s="203"/>
      <c r="U92" s="203"/>
      <c r="V92" s="203"/>
      <c r="W92" s="203"/>
      <c r="X92" s="203"/>
    </row>
    <row r="93" spans="1:24">
      <c r="A93" s="203"/>
      <c r="B93" s="203"/>
      <c r="C93" s="203"/>
      <c r="D93" s="203"/>
      <c r="E93" s="203"/>
      <c r="F93" s="203"/>
      <c r="G93" s="203"/>
      <c r="H93" s="203"/>
      <c r="I93" s="203"/>
      <c r="J93" s="203"/>
      <c r="K93" s="203"/>
      <c r="L93" s="203"/>
      <c r="M93" s="203"/>
      <c r="N93" s="203"/>
      <c r="O93" s="203"/>
      <c r="P93" s="203"/>
      <c r="Q93" s="203"/>
      <c r="R93" s="203"/>
      <c r="S93" s="203"/>
      <c r="T93" s="203"/>
      <c r="U93" s="203"/>
      <c r="V93" s="203"/>
      <c r="W93" s="203"/>
      <c r="X93" s="203"/>
    </row>
    <row r="94" spans="1:24">
      <c r="A94" s="203"/>
      <c r="B94" s="203"/>
      <c r="C94" s="203"/>
      <c r="D94" s="203"/>
      <c r="E94" s="203"/>
      <c r="F94" s="203"/>
      <c r="G94" s="203"/>
      <c r="H94" s="203"/>
      <c r="I94" s="203"/>
      <c r="J94" s="203"/>
      <c r="K94" s="203"/>
      <c r="L94" s="203"/>
      <c r="M94" s="203"/>
      <c r="N94" s="203"/>
      <c r="O94" s="203"/>
      <c r="P94" s="203"/>
      <c r="Q94" s="203"/>
      <c r="R94" s="203"/>
      <c r="S94" s="203"/>
      <c r="T94" s="203"/>
      <c r="U94" s="203"/>
      <c r="V94" s="203"/>
      <c r="W94" s="203"/>
      <c r="X94" s="203"/>
    </row>
    <row r="95" spans="1:24">
      <c r="A95" s="203"/>
      <c r="B95" s="203"/>
      <c r="C95" s="203"/>
      <c r="D95" s="203"/>
      <c r="E95" s="203"/>
      <c r="F95" s="203"/>
      <c r="G95" s="203"/>
      <c r="H95" s="203"/>
      <c r="I95" s="203"/>
      <c r="J95" s="203"/>
      <c r="K95" s="203"/>
      <c r="L95" s="203"/>
      <c r="M95" s="203"/>
      <c r="N95" s="203"/>
      <c r="O95" s="203"/>
      <c r="P95" s="203"/>
      <c r="Q95" s="203"/>
      <c r="R95" s="203"/>
      <c r="S95" s="203"/>
      <c r="T95" s="203"/>
      <c r="U95" s="203"/>
      <c r="V95" s="203"/>
      <c r="W95" s="203"/>
      <c r="X95" s="203"/>
    </row>
    <row r="96" spans="1:24">
      <c r="A96" s="203"/>
      <c r="B96" s="203"/>
      <c r="C96" s="203"/>
      <c r="D96" s="203"/>
      <c r="E96" s="203"/>
      <c r="F96" s="203"/>
      <c r="G96" s="203"/>
      <c r="H96" s="203"/>
      <c r="I96" s="203"/>
      <c r="J96" s="203"/>
      <c r="K96" s="203"/>
      <c r="L96" s="203"/>
      <c r="M96" s="203"/>
      <c r="N96" s="203"/>
      <c r="O96" s="203"/>
      <c r="P96" s="203"/>
      <c r="Q96" s="203"/>
      <c r="R96" s="203"/>
      <c r="S96" s="203"/>
      <c r="T96" s="203"/>
      <c r="U96" s="203"/>
      <c r="V96" s="203"/>
      <c r="W96" s="203"/>
      <c r="X96" s="203"/>
    </row>
    <row r="97" spans="1:24">
      <c r="A97" s="203"/>
      <c r="B97" s="203"/>
      <c r="C97" s="203"/>
      <c r="D97" s="203"/>
      <c r="E97" s="203"/>
      <c r="F97" s="203"/>
      <c r="G97" s="203"/>
      <c r="H97" s="203"/>
      <c r="I97" s="203"/>
      <c r="J97" s="203"/>
      <c r="K97" s="203"/>
      <c r="L97" s="203"/>
      <c r="M97" s="203"/>
      <c r="N97" s="203"/>
      <c r="O97" s="203"/>
      <c r="P97" s="203"/>
      <c r="Q97" s="203"/>
      <c r="R97" s="203"/>
      <c r="S97" s="203"/>
      <c r="T97" s="203"/>
      <c r="U97" s="203"/>
      <c r="V97" s="203"/>
      <c r="W97" s="203"/>
      <c r="X97" s="203"/>
    </row>
    <row r="98" spans="1:24">
      <c r="A98" s="203"/>
      <c r="B98" s="203"/>
      <c r="C98" s="203"/>
      <c r="D98" s="203"/>
      <c r="E98" s="203"/>
      <c r="F98" s="203"/>
      <c r="G98" s="203"/>
      <c r="H98" s="203"/>
      <c r="I98" s="203"/>
      <c r="J98" s="203"/>
      <c r="K98" s="203"/>
      <c r="L98" s="203"/>
      <c r="M98" s="203"/>
      <c r="N98" s="203"/>
      <c r="O98" s="203"/>
      <c r="P98" s="203"/>
      <c r="Q98" s="203"/>
      <c r="R98" s="203"/>
      <c r="S98" s="203"/>
      <c r="T98" s="203"/>
      <c r="U98" s="203"/>
      <c r="V98" s="203"/>
      <c r="W98" s="203"/>
      <c r="X98" s="203"/>
    </row>
    <row r="99" spans="1:24">
      <c r="A99" s="203"/>
      <c r="B99" s="203"/>
      <c r="C99" s="203"/>
      <c r="D99" s="203"/>
      <c r="E99" s="203"/>
      <c r="F99" s="203"/>
      <c r="G99" s="203"/>
      <c r="H99" s="203"/>
      <c r="I99" s="203"/>
      <c r="J99" s="203"/>
      <c r="K99" s="203"/>
      <c r="L99" s="203"/>
      <c r="M99" s="203"/>
      <c r="N99" s="203"/>
      <c r="O99" s="203"/>
      <c r="P99" s="203"/>
      <c r="Q99" s="203"/>
      <c r="R99" s="203"/>
      <c r="S99" s="203"/>
      <c r="T99" s="203"/>
      <c r="U99" s="203"/>
      <c r="V99" s="203"/>
      <c r="W99" s="203"/>
      <c r="X99" s="203"/>
    </row>
    <row r="100" spans="1:24">
      <c r="A100" s="203"/>
      <c r="B100" s="203"/>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row>
    <row r="101" spans="1:24">
      <c r="A101" s="203"/>
      <c r="B101" s="203"/>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row>
    <row r="102" spans="1:24">
      <c r="A102" s="203"/>
      <c r="B102" s="203"/>
      <c r="C102" s="203"/>
      <c r="D102" s="203"/>
      <c r="E102" s="203"/>
      <c r="F102" s="203"/>
      <c r="G102" s="203"/>
      <c r="H102" s="203"/>
      <c r="I102" s="203"/>
      <c r="J102" s="203"/>
      <c r="K102" s="203"/>
      <c r="L102" s="203"/>
      <c r="M102" s="203"/>
      <c r="N102" s="203"/>
      <c r="O102" s="203"/>
      <c r="P102" s="203"/>
      <c r="Q102" s="203"/>
      <c r="R102" s="203"/>
      <c r="S102" s="203"/>
      <c r="T102" s="203"/>
      <c r="U102" s="203"/>
      <c r="V102" s="203"/>
      <c r="W102" s="203"/>
      <c r="X102" s="203"/>
    </row>
    <row r="103" spans="1:24">
      <c r="A103" s="203"/>
      <c r="B103" s="203"/>
      <c r="C103" s="203"/>
      <c r="D103" s="203"/>
      <c r="E103" s="203"/>
      <c r="F103" s="203"/>
      <c r="G103" s="203"/>
      <c r="H103" s="203"/>
      <c r="I103" s="203"/>
      <c r="J103" s="203"/>
      <c r="K103" s="203"/>
      <c r="L103" s="203"/>
      <c r="M103" s="203"/>
      <c r="N103" s="203"/>
      <c r="O103" s="203"/>
      <c r="P103" s="203"/>
      <c r="Q103" s="203"/>
      <c r="R103" s="203"/>
      <c r="S103" s="203"/>
      <c r="T103" s="203"/>
      <c r="U103" s="203"/>
      <c r="V103" s="203"/>
      <c r="W103" s="203"/>
      <c r="X103" s="203"/>
    </row>
    <row r="104" spans="1:24">
      <c r="A104" s="203"/>
      <c r="B104" s="203"/>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row>
    <row r="105" spans="1:24">
      <c r="A105" s="203"/>
      <c r="B105" s="203"/>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row>
    <row r="106" spans="1:24">
      <c r="A106" s="203"/>
      <c r="B106" s="203"/>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row>
    <row r="107" spans="1:24">
      <c r="A107" s="203"/>
      <c r="B107" s="203"/>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row>
    <row r="108" spans="1:24">
      <c r="A108" s="203"/>
      <c r="B108" s="203"/>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row>
    <row r="109" spans="1:24">
      <c r="A109" s="203"/>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row>
    <row r="110" spans="1:24">
      <c r="A110" s="203"/>
      <c r="B110" s="203"/>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row>
    <row r="111" spans="1:24">
      <c r="A111" s="203"/>
      <c r="B111" s="203"/>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row>
    <row r="112" spans="1:24">
      <c r="A112" s="203"/>
      <c r="B112" s="203"/>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row>
    <row r="113" spans="1:24">
      <c r="A113" s="203"/>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row>
    <row r="114" spans="1:24">
      <c r="A114" s="203"/>
      <c r="B114" s="203"/>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row>
    <row r="115" spans="1:24">
      <c r="A115" s="203"/>
      <c r="B115" s="203"/>
      <c r="C115" s="203"/>
      <c r="D115" s="203"/>
      <c r="E115" s="203"/>
      <c r="F115" s="203"/>
      <c r="G115" s="203"/>
      <c r="H115" s="203"/>
      <c r="I115" s="203"/>
      <c r="J115" s="203"/>
      <c r="K115" s="203"/>
      <c r="L115" s="203"/>
      <c r="M115" s="203"/>
      <c r="N115" s="203"/>
      <c r="O115" s="203"/>
      <c r="P115" s="203"/>
      <c r="Q115" s="203"/>
      <c r="R115" s="203"/>
      <c r="S115" s="203"/>
      <c r="T115" s="203"/>
      <c r="U115" s="203"/>
      <c r="V115" s="203"/>
      <c r="W115" s="203"/>
      <c r="X115" s="203"/>
    </row>
    <row r="116" spans="1:24">
      <c r="A116" s="203"/>
      <c r="B116" s="203"/>
      <c r="C116" s="203"/>
      <c r="D116" s="203"/>
      <c r="E116" s="203"/>
      <c r="F116" s="203"/>
      <c r="G116" s="203"/>
      <c r="H116" s="203"/>
      <c r="I116" s="203"/>
      <c r="J116" s="203"/>
      <c r="K116" s="203"/>
      <c r="L116" s="203"/>
      <c r="M116" s="203"/>
      <c r="N116" s="203"/>
      <c r="O116" s="203"/>
      <c r="P116" s="203"/>
      <c r="Q116" s="203"/>
      <c r="R116" s="203"/>
      <c r="S116" s="203"/>
      <c r="T116" s="203"/>
      <c r="U116" s="203"/>
      <c r="V116" s="203"/>
      <c r="W116" s="203"/>
      <c r="X116" s="203"/>
    </row>
    <row r="117" spans="1:24">
      <c r="A117" s="203"/>
      <c r="B117" s="203"/>
      <c r="C117" s="203"/>
      <c r="D117" s="203"/>
      <c r="E117" s="203"/>
      <c r="F117" s="203"/>
      <c r="G117" s="203"/>
      <c r="H117" s="203"/>
      <c r="I117" s="203"/>
      <c r="J117" s="203"/>
      <c r="K117" s="203"/>
      <c r="L117" s="203"/>
      <c r="M117" s="203"/>
      <c r="N117" s="203"/>
      <c r="O117" s="203"/>
      <c r="P117" s="203"/>
      <c r="Q117" s="203"/>
      <c r="R117" s="203"/>
      <c r="S117" s="203"/>
      <c r="T117" s="203"/>
      <c r="U117" s="203"/>
      <c r="V117" s="203"/>
      <c r="W117" s="203"/>
      <c r="X117" s="203"/>
    </row>
    <row r="118" spans="1:24">
      <c r="A118" s="203"/>
      <c r="B118" s="203"/>
      <c r="C118" s="203"/>
      <c r="D118" s="203"/>
      <c r="E118" s="203"/>
      <c r="F118" s="203"/>
      <c r="G118" s="203"/>
      <c r="H118" s="203"/>
      <c r="I118" s="203"/>
      <c r="J118" s="203"/>
      <c r="K118" s="203"/>
      <c r="L118" s="203"/>
      <c r="M118" s="203"/>
      <c r="N118" s="203"/>
      <c r="O118" s="203"/>
      <c r="P118" s="203"/>
      <c r="Q118" s="203"/>
      <c r="R118" s="203"/>
      <c r="S118" s="203"/>
      <c r="T118" s="203"/>
      <c r="U118" s="203"/>
      <c r="V118" s="203"/>
      <c r="W118" s="203"/>
      <c r="X118" s="203"/>
    </row>
    <row r="119" spans="1:24">
      <c r="A119" s="203"/>
      <c r="B119" s="203"/>
      <c r="C119" s="203"/>
      <c r="D119" s="203"/>
      <c r="E119" s="203"/>
      <c r="F119" s="203"/>
      <c r="G119" s="203"/>
      <c r="H119" s="203"/>
      <c r="I119" s="203"/>
      <c r="J119" s="203"/>
      <c r="K119" s="203"/>
      <c r="L119" s="203"/>
      <c r="M119" s="203"/>
      <c r="N119" s="203"/>
      <c r="O119" s="203"/>
      <c r="P119" s="203"/>
      <c r="Q119" s="203"/>
      <c r="R119" s="203"/>
      <c r="S119" s="203"/>
      <c r="T119" s="203"/>
      <c r="U119" s="203"/>
      <c r="V119" s="203"/>
      <c r="W119" s="203"/>
      <c r="X119" s="203"/>
    </row>
    <row r="120" spans="1:24">
      <c r="A120" s="203"/>
      <c r="B120" s="203"/>
      <c r="C120" s="203"/>
      <c r="D120" s="203"/>
      <c r="E120" s="203"/>
      <c r="F120" s="203"/>
      <c r="G120" s="203"/>
      <c r="H120" s="203"/>
      <c r="I120" s="203"/>
      <c r="J120" s="203"/>
      <c r="K120" s="203"/>
      <c r="L120" s="203"/>
      <c r="M120" s="203"/>
      <c r="N120" s="203"/>
      <c r="O120" s="203"/>
      <c r="P120" s="203"/>
      <c r="Q120" s="203"/>
      <c r="R120" s="203"/>
      <c r="S120" s="203"/>
      <c r="T120" s="203"/>
      <c r="U120" s="203"/>
      <c r="V120" s="203"/>
      <c r="W120" s="203"/>
      <c r="X120" s="203"/>
    </row>
    <row r="121" spans="1:24">
      <c r="A121" s="203"/>
      <c r="B121" s="203"/>
      <c r="C121" s="203"/>
      <c r="D121" s="203"/>
      <c r="E121" s="203"/>
      <c r="F121" s="203"/>
      <c r="G121" s="203"/>
      <c r="H121" s="203"/>
      <c r="I121" s="203"/>
      <c r="J121" s="203"/>
      <c r="K121" s="203"/>
      <c r="L121" s="203"/>
      <c r="M121" s="203"/>
      <c r="N121" s="203"/>
      <c r="O121" s="203"/>
      <c r="P121" s="203"/>
      <c r="Q121" s="203"/>
      <c r="R121" s="203"/>
      <c r="S121" s="203"/>
      <c r="T121" s="203"/>
      <c r="U121" s="203"/>
      <c r="V121" s="203"/>
      <c r="W121" s="203"/>
      <c r="X121" s="203"/>
    </row>
    <row r="122" spans="1:24">
      <c r="A122" s="203"/>
      <c r="B122" s="203"/>
      <c r="C122" s="203"/>
      <c r="D122" s="203"/>
      <c r="E122" s="203"/>
      <c r="F122" s="203"/>
      <c r="G122" s="203"/>
      <c r="H122" s="203"/>
      <c r="I122" s="203"/>
      <c r="J122" s="203"/>
      <c r="K122" s="203"/>
      <c r="L122" s="203"/>
      <c r="M122" s="203"/>
      <c r="N122" s="203"/>
      <c r="O122" s="203"/>
      <c r="P122" s="203"/>
      <c r="Q122" s="203"/>
      <c r="R122" s="203"/>
      <c r="S122" s="203"/>
      <c r="T122" s="203"/>
      <c r="U122" s="203"/>
      <c r="V122" s="203"/>
      <c r="W122" s="203"/>
      <c r="X122" s="20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B064-CAB5-4756-AD80-C78D2E9CD8B2}">
  <dimension ref="A1:Y85"/>
  <sheetViews>
    <sheetView workbookViewId="0">
      <selection sqref="A1:Y85"/>
    </sheetView>
  </sheetViews>
  <sheetFormatPr defaultRowHeight="15"/>
  <cols>
    <col min="1" max="1" width="2.33203125" customWidth="1"/>
    <col min="2" max="2" width="21.6640625" customWidth="1"/>
    <col min="3" max="4" width="1.77734375" customWidth="1"/>
    <col min="5" max="5" width="12.109375" bestFit="1" customWidth="1"/>
    <col min="6" max="6" width="1.77734375" customWidth="1"/>
    <col min="7" max="7" width="7" bestFit="1" customWidth="1"/>
    <col min="8" max="8" width="1.77734375" customWidth="1"/>
    <col min="9" max="9" width="14.88671875" bestFit="1" customWidth="1"/>
    <col min="10" max="10" width="1.77734375" customWidth="1"/>
    <col min="11" max="11" width="22.77734375" bestFit="1" customWidth="1"/>
    <col min="12" max="12" width="1.77734375" customWidth="1"/>
    <col min="13" max="13" width="6.44140625" bestFit="1" customWidth="1"/>
    <col min="14" max="14" width="1.77734375" customWidth="1"/>
    <col min="15" max="15" width="21.77734375" bestFit="1" customWidth="1"/>
    <col min="16" max="16" width="1.77734375" customWidth="1"/>
    <col min="18" max="18" width="1.77734375" customWidth="1"/>
    <col min="19" max="19" width="6.88671875" bestFit="1" customWidth="1"/>
  </cols>
  <sheetData>
    <row r="1" spans="1:25" ht="16.5" thickBot="1">
      <c r="A1" s="382"/>
      <c r="B1" s="382"/>
      <c r="C1" s="382"/>
      <c r="D1" s="382"/>
      <c r="E1" s="432" t="s">
        <v>45</v>
      </c>
      <c r="F1" s="382"/>
      <c r="G1" s="432" t="s">
        <v>782</v>
      </c>
      <c r="H1" s="382"/>
      <c r="I1" s="432" t="s">
        <v>784</v>
      </c>
      <c r="J1" s="382"/>
      <c r="K1" s="432" t="s">
        <v>785</v>
      </c>
      <c r="L1" s="382"/>
      <c r="M1" s="432" t="s">
        <v>786</v>
      </c>
      <c r="N1" s="382"/>
      <c r="O1" s="432" t="s">
        <v>787</v>
      </c>
      <c r="P1" s="382"/>
      <c r="Q1" s="432" t="s">
        <v>47</v>
      </c>
      <c r="R1" s="382"/>
      <c r="S1" s="432" t="s">
        <v>788</v>
      </c>
      <c r="T1" s="225"/>
      <c r="U1" s="225"/>
      <c r="V1" s="225"/>
      <c r="W1" s="225"/>
      <c r="X1" s="225"/>
      <c r="Y1" s="225"/>
    </row>
    <row r="2" spans="1:25" ht="16.5" thickTop="1">
      <c r="A2" s="374"/>
      <c r="B2" s="374" t="s">
        <v>171</v>
      </c>
      <c r="C2" s="374"/>
      <c r="D2" s="374"/>
      <c r="E2" s="374"/>
      <c r="F2" s="374"/>
      <c r="G2" s="433"/>
      <c r="H2" s="374"/>
      <c r="I2" s="374"/>
      <c r="J2" s="374"/>
      <c r="K2" s="374"/>
      <c r="L2" s="374"/>
      <c r="M2" s="374"/>
      <c r="N2" s="374"/>
      <c r="O2" s="374"/>
      <c r="P2" s="374"/>
      <c r="Q2" s="388"/>
      <c r="R2" s="374"/>
      <c r="S2" s="388"/>
      <c r="T2" s="225"/>
      <c r="U2" s="225"/>
      <c r="V2" s="225"/>
      <c r="W2" s="225"/>
      <c r="X2" s="225"/>
      <c r="Y2" s="225"/>
    </row>
    <row r="3" spans="1:25" ht="15.75">
      <c r="A3" s="385"/>
      <c r="B3" s="385"/>
      <c r="C3" s="385"/>
      <c r="D3" s="385"/>
      <c r="E3" s="385" t="s">
        <v>798</v>
      </c>
      <c r="F3" s="385"/>
      <c r="G3" s="434">
        <v>43836</v>
      </c>
      <c r="H3" s="385"/>
      <c r="I3" s="385" t="s">
        <v>872</v>
      </c>
      <c r="J3" s="385"/>
      <c r="K3" s="385" t="s">
        <v>873</v>
      </c>
      <c r="L3" s="385"/>
      <c r="M3" s="385" t="s">
        <v>793</v>
      </c>
      <c r="N3" s="385"/>
      <c r="O3" s="385" t="s">
        <v>801</v>
      </c>
      <c r="P3" s="385"/>
      <c r="Q3" s="386">
        <v>56</v>
      </c>
      <c r="R3" s="385"/>
      <c r="S3" s="386">
        <f t="shared" ref="S3:S66" si="0">ROUND(S2+Q3,5)</f>
        <v>56</v>
      </c>
      <c r="T3" s="225"/>
      <c r="U3" s="225"/>
      <c r="V3" s="225"/>
      <c r="W3" s="225"/>
      <c r="X3" s="225"/>
      <c r="Y3" s="225"/>
    </row>
    <row r="4" spans="1:25" ht="15.75">
      <c r="A4" s="385"/>
      <c r="B4" s="385"/>
      <c r="C4" s="385"/>
      <c r="D4" s="385"/>
      <c r="E4" s="385" t="s">
        <v>798</v>
      </c>
      <c r="F4" s="385"/>
      <c r="G4" s="434">
        <v>43836</v>
      </c>
      <c r="H4" s="385"/>
      <c r="I4" s="385" t="s">
        <v>858</v>
      </c>
      <c r="J4" s="385"/>
      <c r="K4" s="385" t="s">
        <v>874</v>
      </c>
      <c r="L4" s="385"/>
      <c r="M4" s="385" t="s">
        <v>793</v>
      </c>
      <c r="N4" s="385"/>
      <c r="O4" s="385" t="s">
        <v>801</v>
      </c>
      <c r="P4" s="385"/>
      <c r="Q4" s="386">
        <v>1858.82</v>
      </c>
      <c r="R4" s="385"/>
      <c r="S4" s="386">
        <f t="shared" si="0"/>
        <v>1914.82</v>
      </c>
      <c r="T4" s="225"/>
      <c r="U4" s="225"/>
      <c r="V4" s="225"/>
      <c r="W4" s="225"/>
      <c r="X4" s="225"/>
      <c r="Y4" s="225"/>
    </row>
    <row r="5" spans="1:25" ht="15.75">
      <c r="A5" s="385"/>
      <c r="B5" s="385"/>
      <c r="C5" s="385"/>
      <c r="D5" s="385"/>
      <c r="E5" s="385" t="s">
        <v>798</v>
      </c>
      <c r="F5" s="385"/>
      <c r="G5" s="434">
        <v>43851</v>
      </c>
      <c r="H5" s="385"/>
      <c r="I5" s="385" t="s">
        <v>875</v>
      </c>
      <c r="J5" s="385"/>
      <c r="K5" s="385" t="s">
        <v>775</v>
      </c>
      <c r="L5" s="385"/>
      <c r="M5" s="385" t="s">
        <v>793</v>
      </c>
      <c r="N5" s="385"/>
      <c r="O5" s="385" t="s">
        <v>801</v>
      </c>
      <c r="P5" s="385"/>
      <c r="Q5" s="386">
        <v>123.82</v>
      </c>
      <c r="R5" s="385"/>
      <c r="S5" s="386">
        <f t="shared" si="0"/>
        <v>2038.64</v>
      </c>
      <c r="T5" s="225"/>
      <c r="U5" s="225"/>
      <c r="V5" s="225"/>
      <c r="W5" s="225"/>
      <c r="X5" s="225"/>
      <c r="Y5" s="225"/>
    </row>
    <row r="6" spans="1:25" ht="15.75">
      <c r="A6" s="385"/>
      <c r="B6" s="385"/>
      <c r="C6" s="385"/>
      <c r="D6" s="385"/>
      <c r="E6" s="385" t="s">
        <v>798</v>
      </c>
      <c r="F6" s="385"/>
      <c r="G6" s="434">
        <v>43851</v>
      </c>
      <c r="H6" s="385"/>
      <c r="I6" s="385" t="s">
        <v>876</v>
      </c>
      <c r="J6" s="385"/>
      <c r="K6" s="385"/>
      <c r="L6" s="385"/>
      <c r="M6" s="385" t="s">
        <v>793</v>
      </c>
      <c r="N6" s="385"/>
      <c r="O6" s="385" t="s">
        <v>801</v>
      </c>
      <c r="P6" s="385"/>
      <c r="Q6" s="386">
        <v>199.39</v>
      </c>
      <c r="R6" s="385"/>
      <c r="S6" s="386">
        <f t="shared" si="0"/>
        <v>2238.0300000000002</v>
      </c>
      <c r="T6" s="225"/>
      <c r="U6" s="225"/>
      <c r="V6" s="225"/>
      <c r="W6" s="225"/>
      <c r="X6" s="225"/>
      <c r="Y6" s="225"/>
    </row>
    <row r="7" spans="1:25" ht="15.75">
      <c r="A7" s="385"/>
      <c r="B7" s="385"/>
      <c r="C7" s="385"/>
      <c r="D7" s="385"/>
      <c r="E7" s="385" t="s">
        <v>795</v>
      </c>
      <c r="F7" s="385"/>
      <c r="G7" s="434">
        <v>43861</v>
      </c>
      <c r="H7" s="385"/>
      <c r="I7" s="385" t="s">
        <v>877</v>
      </c>
      <c r="J7" s="385"/>
      <c r="K7" s="385"/>
      <c r="L7" s="385"/>
      <c r="M7" s="385" t="s">
        <v>793</v>
      </c>
      <c r="N7" s="385"/>
      <c r="O7" s="385" t="s">
        <v>797</v>
      </c>
      <c r="P7" s="385"/>
      <c r="Q7" s="386">
        <v>104.2</v>
      </c>
      <c r="R7" s="385"/>
      <c r="S7" s="386">
        <f t="shared" si="0"/>
        <v>2342.23</v>
      </c>
      <c r="T7" s="225"/>
      <c r="U7" s="225"/>
      <c r="V7" s="225"/>
      <c r="W7" s="225"/>
      <c r="X7" s="225"/>
      <c r="Y7" s="225"/>
    </row>
    <row r="8" spans="1:25" ht="15.75">
      <c r="A8" s="385"/>
      <c r="B8" s="385"/>
      <c r="C8" s="385"/>
      <c r="D8" s="385"/>
      <c r="E8" s="385" t="s">
        <v>795</v>
      </c>
      <c r="F8" s="385"/>
      <c r="G8" s="434">
        <v>43861</v>
      </c>
      <c r="H8" s="385"/>
      <c r="I8" s="385" t="s">
        <v>877</v>
      </c>
      <c r="J8" s="385"/>
      <c r="K8" s="385"/>
      <c r="L8" s="385"/>
      <c r="M8" s="385" t="s">
        <v>793</v>
      </c>
      <c r="N8" s="385"/>
      <c r="O8" s="385" t="s">
        <v>797</v>
      </c>
      <c r="P8" s="385"/>
      <c r="Q8" s="386">
        <v>50.66</v>
      </c>
      <c r="R8" s="385"/>
      <c r="S8" s="386">
        <f t="shared" si="0"/>
        <v>2392.89</v>
      </c>
      <c r="T8" s="225"/>
      <c r="U8" s="225"/>
      <c r="V8" s="225"/>
      <c r="W8" s="225"/>
      <c r="X8" s="225"/>
      <c r="Y8" s="225"/>
    </row>
    <row r="9" spans="1:25" ht="15.75">
      <c r="A9" s="385"/>
      <c r="B9" s="385"/>
      <c r="C9" s="385"/>
      <c r="D9" s="385"/>
      <c r="E9" s="385" t="s">
        <v>795</v>
      </c>
      <c r="F9" s="385"/>
      <c r="G9" s="434">
        <v>43861</v>
      </c>
      <c r="H9" s="385"/>
      <c r="I9" s="385" t="s">
        <v>877</v>
      </c>
      <c r="J9" s="385"/>
      <c r="K9" s="385"/>
      <c r="L9" s="385"/>
      <c r="M9" s="385" t="s">
        <v>793</v>
      </c>
      <c r="N9" s="385"/>
      <c r="O9" s="385" t="s">
        <v>797</v>
      </c>
      <c r="P9" s="385"/>
      <c r="Q9" s="386">
        <v>29.12</v>
      </c>
      <c r="R9" s="385"/>
      <c r="S9" s="386">
        <f t="shared" si="0"/>
        <v>2422.0100000000002</v>
      </c>
      <c r="T9" s="225"/>
      <c r="U9" s="225"/>
      <c r="V9" s="225"/>
      <c r="W9" s="225"/>
      <c r="X9" s="225"/>
      <c r="Y9" s="225"/>
    </row>
    <row r="10" spans="1:25" ht="15.75">
      <c r="A10" s="385"/>
      <c r="B10" s="385"/>
      <c r="C10" s="385"/>
      <c r="D10" s="385"/>
      <c r="E10" s="385" t="s">
        <v>798</v>
      </c>
      <c r="F10" s="385"/>
      <c r="G10" s="434">
        <v>43864</v>
      </c>
      <c r="H10" s="385"/>
      <c r="I10" s="385" t="s">
        <v>858</v>
      </c>
      <c r="J10" s="385"/>
      <c r="K10" s="385" t="s">
        <v>874</v>
      </c>
      <c r="L10" s="385"/>
      <c r="M10" s="385" t="s">
        <v>793</v>
      </c>
      <c r="N10" s="385"/>
      <c r="O10" s="385" t="s">
        <v>801</v>
      </c>
      <c r="P10" s="385"/>
      <c r="Q10" s="386">
        <v>1050.92</v>
      </c>
      <c r="R10" s="385"/>
      <c r="S10" s="386">
        <f t="shared" si="0"/>
        <v>3472.93</v>
      </c>
      <c r="T10" s="225"/>
      <c r="U10" s="225"/>
      <c r="V10" s="225"/>
      <c r="W10" s="225"/>
      <c r="X10" s="225"/>
      <c r="Y10" s="225"/>
    </row>
    <row r="11" spans="1:25" ht="15.75">
      <c r="A11" s="385"/>
      <c r="B11" s="385"/>
      <c r="C11" s="385"/>
      <c r="D11" s="385"/>
      <c r="E11" s="385" t="s">
        <v>798</v>
      </c>
      <c r="F11" s="385"/>
      <c r="G11" s="434">
        <v>43864</v>
      </c>
      <c r="H11" s="385"/>
      <c r="I11" s="385" t="s">
        <v>872</v>
      </c>
      <c r="J11" s="385"/>
      <c r="K11" s="385" t="s">
        <v>873</v>
      </c>
      <c r="L11" s="385"/>
      <c r="M11" s="385" t="s">
        <v>793</v>
      </c>
      <c r="N11" s="385"/>
      <c r="O11" s="385" t="s">
        <v>801</v>
      </c>
      <c r="P11" s="385"/>
      <c r="Q11" s="386">
        <v>379.1</v>
      </c>
      <c r="R11" s="385"/>
      <c r="S11" s="386">
        <f t="shared" si="0"/>
        <v>3852.03</v>
      </c>
      <c r="T11" s="225"/>
      <c r="U11" s="225"/>
      <c r="V11" s="225"/>
      <c r="W11" s="225"/>
      <c r="X11" s="225"/>
      <c r="Y11" s="225"/>
    </row>
    <row r="12" spans="1:25" ht="15.75">
      <c r="A12" s="385"/>
      <c r="B12" s="385"/>
      <c r="C12" s="385"/>
      <c r="D12" s="385"/>
      <c r="E12" s="385" t="s">
        <v>798</v>
      </c>
      <c r="F12" s="385"/>
      <c r="G12" s="434">
        <v>43874</v>
      </c>
      <c r="H12" s="385"/>
      <c r="I12" s="385" t="s">
        <v>876</v>
      </c>
      <c r="J12" s="385"/>
      <c r="K12" s="385" t="s">
        <v>878</v>
      </c>
      <c r="L12" s="385"/>
      <c r="M12" s="385" t="s">
        <v>793</v>
      </c>
      <c r="N12" s="385"/>
      <c r="O12" s="385" t="s">
        <v>801</v>
      </c>
      <c r="P12" s="385"/>
      <c r="Q12" s="386">
        <v>829.32</v>
      </c>
      <c r="R12" s="385"/>
      <c r="S12" s="386">
        <f t="shared" si="0"/>
        <v>4681.3500000000004</v>
      </c>
      <c r="T12" s="225"/>
      <c r="U12" s="225"/>
      <c r="V12" s="225"/>
      <c r="W12" s="225"/>
      <c r="X12" s="225"/>
      <c r="Y12" s="225"/>
    </row>
    <row r="13" spans="1:25" ht="15.75">
      <c r="A13" s="385"/>
      <c r="B13" s="385"/>
      <c r="C13" s="385"/>
      <c r="D13" s="385"/>
      <c r="E13" s="385" t="s">
        <v>798</v>
      </c>
      <c r="F13" s="385"/>
      <c r="G13" s="434">
        <v>43874</v>
      </c>
      <c r="H13" s="385"/>
      <c r="I13" s="385" t="s">
        <v>875</v>
      </c>
      <c r="J13" s="385"/>
      <c r="K13" s="385" t="s">
        <v>775</v>
      </c>
      <c r="L13" s="385"/>
      <c r="M13" s="385" t="s">
        <v>793</v>
      </c>
      <c r="N13" s="385"/>
      <c r="O13" s="385" t="s">
        <v>801</v>
      </c>
      <c r="P13" s="385"/>
      <c r="Q13" s="386">
        <v>40.36</v>
      </c>
      <c r="R13" s="385"/>
      <c r="S13" s="386">
        <f t="shared" si="0"/>
        <v>4721.71</v>
      </c>
      <c r="T13" s="225"/>
      <c r="U13" s="225"/>
      <c r="V13" s="225"/>
      <c r="W13" s="225"/>
      <c r="X13" s="225"/>
      <c r="Y13" s="225"/>
    </row>
    <row r="14" spans="1:25" ht="15.75">
      <c r="A14" s="385"/>
      <c r="B14" s="385"/>
      <c r="C14" s="385"/>
      <c r="D14" s="385"/>
      <c r="E14" s="385" t="s">
        <v>798</v>
      </c>
      <c r="F14" s="385"/>
      <c r="G14" s="434">
        <v>43894</v>
      </c>
      <c r="H14" s="385"/>
      <c r="I14" s="385" t="s">
        <v>858</v>
      </c>
      <c r="J14" s="385"/>
      <c r="K14" s="385" t="s">
        <v>874</v>
      </c>
      <c r="L14" s="385"/>
      <c r="M14" s="385" t="s">
        <v>793</v>
      </c>
      <c r="N14" s="385"/>
      <c r="O14" s="385" t="s">
        <v>801</v>
      </c>
      <c r="P14" s="385"/>
      <c r="Q14" s="386">
        <v>165.07</v>
      </c>
      <c r="R14" s="385"/>
      <c r="S14" s="386">
        <f t="shared" si="0"/>
        <v>4886.78</v>
      </c>
      <c r="T14" s="225"/>
      <c r="U14" s="225"/>
      <c r="V14" s="225"/>
      <c r="W14" s="225"/>
      <c r="X14" s="225"/>
      <c r="Y14" s="225"/>
    </row>
    <row r="15" spans="1:25" ht="15.75">
      <c r="A15" s="385"/>
      <c r="B15" s="385"/>
      <c r="C15" s="385"/>
      <c r="D15" s="385"/>
      <c r="E15" s="385" t="s">
        <v>798</v>
      </c>
      <c r="F15" s="385"/>
      <c r="G15" s="434">
        <v>43899</v>
      </c>
      <c r="H15" s="385"/>
      <c r="I15" s="385" t="s">
        <v>872</v>
      </c>
      <c r="J15" s="385"/>
      <c r="K15" s="385" t="s">
        <v>873</v>
      </c>
      <c r="L15" s="385"/>
      <c r="M15" s="385" t="s">
        <v>793</v>
      </c>
      <c r="N15" s="385"/>
      <c r="O15" s="385" t="s">
        <v>801</v>
      </c>
      <c r="P15" s="385"/>
      <c r="Q15" s="386">
        <v>476.03</v>
      </c>
      <c r="R15" s="385"/>
      <c r="S15" s="386">
        <f t="shared" si="0"/>
        <v>5362.81</v>
      </c>
      <c r="T15" s="225"/>
      <c r="U15" s="225"/>
      <c r="V15" s="225"/>
      <c r="W15" s="225"/>
      <c r="X15" s="225"/>
      <c r="Y15" s="225"/>
    </row>
    <row r="16" spans="1:25" ht="15.75">
      <c r="A16" s="385"/>
      <c r="B16" s="385"/>
      <c r="C16" s="385"/>
      <c r="D16" s="385"/>
      <c r="E16" s="385" t="s">
        <v>798</v>
      </c>
      <c r="F16" s="385"/>
      <c r="G16" s="434">
        <v>43899</v>
      </c>
      <c r="H16" s="385"/>
      <c r="I16" s="385" t="s">
        <v>875</v>
      </c>
      <c r="J16" s="385"/>
      <c r="K16" s="385" t="s">
        <v>775</v>
      </c>
      <c r="L16" s="385"/>
      <c r="M16" s="385" t="s">
        <v>793</v>
      </c>
      <c r="N16" s="385"/>
      <c r="O16" s="385" t="s">
        <v>801</v>
      </c>
      <c r="P16" s="385"/>
      <c r="Q16" s="386">
        <v>85.99</v>
      </c>
      <c r="R16" s="385"/>
      <c r="S16" s="386">
        <f t="shared" si="0"/>
        <v>5448.8</v>
      </c>
      <c r="T16" s="225"/>
      <c r="U16" s="225"/>
      <c r="V16" s="225"/>
      <c r="W16" s="225"/>
      <c r="X16" s="225"/>
      <c r="Y16" s="225"/>
    </row>
    <row r="17" spans="1:25" ht="15.75">
      <c r="A17" s="385"/>
      <c r="B17" s="385"/>
      <c r="C17" s="385"/>
      <c r="D17" s="385"/>
      <c r="E17" s="385" t="s">
        <v>798</v>
      </c>
      <c r="F17" s="385"/>
      <c r="G17" s="434">
        <v>43928</v>
      </c>
      <c r="H17" s="385"/>
      <c r="I17" s="385" t="s">
        <v>858</v>
      </c>
      <c r="J17" s="385"/>
      <c r="K17" s="385" t="s">
        <v>874</v>
      </c>
      <c r="L17" s="385"/>
      <c r="M17" s="385" t="s">
        <v>793</v>
      </c>
      <c r="N17" s="385"/>
      <c r="O17" s="385" t="s">
        <v>801</v>
      </c>
      <c r="P17" s="385"/>
      <c r="Q17" s="386">
        <v>1463.46</v>
      </c>
      <c r="R17" s="385"/>
      <c r="S17" s="386">
        <f t="shared" si="0"/>
        <v>6912.26</v>
      </c>
      <c r="T17" s="225"/>
      <c r="U17" s="225"/>
      <c r="V17" s="225"/>
      <c r="W17" s="225"/>
      <c r="X17" s="225"/>
      <c r="Y17" s="225"/>
    </row>
    <row r="18" spans="1:25" ht="15.75">
      <c r="A18" s="385"/>
      <c r="B18" s="385"/>
      <c r="C18" s="385"/>
      <c r="D18" s="385"/>
      <c r="E18" s="385" t="s">
        <v>798</v>
      </c>
      <c r="F18" s="385"/>
      <c r="G18" s="434">
        <v>43934</v>
      </c>
      <c r="H18" s="385"/>
      <c r="I18" s="385" t="s">
        <v>875</v>
      </c>
      <c r="J18" s="385"/>
      <c r="K18" s="385" t="s">
        <v>775</v>
      </c>
      <c r="L18" s="385"/>
      <c r="M18" s="385" t="s">
        <v>793</v>
      </c>
      <c r="N18" s="385"/>
      <c r="O18" s="385" t="s">
        <v>801</v>
      </c>
      <c r="P18" s="385"/>
      <c r="Q18" s="386">
        <v>143.72999999999999</v>
      </c>
      <c r="R18" s="385"/>
      <c r="S18" s="386">
        <f t="shared" si="0"/>
        <v>7055.99</v>
      </c>
      <c r="T18" s="225"/>
      <c r="U18" s="225"/>
      <c r="V18" s="225"/>
      <c r="W18" s="225"/>
      <c r="X18" s="225"/>
      <c r="Y18" s="225"/>
    </row>
    <row r="19" spans="1:25" ht="15.75">
      <c r="A19" s="385"/>
      <c r="B19" s="385"/>
      <c r="C19" s="385"/>
      <c r="D19" s="385"/>
      <c r="E19" s="385" t="s">
        <v>798</v>
      </c>
      <c r="F19" s="385"/>
      <c r="G19" s="434">
        <v>43956</v>
      </c>
      <c r="H19" s="385"/>
      <c r="I19" s="385" t="s">
        <v>872</v>
      </c>
      <c r="J19" s="385"/>
      <c r="K19" s="385" t="s">
        <v>873</v>
      </c>
      <c r="L19" s="385"/>
      <c r="M19" s="385" t="s">
        <v>793</v>
      </c>
      <c r="N19" s="385"/>
      <c r="O19" s="385" t="s">
        <v>801</v>
      </c>
      <c r="P19" s="385"/>
      <c r="Q19" s="386">
        <v>544.96</v>
      </c>
      <c r="R19" s="385"/>
      <c r="S19" s="386">
        <f t="shared" si="0"/>
        <v>7600.95</v>
      </c>
      <c r="T19" s="225"/>
      <c r="U19" s="225"/>
      <c r="V19" s="225"/>
      <c r="W19" s="225"/>
      <c r="X19" s="225"/>
      <c r="Y19" s="225"/>
    </row>
    <row r="20" spans="1:25" ht="15.75">
      <c r="A20" s="385"/>
      <c r="B20" s="385"/>
      <c r="C20" s="385"/>
      <c r="D20" s="385"/>
      <c r="E20" s="385" t="s">
        <v>798</v>
      </c>
      <c r="F20" s="385"/>
      <c r="G20" s="434">
        <v>43956</v>
      </c>
      <c r="H20" s="385"/>
      <c r="I20" s="385" t="s">
        <v>858</v>
      </c>
      <c r="J20" s="385"/>
      <c r="K20" s="385" t="s">
        <v>874</v>
      </c>
      <c r="L20" s="385"/>
      <c r="M20" s="385" t="s">
        <v>793</v>
      </c>
      <c r="N20" s="385"/>
      <c r="O20" s="385" t="s">
        <v>801</v>
      </c>
      <c r="P20" s="385"/>
      <c r="Q20" s="386">
        <v>279.67</v>
      </c>
      <c r="R20" s="385"/>
      <c r="S20" s="386">
        <f t="shared" si="0"/>
        <v>7880.62</v>
      </c>
      <c r="T20" s="225"/>
      <c r="U20" s="225"/>
      <c r="V20" s="225"/>
      <c r="W20" s="225"/>
      <c r="X20" s="225"/>
      <c r="Y20" s="225"/>
    </row>
    <row r="21" spans="1:25" ht="15.75">
      <c r="A21" s="385"/>
      <c r="B21" s="385"/>
      <c r="C21" s="385"/>
      <c r="D21" s="385"/>
      <c r="E21" s="385" t="s">
        <v>798</v>
      </c>
      <c r="F21" s="385"/>
      <c r="G21" s="434">
        <v>43964</v>
      </c>
      <c r="H21" s="385"/>
      <c r="I21" s="385" t="s">
        <v>875</v>
      </c>
      <c r="J21" s="385"/>
      <c r="K21" s="385" t="s">
        <v>775</v>
      </c>
      <c r="L21" s="385"/>
      <c r="M21" s="385" t="s">
        <v>793</v>
      </c>
      <c r="N21" s="385"/>
      <c r="O21" s="385" t="s">
        <v>801</v>
      </c>
      <c r="P21" s="385"/>
      <c r="Q21" s="386">
        <v>112.27</v>
      </c>
      <c r="R21" s="385"/>
      <c r="S21" s="386">
        <f t="shared" si="0"/>
        <v>7992.89</v>
      </c>
      <c r="T21" s="225"/>
      <c r="U21" s="225"/>
      <c r="V21" s="225"/>
      <c r="W21" s="225"/>
      <c r="X21" s="225"/>
      <c r="Y21" s="225"/>
    </row>
    <row r="22" spans="1:25" ht="15.75">
      <c r="A22" s="385"/>
      <c r="B22" s="385"/>
      <c r="C22" s="385"/>
      <c r="D22" s="385"/>
      <c r="E22" s="385" t="s">
        <v>795</v>
      </c>
      <c r="F22" s="385"/>
      <c r="G22" s="434">
        <v>43982</v>
      </c>
      <c r="H22" s="385"/>
      <c r="I22" s="385" t="s">
        <v>877</v>
      </c>
      <c r="J22" s="385"/>
      <c r="K22" s="385"/>
      <c r="L22" s="385"/>
      <c r="M22" s="385" t="s">
        <v>793</v>
      </c>
      <c r="N22" s="385"/>
      <c r="O22" s="385" t="s">
        <v>797</v>
      </c>
      <c r="P22" s="385"/>
      <c r="Q22" s="386">
        <v>14.45</v>
      </c>
      <c r="R22" s="385"/>
      <c r="S22" s="386">
        <f t="shared" si="0"/>
        <v>8007.34</v>
      </c>
      <c r="T22" s="225"/>
      <c r="U22" s="225"/>
      <c r="V22" s="225"/>
      <c r="W22" s="225"/>
      <c r="X22" s="225"/>
      <c r="Y22" s="225"/>
    </row>
    <row r="23" spans="1:25" ht="15.75">
      <c r="A23" s="385"/>
      <c r="B23" s="385"/>
      <c r="C23" s="385"/>
      <c r="D23" s="385"/>
      <c r="E23" s="385" t="s">
        <v>795</v>
      </c>
      <c r="F23" s="385"/>
      <c r="G23" s="434">
        <v>43982</v>
      </c>
      <c r="H23" s="385"/>
      <c r="I23" s="385" t="s">
        <v>877</v>
      </c>
      <c r="J23" s="385"/>
      <c r="K23" s="385"/>
      <c r="L23" s="385"/>
      <c r="M23" s="385" t="s">
        <v>793</v>
      </c>
      <c r="N23" s="385"/>
      <c r="O23" s="385" t="s">
        <v>797</v>
      </c>
      <c r="P23" s="385"/>
      <c r="Q23" s="386">
        <v>26.25</v>
      </c>
      <c r="R23" s="385"/>
      <c r="S23" s="386">
        <f t="shared" si="0"/>
        <v>8033.59</v>
      </c>
      <c r="T23" s="225"/>
      <c r="U23" s="225"/>
      <c r="V23" s="225"/>
      <c r="W23" s="225"/>
      <c r="X23" s="225"/>
      <c r="Y23" s="225"/>
    </row>
    <row r="24" spans="1:25" ht="15.75">
      <c r="A24" s="385"/>
      <c r="B24" s="385"/>
      <c r="C24" s="385"/>
      <c r="D24" s="385"/>
      <c r="E24" s="385" t="s">
        <v>795</v>
      </c>
      <c r="F24" s="385"/>
      <c r="G24" s="434">
        <v>43982</v>
      </c>
      <c r="H24" s="385"/>
      <c r="I24" s="385" t="s">
        <v>877</v>
      </c>
      <c r="J24" s="385"/>
      <c r="K24" s="385" t="s">
        <v>879</v>
      </c>
      <c r="L24" s="385"/>
      <c r="M24" s="385" t="s">
        <v>793</v>
      </c>
      <c r="N24" s="385"/>
      <c r="O24" s="385" t="s">
        <v>797</v>
      </c>
      <c r="P24" s="385"/>
      <c r="Q24" s="386">
        <v>397.52</v>
      </c>
      <c r="R24" s="385"/>
      <c r="S24" s="386">
        <f t="shared" si="0"/>
        <v>8431.11</v>
      </c>
      <c r="T24" s="225"/>
      <c r="U24" s="225"/>
      <c r="V24" s="225"/>
      <c r="W24" s="225"/>
      <c r="X24" s="225"/>
      <c r="Y24" s="225"/>
    </row>
    <row r="25" spans="1:25" ht="15.75">
      <c r="A25" s="385"/>
      <c r="B25" s="385"/>
      <c r="C25" s="385"/>
      <c r="D25" s="385"/>
      <c r="E25" s="385" t="s">
        <v>798</v>
      </c>
      <c r="F25" s="385"/>
      <c r="G25" s="434">
        <v>43986</v>
      </c>
      <c r="H25" s="385"/>
      <c r="I25" s="385" t="s">
        <v>858</v>
      </c>
      <c r="J25" s="385"/>
      <c r="K25" s="385" t="s">
        <v>874</v>
      </c>
      <c r="L25" s="385"/>
      <c r="M25" s="385" t="s">
        <v>793</v>
      </c>
      <c r="N25" s="385"/>
      <c r="O25" s="385" t="s">
        <v>801</v>
      </c>
      <c r="P25" s="385"/>
      <c r="Q25" s="386">
        <v>394.36</v>
      </c>
      <c r="R25" s="385"/>
      <c r="S25" s="386">
        <f t="shared" si="0"/>
        <v>8825.4699999999993</v>
      </c>
      <c r="T25" s="225"/>
      <c r="U25" s="225"/>
      <c r="V25" s="225"/>
      <c r="W25" s="225"/>
      <c r="X25" s="225"/>
      <c r="Y25" s="225"/>
    </row>
    <row r="26" spans="1:25" ht="15.75">
      <c r="A26" s="385"/>
      <c r="B26" s="385"/>
      <c r="C26" s="385"/>
      <c r="D26" s="385"/>
      <c r="E26" s="385" t="s">
        <v>798</v>
      </c>
      <c r="F26" s="385"/>
      <c r="G26" s="434">
        <v>43994</v>
      </c>
      <c r="H26" s="385"/>
      <c r="I26" s="385" t="s">
        <v>875</v>
      </c>
      <c r="J26" s="385"/>
      <c r="K26" s="385" t="s">
        <v>775</v>
      </c>
      <c r="L26" s="385"/>
      <c r="M26" s="385" t="s">
        <v>793</v>
      </c>
      <c r="N26" s="385"/>
      <c r="O26" s="385" t="s">
        <v>801</v>
      </c>
      <c r="P26" s="385"/>
      <c r="Q26" s="386">
        <v>613.01</v>
      </c>
      <c r="R26" s="385"/>
      <c r="S26" s="386">
        <f t="shared" si="0"/>
        <v>9438.48</v>
      </c>
      <c r="T26" s="225"/>
      <c r="U26" s="225"/>
      <c r="V26" s="225"/>
      <c r="W26" s="225"/>
      <c r="X26" s="225"/>
      <c r="Y26" s="225"/>
    </row>
    <row r="27" spans="1:25" ht="15.75">
      <c r="A27" s="385"/>
      <c r="B27" s="385"/>
      <c r="C27" s="385"/>
      <c r="D27" s="385"/>
      <c r="E27" s="385" t="s">
        <v>795</v>
      </c>
      <c r="F27" s="385"/>
      <c r="G27" s="434">
        <v>44012</v>
      </c>
      <c r="H27" s="385"/>
      <c r="I27" s="385" t="s">
        <v>877</v>
      </c>
      <c r="J27" s="385"/>
      <c r="K27" s="385"/>
      <c r="L27" s="385"/>
      <c r="M27" s="385" t="s">
        <v>793</v>
      </c>
      <c r="N27" s="385"/>
      <c r="O27" s="385" t="s">
        <v>797</v>
      </c>
      <c r="P27" s="385"/>
      <c r="Q27" s="386">
        <v>32.71</v>
      </c>
      <c r="R27" s="385"/>
      <c r="S27" s="386">
        <f t="shared" si="0"/>
        <v>9471.19</v>
      </c>
      <c r="T27" s="225"/>
      <c r="U27" s="225"/>
      <c r="V27" s="225"/>
      <c r="W27" s="225"/>
      <c r="X27" s="225"/>
      <c r="Y27" s="225"/>
    </row>
    <row r="28" spans="1:25" ht="15.75">
      <c r="A28" s="385"/>
      <c r="B28" s="385"/>
      <c r="C28" s="385"/>
      <c r="D28" s="385"/>
      <c r="E28" s="385" t="s">
        <v>795</v>
      </c>
      <c r="F28" s="385"/>
      <c r="G28" s="434">
        <v>44012</v>
      </c>
      <c r="H28" s="385"/>
      <c r="I28" s="385" t="s">
        <v>877</v>
      </c>
      <c r="J28" s="385"/>
      <c r="K28" s="385"/>
      <c r="L28" s="385"/>
      <c r="M28" s="385" t="s">
        <v>793</v>
      </c>
      <c r="N28" s="385"/>
      <c r="O28" s="385" t="s">
        <v>797</v>
      </c>
      <c r="P28" s="385"/>
      <c r="Q28" s="386">
        <v>15.07</v>
      </c>
      <c r="R28" s="385"/>
      <c r="S28" s="386">
        <f t="shared" si="0"/>
        <v>9486.26</v>
      </c>
      <c r="T28" s="225"/>
      <c r="U28" s="225"/>
      <c r="V28" s="225"/>
      <c r="W28" s="225"/>
      <c r="X28" s="225"/>
      <c r="Y28" s="225"/>
    </row>
    <row r="29" spans="1:25" ht="15.75">
      <c r="A29" s="385"/>
      <c r="B29" s="385"/>
      <c r="C29" s="385"/>
      <c r="D29" s="385"/>
      <c r="E29" s="385" t="s">
        <v>795</v>
      </c>
      <c r="F29" s="385"/>
      <c r="G29" s="434">
        <v>44012</v>
      </c>
      <c r="H29" s="385"/>
      <c r="I29" s="385" t="s">
        <v>877</v>
      </c>
      <c r="J29" s="385"/>
      <c r="K29" s="385"/>
      <c r="L29" s="385"/>
      <c r="M29" s="385" t="s">
        <v>793</v>
      </c>
      <c r="N29" s="385"/>
      <c r="O29" s="385" t="s">
        <v>797</v>
      </c>
      <c r="P29" s="385"/>
      <c r="Q29" s="386">
        <v>15.42</v>
      </c>
      <c r="R29" s="385"/>
      <c r="S29" s="386">
        <f t="shared" si="0"/>
        <v>9501.68</v>
      </c>
      <c r="T29" s="225"/>
      <c r="U29" s="225"/>
      <c r="V29" s="225"/>
      <c r="W29" s="225"/>
      <c r="X29" s="225"/>
      <c r="Y29" s="225"/>
    </row>
    <row r="30" spans="1:25" ht="15.75">
      <c r="A30" s="385"/>
      <c r="B30" s="385"/>
      <c r="C30" s="385"/>
      <c r="D30" s="385"/>
      <c r="E30" s="385" t="s">
        <v>795</v>
      </c>
      <c r="F30" s="385"/>
      <c r="G30" s="434">
        <v>44012</v>
      </c>
      <c r="H30" s="385"/>
      <c r="I30" s="385" t="s">
        <v>877</v>
      </c>
      <c r="J30" s="385"/>
      <c r="K30" s="385"/>
      <c r="L30" s="385"/>
      <c r="M30" s="385"/>
      <c r="N30" s="385"/>
      <c r="O30" s="385" t="s">
        <v>797</v>
      </c>
      <c r="P30" s="385"/>
      <c r="Q30" s="386">
        <v>48.59</v>
      </c>
      <c r="R30" s="385"/>
      <c r="S30" s="386">
        <f t="shared" si="0"/>
        <v>9550.27</v>
      </c>
      <c r="T30" s="225"/>
      <c r="U30" s="225"/>
      <c r="V30" s="225"/>
      <c r="W30" s="225"/>
      <c r="X30" s="225"/>
      <c r="Y30" s="225"/>
    </row>
    <row r="31" spans="1:25" ht="15.75">
      <c r="A31" s="385"/>
      <c r="B31" s="385"/>
      <c r="C31" s="385"/>
      <c r="D31" s="385"/>
      <c r="E31" s="385" t="s">
        <v>795</v>
      </c>
      <c r="F31" s="385"/>
      <c r="G31" s="434">
        <v>44012</v>
      </c>
      <c r="H31" s="385"/>
      <c r="I31" s="385" t="s">
        <v>880</v>
      </c>
      <c r="J31" s="385"/>
      <c r="K31" s="385" t="s">
        <v>881</v>
      </c>
      <c r="L31" s="385"/>
      <c r="M31" s="385" t="s">
        <v>793</v>
      </c>
      <c r="N31" s="385"/>
      <c r="O31" s="385" t="s">
        <v>797</v>
      </c>
      <c r="P31" s="385"/>
      <c r="Q31" s="386">
        <v>24.47</v>
      </c>
      <c r="R31" s="385"/>
      <c r="S31" s="386">
        <f t="shared" si="0"/>
        <v>9574.74</v>
      </c>
      <c r="T31" s="225"/>
      <c r="U31" s="225"/>
      <c r="V31" s="225"/>
      <c r="W31" s="225"/>
      <c r="X31" s="225"/>
      <c r="Y31" s="225"/>
    </row>
    <row r="32" spans="1:25" ht="15.75">
      <c r="A32" s="385"/>
      <c r="B32" s="385"/>
      <c r="C32" s="385"/>
      <c r="D32" s="385"/>
      <c r="E32" s="385" t="s">
        <v>795</v>
      </c>
      <c r="F32" s="385"/>
      <c r="G32" s="434">
        <v>44012</v>
      </c>
      <c r="H32" s="385"/>
      <c r="I32" s="385" t="s">
        <v>882</v>
      </c>
      <c r="J32" s="385"/>
      <c r="K32" s="385" t="s">
        <v>883</v>
      </c>
      <c r="L32" s="385"/>
      <c r="M32" s="385" t="s">
        <v>793</v>
      </c>
      <c r="N32" s="385"/>
      <c r="O32" s="385" t="s">
        <v>797</v>
      </c>
      <c r="P32" s="385"/>
      <c r="Q32" s="386">
        <v>20.69</v>
      </c>
      <c r="R32" s="385"/>
      <c r="S32" s="386">
        <f t="shared" si="0"/>
        <v>9595.43</v>
      </c>
      <c r="T32" s="225"/>
      <c r="U32" s="225"/>
      <c r="V32" s="225"/>
      <c r="W32" s="225"/>
      <c r="X32" s="225"/>
      <c r="Y32" s="225"/>
    </row>
    <row r="33" spans="1:25" ht="15.75">
      <c r="A33" s="385"/>
      <c r="B33" s="385"/>
      <c r="C33" s="385"/>
      <c r="D33" s="385"/>
      <c r="E33" s="385" t="s">
        <v>798</v>
      </c>
      <c r="F33" s="385"/>
      <c r="G33" s="434">
        <v>44019</v>
      </c>
      <c r="H33" s="385"/>
      <c r="I33" s="385" t="s">
        <v>858</v>
      </c>
      <c r="J33" s="385"/>
      <c r="K33" s="385" t="s">
        <v>874</v>
      </c>
      <c r="L33" s="385"/>
      <c r="M33" s="385" t="s">
        <v>793</v>
      </c>
      <c r="N33" s="385"/>
      <c r="O33" s="385" t="s">
        <v>801</v>
      </c>
      <c r="P33" s="385"/>
      <c r="Q33" s="386">
        <v>571.19000000000005</v>
      </c>
      <c r="R33" s="385"/>
      <c r="S33" s="386">
        <f t="shared" si="0"/>
        <v>10166.620000000001</v>
      </c>
      <c r="T33" s="225"/>
      <c r="U33" s="225"/>
      <c r="V33" s="225"/>
      <c r="W33" s="225"/>
      <c r="X33" s="225"/>
      <c r="Y33" s="225"/>
    </row>
    <row r="34" spans="1:25" ht="15.75">
      <c r="A34" s="385"/>
      <c r="B34" s="385"/>
      <c r="C34" s="385"/>
      <c r="D34" s="385"/>
      <c r="E34" s="385" t="s">
        <v>798</v>
      </c>
      <c r="F34" s="385"/>
      <c r="G34" s="434">
        <v>44043</v>
      </c>
      <c r="H34" s="385"/>
      <c r="I34" s="385" t="s">
        <v>875</v>
      </c>
      <c r="J34" s="385"/>
      <c r="K34" s="385" t="s">
        <v>775</v>
      </c>
      <c r="L34" s="385"/>
      <c r="M34" s="385" t="s">
        <v>793</v>
      </c>
      <c r="N34" s="385"/>
      <c r="O34" s="385" t="s">
        <v>801</v>
      </c>
      <c r="P34" s="385"/>
      <c r="Q34" s="386">
        <v>279.52</v>
      </c>
      <c r="R34" s="385"/>
      <c r="S34" s="386">
        <f t="shared" si="0"/>
        <v>10446.14</v>
      </c>
      <c r="T34" s="225"/>
      <c r="U34" s="225"/>
      <c r="V34" s="225"/>
      <c r="W34" s="225"/>
      <c r="X34" s="225"/>
      <c r="Y34" s="225"/>
    </row>
    <row r="35" spans="1:25" ht="15.75">
      <c r="A35" s="385"/>
      <c r="B35" s="385"/>
      <c r="C35" s="385"/>
      <c r="D35" s="385"/>
      <c r="E35" s="385" t="s">
        <v>795</v>
      </c>
      <c r="F35" s="385"/>
      <c r="G35" s="434">
        <v>44043</v>
      </c>
      <c r="H35" s="385"/>
      <c r="I35" s="385" t="s">
        <v>877</v>
      </c>
      <c r="J35" s="385"/>
      <c r="K35" s="385" t="s">
        <v>884</v>
      </c>
      <c r="L35" s="385"/>
      <c r="M35" s="385" t="s">
        <v>793</v>
      </c>
      <c r="N35" s="385"/>
      <c r="O35" s="385" t="s">
        <v>797</v>
      </c>
      <c r="P35" s="385"/>
      <c r="Q35" s="386">
        <v>705.62</v>
      </c>
      <c r="R35" s="385"/>
      <c r="S35" s="386">
        <f t="shared" si="0"/>
        <v>11151.76</v>
      </c>
      <c r="T35" s="225"/>
      <c r="U35" s="225"/>
      <c r="V35" s="225"/>
      <c r="W35" s="225"/>
      <c r="X35" s="225"/>
      <c r="Y35" s="225"/>
    </row>
    <row r="36" spans="1:25" ht="15.75">
      <c r="A36" s="385"/>
      <c r="B36" s="385"/>
      <c r="C36" s="385"/>
      <c r="D36" s="385"/>
      <c r="E36" s="385" t="s">
        <v>795</v>
      </c>
      <c r="F36" s="385"/>
      <c r="G36" s="434">
        <v>44043</v>
      </c>
      <c r="H36" s="385"/>
      <c r="I36" s="385" t="s">
        <v>885</v>
      </c>
      <c r="J36" s="385"/>
      <c r="K36" s="385" t="s">
        <v>886</v>
      </c>
      <c r="L36" s="385"/>
      <c r="M36" s="385" t="s">
        <v>793</v>
      </c>
      <c r="N36" s="385"/>
      <c r="O36" s="385" t="s">
        <v>797</v>
      </c>
      <c r="P36" s="385"/>
      <c r="Q36" s="386">
        <v>11.98</v>
      </c>
      <c r="R36" s="385"/>
      <c r="S36" s="386">
        <f t="shared" si="0"/>
        <v>11163.74</v>
      </c>
      <c r="T36" s="225"/>
      <c r="U36" s="225"/>
      <c r="V36" s="225"/>
      <c r="W36" s="225"/>
      <c r="X36" s="225"/>
      <c r="Y36" s="225"/>
    </row>
    <row r="37" spans="1:25" ht="15.75">
      <c r="A37" s="385"/>
      <c r="B37" s="385"/>
      <c r="C37" s="385"/>
      <c r="D37" s="385"/>
      <c r="E37" s="385" t="s">
        <v>795</v>
      </c>
      <c r="F37" s="385"/>
      <c r="G37" s="434">
        <v>44043</v>
      </c>
      <c r="H37" s="385"/>
      <c r="I37" s="385" t="s">
        <v>877</v>
      </c>
      <c r="J37" s="385"/>
      <c r="K37" s="385" t="s">
        <v>887</v>
      </c>
      <c r="L37" s="385"/>
      <c r="M37" s="385" t="s">
        <v>793</v>
      </c>
      <c r="N37" s="385"/>
      <c r="O37" s="385" t="s">
        <v>797</v>
      </c>
      <c r="P37" s="385"/>
      <c r="Q37" s="386">
        <v>155.93</v>
      </c>
      <c r="R37" s="385"/>
      <c r="S37" s="386">
        <f t="shared" si="0"/>
        <v>11319.67</v>
      </c>
      <c r="T37" s="225"/>
      <c r="U37" s="225"/>
      <c r="V37" s="225"/>
      <c r="W37" s="225"/>
      <c r="X37" s="225"/>
      <c r="Y37" s="225"/>
    </row>
    <row r="38" spans="1:25" ht="15.75">
      <c r="A38" s="385"/>
      <c r="B38" s="385"/>
      <c r="C38" s="385"/>
      <c r="D38" s="385"/>
      <c r="E38" s="385" t="s">
        <v>795</v>
      </c>
      <c r="F38" s="385"/>
      <c r="G38" s="434">
        <v>44043</v>
      </c>
      <c r="H38" s="385"/>
      <c r="I38" s="385" t="s">
        <v>877</v>
      </c>
      <c r="J38" s="385"/>
      <c r="K38" s="385" t="s">
        <v>888</v>
      </c>
      <c r="L38" s="385"/>
      <c r="M38" s="385"/>
      <c r="N38" s="385"/>
      <c r="O38" s="385" t="s">
        <v>797</v>
      </c>
      <c r="P38" s="385"/>
      <c r="Q38" s="386">
        <v>27.56</v>
      </c>
      <c r="R38" s="385"/>
      <c r="S38" s="386">
        <f t="shared" si="0"/>
        <v>11347.23</v>
      </c>
      <c r="T38" s="225"/>
      <c r="U38" s="225"/>
      <c r="V38" s="225"/>
      <c r="W38" s="225"/>
      <c r="X38" s="225"/>
      <c r="Y38" s="225"/>
    </row>
    <row r="39" spans="1:25" ht="15.75">
      <c r="A39" s="385"/>
      <c r="B39" s="385"/>
      <c r="C39" s="385"/>
      <c r="D39" s="385"/>
      <c r="E39" s="385" t="s">
        <v>795</v>
      </c>
      <c r="F39" s="385"/>
      <c r="G39" s="434">
        <v>44043</v>
      </c>
      <c r="H39" s="385"/>
      <c r="I39" s="385" t="s">
        <v>889</v>
      </c>
      <c r="J39" s="385"/>
      <c r="K39" s="385" t="s">
        <v>890</v>
      </c>
      <c r="L39" s="385"/>
      <c r="M39" s="385" t="s">
        <v>793</v>
      </c>
      <c r="N39" s="385"/>
      <c r="O39" s="385" t="s">
        <v>797</v>
      </c>
      <c r="P39" s="385"/>
      <c r="Q39" s="386">
        <v>3598.7</v>
      </c>
      <c r="R39" s="385"/>
      <c r="S39" s="386">
        <f t="shared" si="0"/>
        <v>14945.93</v>
      </c>
      <c r="T39" s="225"/>
      <c r="U39" s="225"/>
      <c r="V39" s="225"/>
      <c r="W39" s="225"/>
      <c r="X39" s="225"/>
      <c r="Y39" s="225"/>
    </row>
    <row r="40" spans="1:25" ht="15.75">
      <c r="A40" s="385"/>
      <c r="B40" s="385"/>
      <c r="C40" s="385"/>
      <c r="D40" s="385"/>
      <c r="E40" s="385" t="s">
        <v>795</v>
      </c>
      <c r="F40" s="385"/>
      <c r="G40" s="434">
        <v>44043</v>
      </c>
      <c r="H40" s="385"/>
      <c r="I40" s="385" t="s">
        <v>891</v>
      </c>
      <c r="J40" s="385"/>
      <c r="K40" s="385" t="s">
        <v>892</v>
      </c>
      <c r="L40" s="385"/>
      <c r="M40" s="385" t="s">
        <v>793</v>
      </c>
      <c r="N40" s="385"/>
      <c r="O40" s="385" t="s">
        <v>797</v>
      </c>
      <c r="P40" s="385"/>
      <c r="Q40" s="386">
        <v>2488.6</v>
      </c>
      <c r="R40" s="385"/>
      <c r="S40" s="386">
        <f t="shared" si="0"/>
        <v>17434.53</v>
      </c>
      <c r="T40" s="225"/>
      <c r="U40" s="225"/>
      <c r="V40" s="225"/>
      <c r="W40" s="225"/>
      <c r="X40" s="225"/>
      <c r="Y40" s="225"/>
    </row>
    <row r="41" spans="1:25" ht="15.75">
      <c r="A41" s="385"/>
      <c r="B41" s="385"/>
      <c r="C41" s="385"/>
      <c r="D41" s="385"/>
      <c r="E41" s="385" t="s">
        <v>795</v>
      </c>
      <c r="F41" s="385"/>
      <c r="G41" s="434">
        <v>44043</v>
      </c>
      <c r="H41" s="385"/>
      <c r="I41" s="385" t="s">
        <v>893</v>
      </c>
      <c r="J41" s="385"/>
      <c r="K41" s="385"/>
      <c r="L41" s="385"/>
      <c r="M41" s="385" t="s">
        <v>793</v>
      </c>
      <c r="N41" s="385"/>
      <c r="O41" s="385" t="s">
        <v>797</v>
      </c>
      <c r="P41" s="385"/>
      <c r="Q41" s="386">
        <v>78.959999999999994</v>
      </c>
      <c r="R41" s="385"/>
      <c r="S41" s="386">
        <f t="shared" si="0"/>
        <v>17513.490000000002</v>
      </c>
      <c r="T41" s="225"/>
      <c r="U41" s="225"/>
      <c r="V41" s="225"/>
      <c r="W41" s="225"/>
      <c r="X41" s="225"/>
      <c r="Y41" s="225"/>
    </row>
    <row r="42" spans="1:25" ht="15.75">
      <c r="A42" s="385"/>
      <c r="B42" s="385"/>
      <c r="C42" s="385"/>
      <c r="D42" s="385"/>
      <c r="E42" s="385" t="s">
        <v>798</v>
      </c>
      <c r="F42" s="385"/>
      <c r="G42" s="434">
        <v>44046</v>
      </c>
      <c r="H42" s="385"/>
      <c r="I42" s="385" t="s">
        <v>858</v>
      </c>
      <c r="J42" s="385"/>
      <c r="K42" s="385" t="s">
        <v>874</v>
      </c>
      <c r="L42" s="385"/>
      <c r="M42" s="385" t="s">
        <v>793</v>
      </c>
      <c r="N42" s="385"/>
      <c r="O42" s="385" t="s">
        <v>801</v>
      </c>
      <c r="P42" s="385"/>
      <c r="Q42" s="386">
        <v>3910.41</v>
      </c>
      <c r="R42" s="385"/>
      <c r="S42" s="386">
        <f t="shared" si="0"/>
        <v>21423.9</v>
      </c>
      <c r="T42" s="225"/>
      <c r="U42" s="225"/>
      <c r="V42" s="225"/>
      <c r="W42" s="225"/>
      <c r="X42" s="225"/>
      <c r="Y42" s="225"/>
    </row>
    <row r="43" spans="1:25" ht="15.75">
      <c r="A43" s="385"/>
      <c r="B43" s="385"/>
      <c r="C43" s="385"/>
      <c r="D43" s="385"/>
      <c r="E43" s="385" t="s">
        <v>798</v>
      </c>
      <c r="F43" s="385"/>
      <c r="G43" s="434">
        <v>44050</v>
      </c>
      <c r="H43" s="385"/>
      <c r="I43" s="385" t="s">
        <v>872</v>
      </c>
      <c r="J43" s="385"/>
      <c r="K43" s="385" t="s">
        <v>873</v>
      </c>
      <c r="L43" s="385"/>
      <c r="M43" s="385" t="s">
        <v>793</v>
      </c>
      <c r="N43" s="385"/>
      <c r="O43" s="385" t="s">
        <v>801</v>
      </c>
      <c r="P43" s="385"/>
      <c r="Q43" s="386">
        <v>259.2</v>
      </c>
      <c r="R43" s="385"/>
      <c r="S43" s="386">
        <f t="shared" si="0"/>
        <v>21683.1</v>
      </c>
      <c r="T43" s="225"/>
      <c r="U43" s="225"/>
      <c r="V43" s="225"/>
      <c r="W43" s="225"/>
      <c r="X43" s="225"/>
      <c r="Y43" s="225"/>
    </row>
    <row r="44" spans="1:25" ht="15.75">
      <c r="A44" s="385"/>
      <c r="B44" s="385"/>
      <c r="C44" s="385"/>
      <c r="D44" s="385"/>
      <c r="E44" s="385" t="s">
        <v>798</v>
      </c>
      <c r="F44" s="385"/>
      <c r="G44" s="434">
        <v>44054</v>
      </c>
      <c r="H44" s="385"/>
      <c r="I44" s="385" t="s">
        <v>882</v>
      </c>
      <c r="J44" s="385"/>
      <c r="K44" s="385" t="s">
        <v>894</v>
      </c>
      <c r="L44" s="385"/>
      <c r="M44" s="385" t="s">
        <v>793</v>
      </c>
      <c r="N44" s="385"/>
      <c r="O44" s="385" t="s">
        <v>801</v>
      </c>
      <c r="P44" s="385"/>
      <c r="Q44" s="386">
        <v>988.94</v>
      </c>
      <c r="R44" s="385"/>
      <c r="S44" s="386">
        <f t="shared" si="0"/>
        <v>22672.04</v>
      </c>
      <c r="T44" s="225"/>
      <c r="U44" s="225"/>
      <c r="V44" s="225"/>
      <c r="W44" s="225"/>
      <c r="X44" s="225"/>
      <c r="Y44" s="225"/>
    </row>
    <row r="45" spans="1:25" ht="15.75">
      <c r="A45" s="385"/>
      <c r="B45" s="385"/>
      <c r="C45" s="385"/>
      <c r="D45" s="385"/>
      <c r="E45" s="385" t="s">
        <v>798</v>
      </c>
      <c r="F45" s="385"/>
      <c r="G45" s="434">
        <v>44061</v>
      </c>
      <c r="H45" s="385"/>
      <c r="I45" s="385" t="s">
        <v>875</v>
      </c>
      <c r="J45" s="385"/>
      <c r="K45" s="385" t="s">
        <v>775</v>
      </c>
      <c r="L45" s="385"/>
      <c r="M45" s="385" t="s">
        <v>793</v>
      </c>
      <c r="N45" s="385"/>
      <c r="O45" s="385" t="s">
        <v>801</v>
      </c>
      <c r="P45" s="385"/>
      <c r="Q45" s="386">
        <v>811.98</v>
      </c>
      <c r="R45" s="385"/>
      <c r="S45" s="386">
        <f t="shared" si="0"/>
        <v>23484.02</v>
      </c>
      <c r="T45" s="225"/>
      <c r="U45" s="225"/>
      <c r="V45" s="225"/>
      <c r="W45" s="225"/>
      <c r="X45" s="225"/>
      <c r="Y45" s="225"/>
    </row>
    <row r="46" spans="1:25" ht="15.75">
      <c r="A46" s="385"/>
      <c r="B46" s="385"/>
      <c r="C46" s="385"/>
      <c r="D46" s="385"/>
      <c r="E46" s="385" t="s">
        <v>798</v>
      </c>
      <c r="F46" s="385"/>
      <c r="G46" s="434">
        <v>44076</v>
      </c>
      <c r="H46" s="385"/>
      <c r="I46" s="385" t="s">
        <v>858</v>
      </c>
      <c r="J46" s="385"/>
      <c r="K46" s="385" t="s">
        <v>874</v>
      </c>
      <c r="L46" s="385"/>
      <c r="M46" s="385" t="s">
        <v>793</v>
      </c>
      <c r="N46" s="385"/>
      <c r="O46" s="385" t="s">
        <v>801</v>
      </c>
      <c r="P46" s="385"/>
      <c r="Q46" s="386">
        <v>2253.29</v>
      </c>
      <c r="R46" s="385"/>
      <c r="S46" s="386">
        <f t="shared" si="0"/>
        <v>25737.31</v>
      </c>
      <c r="T46" s="225"/>
      <c r="U46" s="225"/>
      <c r="V46" s="225"/>
      <c r="W46" s="225"/>
      <c r="X46" s="225"/>
      <c r="Y46" s="225"/>
    </row>
    <row r="47" spans="1:25" ht="15.75">
      <c r="A47" s="385"/>
      <c r="B47" s="385"/>
      <c r="C47" s="385"/>
      <c r="D47" s="385"/>
      <c r="E47" s="385" t="s">
        <v>798</v>
      </c>
      <c r="F47" s="385"/>
      <c r="G47" s="434">
        <v>44089</v>
      </c>
      <c r="H47" s="385"/>
      <c r="I47" s="385" t="s">
        <v>885</v>
      </c>
      <c r="J47" s="385"/>
      <c r="K47" s="385" t="s">
        <v>895</v>
      </c>
      <c r="L47" s="385"/>
      <c r="M47" s="385" t="s">
        <v>793</v>
      </c>
      <c r="N47" s="385"/>
      <c r="O47" s="385" t="s">
        <v>801</v>
      </c>
      <c r="P47" s="385"/>
      <c r="Q47" s="386">
        <v>643.75</v>
      </c>
      <c r="R47" s="385"/>
      <c r="S47" s="386">
        <f t="shared" si="0"/>
        <v>26381.06</v>
      </c>
      <c r="T47" s="225"/>
      <c r="U47" s="225"/>
      <c r="V47" s="225"/>
      <c r="W47" s="225"/>
      <c r="X47" s="225"/>
      <c r="Y47" s="225"/>
    </row>
    <row r="48" spans="1:25" ht="15.75">
      <c r="A48" s="385"/>
      <c r="B48" s="385"/>
      <c r="C48" s="385"/>
      <c r="D48" s="385"/>
      <c r="E48" s="385" t="s">
        <v>798</v>
      </c>
      <c r="F48" s="385"/>
      <c r="G48" s="434">
        <v>44095</v>
      </c>
      <c r="H48" s="385"/>
      <c r="I48" s="385" t="s">
        <v>876</v>
      </c>
      <c r="J48" s="385"/>
      <c r="K48" s="385" t="s">
        <v>896</v>
      </c>
      <c r="L48" s="385"/>
      <c r="M48" s="385" t="s">
        <v>793</v>
      </c>
      <c r="N48" s="385"/>
      <c r="O48" s="385" t="s">
        <v>801</v>
      </c>
      <c r="P48" s="385"/>
      <c r="Q48" s="386">
        <v>14.02</v>
      </c>
      <c r="R48" s="385"/>
      <c r="S48" s="386">
        <f t="shared" si="0"/>
        <v>26395.08</v>
      </c>
      <c r="T48" s="225"/>
      <c r="U48" s="225"/>
      <c r="V48" s="225"/>
      <c r="W48" s="225"/>
      <c r="X48" s="225"/>
      <c r="Y48" s="225"/>
    </row>
    <row r="49" spans="1:25" ht="15.75">
      <c r="A49" s="385"/>
      <c r="B49" s="385"/>
      <c r="C49" s="385"/>
      <c r="D49" s="385"/>
      <c r="E49" s="385" t="s">
        <v>798</v>
      </c>
      <c r="F49" s="385"/>
      <c r="G49" s="434">
        <v>44104</v>
      </c>
      <c r="H49" s="385"/>
      <c r="I49" s="385" t="s">
        <v>885</v>
      </c>
      <c r="J49" s="385"/>
      <c r="K49" s="385" t="s">
        <v>895</v>
      </c>
      <c r="L49" s="385"/>
      <c r="M49" s="385" t="s">
        <v>793</v>
      </c>
      <c r="N49" s="385"/>
      <c r="O49" s="385" t="s">
        <v>801</v>
      </c>
      <c r="P49" s="385"/>
      <c r="Q49" s="386">
        <v>1.82</v>
      </c>
      <c r="R49" s="385"/>
      <c r="S49" s="386">
        <f t="shared" si="0"/>
        <v>26396.9</v>
      </c>
      <c r="T49" s="225"/>
      <c r="U49" s="225"/>
      <c r="V49" s="225"/>
      <c r="W49" s="225"/>
      <c r="X49" s="225"/>
      <c r="Y49" s="225"/>
    </row>
    <row r="50" spans="1:25" ht="15.75">
      <c r="A50" s="385"/>
      <c r="B50" s="385"/>
      <c r="C50" s="385"/>
      <c r="D50" s="385"/>
      <c r="E50" s="385" t="s">
        <v>798</v>
      </c>
      <c r="F50" s="385"/>
      <c r="G50" s="434">
        <v>44104</v>
      </c>
      <c r="H50" s="385"/>
      <c r="I50" s="385" t="s">
        <v>885</v>
      </c>
      <c r="J50" s="385"/>
      <c r="K50" s="385" t="s">
        <v>897</v>
      </c>
      <c r="L50" s="385"/>
      <c r="M50" s="385"/>
      <c r="N50" s="385"/>
      <c r="O50" s="385" t="s">
        <v>801</v>
      </c>
      <c r="P50" s="385"/>
      <c r="Q50" s="386">
        <v>7.23</v>
      </c>
      <c r="R50" s="385"/>
      <c r="S50" s="386">
        <f t="shared" si="0"/>
        <v>26404.13</v>
      </c>
      <c r="T50" s="225"/>
      <c r="U50" s="225"/>
      <c r="V50" s="225"/>
      <c r="W50" s="225"/>
      <c r="X50" s="225"/>
      <c r="Y50" s="225"/>
    </row>
    <row r="51" spans="1:25" ht="15.75">
      <c r="A51" s="385"/>
      <c r="B51" s="385"/>
      <c r="C51" s="385"/>
      <c r="D51" s="385"/>
      <c r="E51" s="385" t="s">
        <v>795</v>
      </c>
      <c r="F51" s="385"/>
      <c r="G51" s="434">
        <v>44104</v>
      </c>
      <c r="H51" s="385"/>
      <c r="I51" s="385" t="s">
        <v>889</v>
      </c>
      <c r="J51" s="385"/>
      <c r="K51" s="385" t="s">
        <v>890</v>
      </c>
      <c r="L51" s="385"/>
      <c r="M51" s="385" t="s">
        <v>793</v>
      </c>
      <c r="N51" s="385"/>
      <c r="O51" s="385" t="s">
        <v>797</v>
      </c>
      <c r="P51" s="385"/>
      <c r="Q51" s="386">
        <v>4780.6000000000004</v>
      </c>
      <c r="R51" s="385"/>
      <c r="S51" s="386">
        <f t="shared" si="0"/>
        <v>31184.73</v>
      </c>
      <c r="T51" s="225"/>
      <c r="U51" s="225"/>
      <c r="V51" s="225"/>
      <c r="W51" s="225"/>
      <c r="X51" s="225"/>
      <c r="Y51" s="225"/>
    </row>
    <row r="52" spans="1:25" ht="15.75">
      <c r="A52" s="385"/>
      <c r="B52" s="385"/>
      <c r="C52" s="385"/>
      <c r="D52" s="385"/>
      <c r="E52" s="385" t="s">
        <v>798</v>
      </c>
      <c r="F52" s="385"/>
      <c r="G52" s="434">
        <v>44109</v>
      </c>
      <c r="H52" s="385"/>
      <c r="I52" s="385" t="s">
        <v>858</v>
      </c>
      <c r="J52" s="385"/>
      <c r="K52" s="385" t="s">
        <v>874</v>
      </c>
      <c r="L52" s="385"/>
      <c r="M52" s="385" t="s">
        <v>793</v>
      </c>
      <c r="N52" s="385"/>
      <c r="O52" s="385" t="s">
        <v>801</v>
      </c>
      <c r="P52" s="385"/>
      <c r="Q52" s="386">
        <v>954.5</v>
      </c>
      <c r="R52" s="385"/>
      <c r="S52" s="386">
        <f t="shared" si="0"/>
        <v>32139.23</v>
      </c>
      <c r="T52" s="225"/>
      <c r="U52" s="225"/>
      <c r="V52" s="225"/>
      <c r="W52" s="225"/>
      <c r="X52" s="225"/>
      <c r="Y52" s="225"/>
    </row>
    <row r="53" spans="1:25" ht="15.75">
      <c r="A53" s="385"/>
      <c r="B53" s="385"/>
      <c r="C53" s="385"/>
      <c r="D53" s="385"/>
      <c r="E53" s="385" t="s">
        <v>798</v>
      </c>
      <c r="F53" s="385"/>
      <c r="G53" s="434">
        <v>44109</v>
      </c>
      <c r="H53" s="385"/>
      <c r="I53" s="385" t="s">
        <v>872</v>
      </c>
      <c r="J53" s="385"/>
      <c r="K53" s="385" t="s">
        <v>873</v>
      </c>
      <c r="L53" s="385"/>
      <c r="M53" s="385" t="s">
        <v>793</v>
      </c>
      <c r="N53" s="385"/>
      <c r="O53" s="385" t="s">
        <v>801</v>
      </c>
      <c r="P53" s="385"/>
      <c r="Q53" s="386">
        <v>259.2</v>
      </c>
      <c r="R53" s="385"/>
      <c r="S53" s="386">
        <f t="shared" si="0"/>
        <v>32398.43</v>
      </c>
      <c r="T53" s="225"/>
      <c r="U53" s="225"/>
      <c r="V53" s="225"/>
      <c r="W53" s="225"/>
      <c r="X53" s="225"/>
      <c r="Y53" s="225"/>
    </row>
    <row r="54" spans="1:25" ht="15.75">
      <c r="A54" s="385"/>
      <c r="B54" s="385"/>
      <c r="C54" s="385"/>
      <c r="D54" s="385"/>
      <c r="E54" s="385" t="s">
        <v>798</v>
      </c>
      <c r="F54" s="385"/>
      <c r="G54" s="434">
        <v>44109</v>
      </c>
      <c r="H54" s="385"/>
      <c r="I54" s="385" t="s">
        <v>898</v>
      </c>
      <c r="J54" s="385"/>
      <c r="K54" s="385" t="s">
        <v>899</v>
      </c>
      <c r="L54" s="385"/>
      <c r="M54" s="385" t="s">
        <v>793</v>
      </c>
      <c r="N54" s="385"/>
      <c r="O54" s="385" t="s">
        <v>801</v>
      </c>
      <c r="P54" s="385"/>
      <c r="Q54" s="386">
        <v>281.32</v>
      </c>
      <c r="R54" s="385"/>
      <c r="S54" s="386">
        <f t="shared" si="0"/>
        <v>32679.75</v>
      </c>
      <c r="T54" s="225"/>
      <c r="U54" s="225"/>
      <c r="V54" s="225"/>
      <c r="W54" s="225"/>
      <c r="X54" s="225"/>
      <c r="Y54" s="225"/>
    </row>
    <row r="55" spans="1:25" ht="15.75">
      <c r="A55" s="385"/>
      <c r="B55" s="385"/>
      <c r="C55" s="385"/>
      <c r="D55" s="385"/>
      <c r="E55" s="385" t="s">
        <v>798</v>
      </c>
      <c r="F55" s="385"/>
      <c r="G55" s="434">
        <v>44117</v>
      </c>
      <c r="H55" s="385"/>
      <c r="I55" s="385" t="s">
        <v>875</v>
      </c>
      <c r="J55" s="385"/>
      <c r="K55" s="385" t="s">
        <v>775</v>
      </c>
      <c r="L55" s="385"/>
      <c r="M55" s="385" t="s">
        <v>793</v>
      </c>
      <c r="N55" s="385"/>
      <c r="O55" s="385" t="s">
        <v>801</v>
      </c>
      <c r="P55" s="385"/>
      <c r="Q55" s="386">
        <v>113.23</v>
      </c>
      <c r="R55" s="385"/>
      <c r="S55" s="386">
        <f t="shared" si="0"/>
        <v>32792.980000000003</v>
      </c>
      <c r="T55" s="225"/>
      <c r="U55" s="225"/>
      <c r="V55" s="225"/>
      <c r="W55" s="225"/>
      <c r="X55" s="225"/>
      <c r="Y55" s="225"/>
    </row>
    <row r="56" spans="1:25" ht="15.75">
      <c r="A56" s="385"/>
      <c r="B56" s="385"/>
      <c r="C56" s="385"/>
      <c r="D56" s="385"/>
      <c r="E56" s="385" t="s">
        <v>798</v>
      </c>
      <c r="F56" s="385"/>
      <c r="G56" s="434">
        <v>44117</v>
      </c>
      <c r="H56" s="385"/>
      <c r="I56" s="385" t="s">
        <v>882</v>
      </c>
      <c r="J56" s="385"/>
      <c r="K56" s="385"/>
      <c r="L56" s="385"/>
      <c r="M56" s="385" t="s">
        <v>793</v>
      </c>
      <c r="N56" s="385"/>
      <c r="O56" s="385" t="s">
        <v>801</v>
      </c>
      <c r="P56" s="385"/>
      <c r="Q56" s="386">
        <v>19.41</v>
      </c>
      <c r="R56" s="385"/>
      <c r="S56" s="386">
        <f t="shared" si="0"/>
        <v>32812.39</v>
      </c>
      <c r="T56" s="225"/>
      <c r="U56" s="225"/>
      <c r="V56" s="225"/>
      <c r="W56" s="225"/>
      <c r="X56" s="225"/>
      <c r="Y56" s="225"/>
    </row>
    <row r="57" spans="1:25" ht="15.75">
      <c r="A57" s="385"/>
      <c r="B57" s="385"/>
      <c r="C57" s="385"/>
      <c r="D57" s="385"/>
      <c r="E57" s="385" t="s">
        <v>795</v>
      </c>
      <c r="F57" s="385"/>
      <c r="G57" s="434">
        <v>44135</v>
      </c>
      <c r="H57" s="385"/>
      <c r="I57" s="385" t="s">
        <v>880</v>
      </c>
      <c r="J57" s="385"/>
      <c r="K57" s="385" t="s">
        <v>900</v>
      </c>
      <c r="L57" s="385"/>
      <c r="M57" s="385" t="s">
        <v>793</v>
      </c>
      <c r="N57" s="385"/>
      <c r="O57" s="385" t="s">
        <v>797</v>
      </c>
      <c r="P57" s="385"/>
      <c r="Q57" s="386">
        <v>65.09</v>
      </c>
      <c r="R57" s="385"/>
      <c r="S57" s="386">
        <f t="shared" si="0"/>
        <v>32877.480000000003</v>
      </c>
      <c r="T57" s="225"/>
      <c r="U57" s="225"/>
      <c r="V57" s="225"/>
      <c r="W57" s="225"/>
      <c r="X57" s="225"/>
      <c r="Y57" s="225"/>
    </row>
    <row r="58" spans="1:25" ht="15.75">
      <c r="A58" s="385"/>
      <c r="B58" s="385"/>
      <c r="C58" s="385"/>
      <c r="D58" s="385"/>
      <c r="E58" s="385" t="s">
        <v>798</v>
      </c>
      <c r="F58" s="385"/>
      <c r="G58" s="434">
        <v>44140</v>
      </c>
      <c r="H58" s="385"/>
      <c r="I58" s="385" t="s">
        <v>858</v>
      </c>
      <c r="J58" s="385"/>
      <c r="K58" s="385" t="s">
        <v>874</v>
      </c>
      <c r="L58" s="385"/>
      <c r="M58" s="385" t="s">
        <v>793</v>
      </c>
      <c r="N58" s="385"/>
      <c r="O58" s="385" t="s">
        <v>801</v>
      </c>
      <c r="P58" s="385"/>
      <c r="Q58" s="386">
        <v>538.04</v>
      </c>
      <c r="R58" s="385"/>
      <c r="S58" s="386">
        <f t="shared" si="0"/>
        <v>33415.519999999997</v>
      </c>
      <c r="T58" s="225"/>
      <c r="U58" s="225"/>
      <c r="V58" s="225"/>
      <c r="W58" s="225"/>
      <c r="X58" s="225"/>
      <c r="Y58" s="225"/>
    </row>
    <row r="59" spans="1:25" ht="15.75">
      <c r="A59" s="385"/>
      <c r="B59" s="385"/>
      <c r="C59" s="385"/>
      <c r="D59" s="385"/>
      <c r="E59" s="385" t="s">
        <v>798</v>
      </c>
      <c r="F59" s="385"/>
      <c r="G59" s="434">
        <v>44140</v>
      </c>
      <c r="H59" s="385"/>
      <c r="I59" s="385" t="s">
        <v>858</v>
      </c>
      <c r="J59" s="385"/>
      <c r="K59" s="385" t="s">
        <v>901</v>
      </c>
      <c r="L59" s="385"/>
      <c r="M59" s="385"/>
      <c r="N59" s="385"/>
      <c r="O59" s="385" t="s">
        <v>801</v>
      </c>
      <c r="P59" s="385"/>
      <c r="Q59" s="386">
        <v>545.79</v>
      </c>
      <c r="R59" s="385"/>
      <c r="S59" s="386">
        <f t="shared" si="0"/>
        <v>33961.31</v>
      </c>
      <c r="T59" s="225"/>
      <c r="U59" s="225"/>
      <c r="V59" s="225"/>
      <c r="W59" s="225"/>
      <c r="X59" s="225"/>
      <c r="Y59" s="225"/>
    </row>
    <row r="60" spans="1:25" ht="15.75">
      <c r="A60" s="385"/>
      <c r="B60" s="385"/>
      <c r="C60" s="385"/>
      <c r="D60" s="385"/>
      <c r="E60" s="385" t="s">
        <v>798</v>
      </c>
      <c r="F60" s="385"/>
      <c r="G60" s="434">
        <v>44140</v>
      </c>
      <c r="H60" s="385"/>
      <c r="I60" s="385" t="s">
        <v>858</v>
      </c>
      <c r="J60" s="385"/>
      <c r="K60" s="385" t="s">
        <v>902</v>
      </c>
      <c r="L60" s="385"/>
      <c r="M60" s="385"/>
      <c r="N60" s="385"/>
      <c r="O60" s="385" t="s">
        <v>801</v>
      </c>
      <c r="P60" s="385"/>
      <c r="Q60" s="386">
        <v>1546.54</v>
      </c>
      <c r="R60" s="385"/>
      <c r="S60" s="386">
        <f t="shared" si="0"/>
        <v>35507.85</v>
      </c>
      <c r="T60" s="225"/>
      <c r="U60" s="225"/>
      <c r="V60" s="225"/>
      <c r="W60" s="225"/>
      <c r="X60" s="225"/>
      <c r="Y60" s="225"/>
    </row>
    <row r="61" spans="1:25" ht="15.75">
      <c r="A61" s="385"/>
      <c r="B61" s="385"/>
      <c r="C61" s="385"/>
      <c r="D61" s="385"/>
      <c r="E61" s="385" t="s">
        <v>798</v>
      </c>
      <c r="F61" s="385"/>
      <c r="G61" s="434">
        <v>44144</v>
      </c>
      <c r="H61" s="385"/>
      <c r="I61" s="385" t="s">
        <v>903</v>
      </c>
      <c r="J61" s="385"/>
      <c r="K61" s="385"/>
      <c r="L61" s="385"/>
      <c r="M61" s="385" t="s">
        <v>793</v>
      </c>
      <c r="N61" s="385"/>
      <c r="O61" s="385" t="s">
        <v>801</v>
      </c>
      <c r="P61" s="385"/>
      <c r="Q61" s="386">
        <v>23</v>
      </c>
      <c r="R61" s="385"/>
      <c r="S61" s="386">
        <f t="shared" si="0"/>
        <v>35530.85</v>
      </c>
      <c r="T61" s="225"/>
      <c r="U61" s="225"/>
      <c r="V61" s="225"/>
      <c r="W61" s="225"/>
      <c r="X61" s="225"/>
      <c r="Y61" s="225"/>
    </row>
    <row r="62" spans="1:25" ht="15.75">
      <c r="A62" s="385"/>
      <c r="B62" s="385"/>
      <c r="C62" s="385"/>
      <c r="D62" s="385"/>
      <c r="E62" s="385" t="s">
        <v>798</v>
      </c>
      <c r="F62" s="385"/>
      <c r="G62" s="434">
        <v>44151</v>
      </c>
      <c r="H62" s="385"/>
      <c r="I62" s="385" t="s">
        <v>904</v>
      </c>
      <c r="J62" s="385"/>
      <c r="K62" s="385" t="s">
        <v>905</v>
      </c>
      <c r="L62" s="385"/>
      <c r="M62" s="385"/>
      <c r="N62" s="385"/>
      <c r="O62" s="385" t="s">
        <v>801</v>
      </c>
      <c r="P62" s="385"/>
      <c r="Q62" s="386">
        <v>300</v>
      </c>
      <c r="R62" s="385"/>
      <c r="S62" s="386">
        <f t="shared" si="0"/>
        <v>35830.85</v>
      </c>
      <c r="T62" s="225"/>
      <c r="U62" s="225"/>
      <c r="V62" s="225"/>
      <c r="W62" s="225"/>
      <c r="X62" s="225"/>
      <c r="Y62" s="225"/>
    </row>
    <row r="63" spans="1:25" ht="15.75">
      <c r="A63" s="385"/>
      <c r="B63" s="385"/>
      <c r="C63" s="385"/>
      <c r="D63" s="385"/>
      <c r="E63" s="385" t="s">
        <v>798</v>
      </c>
      <c r="F63" s="385"/>
      <c r="G63" s="434">
        <v>44153</v>
      </c>
      <c r="H63" s="385"/>
      <c r="I63" s="385" t="s">
        <v>885</v>
      </c>
      <c r="J63" s="385"/>
      <c r="K63" s="385" t="s">
        <v>895</v>
      </c>
      <c r="L63" s="385"/>
      <c r="M63" s="385" t="s">
        <v>793</v>
      </c>
      <c r="N63" s="385"/>
      <c r="O63" s="385" t="s">
        <v>801</v>
      </c>
      <c r="P63" s="385"/>
      <c r="Q63" s="386">
        <v>11.89</v>
      </c>
      <c r="R63" s="385"/>
      <c r="S63" s="386">
        <f t="shared" si="0"/>
        <v>35842.74</v>
      </c>
      <c r="T63" s="225"/>
      <c r="U63" s="225"/>
      <c r="V63" s="225"/>
      <c r="W63" s="225"/>
      <c r="X63" s="225"/>
      <c r="Y63" s="225"/>
    </row>
    <row r="64" spans="1:25" ht="15.75">
      <c r="A64" s="385"/>
      <c r="B64" s="385"/>
      <c r="C64" s="385"/>
      <c r="D64" s="385"/>
      <c r="E64" s="385" t="s">
        <v>798</v>
      </c>
      <c r="F64" s="385"/>
      <c r="G64" s="434">
        <v>44153</v>
      </c>
      <c r="H64" s="385"/>
      <c r="I64" s="385" t="s">
        <v>885</v>
      </c>
      <c r="J64" s="385"/>
      <c r="K64" s="385" t="s">
        <v>897</v>
      </c>
      <c r="L64" s="385"/>
      <c r="M64" s="385"/>
      <c r="N64" s="385"/>
      <c r="O64" s="385" t="s">
        <v>801</v>
      </c>
      <c r="P64" s="385"/>
      <c r="Q64" s="386">
        <v>6.83</v>
      </c>
      <c r="R64" s="385"/>
      <c r="S64" s="386">
        <f t="shared" si="0"/>
        <v>35849.57</v>
      </c>
      <c r="T64" s="225"/>
      <c r="U64" s="225"/>
      <c r="V64" s="225"/>
      <c r="W64" s="225"/>
      <c r="X64" s="225"/>
      <c r="Y64" s="225"/>
    </row>
    <row r="65" spans="1:25" ht="15.75">
      <c r="A65" s="385"/>
      <c r="B65" s="385"/>
      <c r="C65" s="385"/>
      <c r="D65" s="385"/>
      <c r="E65" s="385" t="s">
        <v>798</v>
      </c>
      <c r="F65" s="385"/>
      <c r="G65" s="434">
        <v>44153</v>
      </c>
      <c r="H65" s="385"/>
      <c r="I65" s="385" t="s">
        <v>885</v>
      </c>
      <c r="J65" s="385"/>
      <c r="K65" s="385" t="s">
        <v>897</v>
      </c>
      <c r="L65" s="385"/>
      <c r="M65" s="385"/>
      <c r="N65" s="385"/>
      <c r="O65" s="385" t="s">
        <v>801</v>
      </c>
      <c r="P65" s="385"/>
      <c r="Q65" s="386">
        <v>97.37</v>
      </c>
      <c r="R65" s="385"/>
      <c r="S65" s="386">
        <f t="shared" si="0"/>
        <v>35946.94</v>
      </c>
      <c r="T65" s="225"/>
      <c r="U65" s="225"/>
      <c r="V65" s="225"/>
      <c r="W65" s="225"/>
      <c r="X65" s="225"/>
      <c r="Y65" s="225"/>
    </row>
    <row r="66" spans="1:25" ht="15.75">
      <c r="A66" s="385"/>
      <c r="B66" s="385"/>
      <c r="C66" s="385"/>
      <c r="D66" s="385"/>
      <c r="E66" s="385" t="s">
        <v>798</v>
      </c>
      <c r="F66" s="385"/>
      <c r="G66" s="434">
        <v>44153</v>
      </c>
      <c r="H66" s="385"/>
      <c r="I66" s="385" t="s">
        <v>885</v>
      </c>
      <c r="J66" s="385"/>
      <c r="K66" s="385" t="s">
        <v>906</v>
      </c>
      <c r="L66" s="385"/>
      <c r="M66" s="385"/>
      <c r="N66" s="385"/>
      <c r="O66" s="385" t="s">
        <v>801</v>
      </c>
      <c r="P66" s="385"/>
      <c r="Q66" s="386">
        <v>271.11</v>
      </c>
      <c r="R66" s="385"/>
      <c r="S66" s="386">
        <f t="shared" si="0"/>
        <v>36218.050000000003</v>
      </c>
      <c r="T66" s="225"/>
      <c r="U66" s="225"/>
      <c r="V66" s="225"/>
      <c r="W66" s="225"/>
      <c r="X66" s="225"/>
      <c r="Y66" s="225"/>
    </row>
    <row r="67" spans="1:25" ht="15.75">
      <c r="A67" s="385"/>
      <c r="B67" s="385"/>
      <c r="C67" s="385"/>
      <c r="D67" s="385"/>
      <c r="E67" s="385" t="s">
        <v>798</v>
      </c>
      <c r="F67" s="385"/>
      <c r="G67" s="434">
        <v>44153</v>
      </c>
      <c r="H67" s="385"/>
      <c r="I67" s="385" t="s">
        <v>885</v>
      </c>
      <c r="J67" s="385"/>
      <c r="K67" s="385" t="s">
        <v>897</v>
      </c>
      <c r="L67" s="385"/>
      <c r="M67" s="385"/>
      <c r="N67" s="385"/>
      <c r="O67" s="385" t="s">
        <v>801</v>
      </c>
      <c r="P67" s="385"/>
      <c r="Q67" s="386">
        <v>46.17</v>
      </c>
      <c r="R67" s="385"/>
      <c r="S67" s="386">
        <f t="shared" ref="S67:S73" si="1">ROUND(S66+Q67,5)</f>
        <v>36264.22</v>
      </c>
      <c r="T67" s="225"/>
      <c r="U67" s="225"/>
      <c r="V67" s="225"/>
      <c r="W67" s="225"/>
      <c r="X67" s="225"/>
      <c r="Y67" s="225"/>
    </row>
    <row r="68" spans="1:25" ht="15.75">
      <c r="A68" s="385"/>
      <c r="B68" s="385"/>
      <c r="C68" s="385"/>
      <c r="D68" s="385"/>
      <c r="E68" s="385" t="s">
        <v>798</v>
      </c>
      <c r="F68" s="385"/>
      <c r="G68" s="434">
        <v>44153</v>
      </c>
      <c r="H68" s="385"/>
      <c r="I68" s="385" t="s">
        <v>885</v>
      </c>
      <c r="J68" s="385"/>
      <c r="K68" s="385" t="s">
        <v>907</v>
      </c>
      <c r="L68" s="385"/>
      <c r="M68" s="385"/>
      <c r="N68" s="385"/>
      <c r="O68" s="385" t="s">
        <v>801</v>
      </c>
      <c r="P68" s="385"/>
      <c r="Q68" s="386">
        <v>178.54</v>
      </c>
      <c r="R68" s="385"/>
      <c r="S68" s="386">
        <f t="shared" si="1"/>
        <v>36442.76</v>
      </c>
      <c r="T68" s="225"/>
      <c r="U68" s="225"/>
      <c r="V68" s="225"/>
      <c r="W68" s="225"/>
      <c r="X68" s="225"/>
      <c r="Y68" s="225"/>
    </row>
    <row r="69" spans="1:25" ht="15.75">
      <c r="A69" s="385"/>
      <c r="B69" s="385"/>
      <c r="C69" s="385"/>
      <c r="D69" s="385"/>
      <c r="E69" s="385" t="s">
        <v>798</v>
      </c>
      <c r="F69" s="385"/>
      <c r="G69" s="434">
        <v>44168</v>
      </c>
      <c r="H69" s="385"/>
      <c r="I69" s="385" t="s">
        <v>858</v>
      </c>
      <c r="J69" s="385"/>
      <c r="K69" s="385" t="s">
        <v>908</v>
      </c>
      <c r="L69" s="385"/>
      <c r="M69" s="385" t="s">
        <v>793</v>
      </c>
      <c r="N69" s="385"/>
      <c r="O69" s="385" t="s">
        <v>801</v>
      </c>
      <c r="P69" s="385"/>
      <c r="Q69" s="386">
        <v>338.14</v>
      </c>
      <c r="R69" s="385"/>
      <c r="S69" s="386">
        <f t="shared" si="1"/>
        <v>36780.9</v>
      </c>
      <c r="T69" s="225"/>
      <c r="U69" s="225"/>
      <c r="V69" s="225"/>
      <c r="W69" s="225"/>
      <c r="X69" s="225"/>
      <c r="Y69" s="225"/>
    </row>
    <row r="70" spans="1:25" ht="15.75">
      <c r="A70" s="385"/>
      <c r="B70" s="385"/>
      <c r="C70" s="385"/>
      <c r="D70" s="385"/>
      <c r="E70" s="385" t="s">
        <v>798</v>
      </c>
      <c r="F70" s="385"/>
      <c r="G70" s="434">
        <v>44168</v>
      </c>
      <c r="H70" s="385"/>
      <c r="I70" s="385" t="s">
        <v>858</v>
      </c>
      <c r="J70" s="385"/>
      <c r="K70" s="385" t="s">
        <v>909</v>
      </c>
      <c r="L70" s="385"/>
      <c r="M70" s="385" t="s">
        <v>793</v>
      </c>
      <c r="N70" s="385"/>
      <c r="O70" s="385" t="s">
        <v>801</v>
      </c>
      <c r="P70" s="385"/>
      <c r="Q70" s="386">
        <v>716.93</v>
      </c>
      <c r="R70" s="385"/>
      <c r="S70" s="386">
        <f t="shared" si="1"/>
        <v>37497.83</v>
      </c>
      <c r="T70" s="225"/>
      <c r="U70" s="225"/>
      <c r="V70" s="225"/>
      <c r="W70" s="225"/>
      <c r="X70" s="225"/>
      <c r="Y70" s="225"/>
    </row>
    <row r="71" spans="1:25" ht="15.75">
      <c r="A71" s="385"/>
      <c r="B71" s="385"/>
      <c r="C71" s="385"/>
      <c r="D71" s="385"/>
      <c r="E71" s="385" t="s">
        <v>798</v>
      </c>
      <c r="F71" s="385"/>
      <c r="G71" s="434">
        <v>44172</v>
      </c>
      <c r="H71" s="385"/>
      <c r="I71" s="385" t="s">
        <v>903</v>
      </c>
      <c r="J71" s="385"/>
      <c r="K71" s="385"/>
      <c r="L71" s="385"/>
      <c r="M71" s="385" t="s">
        <v>793</v>
      </c>
      <c r="N71" s="385"/>
      <c r="O71" s="385" t="s">
        <v>801</v>
      </c>
      <c r="P71" s="385"/>
      <c r="Q71" s="386">
        <v>22.26</v>
      </c>
      <c r="R71" s="385"/>
      <c r="S71" s="386">
        <f t="shared" si="1"/>
        <v>37520.089999999997</v>
      </c>
      <c r="T71" s="225"/>
      <c r="U71" s="225"/>
      <c r="V71" s="225"/>
      <c r="W71" s="225"/>
      <c r="X71" s="225"/>
      <c r="Y71" s="225"/>
    </row>
    <row r="72" spans="1:25" ht="15.75">
      <c r="A72" s="385"/>
      <c r="B72" s="385"/>
      <c r="C72" s="385"/>
      <c r="D72" s="385"/>
      <c r="E72" s="385" t="s">
        <v>798</v>
      </c>
      <c r="F72" s="385"/>
      <c r="G72" s="434">
        <v>44174</v>
      </c>
      <c r="H72" s="385"/>
      <c r="I72" s="385" t="s">
        <v>885</v>
      </c>
      <c r="J72" s="385"/>
      <c r="K72" s="385" t="s">
        <v>910</v>
      </c>
      <c r="L72" s="385"/>
      <c r="M72" s="385" t="s">
        <v>793</v>
      </c>
      <c r="N72" s="385"/>
      <c r="O72" s="385" t="s">
        <v>801</v>
      </c>
      <c r="P72" s="385"/>
      <c r="Q72" s="386">
        <v>165.07</v>
      </c>
      <c r="R72" s="385"/>
      <c r="S72" s="386">
        <f t="shared" si="1"/>
        <v>37685.160000000003</v>
      </c>
      <c r="T72" s="225"/>
      <c r="U72" s="225"/>
      <c r="V72" s="225"/>
      <c r="W72" s="225"/>
      <c r="X72" s="225"/>
      <c r="Y72" s="225"/>
    </row>
    <row r="73" spans="1:25" ht="16.5" thickBot="1">
      <c r="A73" s="385"/>
      <c r="B73" s="385"/>
      <c r="C73" s="385"/>
      <c r="D73" s="385"/>
      <c r="E73" s="385" t="s">
        <v>795</v>
      </c>
      <c r="F73" s="385"/>
      <c r="G73" s="434">
        <v>44196</v>
      </c>
      <c r="H73" s="385"/>
      <c r="I73" s="385" t="s">
        <v>889</v>
      </c>
      <c r="J73" s="385"/>
      <c r="K73" s="385" t="s">
        <v>911</v>
      </c>
      <c r="L73" s="385"/>
      <c r="M73" s="385" t="s">
        <v>793</v>
      </c>
      <c r="N73" s="385"/>
      <c r="O73" s="385" t="s">
        <v>797</v>
      </c>
      <c r="P73" s="385"/>
      <c r="Q73" s="386">
        <v>1590</v>
      </c>
      <c r="R73" s="385"/>
      <c r="S73" s="386">
        <f t="shared" si="1"/>
        <v>39275.160000000003</v>
      </c>
      <c r="T73" s="225"/>
      <c r="U73" s="225"/>
      <c r="V73" s="225"/>
      <c r="W73" s="225"/>
      <c r="X73" s="225"/>
      <c r="Y73" s="225"/>
    </row>
    <row r="74" spans="1:25" ht="15.75">
      <c r="A74" s="385"/>
      <c r="B74" s="385" t="s">
        <v>912</v>
      </c>
      <c r="C74" s="385"/>
      <c r="D74" s="385"/>
      <c r="E74" s="385"/>
      <c r="F74" s="385"/>
      <c r="G74" s="434"/>
      <c r="H74" s="385"/>
      <c r="I74" s="385"/>
      <c r="J74" s="385"/>
      <c r="K74" s="385"/>
      <c r="L74" s="385"/>
      <c r="M74" s="385"/>
      <c r="N74" s="385"/>
      <c r="O74" s="385"/>
      <c r="P74" s="385"/>
      <c r="Q74" s="435">
        <f>ROUND(SUM(Q2:Q73),5)</f>
        <v>39275.160000000003</v>
      </c>
      <c r="R74" s="385"/>
      <c r="S74" s="435">
        <f>S73</f>
        <v>39275.160000000003</v>
      </c>
      <c r="T74" s="225"/>
      <c r="U74" s="225"/>
      <c r="V74" s="225"/>
      <c r="W74" s="225"/>
      <c r="X74" s="225"/>
      <c r="Y74" s="225"/>
    </row>
    <row r="75" spans="1:25" ht="15.75">
      <c r="A75" s="225"/>
      <c r="B75" s="225" t="s">
        <v>913</v>
      </c>
      <c r="C75" s="225"/>
      <c r="D75" s="225"/>
      <c r="E75" s="225"/>
      <c r="F75" s="225"/>
      <c r="G75" s="225"/>
      <c r="H75" s="225"/>
      <c r="I75" s="385" t="s">
        <v>889</v>
      </c>
      <c r="J75" s="225"/>
      <c r="K75" s="385" t="s">
        <v>914</v>
      </c>
      <c r="L75" s="225"/>
      <c r="M75" s="225"/>
      <c r="N75" s="225"/>
      <c r="O75" s="225"/>
      <c r="P75" s="225"/>
      <c r="Q75" s="436">
        <f>-Q39-Q51</f>
        <v>-8379.2999999999993</v>
      </c>
      <c r="R75" s="225"/>
      <c r="S75" s="225"/>
      <c r="T75" s="225"/>
      <c r="U75" s="225"/>
      <c r="V75" s="225"/>
      <c r="W75" s="225"/>
      <c r="X75" s="225"/>
      <c r="Y75" s="225"/>
    </row>
    <row r="76" spans="1:25" ht="15.75">
      <c r="A76" s="225"/>
      <c r="B76" s="225"/>
      <c r="C76" s="225"/>
      <c r="D76" s="225"/>
      <c r="E76" s="225"/>
      <c r="F76" s="225"/>
      <c r="G76" s="225"/>
      <c r="H76" s="225"/>
      <c r="I76" s="225"/>
      <c r="J76" s="225"/>
      <c r="K76" s="225"/>
      <c r="L76" s="225"/>
      <c r="M76" s="225"/>
      <c r="N76" s="225"/>
      <c r="O76" s="225"/>
      <c r="P76" s="225"/>
      <c r="Q76" s="437">
        <f>SUM(Q74:Q75)</f>
        <v>30895.860000000004</v>
      </c>
      <c r="R76" s="225"/>
      <c r="S76" s="225"/>
      <c r="T76" s="225"/>
      <c r="U76" s="225"/>
      <c r="V76" s="225"/>
      <c r="W76" s="225"/>
      <c r="X76" s="225"/>
      <c r="Y76" s="225"/>
    </row>
    <row r="77" spans="1:25" ht="15.75">
      <c r="A77" s="225"/>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row>
    <row r="78" spans="1:25" ht="15.75">
      <c r="A78" s="225"/>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row>
    <row r="79" spans="1:25" ht="15.75">
      <c r="A79" s="225"/>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row>
    <row r="80" spans="1:25" ht="15.75">
      <c r="A80" s="225"/>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row>
    <row r="81" spans="1:25" ht="15.75">
      <c r="A81" s="225"/>
      <c r="B81" s="225"/>
      <c r="C81" s="225"/>
      <c r="D81" s="225"/>
      <c r="E81" s="225"/>
      <c r="F81" s="225"/>
      <c r="G81" s="225"/>
      <c r="H81" s="225"/>
      <c r="I81" s="225"/>
      <c r="J81" s="225"/>
      <c r="K81" s="225"/>
      <c r="L81" s="225"/>
      <c r="M81" s="225"/>
      <c r="N81" s="225"/>
      <c r="O81" s="225"/>
      <c r="P81" s="225"/>
      <c r="Q81" s="225"/>
      <c r="R81" s="225"/>
      <c r="S81" s="225"/>
      <c r="T81" s="225"/>
      <c r="U81" s="225"/>
      <c r="V81" s="225"/>
      <c r="W81" s="225"/>
      <c r="X81" s="225"/>
      <c r="Y81" s="225"/>
    </row>
    <row r="82" spans="1:25" ht="15.75">
      <c r="A82" s="225"/>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row>
    <row r="83" spans="1:25" ht="15.75">
      <c r="A83" s="225"/>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row>
    <row r="84" spans="1:25" ht="15.75">
      <c r="A84" s="225"/>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row>
    <row r="85" spans="1:25" ht="15.75">
      <c r="A85" s="225"/>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9237-BA04-4311-87BA-7721364F03C9}">
  <dimension ref="A1:AA145"/>
  <sheetViews>
    <sheetView workbookViewId="0">
      <selection activeCell="M15" sqref="M15"/>
    </sheetView>
  </sheetViews>
  <sheetFormatPr defaultRowHeight="15"/>
  <cols>
    <col min="1" max="1" width="2.33203125" customWidth="1"/>
    <col min="2" max="2" width="16.44140625" customWidth="1"/>
    <col min="3" max="4" width="1.77734375" customWidth="1"/>
    <col min="5" max="5" width="12.109375" bestFit="1" customWidth="1"/>
    <col min="6" max="6" width="1.77734375" customWidth="1"/>
    <col min="7" max="7" width="7" bestFit="1" customWidth="1"/>
    <col min="8" max="8" width="1.77734375" customWidth="1"/>
    <col min="9" max="9" width="3.88671875" bestFit="1" customWidth="1"/>
    <col min="10" max="10" width="1.77734375" customWidth="1"/>
    <col min="11" max="11" width="16.44140625" bestFit="1" customWidth="1"/>
    <col min="12" max="12" width="1.77734375" customWidth="1"/>
    <col min="13" max="13" width="22.6640625" bestFit="1" customWidth="1"/>
    <col min="14" max="14" width="1.77734375" customWidth="1"/>
    <col min="15" max="15" width="6.44140625" bestFit="1" customWidth="1"/>
    <col min="16" max="16" width="1.77734375" customWidth="1"/>
    <col min="17" max="17" width="6.88671875" bestFit="1" customWidth="1"/>
    <col min="18" max="18" width="1.77734375" customWidth="1"/>
    <col min="19" max="19" width="6.88671875" bestFit="1" customWidth="1"/>
  </cols>
  <sheetData>
    <row r="1" spans="1:27" ht="16.5" thickBot="1">
      <c r="A1" s="382"/>
      <c r="B1" s="382"/>
      <c r="C1" s="382"/>
      <c r="D1" s="382"/>
      <c r="E1" s="432" t="s">
        <v>45</v>
      </c>
      <c r="F1" s="382"/>
      <c r="G1" s="432" t="s">
        <v>782</v>
      </c>
      <c r="H1" s="382"/>
      <c r="I1" s="432" t="s">
        <v>783</v>
      </c>
      <c r="J1" s="382"/>
      <c r="K1" s="432" t="s">
        <v>784</v>
      </c>
      <c r="L1" s="382"/>
      <c r="M1" s="432" t="s">
        <v>785</v>
      </c>
      <c r="N1" s="382"/>
      <c r="O1" s="432" t="s">
        <v>786</v>
      </c>
      <c r="P1" s="382"/>
      <c r="Q1" s="432" t="s">
        <v>47</v>
      </c>
      <c r="R1" s="382"/>
      <c r="S1" s="432" t="s">
        <v>788</v>
      </c>
      <c r="T1" s="203"/>
      <c r="U1" s="203"/>
      <c r="V1" s="203"/>
      <c r="W1" s="203"/>
      <c r="X1" s="203"/>
      <c r="Y1" s="203"/>
      <c r="Z1" s="203"/>
      <c r="AA1" s="203"/>
    </row>
    <row r="2" spans="1:27" ht="15.75" thickTop="1">
      <c r="A2" s="374"/>
      <c r="B2" s="374" t="s">
        <v>167</v>
      </c>
      <c r="C2" s="374"/>
      <c r="D2" s="374"/>
      <c r="E2" s="374"/>
      <c r="F2" s="374"/>
      <c r="G2" s="433"/>
      <c r="H2" s="374"/>
      <c r="I2" s="374"/>
      <c r="J2" s="374"/>
      <c r="K2" s="374"/>
      <c r="L2" s="374"/>
      <c r="M2" s="374"/>
      <c r="N2" s="374"/>
      <c r="O2" s="374"/>
      <c r="P2" s="374"/>
      <c r="Q2" s="388"/>
      <c r="R2" s="374"/>
      <c r="S2" s="388"/>
      <c r="T2" s="203"/>
      <c r="U2" s="203"/>
      <c r="V2" s="203"/>
      <c r="W2" s="203"/>
      <c r="X2" s="203"/>
      <c r="Y2" s="203"/>
      <c r="Z2" s="203"/>
      <c r="AA2" s="203"/>
    </row>
    <row r="3" spans="1:27">
      <c r="A3" s="385"/>
      <c r="B3" s="385"/>
      <c r="C3" s="385"/>
      <c r="D3" s="385"/>
      <c r="E3" s="385" t="s">
        <v>798</v>
      </c>
      <c r="F3" s="385"/>
      <c r="G3" s="434">
        <v>43832</v>
      </c>
      <c r="H3" s="385"/>
      <c r="I3" s="385"/>
      <c r="J3" s="385"/>
      <c r="K3" s="385" t="s">
        <v>915</v>
      </c>
      <c r="L3" s="385"/>
      <c r="M3" s="385" t="s">
        <v>916</v>
      </c>
      <c r="N3" s="385"/>
      <c r="O3" s="385" t="s">
        <v>793</v>
      </c>
      <c r="P3" s="385"/>
      <c r="Q3" s="386">
        <v>389.4</v>
      </c>
      <c r="R3" s="385"/>
      <c r="S3" s="386">
        <f t="shared" ref="S3:S66" si="0">ROUND(S2+Q3,5)</f>
        <v>389.4</v>
      </c>
      <c r="T3" s="203"/>
      <c r="U3" s="203"/>
      <c r="V3" s="203"/>
      <c r="W3" s="203"/>
      <c r="X3" s="203"/>
      <c r="Y3" s="203"/>
      <c r="Z3" s="203"/>
      <c r="AA3" s="203"/>
    </row>
    <row r="4" spans="1:27">
      <c r="A4" s="385"/>
      <c r="B4" s="385"/>
      <c r="C4" s="385"/>
      <c r="D4" s="385"/>
      <c r="E4" s="385" t="s">
        <v>798</v>
      </c>
      <c r="F4" s="385"/>
      <c r="G4" s="434">
        <v>43832</v>
      </c>
      <c r="H4" s="385"/>
      <c r="I4" s="385"/>
      <c r="J4" s="385"/>
      <c r="K4" s="385" t="s">
        <v>915</v>
      </c>
      <c r="L4" s="385"/>
      <c r="M4" s="385" t="s">
        <v>917</v>
      </c>
      <c r="N4" s="385"/>
      <c r="O4" s="385" t="s">
        <v>793</v>
      </c>
      <c r="P4" s="385"/>
      <c r="Q4" s="386">
        <v>347.88</v>
      </c>
      <c r="R4" s="385"/>
      <c r="S4" s="386">
        <f t="shared" si="0"/>
        <v>737.28</v>
      </c>
      <c r="T4" s="203"/>
      <c r="U4" s="203"/>
      <c r="V4" s="203"/>
      <c r="W4" s="203"/>
      <c r="X4" s="203"/>
      <c r="Y4" s="203"/>
      <c r="Z4" s="203"/>
      <c r="AA4" s="203"/>
    </row>
    <row r="5" spans="1:27">
      <c r="A5" s="385"/>
      <c r="B5" s="385"/>
      <c r="C5" s="385"/>
      <c r="D5" s="385"/>
      <c r="E5" s="385" t="s">
        <v>798</v>
      </c>
      <c r="F5" s="385"/>
      <c r="G5" s="434">
        <v>43832</v>
      </c>
      <c r="H5" s="385"/>
      <c r="I5" s="385"/>
      <c r="J5" s="385"/>
      <c r="K5" s="385" t="s">
        <v>915</v>
      </c>
      <c r="L5" s="385"/>
      <c r="M5" s="385" t="s">
        <v>918</v>
      </c>
      <c r="N5" s="385"/>
      <c r="O5" s="385" t="s">
        <v>793</v>
      </c>
      <c r="P5" s="385"/>
      <c r="Q5" s="386">
        <v>21.28</v>
      </c>
      <c r="R5" s="385"/>
      <c r="S5" s="386">
        <f t="shared" si="0"/>
        <v>758.56</v>
      </c>
      <c r="T5" s="203"/>
      <c r="U5" s="203"/>
      <c r="V5" s="203"/>
      <c r="W5" s="203"/>
      <c r="X5" s="203"/>
      <c r="Y5" s="203"/>
      <c r="Z5" s="203"/>
      <c r="AA5" s="203"/>
    </row>
    <row r="6" spans="1:27">
      <c r="A6" s="385"/>
      <c r="B6" s="385"/>
      <c r="C6" s="385"/>
      <c r="D6" s="385"/>
      <c r="E6" s="385" t="s">
        <v>798</v>
      </c>
      <c r="F6" s="385"/>
      <c r="G6" s="434">
        <v>43832</v>
      </c>
      <c r="H6" s="385"/>
      <c r="I6" s="385"/>
      <c r="J6" s="385"/>
      <c r="K6" s="385" t="s">
        <v>915</v>
      </c>
      <c r="L6" s="385"/>
      <c r="M6" s="385" t="s">
        <v>919</v>
      </c>
      <c r="N6" s="385"/>
      <c r="O6" s="385" t="s">
        <v>793</v>
      </c>
      <c r="P6" s="385"/>
      <c r="Q6" s="386">
        <v>5</v>
      </c>
      <c r="R6" s="385"/>
      <c r="S6" s="386">
        <f t="shared" si="0"/>
        <v>763.56</v>
      </c>
      <c r="T6" s="203"/>
      <c r="U6" s="203"/>
      <c r="V6" s="203"/>
      <c r="W6" s="203"/>
      <c r="X6" s="203"/>
      <c r="Y6" s="203"/>
      <c r="Z6" s="203"/>
      <c r="AA6" s="203"/>
    </row>
    <row r="7" spans="1:27">
      <c r="A7" s="385"/>
      <c r="B7" s="385"/>
      <c r="C7" s="385"/>
      <c r="D7" s="385"/>
      <c r="E7" s="385" t="s">
        <v>798</v>
      </c>
      <c r="F7" s="385"/>
      <c r="G7" s="434">
        <v>43861</v>
      </c>
      <c r="H7" s="385"/>
      <c r="I7" s="385"/>
      <c r="J7" s="385"/>
      <c r="K7" s="385" t="s">
        <v>915</v>
      </c>
      <c r="L7" s="385"/>
      <c r="M7" s="385" t="s">
        <v>920</v>
      </c>
      <c r="N7" s="385"/>
      <c r="O7" s="385" t="s">
        <v>793</v>
      </c>
      <c r="P7" s="385"/>
      <c r="Q7" s="386">
        <v>325.36</v>
      </c>
      <c r="R7" s="385"/>
      <c r="S7" s="386">
        <f t="shared" si="0"/>
        <v>1088.92</v>
      </c>
      <c r="T7" s="203"/>
      <c r="U7" s="203"/>
      <c r="V7" s="203"/>
      <c r="W7" s="203"/>
      <c r="X7" s="203"/>
      <c r="Y7" s="203"/>
      <c r="Z7" s="203"/>
      <c r="AA7" s="203"/>
    </row>
    <row r="8" spans="1:27">
      <c r="A8" s="385"/>
      <c r="B8" s="385"/>
      <c r="C8" s="385"/>
      <c r="D8" s="385"/>
      <c r="E8" s="385" t="s">
        <v>798</v>
      </c>
      <c r="F8" s="385"/>
      <c r="G8" s="434">
        <v>43861</v>
      </c>
      <c r="H8" s="385"/>
      <c r="I8" s="385"/>
      <c r="J8" s="385"/>
      <c r="K8" s="385" t="s">
        <v>915</v>
      </c>
      <c r="L8" s="385"/>
      <c r="M8" s="385" t="s">
        <v>917</v>
      </c>
      <c r="N8" s="385"/>
      <c r="O8" s="385" t="s">
        <v>793</v>
      </c>
      <c r="P8" s="385"/>
      <c r="Q8" s="386">
        <v>276.56</v>
      </c>
      <c r="R8" s="385"/>
      <c r="S8" s="386">
        <f t="shared" si="0"/>
        <v>1365.48</v>
      </c>
      <c r="T8" s="203"/>
      <c r="U8" s="203"/>
      <c r="V8" s="203"/>
      <c r="W8" s="203"/>
      <c r="X8" s="203"/>
      <c r="Y8" s="203"/>
      <c r="Z8" s="203"/>
      <c r="AA8" s="203"/>
    </row>
    <row r="9" spans="1:27">
      <c r="A9" s="385"/>
      <c r="B9" s="385"/>
      <c r="C9" s="385"/>
      <c r="D9" s="385"/>
      <c r="E9" s="385" t="s">
        <v>798</v>
      </c>
      <c r="F9" s="385"/>
      <c r="G9" s="434">
        <v>43861</v>
      </c>
      <c r="H9" s="385"/>
      <c r="I9" s="385"/>
      <c r="J9" s="385"/>
      <c r="K9" s="385" t="s">
        <v>915</v>
      </c>
      <c r="L9" s="385"/>
      <c r="M9" s="385" t="s">
        <v>921</v>
      </c>
      <c r="N9" s="385"/>
      <c r="O9" s="385"/>
      <c r="P9" s="385"/>
      <c r="Q9" s="386"/>
      <c r="R9" s="385"/>
      <c r="S9" s="386">
        <f t="shared" si="0"/>
        <v>1365.48</v>
      </c>
      <c r="T9" s="203"/>
      <c r="U9" s="203"/>
      <c r="V9" s="203"/>
      <c r="W9" s="203"/>
      <c r="X9" s="203"/>
      <c r="Y9" s="203"/>
      <c r="Z9" s="203"/>
      <c r="AA9" s="203"/>
    </row>
    <row r="10" spans="1:27">
      <c r="A10" s="385"/>
      <c r="B10" s="385"/>
      <c r="C10" s="385"/>
      <c r="D10" s="385"/>
      <c r="E10" s="385" t="s">
        <v>818</v>
      </c>
      <c r="F10" s="385"/>
      <c r="G10" s="434">
        <v>43861</v>
      </c>
      <c r="H10" s="385"/>
      <c r="I10" s="385" t="s">
        <v>922</v>
      </c>
      <c r="J10" s="385"/>
      <c r="K10" s="385" t="s">
        <v>923</v>
      </c>
      <c r="L10" s="385"/>
      <c r="M10" s="385" t="s">
        <v>924</v>
      </c>
      <c r="N10" s="385"/>
      <c r="O10" s="385" t="s">
        <v>793</v>
      </c>
      <c r="P10" s="385"/>
      <c r="Q10" s="386">
        <v>16.079999999999998</v>
      </c>
      <c r="R10" s="385"/>
      <c r="S10" s="386">
        <f t="shared" si="0"/>
        <v>1381.56</v>
      </c>
      <c r="T10" s="203"/>
      <c r="U10" s="203"/>
      <c r="V10" s="203"/>
      <c r="W10" s="203"/>
      <c r="X10" s="203"/>
      <c r="Y10" s="203"/>
      <c r="Z10" s="203"/>
      <c r="AA10" s="203"/>
    </row>
    <row r="11" spans="1:27">
      <c r="A11" s="385"/>
      <c r="B11" s="385"/>
      <c r="C11" s="385"/>
      <c r="D11" s="385"/>
      <c r="E11" s="385" t="s">
        <v>795</v>
      </c>
      <c r="F11" s="385"/>
      <c r="G11" s="434">
        <v>43861</v>
      </c>
      <c r="H11" s="385"/>
      <c r="I11" s="385"/>
      <c r="J11" s="385"/>
      <c r="K11" s="385" t="s">
        <v>925</v>
      </c>
      <c r="L11" s="385"/>
      <c r="M11" s="385" t="s">
        <v>926</v>
      </c>
      <c r="N11" s="385"/>
      <c r="O11" s="385" t="s">
        <v>793</v>
      </c>
      <c r="P11" s="385"/>
      <c r="Q11" s="386">
        <v>50</v>
      </c>
      <c r="R11" s="385"/>
      <c r="S11" s="386">
        <f t="shared" si="0"/>
        <v>1431.56</v>
      </c>
      <c r="T11" s="203"/>
      <c r="U11" s="203"/>
      <c r="V11" s="203"/>
      <c r="W11" s="203"/>
      <c r="X11" s="203"/>
      <c r="Y11" s="203"/>
      <c r="Z11" s="203"/>
      <c r="AA11" s="203"/>
    </row>
    <row r="12" spans="1:27">
      <c r="A12" s="385"/>
      <c r="B12" s="385"/>
      <c r="C12" s="385"/>
      <c r="D12" s="385"/>
      <c r="E12" s="385" t="s">
        <v>795</v>
      </c>
      <c r="F12" s="385"/>
      <c r="G12" s="434">
        <v>43861</v>
      </c>
      <c r="H12" s="385"/>
      <c r="I12" s="385"/>
      <c r="J12" s="385"/>
      <c r="K12" s="385" t="s">
        <v>925</v>
      </c>
      <c r="L12" s="385"/>
      <c r="M12" s="385"/>
      <c r="N12" s="385"/>
      <c r="O12" s="385" t="s">
        <v>793</v>
      </c>
      <c r="P12" s="385"/>
      <c r="Q12" s="386">
        <v>25</v>
      </c>
      <c r="R12" s="385"/>
      <c r="S12" s="386">
        <f t="shared" si="0"/>
        <v>1456.56</v>
      </c>
      <c r="T12" s="203"/>
      <c r="U12" s="203"/>
      <c r="V12" s="203"/>
      <c r="W12" s="203"/>
      <c r="X12" s="203"/>
      <c r="Y12" s="203"/>
      <c r="Z12" s="203"/>
      <c r="AA12" s="203"/>
    </row>
    <row r="13" spans="1:27">
      <c r="A13" s="385"/>
      <c r="B13" s="385"/>
      <c r="C13" s="385"/>
      <c r="D13" s="385"/>
      <c r="E13" s="385" t="s">
        <v>795</v>
      </c>
      <c r="F13" s="385"/>
      <c r="G13" s="434">
        <v>43861</v>
      </c>
      <c r="H13" s="385"/>
      <c r="I13" s="385"/>
      <c r="J13" s="385"/>
      <c r="K13" s="385" t="s">
        <v>925</v>
      </c>
      <c r="L13" s="385"/>
      <c r="M13" s="385"/>
      <c r="N13" s="385"/>
      <c r="O13" s="385"/>
      <c r="P13" s="385"/>
      <c r="Q13" s="386">
        <v>25</v>
      </c>
      <c r="R13" s="385"/>
      <c r="S13" s="386">
        <f t="shared" si="0"/>
        <v>1481.56</v>
      </c>
      <c r="T13" s="203"/>
      <c r="U13" s="203"/>
      <c r="V13" s="203"/>
      <c r="W13" s="203"/>
      <c r="X13" s="203"/>
      <c r="Y13" s="203"/>
      <c r="Z13" s="203"/>
      <c r="AA13" s="203"/>
    </row>
    <row r="14" spans="1:27">
      <c r="A14" s="385"/>
      <c r="B14" s="385"/>
      <c r="C14" s="385"/>
      <c r="D14" s="385"/>
      <c r="E14" s="385" t="s">
        <v>798</v>
      </c>
      <c r="F14" s="385"/>
      <c r="G14" s="434">
        <v>43867</v>
      </c>
      <c r="H14" s="385"/>
      <c r="I14" s="385"/>
      <c r="J14" s="385"/>
      <c r="K14" s="385" t="s">
        <v>915</v>
      </c>
      <c r="L14" s="385"/>
      <c r="M14" s="385" t="s">
        <v>927</v>
      </c>
      <c r="N14" s="385"/>
      <c r="O14" s="385" t="s">
        <v>793</v>
      </c>
      <c r="P14" s="385"/>
      <c r="Q14" s="386"/>
      <c r="R14" s="385"/>
      <c r="S14" s="386">
        <f t="shared" si="0"/>
        <v>1481.56</v>
      </c>
      <c r="T14" s="203"/>
      <c r="U14" s="203"/>
      <c r="V14" s="203"/>
      <c r="W14" s="203"/>
      <c r="X14" s="203"/>
      <c r="Y14" s="203"/>
      <c r="Z14" s="203"/>
      <c r="AA14" s="203"/>
    </row>
    <row r="15" spans="1:27">
      <c r="A15" s="385"/>
      <c r="B15" s="385"/>
      <c r="C15" s="385"/>
      <c r="D15" s="385"/>
      <c r="E15" s="385" t="s">
        <v>798</v>
      </c>
      <c r="F15" s="385"/>
      <c r="G15" s="434">
        <v>43867</v>
      </c>
      <c r="H15" s="385"/>
      <c r="I15" s="385"/>
      <c r="J15" s="385"/>
      <c r="K15" s="385" t="s">
        <v>915</v>
      </c>
      <c r="L15" s="385"/>
      <c r="M15" s="385" t="s">
        <v>928</v>
      </c>
      <c r="N15" s="385"/>
      <c r="O15" s="385" t="s">
        <v>793</v>
      </c>
      <c r="P15" s="385"/>
      <c r="Q15" s="386"/>
      <c r="R15" s="385"/>
      <c r="S15" s="386">
        <f t="shared" si="0"/>
        <v>1481.56</v>
      </c>
      <c r="T15" s="203"/>
      <c r="U15" s="203"/>
      <c r="V15" s="203"/>
      <c r="W15" s="203"/>
      <c r="X15" s="203"/>
      <c r="Y15" s="203"/>
      <c r="Z15" s="203"/>
      <c r="AA15" s="203"/>
    </row>
    <row r="16" spans="1:27">
      <c r="A16" s="385"/>
      <c r="B16" s="385"/>
      <c r="C16" s="385"/>
      <c r="D16" s="385"/>
      <c r="E16" s="385" t="s">
        <v>798</v>
      </c>
      <c r="F16" s="385"/>
      <c r="G16" s="434">
        <v>43867</v>
      </c>
      <c r="H16" s="385"/>
      <c r="I16" s="385"/>
      <c r="J16" s="385"/>
      <c r="K16" s="385" t="s">
        <v>915</v>
      </c>
      <c r="L16" s="385"/>
      <c r="M16" s="385" t="s">
        <v>918</v>
      </c>
      <c r="N16" s="385"/>
      <c r="O16" s="385"/>
      <c r="P16" s="385"/>
      <c r="Q16" s="386">
        <v>61.43</v>
      </c>
      <c r="R16" s="385"/>
      <c r="S16" s="386">
        <f t="shared" si="0"/>
        <v>1542.99</v>
      </c>
      <c r="T16" s="203"/>
      <c r="U16" s="203"/>
      <c r="V16" s="203"/>
      <c r="W16" s="203"/>
      <c r="X16" s="203"/>
      <c r="Y16" s="203"/>
      <c r="Z16" s="203"/>
      <c r="AA16" s="203"/>
    </row>
    <row r="17" spans="1:27">
      <c r="A17" s="385"/>
      <c r="B17" s="385"/>
      <c r="C17" s="385"/>
      <c r="D17" s="385"/>
      <c r="E17" s="385" t="s">
        <v>798</v>
      </c>
      <c r="F17" s="385"/>
      <c r="G17" s="434">
        <v>43890</v>
      </c>
      <c r="H17" s="385"/>
      <c r="I17" s="385"/>
      <c r="J17" s="385"/>
      <c r="K17" s="385" t="s">
        <v>915</v>
      </c>
      <c r="L17" s="385"/>
      <c r="M17" s="385" t="s">
        <v>927</v>
      </c>
      <c r="N17" s="385"/>
      <c r="O17" s="385" t="s">
        <v>793</v>
      </c>
      <c r="P17" s="385"/>
      <c r="Q17" s="386">
        <v>1386.97</v>
      </c>
      <c r="R17" s="385"/>
      <c r="S17" s="386">
        <f t="shared" si="0"/>
        <v>2929.96</v>
      </c>
      <c r="T17" s="203"/>
      <c r="U17" s="203"/>
      <c r="V17" s="203"/>
      <c r="W17" s="203"/>
      <c r="X17" s="203"/>
      <c r="Y17" s="203"/>
      <c r="Z17" s="203"/>
      <c r="AA17" s="203"/>
    </row>
    <row r="18" spans="1:27">
      <c r="A18" s="385"/>
      <c r="B18" s="385"/>
      <c r="C18" s="385"/>
      <c r="D18" s="385"/>
      <c r="E18" s="385" t="s">
        <v>798</v>
      </c>
      <c r="F18" s="385"/>
      <c r="G18" s="434">
        <v>43890</v>
      </c>
      <c r="H18" s="385"/>
      <c r="I18" s="385"/>
      <c r="J18" s="385"/>
      <c r="K18" s="385" t="s">
        <v>915</v>
      </c>
      <c r="L18" s="385"/>
      <c r="M18" s="385" t="s">
        <v>928</v>
      </c>
      <c r="N18" s="385"/>
      <c r="O18" s="385" t="s">
        <v>793</v>
      </c>
      <c r="P18" s="385"/>
      <c r="Q18" s="386">
        <v>639.04999999999995</v>
      </c>
      <c r="R18" s="385"/>
      <c r="S18" s="386">
        <f t="shared" si="0"/>
        <v>3569.01</v>
      </c>
      <c r="T18" s="203"/>
      <c r="U18" s="203"/>
      <c r="V18" s="203"/>
      <c r="W18" s="203"/>
      <c r="X18" s="203"/>
      <c r="Y18" s="203"/>
      <c r="Z18" s="203"/>
      <c r="AA18" s="203"/>
    </row>
    <row r="19" spans="1:27">
      <c r="A19" s="385"/>
      <c r="B19" s="385"/>
      <c r="C19" s="385"/>
      <c r="D19" s="385"/>
      <c r="E19" s="385" t="s">
        <v>798</v>
      </c>
      <c r="F19" s="385"/>
      <c r="G19" s="434">
        <v>43890</v>
      </c>
      <c r="H19" s="385"/>
      <c r="I19" s="385"/>
      <c r="J19" s="385"/>
      <c r="K19" s="385" t="s">
        <v>915</v>
      </c>
      <c r="L19" s="385"/>
      <c r="M19" s="385" t="s">
        <v>929</v>
      </c>
      <c r="N19" s="385"/>
      <c r="O19" s="385"/>
      <c r="P19" s="385"/>
      <c r="Q19" s="386"/>
      <c r="R19" s="385"/>
      <c r="S19" s="386">
        <f t="shared" si="0"/>
        <v>3569.01</v>
      </c>
      <c r="T19" s="203"/>
      <c r="U19" s="203"/>
      <c r="V19" s="203"/>
      <c r="W19" s="203"/>
      <c r="X19" s="203"/>
      <c r="Y19" s="203"/>
      <c r="Z19" s="203"/>
      <c r="AA19" s="203"/>
    </row>
    <row r="20" spans="1:27">
      <c r="A20" s="385"/>
      <c r="B20" s="385"/>
      <c r="C20" s="385"/>
      <c r="D20" s="385"/>
      <c r="E20" s="385" t="s">
        <v>818</v>
      </c>
      <c r="F20" s="385"/>
      <c r="G20" s="434">
        <v>43890</v>
      </c>
      <c r="H20" s="385"/>
      <c r="I20" s="385" t="s">
        <v>922</v>
      </c>
      <c r="J20" s="385"/>
      <c r="K20" s="385" t="s">
        <v>923</v>
      </c>
      <c r="L20" s="385"/>
      <c r="M20" s="385" t="s">
        <v>924</v>
      </c>
      <c r="N20" s="385"/>
      <c r="O20" s="385" t="s">
        <v>793</v>
      </c>
      <c r="P20" s="385"/>
      <c r="Q20" s="386">
        <v>129.91999999999999</v>
      </c>
      <c r="R20" s="385"/>
      <c r="S20" s="386">
        <f t="shared" si="0"/>
        <v>3698.93</v>
      </c>
      <c r="T20" s="203"/>
      <c r="U20" s="203"/>
      <c r="V20" s="203"/>
      <c r="W20" s="203"/>
      <c r="X20" s="203"/>
      <c r="Y20" s="203"/>
      <c r="Z20" s="203"/>
      <c r="AA20" s="203"/>
    </row>
    <row r="21" spans="1:27">
      <c r="A21" s="385"/>
      <c r="B21" s="385"/>
      <c r="C21" s="385"/>
      <c r="D21" s="385"/>
      <c r="E21" s="385" t="s">
        <v>798</v>
      </c>
      <c r="F21" s="385"/>
      <c r="G21" s="434">
        <v>43892</v>
      </c>
      <c r="H21" s="385"/>
      <c r="I21" s="385"/>
      <c r="J21" s="385"/>
      <c r="K21" s="385" t="s">
        <v>915</v>
      </c>
      <c r="L21" s="385"/>
      <c r="M21" s="385" t="s">
        <v>927</v>
      </c>
      <c r="N21" s="385"/>
      <c r="O21" s="385" t="s">
        <v>793</v>
      </c>
      <c r="P21" s="385"/>
      <c r="Q21" s="386"/>
      <c r="R21" s="385"/>
      <c r="S21" s="386">
        <f t="shared" si="0"/>
        <v>3698.93</v>
      </c>
      <c r="T21" s="203"/>
      <c r="U21" s="203"/>
      <c r="V21" s="203"/>
      <c r="W21" s="203"/>
      <c r="X21" s="203"/>
      <c r="Y21" s="203"/>
      <c r="Z21" s="203"/>
      <c r="AA21" s="203"/>
    </row>
    <row r="22" spans="1:27">
      <c r="A22" s="385"/>
      <c r="B22" s="385"/>
      <c r="C22" s="385"/>
      <c r="D22" s="385"/>
      <c r="E22" s="385" t="s">
        <v>798</v>
      </c>
      <c r="F22" s="385"/>
      <c r="G22" s="434">
        <v>43892</v>
      </c>
      <c r="H22" s="385"/>
      <c r="I22" s="385"/>
      <c r="J22" s="385"/>
      <c r="K22" s="385" t="s">
        <v>915</v>
      </c>
      <c r="L22" s="385"/>
      <c r="M22" s="385" t="s">
        <v>928</v>
      </c>
      <c r="N22" s="385"/>
      <c r="O22" s="385" t="s">
        <v>793</v>
      </c>
      <c r="P22" s="385"/>
      <c r="Q22" s="386"/>
      <c r="R22" s="385"/>
      <c r="S22" s="386">
        <f t="shared" si="0"/>
        <v>3698.93</v>
      </c>
      <c r="T22" s="203"/>
      <c r="U22" s="203"/>
      <c r="V22" s="203"/>
      <c r="W22" s="203"/>
      <c r="X22" s="203"/>
      <c r="Y22" s="203"/>
      <c r="Z22" s="203"/>
      <c r="AA22" s="203"/>
    </row>
    <row r="23" spans="1:27">
      <c r="A23" s="385"/>
      <c r="B23" s="385"/>
      <c r="C23" s="385"/>
      <c r="D23" s="385"/>
      <c r="E23" s="385" t="s">
        <v>798</v>
      </c>
      <c r="F23" s="385"/>
      <c r="G23" s="434">
        <v>43892</v>
      </c>
      <c r="H23" s="385"/>
      <c r="I23" s="385"/>
      <c r="J23" s="385"/>
      <c r="K23" s="385" t="s">
        <v>915</v>
      </c>
      <c r="L23" s="385"/>
      <c r="M23" s="385" t="s">
        <v>929</v>
      </c>
      <c r="N23" s="385"/>
      <c r="O23" s="385"/>
      <c r="P23" s="385"/>
      <c r="Q23" s="386">
        <v>44.2</v>
      </c>
      <c r="R23" s="385"/>
      <c r="S23" s="386">
        <f t="shared" si="0"/>
        <v>3743.13</v>
      </c>
      <c r="T23" s="203"/>
      <c r="U23" s="203"/>
      <c r="V23" s="203"/>
      <c r="W23" s="203"/>
      <c r="X23" s="203"/>
      <c r="Y23" s="203"/>
      <c r="Z23" s="203"/>
      <c r="AA23" s="203"/>
    </row>
    <row r="24" spans="1:27">
      <c r="A24" s="385"/>
      <c r="B24" s="385"/>
      <c r="C24" s="385"/>
      <c r="D24" s="385"/>
      <c r="E24" s="385" t="s">
        <v>798</v>
      </c>
      <c r="F24" s="385"/>
      <c r="G24" s="434">
        <v>43917</v>
      </c>
      <c r="H24" s="385"/>
      <c r="I24" s="385"/>
      <c r="J24" s="385"/>
      <c r="K24" s="385" t="s">
        <v>915</v>
      </c>
      <c r="L24" s="385"/>
      <c r="M24" s="385" t="s">
        <v>927</v>
      </c>
      <c r="N24" s="385"/>
      <c r="O24" s="385" t="s">
        <v>793</v>
      </c>
      <c r="P24" s="385"/>
      <c r="Q24" s="386"/>
      <c r="R24" s="385"/>
      <c r="S24" s="386">
        <f t="shared" si="0"/>
        <v>3743.13</v>
      </c>
      <c r="T24" s="203"/>
      <c r="U24" s="203"/>
      <c r="V24" s="203"/>
      <c r="W24" s="203"/>
      <c r="X24" s="203"/>
      <c r="Y24" s="203"/>
      <c r="Z24" s="203"/>
      <c r="AA24" s="203"/>
    </row>
    <row r="25" spans="1:27">
      <c r="A25" s="385"/>
      <c r="B25" s="385"/>
      <c r="C25" s="385"/>
      <c r="D25" s="385"/>
      <c r="E25" s="385" t="s">
        <v>798</v>
      </c>
      <c r="F25" s="385"/>
      <c r="G25" s="434">
        <v>43917</v>
      </c>
      <c r="H25" s="385"/>
      <c r="I25" s="385"/>
      <c r="J25" s="385"/>
      <c r="K25" s="385" t="s">
        <v>915</v>
      </c>
      <c r="L25" s="385"/>
      <c r="M25" s="385" t="s">
        <v>928</v>
      </c>
      <c r="N25" s="385"/>
      <c r="O25" s="385" t="s">
        <v>793</v>
      </c>
      <c r="P25" s="385"/>
      <c r="Q25" s="386"/>
      <c r="R25" s="385"/>
      <c r="S25" s="386">
        <f t="shared" si="0"/>
        <v>3743.13</v>
      </c>
      <c r="T25" s="203"/>
      <c r="U25" s="203"/>
      <c r="V25" s="203"/>
      <c r="W25" s="203"/>
      <c r="X25" s="203"/>
      <c r="Y25" s="203"/>
      <c r="Z25" s="203"/>
      <c r="AA25" s="203"/>
    </row>
    <row r="26" spans="1:27">
      <c r="A26" s="385"/>
      <c r="B26" s="385"/>
      <c r="C26" s="385"/>
      <c r="D26" s="385"/>
      <c r="E26" s="385" t="s">
        <v>798</v>
      </c>
      <c r="F26" s="385"/>
      <c r="G26" s="434">
        <v>43917</v>
      </c>
      <c r="H26" s="385"/>
      <c r="I26" s="385"/>
      <c r="J26" s="385"/>
      <c r="K26" s="385" t="s">
        <v>915</v>
      </c>
      <c r="L26" s="385"/>
      <c r="M26" s="385" t="s">
        <v>930</v>
      </c>
      <c r="N26" s="385"/>
      <c r="O26" s="385"/>
      <c r="P26" s="385"/>
      <c r="Q26" s="386">
        <v>30.44</v>
      </c>
      <c r="R26" s="385"/>
      <c r="S26" s="386">
        <f t="shared" si="0"/>
        <v>3773.57</v>
      </c>
      <c r="T26" s="203"/>
      <c r="U26" s="203"/>
      <c r="V26" s="203"/>
      <c r="W26" s="203"/>
      <c r="X26" s="203"/>
      <c r="Y26" s="203"/>
      <c r="Z26" s="203"/>
      <c r="AA26" s="203"/>
    </row>
    <row r="27" spans="1:27">
      <c r="A27" s="385"/>
      <c r="B27" s="385"/>
      <c r="C27" s="385"/>
      <c r="D27" s="385"/>
      <c r="E27" s="385" t="s">
        <v>798</v>
      </c>
      <c r="F27" s="385"/>
      <c r="G27" s="434">
        <v>43921</v>
      </c>
      <c r="H27" s="385"/>
      <c r="I27" s="385"/>
      <c r="J27" s="385"/>
      <c r="K27" s="385" t="s">
        <v>915</v>
      </c>
      <c r="L27" s="385"/>
      <c r="M27" s="385" t="s">
        <v>931</v>
      </c>
      <c r="N27" s="385"/>
      <c r="O27" s="385" t="s">
        <v>793</v>
      </c>
      <c r="P27" s="385"/>
      <c r="Q27" s="386">
        <v>457.68</v>
      </c>
      <c r="R27" s="385"/>
      <c r="S27" s="386">
        <f t="shared" si="0"/>
        <v>4231.25</v>
      </c>
      <c r="T27" s="203"/>
      <c r="U27" s="203"/>
      <c r="V27" s="203"/>
      <c r="W27" s="203"/>
      <c r="X27" s="203"/>
      <c r="Y27" s="203"/>
      <c r="Z27" s="203"/>
      <c r="AA27" s="203"/>
    </row>
    <row r="28" spans="1:27">
      <c r="A28" s="385"/>
      <c r="B28" s="385"/>
      <c r="C28" s="385"/>
      <c r="D28" s="385"/>
      <c r="E28" s="385" t="s">
        <v>798</v>
      </c>
      <c r="F28" s="385"/>
      <c r="G28" s="434">
        <v>43921</v>
      </c>
      <c r="H28" s="385"/>
      <c r="I28" s="385"/>
      <c r="J28" s="385"/>
      <c r="K28" s="385" t="s">
        <v>915</v>
      </c>
      <c r="L28" s="385"/>
      <c r="M28" s="385" t="s">
        <v>932</v>
      </c>
      <c r="N28" s="385"/>
      <c r="O28" s="385" t="s">
        <v>793</v>
      </c>
      <c r="P28" s="385"/>
      <c r="Q28" s="386">
        <v>330.55</v>
      </c>
      <c r="R28" s="385"/>
      <c r="S28" s="386">
        <f t="shared" si="0"/>
        <v>4561.8</v>
      </c>
      <c r="T28" s="203"/>
      <c r="U28" s="203"/>
      <c r="V28" s="203"/>
      <c r="W28" s="203"/>
      <c r="X28" s="203"/>
      <c r="Y28" s="203"/>
      <c r="Z28" s="203"/>
      <c r="AA28" s="203"/>
    </row>
    <row r="29" spans="1:27">
      <c r="A29" s="385"/>
      <c r="B29" s="385"/>
      <c r="C29" s="385"/>
      <c r="D29" s="385"/>
      <c r="E29" s="385" t="s">
        <v>798</v>
      </c>
      <c r="F29" s="385"/>
      <c r="G29" s="434">
        <v>43921</v>
      </c>
      <c r="H29" s="385"/>
      <c r="I29" s="385"/>
      <c r="J29" s="385"/>
      <c r="K29" s="385" t="s">
        <v>915</v>
      </c>
      <c r="L29" s="385"/>
      <c r="M29" s="385" t="s">
        <v>930</v>
      </c>
      <c r="N29" s="385"/>
      <c r="O29" s="385"/>
      <c r="P29" s="385"/>
      <c r="Q29" s="386">
        <v>0</v>
      </c>
      <c r="R29" s="385"/>
      <c r="S29" s="386">
        <f t="shared" si="0"/>
        <v>4561.8</v>
      </c>
      <c r="T29" s="203"/>
      <c r="U29" s="203"/>
      <c r="V29" s="203"/>
      <c r="W29" s="203"/>
      <c r="X29" s="203"/>
      <c r="Y29" s="203"/>
      <c r="Z29" s="203"/>
      <c r="AA29" s="203"/>
    </row>
    <row r="30" spans="1:27">
      <c r="A30" s="385"/>
      <c r="B30" s="385"/>
      <c r="C30" s="385"/>
      <c r="D30" s="385"/>
      <c r="E30" s="385" t="s">
        <v>818</v>
      </c>
      <c r="F30" s="385"/>
      <c r="G30" s="434">
        <v>43921</v>
      </c>
      <c r="H30" s="385"/>
      <c r="I30" s="385" t="s">
        <v>922</v>
      </c>
      <c r="J30" s="385"/>
      <c r="K30" s="385" t="s">
        <v>923</v>
      </c>
      <c r="L30" s="385"/>
      <c r="M30" s="385" t="s">
        <v>924</v>
      </c>
      <c r="N30" s="385"/>
      <c r="O30" s="385" t="s">
        <v>793</v>
      </c>
      <c r="P30" s="385"/>
      <c r="Q30" s="386">
        <v>24.36</v>
      </c>
      <c r="R30" s="385"/>
      <c r="S30" s="386">
        <f t="shared" si="0"/>
        <v>4586.16</v>
      </c>
      <c r="T30" s="203"/>
      <c r="U30" s="203"/>
      <c r="V30" s="203"/>
      <c r="W30" s="203"/>
      <c r="X30" s="203"/>
      <c r="Y30" s="203"/>
      <c r="Z30" s="203"/>
      <c r="AA30" s="203"/>
    </row>
    <row r="31" spans="1:27">
      <c r="A31" s="385"/>
      <c r="B31" s="385"/>
      <c r="C31" s="385"/>
      <c r="D31" s="385"/>
      <c r="E31" s="385" t="s">
        <v>798</v>
      </c>
      <c r="F31" s="385"/>
      <c r="G31" s="434">
        <v>43951</v>
      </c>
      <c r="H31" s="385"/>
      <c r="I31" s="385"/>
      <c r="J31" s="385"/>
      <c r="K31" s="385" t="s">
        <v>915</v>
      </c>
      <c r="L31" s="385"/>
      <c r="M31" s="385" t="s">
        <v>933</v>
      </c>
      <c r="N31" s="385"/>
      <c r="O31" s="385" t="s">
        <v>793</v>
      </c>
      <c r="P31" s="385"/>
      <c r="Q31" s="386">
        <v>411.13</v>
      </c>
      <c r="R31" s="385"/>
      <c r="S31" s="386">
        <f t="shared" si="0"/>
        <v>4997.29</v>
      </c>
      <c r="T31" s="203"/>
      <c r="U31" s="203"/>
      <c r="V31" s="203"/>
      <c r="W31" s="203"/>
      <c r="X31" s="203"/>
      <c r="Y31" s="203"/>
      <c r="Z31" s="203"/>
      <c r="AA31" s="203"/>
    </row>
    <row r="32" spans="1:27">
      <c r="A32" s="385"/>
      <c r="B32" s="385"/>
      <c r="C32" s="385"/>
      <c r="D32" s="385"/>
      <c r="E32" s="385" t="s">
        <v>798</v>
      </c>
      <c r="F32" s="385"/>
      <c r="G32" s="434">
        <v>43951</v>
      </c>
      <c r="H32" s="385"/>
      <c r="I32" s="385"/>
      <c r="J32" s="385"/>
      <c r="K32" s="385" t="s">
        <v>915</v>
      </c>
      <c r="L32" s="385"/>
      <c r="M32" s="385" t="s">
        <v>934</v>
      </c>
      <c r="N32" s="385"/>
      <c r="O32" s="385" t="s">
        <v>793</v>
      </c>
      <c r="P32" s="385"/>
      <c r="Q32" s="386">
        <v>465.53</v>
      </c>
      <c r="R32" s="385"/>
      <c r="S32" s="386">
        <f t="shared" si="0"/>
        <v>5462.82</v>
      </c>
      <c r="T32" s="203"/>
      <c r="U32" s="203"/>
      <c r="V32" s="203"/>
      <c r="W32" s="203"/>
      <c r="X32" s="203"/>
      <c r="Y32" s="203"/>
      <c r="Z32" s="203"/>
      <c r="AA32" s="203"/>
    </row>
    <row r="33" spans="1:27">
      <c r="A33" s="385"/>
      <c r="B33" s="385"/>
      <c r="C33" s="385"/>
      <c r="D33" s="385"/>
      <c r="E33" s="385" t="s">
        <v>798</v>
      </c>
      <c r="F33" s="385"/>
      <c r="G33" s="434">
        <v>43951</v>
      </c>
      <c r="H33" s="385"/>
      <c r="I33" s="385"/>
      <c r="J33" s="385"/>
      <c r="K33" s="385" t="s">
        <v>915</v>
      </c>
      <c r="L33" s="385"/>
      <c r="M33" s="385" t="s">
        <v>930</v>
      </c>
      <c r="N33" s="385"/>
      <c r="O33" s="385"/>
      <c r="P33" s="385"/>
      <c r="Q33" s="386">
        <v>0</v>
      </c>
      <c r="R33" s="385"/>
      <c r="S33" s="386">
        <f t="shared" si="0"/>
        <v>5462.82</v>
      </c>
      <c r="T33" s="203"/>
      <c r="U33" s="203"/>
      <c r="V33" s="203"/>
      <c r="W33" s="203"/>
      <c r="X33" s="203"/>
      <c r="Y33" s="203"/>
      <c r="Z33" s="203"/>
      <c r="AA33" s="203"/>
    </row>
    <row r="34" spans="1:27">
      <c r="A34" s="385"/>
      <c r="B34" s="385"/>
      <c r="C34" s="385"/>
      <c r="D34" s="385"/>
      <c r="E34" s="385" t="s">
        <v>798</v>
      </c>
      <c r="F34" s="385"/>
      <c r="G34" s="434">
        <v>43951</v>
      </c>
      <c r="H34" s="385"/>
      <c r="I34" s="385"/>
      <c r="J34" s="385"/>
      <c r="K34" s="385" t="s">
        <v>915</v>
      </c>
      <c r="L34" s="385"/>
      <c r="M34" s="385" t="s">
        <v>933</v>
      </c>
      <c r="N34" s="385"/>
      <c r="O34" s="385" t="s">
        <v>793</v>
      </c>
      <c r="P34" s="385"/>
      <c r="Q34" s="386">
        <v>0</v>
      </c>
      <c r="R34" s="385"/>
      <c r="S34" s="386">
        <f t="shared" si="0"/>
        <v>5462.82</v>
      </c>
      <c r="T34" s="203"/>
      <c r="U34" s="203"/>
      <c r="V34" s="203"/>
      <c r="W34" s="203"/>
      <c r="X34" s="203"/>
      <c r="Y34" s="203"/>
      <c r="Z34" s="203"/>
      <c r="AA34" s="203"/>
    </row>
    <row r="35" spans="1:27">
      <c r="A35" s="385"/>
      <c r="B35" s="385"/>
      <c r="C35" s="385"/>
      <c r="D35" s="385"/>
      <c r="E35" s="385" t="s">
        <v>798</v>
      </c>
      <c r="F35" s="385"/>
      <c r="G35" s="434">
        <v>43951</v>
      </c>
      <c r="H35" s="385"/>
      <c r="I35" s="385"/>
      <c r="J35" s="385"/>
      <c r="K35" s="385" t="s">
        <v>915</v>
      </c>
      <c r="L35" s="385"/>
      <c r="M35" s="385" t="s">
        <v>934</v>
      </c>
      <c r="N35" s="385"/>
      <c r="O35" s="385" t="s">
        <v>793</v>
      </c>
      <c r="P35" s="385"/>
      <c r="Q35" s="386">
        <v>0</v>
      </c>
      <c r="R35" s="385"/>
      <c r="S35" s="386">
        <f t="shared" si="0"/>
        <v>5462.82</v>
      </c>
      <c r="T35" s="203"/>
      <c r="U35" s="203"/>
      <c r="V35" s="203"/>
      <c r="W35" s="203"/>
      <c r="X35" s="203"/>
      <c r="Y35" s="203"/>
      <c r="Z35" s="203"/>
      <c r="AA35" s="203"/>
    </row>
    <row r="36" spans="1:27">
      <c r="A36" s="385"/>
      <c r="B36" s="385"/>
      <c r="C36" s="385"/>
      <c r="D36" s="385"/>
      <c r="E36" s="385" t="s">
        <v>798</v>
      </c>
      <c r="F36" s="385"/>
      <c r="G36" s="434">
        <v>43951</v>
      </c>
      <c r="H36" s="385"/>
      <c r="I36" s="385"/>
      <c r="J36" s="385"/>
      <c r="K36" s="385" t="s">
        <v>915</v>
      </c>
      <c r="L36" s="385"/>
      <c r="M36" s="385" t="s">
        <v>930</v>
      </c>
      <c r="N36" s="385"/>
      <c r="O36" s="385"/>
      <c r="P36" s="385"/>
      <c r="Q36" s="386">
        <v>0</v>
      </c>
      <c r="R36" s="385"/>
      <c r="S36" s="386">
        <f t="shared" si="0"/>
        <v>5462.82</v>
      </c>
      <c r="T36" s="203"/>
      <c r="U36" s="203"/>
      <c r="V36" s="203"/>
      <c r="W36" s="203"/>
      <c r="X36" s="203"/>
      <c r="Y36" s="203"/>
      <c r="Z36" s="203"/>
      <c r="AA36" s="203"/>
    </row>
    <row r="37" spans="1:27">
      <c r="A37" s="385"/>
      <c r="B37" s="385"/>
      <c r="C37" s="385"/>
      <c r="D37" s="385"/>
      <c r="E37" s="385" t="s">
        <v>798</v>
      </c>
      <c r="F37" s="385"/>
      <c r="G37" s="434">
        <v>43951</v>
      </c>
      <c r="H37" s="385"/>
      <c r="I37" s="385"/>
      <c r="J37" s="385"/>
      <c r="K37" s="385" t="s">
        <v>915</v>
      </c>
      <c r="L37" s="385"/>
      <c r="M37" s="385" t="s">
        <v>935</v>
      </c>
      <c r="N37" s="385"/>
      <c r="O37" s="385"/>
      <c r="P37" s="385"/>
      <c r="Q37" s="386">
        <v>40.590000000000003</v>
      </c>
      <c r="R37" s="385"/>
      <c r="S37" s="386">
        <f t="shared" si="0"/>
        <v>5503.41</v>
      </c>
      <c r="T37" s="203"/>
      <c r="U37" s="203"/>
      <c r="V37" s="203"/>
      <c r="W37" s="203"/>
      <c r="X37" s="203"/>
      <c r="Y37" s="203"/>
      <c r="Z37" s="203"/>
      <c r="AA37" s="203"/>
    </row>
    <row r="38" spans="1:27">
      <c r="A38" s="385"/>
      <c r="B38" s="385"/>
      <c r="C38" s="385"/>
      <c r="D38" s="385"/>
      <c r="E38" s="385" t="s">
        <v>818</v>
      </c>
      <c r="F38" s="385"/>
      <c r="G38" s="434">
        <v>43951</v>
      </c>
      <c r="H38" s="385"/>
      <c r="I38" s="385" t="s">
        <v>922</v>
      </c>
      <c r="J38" s="385"/>
      <c r="K38" s="385" t="s">
        <v>923</v>
      </c>
      <c r="L38" s="385"/>
      <c r="M38" s="385" t="s">
        <v>924</v>
      </c>
      <c r="N38" s="385"/>
      <c r="O38" s="385" t="s">
        <v>793</v>
      </c>
      <c r="P38" s="385"/>
      <c r="Q38" s="386">
        <v>17.54</v>
      </c>
      <c r="R38" s="385"/>
      <c r="S38" s="386">
        <f t="shared" si="0"/>
        <v>5520.95</v>
      </c>
      <c r="T38" s="203"/>
      <c r="U38" s="203"/>
      <c r="V38" s="203"/>
      <c r="W38" s="203"/>
      <c r="X38" s="203"/>
      <c r="Y38" s="203"/>
      <c r="Z38" s="203"/>
      <c r="AA38" s="203"/>
    </row>
    <row r="39" spans="1:27">
      <c r="A39" s="385"/>
      <c r="B39" s="385"/>
      <c r="C39" s="385"/>
      <c r="D39" s="385"/>
      <c r="E39" s="385" t="s">
        <v>818</v>
      </c>
      <c r="F39" s="385"/>
      <c r="G39" s="434">
        <v>43982</v>
      </c>
      <c r="H39" s="385"/>
      <c r="I39" s="385" t="s">
        <v>922</v>
      </c>
      <c r="J39" s="385"/>
      <c r="K39" s="385" t="s">
        <v>923</v>
      </c>
      <c r="L39" s="385"/>
      <c r="M39" s="385" t="s">
        <v>924</v>
      </c>
      <c r="N39" s="385"/>
      <c r="O39" s="385" t="s">
        <v>793</v>
      </c>
      <c r="P39" s="385"/>
      <c r="Q39" s="386">
        <v>135.54</v>
      </c>
      <c r="R39" s="385"/>
      <c r="S39" s="386">
        <f t="shared" si="0"/>
        <v>5656.49</v>
      </c>
      <c r="T39" s="203"/>
      <c r="U39" s="203"/>
      <c r="V39" s="203"/>
      <c r="W39" s="203"/>
      <c r="X39" s="203"/>
      <c r="Y39" s="203"/>
      <c r="Z39" s="203"/>
      <c r="AA39" s="203"/>
    </row>
    <row r="40" spans="1:27">
      <c r="A40" s="385"/>
      <c r="B40" s="385"/>
      <c r="C40" s="385"/>
      <c r="D40" s="385"/>
      <c r="E40" s="385" t="s">
        <v>798</v>
      </c>
      <c r="F40" s="385"/>
      <c r="G40" s="434">
        <v>43982</v>
      </c>
      <c r="H40" s="385"/>
      <c r="I40" s="385"/>
      <c r="J40" s="385"/>
      <c r="K40" s="385" t="s">
        <v>915</v>
      </c>
      <c r="L40" s="385"/>
      <c r="M40" s="385" t="s">
        <v>936</v>
      </c>
      <c r="N40" s="385"/>
      <c r="O40" s="385" t="s">
        <v>793</v>
      </c>
      <c r="P40" s="385"/>
      <c r="Q40" s="386">
        <v>1824.56</v>
      </c>
      <c r="R40" s="385"/>
      <c r="S40" s="386">
        <f t="shared" si="0"/>
        <v>7481.05</v>
      </c>
      <c r="T40" s="203"/>
      <c r="U40" s="203"/>
      <c r="V40" s="203"/>
      <c r="W40" s="203"/>
      <c r="X40" s="203"/>
      <c r="Y40" s="203"/>
      <c r="Z40" s="203"/>
      <c r="AA40" s="203"/>
    </row>
    <row r="41" spans="1:27">
      <c r="A41" s="385"/>
      <c r="B41" s="385"/>
      <c r="C41" s="385"/>
      <c r="D41" s="385"/>
      <c r="E41" s="385" t="s">
        <v>798</v>
      </c>
      <c r="F41" s="385"/>
      <c r="G41" s="434">
        <v>43982</v>
      </c>
      <c r="H41" s="385"/>
      <c r="I41" s="385"/>
      <c r="J41" s="385"/>
      <c r="K41" s="385" t="s">
        <v>915</v>
      </c>
      <c r="L41" s="385"/>
      <c r="M41" s="385" t="s">
        <v>937</v>
      </c>
      <c r="N41" s="385"/>
      <c r="O41" s="385" t="s">
        <v>793</v>
      </c>
      <c r="P41" s="385"/>
      <c r="Q41" s="386">
        <v>630.94000000000005</v>
      </c>
      <c r="R41" s="385"/>
      <c r="S41" s="386">
        <f t="shared" si="0"/>
        <v>8111.99</v>
      </c>
      <c r="T41" s="203"/>
      <c r="U41" s="203"/>
      <c r="V41" s="203"/>
      <c r="W41" s="203"/>
      <c r="X41" s="203"/>
      <c r="Y41" s="203"/>
      <c r="Z41" s="203"/>
      <c r="AA41" s="203"/>
    </row>
    <row r="42" spans="1:27">
      <c r="A42" s="385"/>
      <c r="B42" s="385"/>
      <c r="C42" s="385"/>
      <c r="D42" s="385"/>
      <c r="E42" s="385" t="s">
        <v>798</v>
      </c>
      <c r="F42" s="385"/>
      <c r="G42" s="434">
        <v>43982</v>
      </c>
      <c r="H42" s="385"/>
      <c r="I42" s="385"/>
      <c r="J42" s="385"/>
      <c r="K42" s="385" t="s">
        <v>915</v>
      </c>
      <c r="L42" s="385"/>
      <c r="M42" s="385" t="s">
        <v>938</v>
      </c>
      <c r="N42" s="385"/>
      <c r="O42" s="385"/>
      <c r="P42" s="385"/>
      <c r="Q42" s="386">
        <v>0</v>
      </c>
      <c r="R42" s="385"/>
      <c r="S42" s="386">
        <f t="shared" si="0"/>
        <v>8111.99</v>
      </c>
      <c r="T42" s="203"/>
      <c r="U42" s="203"/>
      <c r="V42" s="203"/>
      <c r="W42" s="203"/>
      <c r="X42" s="203"/>
      <c r="Y42" s="203"/>
      <c r="Z42" s="203"/>
      <c r="AA42" s="203"/>
    </row>
    <row r="43" spans="1:27">
      <c r="A43" s="385"/>
      <c r="B43" s="385"/>
      <c r="C43" s="385"/>
      <c r="D43" s="385"/>
      <c r="E43" s="385" t="s">
        <v>798</v>
      </c>
      <c r="F43" s="385"/>
      <c r="G43" s="434">
        <v>43983</v>
      </c>
      <c r="H43" s="385"/>
      <c r="I43" s="385"/>
      <c r="J43" s="385"/>
      <c r="K43" s="385" t="s">
        <v>915</v>
      </c>
      <c r="L43" s="385"/>
      <c r="M43" s="385" t="s">
        <v>939</v>
      </c>
      <c r="N43" s="385"/>
      <c r="O43" s="385" t="s">
        <v>793</v>
      </c>
      <c r="P43" s="385"/>
      <c r="Q43" s="386">
        <v>0</v>
      </c>
      <c r="R43" s="385"/>
      <c r="S43" s="386">
        <f t="shared" si="0"/>
        <v>8111.99</v>
      </c>
      <c r="T43" s="203"/>
      <c r="U43" s="203"/>
      <c r="V43" s="203"/>
      <c r="W43" s="203"/>
      <c r="X43" s="203"/>
      <c r="Y43" s="203"/>
      <c r="Z43" s="203"/>
      <c r="AA43" s="203"/>
    </row>
    <row r="44" spans="1:27">
      <c r="A44" s="385"/>
      <c r="B44" s="385"/>
      <c r="C44" s="385"/>
      <c r="D44" s="385"/>
      <c r="E44" s="385" t="s">
        <v>798</v>
      </c>
      <c r="F44" s="385"/>
      <c r="G44" s="434">
        <v>43983</v>
      </c>
      <c r="H44" s="385"/>
      <c r="I44" s="385"/>
      <c r="J44" s="385"/>
      <c r="K44" s="385" t="s">
        <v>915</v>
      </c>
      <c r="L44" s="385"/>
      <c r="M44" s="385" t="s">
        <v>940</v>
      </c>
      <c r="N44" s="385"/>
      <c r="O44" s="385" t="s">
        <v>793</v>
      </c>
      <c r="P44" s="385"/>
      <c r="Q44" s="386">
        <v>0</v>
      </c>
      <c r="R44" s="385"/>
      <c r="S44" s="386">
        <f t="shared" si="0"/>
        <v>8111.99</v>
      </c>
      <c r="T44" s="203"/>
      <c r="U44" s="203"/>
      <c r="V44" s="203"/>
      <c r="W44" s="203"/>
      <c r="X44" s="203"/>
      <c r="Y44" s="203"/>
      <c r="Z44" s="203"/>
      <c r="AA44" s="203"/>
    </row>
    <row r="45" spans="1:27">
      <c r="A45" s="385"/>
      <c r="B45" s="385"/>
      <c r="C45" s="385"/>
      <c r="D45" s="385"/>
      <c r="E45" s="385" t="s">
        <v>798</v>
      </c>
      <c r="F45" s="385"/>
      <c r="G45" s="434">
        <v>43983</v>
      </c>
      <c r="H45" s="385"/>
      <c r="I45" s="385"/>
      <c r="J45" s="385"/>
      <c r="K45" s="385" t="s">
        <v>915</v>
      </c>
      <c r="L45" s="385"/>
      <c r="M45" s="385" t="s">
        <v>938</v>
      </c>
      <c r="N45" s="385"/>
      <c r="O45" s="385"/>
      <c r="P45" s="385"/>
      <c r="Q45" s="386">
        <v>0</v>
      </c>
      <c r="R45" s="385"/>
      <c r="S45" s="386">
        <f t="shared" si="0"/>
        <v>8111.99</v>
      </c>
      <c r="T45" s="203"/>
      <c r="U45" s="203"/>
      <c r="V45" s="203"/>
      <c r="W45" s="203"/>
      <c r="X45" s="203"/>
      <c r="Y45" s="203"/>
      <c r="Z45" s="203"/>
      <c r="AA45" s="203"/>
    </row>
    <row r="46" spans="1:27">
      <c r="A46" s="385"/>
      <c r="B46" s="385"/>
      <c r="C46" s="385"/>
      <c r="D46" s="385"/>
      <c r="E46" s="385" t="s">
        <v>798</v>
      </c>
      <c r="F46" s="385"/>
      <c r="G46" s="434">
        <v>43983</v>
      </c>
      <c r="H46" s="385"/>
      <c r="I46" s="385"/>
      <c r="J46" s="385"/>
      <c r="K46" s="385" t="s">
        <v>915</v>
      </c>
      <c r="L46" s="385"/>
      <c r="M46" s="385" t="s">
        <v>941</v>
      </c>
      <c r="N46" s="385"/>
      <c r="O46" s="385"/>
      <c r="P46" s="385"/>
      <c r="Q46" s="386">
        <v>106.35</v>
      </c>
      <c r="R46" s="385"/>
      <c r="S46" s="386">
        <f t="shared" si="0"/>
        <v>8218.34</v>
      </c>
      <c r="T46" s="203"/>
      <c r="U46" s="203"/>
      <c r="V46" s="203"/>
      <c r="W46" s="203"/>
      <c r="X46" s="203"/>
      <c r="Y46" s="203"/>
      <c r="Z46" s="203"/>
      <c r="AA46" s="203"/>
    </row>
    <row r="47" spans="1:27">
      <c r="A47" s="385"/>
      <c r="B47" s="385"/>
      <c r="C47" s="385"/>
      <c r="D47" s="385"/>
      <c r="E47" s="385" t="s">
        <v>798</v>
      </c>
      <c r="F47" s="385"/>
      <c r="G47" s="434">
        <v>44011</v>
      </c>
      <c r="H47" s="385"/>
      <c r="I47" s="385"/>
      <c r="J47" s="385"/>
      <c r="K47" s="385" t="s">
        <v>915</v>
      </c>
      <c r="L47" s="385"/>
      <c r="M47" s="385" t="s">
        <v>939</v>
      </c>
      <c r="N47" s="385"/>
      <c r="O47" s="385" t="s">
        <v>793</v>
      </c>
      <c r="P47" s="385"/>
      <c r="Q47" s="386">
        <v>0</v>
      </c>
      <c r="R47" s="385"/>
      <c r="S47" s="386">
        <f t="shared" si="0"/>
        <v>8218.34</v>
      </c>
      <c r="T47" s="203"/>
      <c r="U47" s="203"/>
      <c r="V47" s="203"/>
      <c r="W47" s="203"/>
      <c r="X47" s="203"/>
      <c r="Y47" s="203"/>
      <c r="Z47" s="203"/>
      <c r="AA47" s="203"/>
    </row>
    <row r="48" spans="1:27">
      <c r="A48" s="385"/>
      <c r="B48" s="385"/>
      <c r="C48" s="385"/>
      <c r="D48" s="385"/>
      <c r="E48" s="385" t="s">
        <v>798</v>
      </c>
      <c r="F48" s="385"/>
      <c r="G48" s="434">
        <v>44011</v>
      </c>
      <c r="H48" s="385"/>
      <c r="I48" s="385"/>
      <c r="J48" s="385"/>
      <c r="K48" s="385" t="s">
        <v>915</v>
      </c>
      <c r="L48" s="385"/>
      <c r="M48" s="385" t="s">
        <v>940</v>
      </c>
      <c r="N48" s="385"/>
      <c r="O48" s="385" t="s">
        <v>793</v>
      </c>
      <c r="P48" s="385"/>
      <c r="Q48" s="386">
        <v>230.08</v>
      </c>
      <c r="R48" s="385"/>
      <c r="S48" s="386">
        <f t="shared" si="0"/>
        <v>8448.42</v>
      </c>
      <c r="T48" s="203"/>
      <c r="U48" s="203"/>
      <c r="V48" s="203"/>
      <c r="W48" s="203"/>
      <c r="X48" s="203"/>
      <c r="Y48" s="203"/>
      <c r="Z48" s="203"/>
      <c r="AA48" s="203"/>
    </row>
    <row r="49" spans="1:27">
      <c r="A49" s="385"/>
      <c r="B49" s="385"/>
      <c r="C49" s="385"/>
      <c r="D49" s="385"/>
      <c r="E49" s="385" t="s">
        <v>798</v>
      </c>
      <c r="F49" s="385"/>
      <c r="G49" s="434">
        <v>44011</v>
      </c>
      <c r="H49" s="385"/>
      <c r="I49" s="385"/>
      <c r="J49" s="385"/>
      <c r="K49" s="385" t="s">
        <v>915</v>
      </c>
      <c r="L49" s="385"/>
      <c r="M49" s="385" t="s">
        <v>938</v>
      </c>
      <c r="N49" s="385"/>
      <c r="O49" s="385"/>
      <c r="P49" s="385"/>
      <c r="Q49" s="386">
        <v>37.21</v>
      </c>
      <c r="R49" s="385"/>
      <c r="S49" s="386">
        <f t="shared" si="0"/>
        <v>8485.6299999999992</v>
      </c>
      <c r="T49" s="203"/>
      <c r="U49" s="203"/>
      <c r="V49" s="203"/>
      <c r="W49" s="203"/>
      <c r="X49" s="203"/>
      <c r="Y49" s="203"/>
      <c r="Z49" s="203"/>
      <c r="AA49" s="203"/>
    </row>
    <row r="50" spans="1:27">
      <c r="A50" s="385"/>
      <c r="B50" s="385"/>
      <c r="C50" s="385"/>
      <c r="D50" s="385"/>
      <c r="E50" s="385" t="s">
        <v>798</v>
      </c>
      <c r="F50" s="385"/>
      <c r="G50" s="434">
        <v>44012</v>
      </c>
      <c r="H50" s="385"/>
      <c r="I50" s="385"/>
      <c r="J50" s="385"/>
      <c r="K50" s="385" t="s">
        <v>915</v>
      </c>
      <c r="L50" s="385"/>
      <c r="M50" s="385" t="s">
        <v>939</v>
      </c>
      <c r="N50" s="385"/>
      <c r="O50" s="385" t="s">
        <v>793</v>
      </c>
      <c r="P50" s="385"/>
      <c r="Q50" s="386">
        <v>508.91</v>
      </c>
      <c r="R50" s="385"/>
      <c r="S50" s="386">
        <f t="shared" si="0"/>
        <v>8994.5400000000009</v>
      </c>
      <c r="T50" s="203"/>
      <c r="U50" s="203"/>
      <c r="V50" s="203"/>
      <c r="W50" s="203"/>
      <c r="X50" s="203"/>
      <c r="Y50" s="203"/>
      <c r="Z50" s="203"/>
      <c r="AA50" s="203"/>
    </row>
    <row r="51" spans="1:27">
      <c r="A51" s="385"/>
      <c r="B51" s="385"/>
      <c r="C51" s="385"/>
      <c r="D51" s="385"/>
      <c r="E51" s="385" t="s">
        <v>798</v>
      </c>
      <c r="F51" s="385"/>
      <c r="G51" s="434">
        <v>44012</v>
      </c>
      <c r="H51" s="385"/>
      <c r="I51" s="385"/>
      <c r="J51" s="385"/>
      <c r="K51" s="385" t="s">
        <v>915</v>
      </c>
      <c r="L51" s="385"/>
      <c r="M51" s="385" t="s">
        <v>940</v>
      </c>
      <c r="N51" s="385"/>
      <c r="O51" s="385" t="s">
        <v>793</v>
      </c>
      <c r="P51" s="385"/>
      <c r="Q51" s="386">
        <v>428.11</v>
      </c>
      <c r="R51" s="385"/>
      <c r="S51" s="386">
        <f t="shared" si="0"/>
        <v>9422.65</v>
      </c>
      <c r="T51" s="203"/>
      <c r="U51" s="203"/>
      <c r="V51" s="203"/>
      <c r="W51" s="203"/>
      <c r="X51" s="203"/>
      <c r="Y51" s="203"/>
      <c r="Z51" s="203"/>
      <c r="AA51" s="203"/>
    </row>
    <row r="52" spans="1:27">
      <c r="A52" s="385"/>
      <c r="B52" s="385"/>
      <c r="C52" s="385"/>
      <c r="D52" s="385"/>
      <c r="E52" s="385" t="s">
        <v>798</v>
      </c>
      <c r="F52" s="385"/>
      <c r="G52" s="434">
        <v>44012</v>
      </c>
      <c r="H52" s="385"/>
      <c r="I52" s="385"/>
      <c r="J52" s="385"/>
      <c r="K52" s="385" t="s">
        <v>915</v>
      </c>
      <c r="L52" s="385"/>
      <c r="M52" s="385" t="s">
        <v>938</v>
      </c>
      <c r="N52" s="385"/>
      <c r="O52" s="385"/>
      <c r="P52" s="385"/>
      <c r="Q52" s="386">
        <v>0</v>
      </c>
      <c r="R52" s="385"/>
      <c r="S52" s="386">
        <f t="shared" si="0"/>
        <v>9422.65</v>
      </c>
      <c r="T52" s="203"/>
      <c r="U52" s="203"/>
      <c r="V52" s="203"/>
      <c r="W52" s="203"/>
      <c r="X52" s="203"/>
      <c r="Y52" s="203"/>
      <c r="Z52" s="203"/>
      <c r="AA52" s="203"/>
    </row>
    <row r="53" spans="1:27">
      <c r="A53" s="385"/>
      <c r="B53" s="385"/>
      <c r="C53" s="385"/>
      <c r="D53" s="385"/>
      <c r="E53" s="385" t="s">
        <v>818</v>
      </c>
      <c r="F53" s="385"/>
      <c r="G53" s="434">
        <v>44012</v>
      </c>
      <c r="H53" s="385"/>
      <c r="I53" s="385" t="s">
        <v>922</v>
      </c>
      <c r="J53" s="385"/>
      <c r="K53" s="385" t="s">
        <v>923</v>
      </c>
      <c r="L53" s="385"/>
      <c r="M53" s="385" t="s">
        <v>924</v>
      </c>
      <c r="N53" s="385"/>
      <c r="O53" s="385" t="s">
        <v>793</v>
      </c>
      <c r="P53" s="385"/>
      <c r="Q53" s="386">
        <v>19.760000000000002</v>
      </c>
      <c r="R53" s="385"/>
      <c r="S53" s="386">
        <f t="shared" si="0"/>
        <v>9442.41</v>
      </c>
      <c r="T53" s="203"/>
      <c r="U53" s="203"/>
      <c r="V53" s="203"/>
      <c r="W53" s="203"/>
      <c r="X53" s="203"/>
      <c r="Y53" s="203"/>
      <c r="Z53" s="203"/>
      <c r="AA53" s="203"/>
    </row>
    <row r="54" spans="1:27">
      <c r="A54" s="385"/>
      <c r="B54" s="385"/>
      <c r="C54" s="385"/>
      <c r="D54" s="385"/>
      <c r="E54" s="385" t="s">
        <v>798</v>
      </c>
      <c r="F54" s="385"/>
      <c r="G54" s="434">
        <v>44042</v>
      </c>
      <c r="H54" s="385"/>
      <c r="I54" s="385"/>
      <c r="J54" s="385"/>
      <c r="K54" s="385" t="s">
        <v>915</v>
      </c>
      <c r="L54" s="385"/>
      <c r="M54" s="385" t="s">
        <v>942</v>
      </c>
      <c r="N54" s="385"/>
      <c r="O54" s="385" t="s">
        <v>793</v>
      </c>
      <c r="P54" s="385"/>
      <c r="Q54" s="386"/>
      <c r="R54" s="385"/>
      <c r="S54" s="386">
        <f t="shared" si="0"/>
        <v>9442.41</v>
      </c>
      <c r="T54" s="203"/>
      <c r="U54" s="203"/>
      <c r="V54" s="203"/>
      <c r="W54" s="203"/>
      <c r="X54" s="203"/>
      <c r="Y54" s="203"/>
      <c r="Z54" s="203"/>
      <c r="AA54" s="203"/>
    </row>
    <row r="55" spans="1:27">
      <c r="A55" s="385"/>
      <c r="B55" s="385"/>
      <c r="C55" s="385"/>
      <c r="D55" s="385"/>
      <c r="E55" s="385" t="s">
        <v>798</v>
      </c>
      <c r="F55" s="385"/>
      <c r="G55" s="434">
        <v>44042</v>
      </c>
      <c r="H55" s="385"/>
      <c r="I55" s="385"/>
      <c r="J55" s="385"/>
      <c r="K55" s="385" t="s">
        <v>915</v>
      </c>
      <c r="L55" s="385"/>
      <c r="M55" s="385" t="s">
        <v>943</v>
      </c>
      <c r="N55" s="385"/>
      <c r="O55" s="385" t="s">
        <v>793</v>
      </c>
      <c r="P55" s="385"/>
      <c r="Q55" s="386"/>
      <c r="R55" s="385"/>
      <c r="S55" s="386">
        <f t="shared" si="0"/>
        <v>9442.41</v>
      </c>
      <c r="T55" s="203"/>
      <c r="U55" s="203"/>
      <c r="V55" s="203"/>
      <c r="W55" s="203"/>
      <c r="X55" s="203"/>
      <c r="Y55" s="203"/>
      <c r="Z55" s="203"/>
      <c r="AA55" s="203"/>
    </row>
    <row r="56" spans="1:27">
      <c r="A56" s="385"/>
      <c r="B56" s="385"/>
      <c r="C56" s="385"/>
      <c r="D56" s="385"/>
      <c r="E56" s="385" t="s">
        <v>798</v>
      </c>
      <c r="F56" s="385"/>
      <c r="G56" s="434">
        <v>44042</v>
      </c>
      <c r="H56" s="385"/>
      <c r="I56" s="385"/>
      <c r="J56" s="385"/>
      <c r="K56" s="385" t="s">
        <v>915</v>
      </c>
      <c r="L56" s="385"/>
      <c r="M56" s="385" t="s">
        <v>944</v>
      </c>
      <c r="N56" s="385"/>
      <c r="O56" s="385"/>
      <c r="P56" s="385"/>
      <c r="Q56" s="386">
        <v>11.49</v>
      </c>
      <c r="R56" s="385"/>
      <c r="S56" s="386">
        <f t="shared" si="0"/>
        <v>9453.9</v>
      </c>
      <c r="T56" s="203"/>
      <c r="U56" s="203"/>
      <c r="V56" s="203"/>
      <c r="W56" s="203"/>
      <c r="X56" s="203"/>
      <c r="Y56" s="203"/>
      <c r="Z56" s="203"/>
      <c r="AA56" s="203"/>
    </row>
    <row r="57" spans="1:27">
      <c r="A57" s="385"/>
      <c r="B57" s="385"/>
      <c r="C57" s="385"/>
      <c r="D57" s="385"/>
      <c r="E57" s="385" t="s">
        <v>798</v>
      </c>
      <c r="F57" s="385"/>
      <c r="G57" s="434">
        <v>44043</v>
      </c>
      <c r="H57" s="385"/>
      <c r="I57" s="385"/>
      <c r="J57" s="385"/>
      <c r="K57" s="385" t="s">
        <v>915</v>
      </c>
      <c r="L57" s="385"/>
      <c r="M57" s="385" t="s">
        <v>942</v>
      </c>
      <c r="N57" s="385"/>
      <c r="O57" s="385" t="s">
        <v>793</v>
      </c>
      <c r="P57" s="385"/>
      <c r="Q57" s="386">
        <v>452.8</v>
      </c>
      <c r="R57" s="385"/>
      <c r="S57" s="386">
        <f t="shared" si="0"/>
        <v>9906.7000000000007</v>
      </c>
      <c r="T57" s="203"/>
      <c r="U57" s="203"/>
      <c r="V57" s="203"/>
      <c r="W57" s="203"/>
      <c r="X57" s="203"/>
      <c r="Y57" s="203"/>
      <c r="Z57" s="203"/>
      <c r="AA57" s="203"/>
    </row>
    <row r="58" spans="1:27">
      <c r="A58" s="385"/>
      <c r="B58" s="385"/>
      <c r="C58" s="385"/>
      <c r="D58" s="385"/>
      <c r="E58" s="385" t="s">
        <v>798</v>
      </c>
      <c r="F58" s="385"/>
      <c r="G58" s="434">
        <v>44043</v>
      </c>
      <c r="H58" s="385"/>
      <c r="I58" s="385"/>
      <c r="J58" s="385"/>
      <c r="K58" s="385" t="s">
        <v>915</v>
      </c>
      <c r="L58" s="385"/>
      <c r="M58" s="385" t="s">
        <v>943</v>
      </c>
      <c r="N58" s="385"/>
      <c r="O58" s="385" t="s">
        <v>793</v>
      </c>
      <c r="P58" s="385"/>
      <c r="Q58" s="386">
        <v>447.85</v>
      </c>
      <c r="R58" s="385"/>
      <c r="S58" s="386">
        <f t="shared" si="0"/>
        <v>10354.549999999999</v>
      </c>
      <c r="T58" s="203"/>
      <c r="U58" s="203"/>
      <c r="V58" s="203"/>
      <c r="W58" s="203"/>
      <c r="X58" s="203"/>
      <c r="Y58" s="203"/>
      <c r="Z58" s="203"/>
      <c r="AA58" s="203"/>
    </row>
    <row r="59" spans="1:27">
      <c r="A59" s="385"/>
      <c r="B59" s="385"/>
      <c r="C59" s="385"/>
      <c r="D59" s="385"/>
      <c r="E59" s="385" t="s">
        <v>798</v>
      </c>
      <c r="F59" s="385"/>
      <c r="G59" s="434">
        <v>44043</v>
      </c>
      <c r="H59" s="385"/>
      <c r="I59" s="385"/>
      <c r="J59" s="385"/>
      <c r="K59" s="385" t="s">
        <v>915</v>
      </c>
      <c r="L59" s="385"/>
      <c r="M59" s="385" t="s">
        <v>938</v>
      </c>
      <c r="N59" s="385"/>
      <c r="O59" s="385"/>
      <c r="P59" s="385"/>
      <c r="Q59" s="386">
        <v>0</v>
      </c>
      <c r="R59" s="385"/>
      <c r="S59" s="386">
        <f t="shared" si="0"/>
        <v>10354.549999999999</v>
      </c>
      <c r="T59" s="203"/>
      <c r="U59" s="203"/>
      <c r="V59" s="203"/>
      <c r="W59" s="203"/>
      <c r="X59" s="203"/>
      <c r="Y59" s="203"/>
      <c r="Z59" s="203"/>
      <c r="AA59" s="203"/>
    </row>
    <row r="60" spans="1:27">
      <c r="A60" s="385"/>
      <c r="B60" s="385"/>
      <c r="C60" s="385"/>
      <c r="D60" s="385"/>
      <c r="E60" s="385" t="s">
        <v>818</v>
      </c>
      <c r="F60" s="385"/>
      <c r="G60" s="434">
        <v>44043</v>
      </c>
      <c r="H60" s="385"/>
      <c r="I60" s="385" t="s">
        <v>922</v>
      </c>
      <c r="J60" s="385"/>
      <c r="K60" s="385" t="s">
        <v>923</v>
      </c>
      <c r="L60" s="385"/>
      <c r="M60" s="385" t="s">
        <v>924</v>
      </c>
      <c r="N60" s="385"/>
      <c r="O60" s="385" t="s">
        <v>793</v>
      </c>
      <c r="P60" s="385"/>
      <c r="Q60" s="386">
        <v>15.89</v>
      </c>
      <c r="R60" s="385"/>
      <c r="S60" s="386">
        <f t="shared" si="0"/>
        <v>10370.44</v>
      </c>
      <c r="T60" s="203"/>
      <c r="U60" s="203"/>
      <c r="V60" s="203"/>
      <c r="W60" s="203"/>
      <c r="X60" s="203"/>
      <c r="Y60" s="203"/>
      <c r="Z60" s="203"/>
      <c r="AA60" s="203"/>
    </row>
    <row r="61" spans="1:27">
      <c r="A61" s="385"/>
      <c r="B61" s="385"/>
      <c r="C61" s="385"/>
      <c r="D61" s="385"/>
      <c r="E61" s="385" t="s">
        <v>795</v>
      </c>
      <c r="F61" s="385"/>
      <c r="G61" s="434">
        <v>44043</v>
      </c>
      <c r="H61" s="385"/>
      <c r="I61" s="385"/>
      <c r="J61" s="385"/>
      <c r="K61" s="385" t="s">
        <v>925</v>
      </c>
      <c r="L61" s="385"/>
      <c r="M61" s="385" t="s">
        <v>945</v>
      </c>
      <c r="N61" s="385"/>
      <c r="O61" s="385" t="s">
        <v>793</v>
      </c>
      <c r="P61" s="385"/>
      <c r="Q61" s="386">
        <v>130</v>
      </c>
      <c r="R61" s="385"/>
      <c r="S61" s="386">
        <f t="shared" si="0"/>
        <v>10500.44</v>
      </c>
      <c r="T61" s="203"/>
      <c r="U61" s="203"/>
      <c r="V61" s="203"/>
      <c r="W61" s="203"/>
      <c r="X61" s="203"/>
      <c r="Y61" s="203"/>
      <c r="Z61" s="203"/>
      <c r="AA61" s="203"/>
    </row>
    <row r="62" spans="1:27">
      <c r="A62" s="385"/>
      <c r="B62" s="385"/>
      <c r="C62" s="385"/>
      <c r="D62" s="385"/>
      <c r="E62" s="385" t="s">
        <v>795</v>
      </c>
      <c r="F62" s="385"/>
      <c r="G62" s="434">
        <v>44043</v>
      </c>
      <c r="H62" s="385"/>
      <c r="I62" s="385"/>
      <c r="J62" s="385"/>
      <c r="K62" s="385" t="s">
        <v>925</v>
      </c>
      <c r="L62" s="385"/>
      <c r="M62" s="385"/>
      <c r="N62" s="385"/>
      <c r="O62" s="385" t="s">
        <v>793</v>
      </c>
      <c r="P62" s="385"/>
      <c r="Q62" s="386"/>
      <c r="R62" s="385"/>
      <c r="S62" s="386">
        <f t="shared" si="0"/>
        <v>10500.44</v>
      </c>
      <c r="T62" s="203"/>
      <c r="U62" s="203"/>
      <c r="V62" s="203"/>
      <c r="W62" s="203"/>
      <c r="X62" s="203"/>
      <c r="Y62" s="203"/>
      <c r="Z62" s="203"/>
      <c r="AA62" s="203"/>
    </row>
    <row r="63" spans="1:27">
      <c r="A63" s="385"/>
      <c r="B63" s="385"/>
      <c r="C63" s="385"/>
      <c r="D63" s="385"/>
      <c r="E63" s="385" t="s">
        <v>795</v>
      </c>
      <c r="F63" s="385"/>
      <c r="G63" s="434">
        <v>44043</v>
      </c>
      <c r="H63" s="385"/>
      <c r="I63" s="385"/>
      <c r="J63" s="385"/>
      <c r="K63" s="385" t="s">
        <v>925</v>
      </c>
      <c r="L63" s="385"/>
      <c r="M63" s="385"/>
      <c r="N63" s="385"/>
      <c r="O63" s="385"/>
      <c r="P63" s="385"/>
      <c r="Q63" s="386"/>
      <c r="R63" s="385"/>
      <c r="S63" s="386">
        <f t="shared" si="0"/>
        <v>10500.44</v>
      </c>
      <c r="T63" s="203"/>
      <c r="U63" s="203"/>
      <c r="V63" s="203"/>
      <c r="W63" s="203"/>
      <c r="X63" s="203"/>
      <c r="Y63" s="203"/>
      <c r="Z63" s="203"/>
      <c r="AA63" s="203"/>
    </row>
    <row r="64" spans="1:27">
      <c r="A64" s="385"/>
      <c r="B64" s="385"/>
      <c r="C64" s="385"/>
      <c r="D64" s="385"/>
      <c r="E64" s="385" t="s">
        <v>798</v>
      </c>
      <c r="F64" s="385"/>
      <c r="G64" s="434">
        <v>44074</v>
      </c>
      <c r="H64" s="385"/>
      <c r="I64" s="385"/>
      <c r="J64" s="385"/>
      <c r="K64" s="385" t="s">
        <v>915</v>
      </c>
      <c r="L64" s="385"/>
      <c r="M64" s="385" t="s">
        <v>946</v>
      </c>
      <c r="N64" s="385"/>
      <c r="O64" s="385" t="s">
        <v>793</v>
      </c>
      <c r="P64" s="385"/>
      <c r="Q64" s="386">
        <v>1963.02</v>
      </c>
      <c r="R64" s="385"/>
      <c r="S64" s="386">
        <f t="shared" si="0"/>
        <v>12463.46</v>
      </c>
      <c r="T64" s="203"/>
      <c r="U64" s="203"/>
      <c r="V64" s="203"/>
      <c r="W64" s="203"/>
      <c r="X64" s="203"/>
      <c r="Y64" s="203"/>
      <c r="Z64" s="203"/>
      <c r="AA64" s="203"/>
    </row>
    <row r="65" spans="1:27">
      <c r="A65" s="385"/>
      <c r="B65" s="385"/>
      <c r="C65" s="385"/>
      <c r="D65" s="385"/>
      <c r="E65" s="385" t="s">
        <v>798</v>
      </c>
      <c r="F65" s="385"/>
      <c r="G65" s="434">
        <v>44074</v>
      </c>
      <c r="H65" s="385"/>
      <c r="I65" s="385"/>
      <c r="J65" s="385"/>
      <c r="K65" s="385" t="s">
        <v>915</v>
      </c>
      <c r="L65" s="385"/>
      <c r="M65" s="385" t="s">
        <v>947</v>
      </c>
      <c r="N65" s="385"/>
      <c r="O65" s="385" t="s">
        <v>793</v>
      </c>
      <c r="P65" s="385"/>
      <c r="Q65" s="386">
        <v>732.83</v>
      </c>
      <c r="R65" s="385"/>
      <c r="S65" s="386">
        <f t="shared" si="0"/>
        <v>13196.29</v>
      </c>
      <c r="T65" s="203"/>
      <c r="U65" s="203"/>
      <c r="V65" s="203"/>
      <c r="W65" s="203"/>
      <c r="X65" s="203"/>
      <c r="Y65" s="203"/>
      <c r="Z65" s="203"/>
      <c r="AA65" s="203"/>
    </row>
    <row r="66" spans="1:27">
      <c r="A66" s="385"/>
      <c r="B66" s="385"/>
      <c r="C66" s="385"/>
      <c r="D66" s="385"/>
      <c r="E66" s="385" t="s">
        <v>798</v>
      </c>
      <c r="F66" s="385"/>
      <c r="G66" s="434">
        <v>44074</v>
      </c>
      <c r="H66" s="385"/>
      <c r="I66" s="385"/>
      <c r="J66" s="385"/>
      <c r="K66" s="385" t="s">
        <v>915</v>
      </c>
      <c r="L66" s="385"/>
      <c r="M66" s="385" t="s">
        <v>938</v>
      </c>
      <c r="N66" s="385"/>
      <c r="O66" s="385"/>
      <c r="P66" s="385"/>
      <c r="Q66" s="386">
        <v>0</v>
      </c>
      <c r="R66" s="385"/>
      <c r="S66" s="386">
        <f t="shared" si="0"/>
        <v>13196.29</v>
      </c>
      <c r="T66" s="203"/>
      <c r="U66" s="203"/>
      <c r="V66" s="203"/>
      <c r="W66" s="203"/>
      <c r="X66" s="203"/>
      <c r="Y66" s="203"/>
      <c r="Z66" s="203"/>
      <c r="AA66" s="203"/>
    </row>
    <row r="67" spans="1:27">
      <c r="A67" s="385"/>
      <c r="B67" s="385"/>
      <c r="C67" s="385"/>
      <c r="D67" s="385"/>
      <c r="E67" s="385" t="s">
        <v>798</v>
      </c>
      <c r="F67" s="385"/>
      <c r="G67" s="434">
        <v>44074</v>
      </c>
      <c r="H67" s="385"/>
      <c r="I67" s="385"/>
      <c r="J67" s="385"/>
      <c r="K67" s="385" t="s">
        <v>915</v>
      </c>
      <c r="L67" s="385"/>
      <c r="M67" s="385" t="s">
        <v>946</v>
      </c>
      <c r="N67" s="385"/>
      <c r="O67" s="385" t="s">
        <v>793</v>
      </c>
      <c r="P67" s="385"/>
      <c r="Q67" s="386"/>
      <c r="R67" s="385"/>
      <c r="S67" s="386">
        <f t="shared" ref="S67:S105" si="1">ROUND(S66+Q67,5)</f>
        <v>13196.29</v>
      </c>
      <c r="T67" s="203"/>
      <c r="U67" s="203"/>
      <c r="V67" s="203"/>
      <c r="W67" s="203"/>
      <c r="X67" s="203"/>
      <c r="Y67" s="203"/>
      <c r="Z67" s="203"/>
      <c r="AA67" s="203"/>
    </row>
    <row r="68" spans="1:27">
      <c r="A68" s="385"/>
      <c r="B68" s="385"/>
      <c r="C68" s="385"/>
      <c r="D68" s="385"/>
      <c r="E68" s="385" t="s">
        <v>798</v>
      </c>
      <c r="F68" s="385"/>
      <c r="G68" s="434">
        <v>44074</v>
      </c>
      <c r="H68" s="385"/>
      <c r="I68" s="385"/>
      <c r="J68" s="385"/>
      <c r="K68" s="385" t="s">
        <v>915</v>
      </c>
      <c r="L68" s="385"/>
      <c r="M68" s="385" t="s">
        <v>947</v>
      </c>
      <c r="N68" s="385"/>
      <c r="O68" s="385" t="s">
        <v>793</v>
      </c>
      <c r="P68" s="385"/>
      <c r="Q68" s="386"/>
      <c r="R68" s="385"/>
      <c r="S68" s="386">
        <f t="shared" si="1"/>
        <v>13196.29</v>
      </c>
      <c r="T68" s="203"/>
      <c r="U68" s="203"/>
      <c r="V68" s="203"/>
      <c r="W68" s="203"/>
      <c r="X68" s="203"/>
      <c r="Y68" s="203"/>
      <c r="Z68" s="203"/>
      <c r="AA68" s="203"/>
    </row>
    <row r="69" spans="1:27">
      <c r="A69" s="385"/>
      <c r="B69" s="385"/>
      <c r="C69" s="385"/>
      <c r="D69" s="385"/>
      <c r="E69" s="385" t="s">
        <v>798</v>
      </c>
      <c r="F69" s="385"/>
      <c r="G69" s="434">
        <v>44074</v>
      </c>
      <c r="H69" s="385"/>
      <c r="I69" s="385"/>
      <c r="J69" s="385"/>
      <c r="K69" s="385" t="s">
        <v>915</v>
      </c>
      <c r="L69" s="385"/>
      <c r="M69" s="385" t="s">
        <v>948</v>
      </c>
      <c r="N69" s="385"/>
      <c r="O69" s="385"/>
      <c r="P69" s="385"/>
      <c r="Q69" s="386">
        <v>79.72</v>
      </c>
      <c r="R69" s="385"/>
      <c r="S69" s="386">
        <f t="shared" si="1"/>
        <v>13276.01</v>
      </c>
      <c r="T69" s="203"/>
      <c r="U69" s="203"/>
      <c r="V69" s="203"/>
      <c r="W69" s="203"/>
      <c r="X69" s="203"/>
      <c r="Y69" s="203"/>
      <c r="Z69" s="203"/>
      <c r="AA69" s="203"/>
    </row>
    <row r="70" spans="1:27">
      <c r="A70" s="385"/>
      <c r="B70" s="385"/>
      <c r="C70" s="385"/>
      <c r="D70" s="385"/>
      <c r="E70" s="385" t="s">
        <v>818</v>
      </c>
      <c r="F70" s="385"/>
      <c r="G70" s="434">
        <v>44074</v>
      </c>
      <c r="H70" s="385"/>
      <c r="I70" s="385" t="s">
        <v>922</v>
      </c>
      <c r="J70" s="385"/>
      <c r="K70" s="385" t="s">
        <v>923</v>
      </c>
      <c r="L70" s="385"/>
      <c r="M70" s="385" t="s">
        <v>924</v>
      </c>
      <c r="N70" s="385"/>
      <c r="O70" s="385" t="s">
        <v>793</v>
      </c>
      <c r="P70" s="385"/>
      <c r="Q70" s="386">
        <v>130.94999999999999</v>
      </c>
      <c r="R70" s="385"/>
      <c r="S70" s="386">
        <f t="shared" si="1"/>
        <v>13406.96</v>
      </c>
      <c r="T70" s="203"/>
      <c r="U70" s="203"/>
      <c r="V70" s="203"/>
      <c r="W70" s="203"/>
      <c r="X70" s="203"/>
      <c r="Y70" s="203"/>
      <c r="Z70" s="203"/>
      <c r="AA70" s="203"/>
    </row>
    <row r="71" spans="1:27">
      <c r="A71" s="385"/>
      <c r="B71" s="385"/>
      <c r="C71" s="385"/>
      <c r="D71" s="385"/>
      <c r="E71" s="385" t="s">
        <v>795</v>
      </c>
      <c r="F71" s="385"/>
      <c r="G71" s="434">
        <v>44074</v>
      </c>
      <c r="H71" s="385"/>
      <c r="I71" s="385"/>
      <c r="J71" s="385"/>
      <c r="K71" s="385" t="s">
        <v>925</v>
      </c>
      <c r="L71" s="385"/>
      <c r="M71" s="385" t="s">
        <v>949</v>
      </c>
      <c r="N71" s="385"/>
      <c r="O71" s="385" t="s">
        <v>793</v>
      </c>
      <c r="P71" s="385"/>
      <c r="Q71" s="386">
        <v>25</v>
      </c>
      <c r="R71" s="385"/>
      <c r="S71" s="386">
        <f t="shared" si="1"/>
        <v>13431.96</v>
      </c>
      <c r="T71" s="203"/>
      <c r="U71" s="203"/>
      <c r="V71" s="203"/>
      <c r="W71" s="203"/>
      <c r="X71" s="203"/>
      <c r="Y71" s="203"/>
      <c r="Z71" s="203"/>
      <c r="AA71" s="203"/>
    </row>
    <row r="72" spans="1:27">
      <c r="A72" s="385"/>
      <c r="B72" s="385"/>
      <c r="C72" s="385"/>
      <c r="D72" s="385"/>
      <c r="E72" s="385" t="s">
        <v>795</v>
      </c>
      <c r="F72" s="385"/>
      <c r="G72" s="434">
        <v>44074</v>
      </c>
      <c r="H72" s="385"/>
      <c r="I72" s="385"/>
      <c r="J72" s="385"/>
      <c r="K72" s="385" t="s">
        <v>925</v>
      </c>
      <c r="L72" s="385"/>
      <c r="M72" s="385"/>
      <c r="N72" s="385"/>
      <c r="O72" s="385" t="s">
        <v>793</v>
      </c>
      <c r="P72" s="385"/>
      <c r="Q72" s="386"/>
      <c r="R72" s="385"/>
      <c r="S72" s="386">
        <f t="shared" si="1"/>
        <v>13431.96</v>
      </c>
      <c r="T72" s="203"/>
      <c r="U72" s="203"/>
      <c r="V72" s="203"/>
      <c r="W72" s="203"/>
      <c r="X72" s="203"/>
      <c r="Y72" s="203"/>
      <c r="Z72" s="203"/>
      <c r="AA72" s="203"/>
    </row>
    <row r="73" spans="1:27">
      <c r="A73" s="385"/>
      <c r="B73" s="385"/>
      <c r="C73" s="385"/>
      <c r="D73" s="385"/>
      <c r="E73" s="385" t="s">
        <v>795</v>
      </c>
      <c r="F73" s="385"/>
      <c r="G73" s="434">
        <v>44074</v>
      </c>
      <c r="H73" s="385"/>
      <c r="I73" s="385"/>
      <c r="J73" s="385"/>
      <c r="K73" s="385" t="s">
        <v>925</v>
      </c>
      <c r="L73" s="385"/>
      <c r="M73" s="385"/>
      <c r="N73" s="385"/>
      <c r="O73" s="385"/>
      <c r="P73" s="385"/>
      <c r="Q73" s="386"/>
      <c r="R73" s="385"/>
      <c r="S73" s="386">
        <f t="shared" si="1"/>
        <v>13431.96</v>
      </c>
      <c r="T73" s="203"/>
      <c r="U73" s="203"/>
      <c r="V73" s="203"/>
      <c r="W73" s="203"/>
      <c r="X73" s="203"/>
      <c r="Y73" s="203"/>
      <c r="Z73" s="203"/>
      <c r="AA73" s="203"/>
    </row>
    <row r="74" spans="1:27">
      <c r="A74" s="385"/>
      <c r="B74" s="385"/>
      <c r="C74" s="385"/>
      <c r="D74" s="385"/>
      <c r="E74" s="385" t="s">
        <v>798</v>
      </c>
      <c r="F74" s="385"/>
      <c r="G74" s="434">
        <v>44088</v>
      </c>
      <c r="H74" s="385"/>
      <c r="I74" s="385"/>
      <c r="J74" s="385"/>
      <c r="K74" s="385" t="s">
        <v>950</v>
      </c>
      <c r="L74" s="385"/>
      <c r="M74" s="385" t="s">
        <v>951</v>
      </c>
      <c r="N74" s="385"/>
      <c r="O74" s="385" t="s">
        <v>793</v>
      </c>
      <c r="P74" s="385"/>
      <c r="Q74" s="386">
        <v>403</v>
      </c>
      <c r="R74" s="385"/>
      <c r="S74" s="386">
        <f t="shared" si="1"/>
        <v>13834.96</v>
      </c>
      <c r="T74" s="203"/>
      <c r="U74" s="203"/>
      <c r="V74" s="203"/>
      <c r="W74" s="203"/>
      <c r="X74" s="203"/>
      <c r="Y74" s="203"/>
      <c r="Z74" s="203"/>
      <c r="AA74" s="203"/>
    </row>
    <row r="75" spans="1:27">
      <c r="A75" s="385"/>
      <c r="B75" s="385"/>
      <c r="C75" s="385"/>
      <c r="D75" s="385"/>
      <c r="E75" s="385" t="s">
        <v>798</v>
      </c>
      <c r="F75" s="385"/>
      <c r="G75" s="434">
        <v>44090</v>
      </c>
      <c r="H75" s="385"/>
      <c r="I75" s="385"/>
      <c r="J75" s="385"/>
      <c r="K75" s="385" t="s">
        <v>952</v>
      </c>
      <c r="L75" s="385"/>
      <c r="M75" s="385" t="s">
        <v>953</v>
      </c>
      <c r="N75" s="385"/>
      <c r="O75" s="385" t="s">
        <v>793</v>
      </c>
      <c r="P75" s="385"/>
      <c r="Q75" s="386">
        <v>1054.6199999999999</v>
      </c>
      <c r="R75" s="385"/>
      <c r="S75" s="386">
        <f t="shared" si="1"/>
        <v>14889.58</v>
      </c>
      <c r="T75" s="203"/>
      <c r="U75" s="203"/>
      <c r="V75" s="203"/>
      <c r="W75" s="203"/>
      <c r="X75" s="203"/>
      <c r="Y75" s="203"/>
      <c r="Z75" s="203"/>
      <c r="AA75" s="203"/>
    </row>
    <row r="76" spans="1:27">
      <c r="A76" s="385"/>
      <c r="B76" s="385"/>
      <c r="C76" s="385"/>
      <c r="D76" s="385"/>
      <c r="E76" s="385" t="s">
        <v>798</v>
      </c>
      <c r="F76" s="385"/>
      <c r="G76" s="434">
        <v>44096</v>
      </c>
      <c r="H76" s="385"/>
      <c r="I76" s="385"/>
      <c r="J76" s="385"/>
      <c r="K76" s="385" t="s">
        <v>915</v>
      </c>
      <c r="L76" s="385"/>
      <c r="M76" s="385" t="s">
        <v>946</v>
      </c>
      <c r="N76" s="385"/>
      <c r="O76" s="385" t="s">
        <v>793</v>
      </c>
      <c r="P76" s="385"/>
      <c r="Q76" s="386"/>
      <c r="R76" s="385"/>
      <c r="S76" s="386">
        <f t="shared" si="1"/>
        <v>14889.58</v>
      </c>
      <c r="T76" s="203"/>
      <c r="U76" s="203"/>
      <c r="V76" s="203"/>
      <c r="W76" s="203"/>
      <c r="X76" s="203"/>
      <c r="Y76" s="203"/>
      <c r="Z76" s="203"/>
      <c r="AA76" s="203"/>
    </row>
    <row r="77" spans="1:27">
      <c r="A77" s="385"/>
      <c r="B77" s="385"/>
      <c r="C77" s="385"/>
      <c r="D77" s="385"/>
      <c r="E77" s="385" t="s">
        <v>798</v>
      </c>
      <c r="F77" s="385"/>
      <c r="G77" s="434">
        <v>44096</v>
      </c>
      <c r="H77" s="385"/>
      <c r="I77" s="385"/>
      <c r="J77" s="385"/>
      <c r="K77" s="385" t="s">
        <v>915</v>
      </c>
      <c r="L77" s="385"/>
      <c r="M77" s="385" t="s">
        <v>947</v>
      </c>
      <c r="N77" s="385"/>
      <c r="O77" s="385" t="s">
        <v>793</v>
      </c>
      <c r="P77" s="385"/>
      <c r="Q77" s="386"/>
      <c r="R77" s="385"/>
      <c r="S77" s="386">
        <f t="shared" si="1"/>
        <v>14889.58</v>
      </c>
      <c r="T77" s="203"/>
      <c r="U77" s="203"/>
      <c r="V77" s="203"/>
      <c r="W77" s="203"/>
      <c r="X77" s="203"/>
      <c r="Y77" s="203"/>
      <c r="Z77" s="203"/>
      <c r="AA77" s="203"/>
    </row>
    <row r="78" spans="1:27">
      <c r="A78" s="385"/>
      <c r="B78" s="385"/>
      <c r="C78" s="385"/>
      <c r="D78" s="385"/>
      <c r="E78" s="385" t="s">
        <v>798</v>
      </c>
      <c r="F78" s="385"/>
      <c r="G78" s="434">
        <v>44096</v>
      </c>
      <c r="H78" s="385"/>
      <c r="I78" s="385"/>
      <c r="J78" s="385"/>
      <c r="K78" s="385" t="s">
        <v>915</v>
      </c>
      <c r="L78" s="385"/>
      <c r="M78" s="385" t="s">
        <v>954</v>
      </c>
      <c r="N78" s="385"/>
      <c r="O78" s="385"/>
      <c r="P78" s="385"/>
      <c r="Q78" s="386">
        <v>35.94</v>
      </c>
      <c r="R78" s="385"/>
      <c r="S78" s="386">
        <f t="shared" si="1"/>
        <v>14925.52</v>
      </c>
      <c r="T78" s="203"/>
      <c r="U78" s="203"/>
      <c r="V78" s="203"/>
      <c r="W78" s="203"/>
      <c r="X78" s="203"/>
      <c r="Y78" s="203"/>
      <c r="Z78" s="203"/>
      <c r="AA78" s="203"/>
    </row>
    <row r="79" spans="1:27">
      <c r="A79" s="385"/>
      <c r="B79" s="385"/>
      <c r="C79" s="385"/>
      <c r="D79" s="385"/>
      <c r="E79" s="385" t="s">
        <v>818</v>
      </c>
      <c r="F79" s="385"/>
      <c r="G79" s="434">
        <v>44104</v>
      </c>
      <c r="H79" s="385"/>
      <c r="I79" s="385" t="s">
        <v>922</v>
      </c>
      <c r="J79" s="385"/>
      <c r="K79" s="385" t="s">
        <v>923</v>
      </c>
      <c r="L79" s="385"/>
      <c r="M79" s="385" t="s">
        <v>924</v>
      </c>
      <c r="N79" s="385"/>
      <c r="O79" s="385" t="s">
        <v>793</v>
      </c>
      <c r="P79" s="385"/>
      <c r="Q79" s="386">
        <v>25.74</v>
      </c>
      <c r="R79" s="385"/>
      <c r="S79" s="386">
        <f t="shared" si="1"/>
        <v>14951.26</v>
      </c>
      <c r="T79" s="203"/>
      <c r="U79" s="203"/>
      <c r="V79" s="203"/>
      <c r="W79" s="203"/>
      <c r="X79" s="203"/>
      <c r="Y79" s="203"/>
      <c r="Z79" s="203"/>
      <c r="AA79" s="203"/>
    </row>
    <row r="80" spans="1:27">
      <c r="A80" s="385"/>
      <c r="B80" s="385"/>
      <c r="C80" s="385"/>
      <c r="D80" s="385"/>
      <c r="E80" s="385" t="s">
        <v>798</v>
      </c>
      <c r="F80" s="385"/>
      <c r="G80" s="434">
        <v>44111</v>
      </c>
      <c r="H80" s="385"/>
      <c r="I80" s="385"/>
      <c r="J80" s="385"/>
      <c r="K80" s="385" t="s">
        <v>915</v>
      </c>
      <c r="L80" s="385"/>
      <c r="M80" s="385" t="s">
        <v>946</v>
      </c>
      <c r="N80" s="385"/>
      <c r="O80" s="385" t="s">
        <v>793</v>
      </c>
      <c r="P80" s="385"/>
      <c r="Q80" s="386">
        <v>0</v>
      </c>
      <c r="R80" s="385"/>
      <c r="S80" s="386">
        <f t="shared" si="1"/>
        <v>14951.26</v>
      </c>
      <c r="T80" s="203"/>
      <c r="U80" s="203"/>
      <c r="V80" s="203"/>
      <c r="W80" s="203"/>
      <c r="X80" s="203"/>
      <c r="Y80" s="203"/>
      <c r="Z80" s="203"/>
      <c r="AA80" s="203"/>
    </row>
    <row r="81" spans="1:27">
      <c r="A81" s="385"/>
      <c r="B81" s="385"/>
      <c r="C81" s="385"/>
      <c r="D81" s="385"/>
      <c r="E81" s="385" t="s">
        <v>798</v>
      </c>
      <c r="F81" s="385"/>
      <c r="G81" s="434">
        <v>44111</v>
      </c>
      <c r="H81" s="385"/>
      <c r="I81" s="385"/>
      <c r="J81" s="385"/>
      <c r="K81" s="385" t="s">
        <v>915</v>
      </c>
      <c r="L81" s="385"/>
      <c r="M81" s="385" t="s">
        <v>947</v>
      </c>
      <c r="N81" s="385"/>
      <c r="O81" s="385" t="s">
        <v>793</v>
      </c>
      <c r="P81" s="385"/>
      <c r="Q81" s="386">
        <v>0</v>
      </c>
      <c r="R81" s="385"/>
      <c r="S81" s="386">
        <f t="shared" si="1"/>
        <v>14951.26</v>
      </c>
      <c r="T81" s="203"/>
      <c r="U81" s="203"/>
      <c r="V81" s="203"/>
      <c r="W81" s="203"/>
      <c r="X81" s="203"/>
      <c r="Y81" s="203"/>
      <c r="Z81" s="203"/>
      <c r="AA81" s="203"/>
    </row>
    <row r="82" spans="1:27">
      <c r="A82" s="385"/>
      <c r="B82" s="385"/>
      <c r="C82" s="385"/>
      <c r="D82" s="385"/>
      <c r="E82" s="385" t="s">
        <v>798</v>
      </c>
      <c r="F82" s="385"/>
      <c r="G82" s="434">
        <v>44111</v>
      </c>
      <c r="H82" s="385"/>
      <c r="I82" s="385"/>
      <c r="J82" s="385"/>
      <c r="K82" s="385" t="s">
        <v>915</v>
      </c>
      <c r="L82" s="385"/>
      <c r="M82" s="385" t="s">
        <v>955</v>
      </c>
      <c r="N82" s="385"/>
      <c r="O82" s="385"/>
      <c r="P82" s="385"/>
      <c r="Q82" s="386">
        <v>490</v>
      </c>
      <c r="R82" s="385"/>
      <c r="S82" s="386">
        <f t="shared" si="1"/>
        <v>15441.26</v>
      </c>
      <c r="T82" s="203"/>
      <c r="U82" s="203"/>
      <c r="V82" s="203"/>
      <c r="W82" s="203"/>
      <c r="X82" s="203"/>
      <c r="Y82" s="203"/>
      <c r="Z82" s="203"/>
      <c r="AA82" s="203"/>
    </row>
    <row r="83" spans="1:27">
      <c r="A83" s="385"/>
      <c r="B83" s="385"/>
      <c r="C83" s="385"/>
      <c r="D83" s="385"/>
      <c r="E83" s="385" t="s">
        <v>798</v>
      </c>
      <c r="F83" s="385"/>
      <c r="G83" s="434">
        <v>44116</v>
      </c>
      <c r="H83" s="385"/>
      <c r="I83" s="385"/>
      <c r="J83" s="385"/>
      <c r="K83" s="385" t="s">
        <v>915</v>
      </c>
      <c r="L83" s="385"/>
      <c r="M83" s="385" t="s">
        <v>946</v>
      </c>
      <c r="N83" s="385"/>
      <c r="O83" s="385" t="s">
        <v>793</v>
      </c>
      <c r="P83" s="385"/>
      <c r="Q83" s="386">
        <v>749.5</v>
      </c>
      <c r="R83" s="385"/>
      <c r="S83" s="386">
        <f t="shared" si="1"/>
        <v>16190.76</v>
      </c>
      <c r="T83" s="203"/>
      <c r="U83" s="203"/>
      <c r="V83" s="203"/>
      <c r="W83" s="203"/>
      <c r="X83" s="203"/>
      <c r="Y83" s="203"/>
      <c r="Z83" s="203"/>
      <c r="AA83" s="203"/>
    </row>
    <row r="84" spans="1:27">
      <c r="A84" s="385"/>
      <c r="B84" s="385"/>
      <c r="C84" s="385"/>
      <c r="D84" s="385"/>
      <c r="E84" s="385" t="s">
        <v>798</v>
      </c>
      <c r="F84" s="385"/>
      <c r="G84" s="434">
        <v>44116</v>
      </c>
      <c r="H84" s="385"/>
      <c r="I84" s="385"/>
      <c r="J84" s="385"/>
      <c r="K84" s="385" t="s">
        <v>915</v>
      </c>
      <c r="L84" s="385"/>
      <c r="M84" s="385" t="s">
        <v>947</v>
      </c>
      <c r="N84" s="385"/>
      <c r="O84" s="385" t="s">
        <v>793</v>
      </c>
      <c r="P84" s="385"/>
      <c r="Q84" s="386">
        <v>841.74</v>
      </c>
      <c r="R84" s="385"/>
      <c r="S84" s="386">
        <f t="shared" si="1"/>
        <v>17032.5</v>
      </c>
      <c r="T84" s="203"/>
      <c r="U84" s="203"/>
      <c r="V84" s="203"/>
      <c r="W84" s="203"/>
      <c r="X84" s="203"/>
      <c r="Y84" s="203"/>
      <c r="Z84" s="203"/>
      <c r="AA84" s="203"/>
    </row>
    <row r="85" spans="1:27">
      <c r="A85" s="385"/>
      <c r="B85" s="385"/>
      <c r="C85" s="385"/>
      <c r="D85" s="385"/>
      <c r="E85" s="385" t="s">
        <v>798</v>
      </c>
      <c r="F85" s="385"/>
      <c r="G85" s="434">
        <v>44116</v>
      </c>
      <c r="H85" s="385"/>
      <c r="I85" s="385"/>
      <c r="J85" s="385"/>
      <c r="K85" s="385" t="s">
        <v>915</v>
      </c>
      <c r="L85" s="385"/>
      <c r="M85" s="385" t="s">
        <v>954</v>
      </c>
      <c r="N85" s="385"/>
      <c r="O85" s="385"/>
      <c r="P85" s="385"/>
      <c r="Q85" s="386"/>
      <c r="R85" s="385"/>
      <c r="S85" s="386">
        <f t="shared" si="1"/>
        <v>17032.5</v>
      </c>
      <c r="T85" s="203"/>
      <c r="U85" s="203"/>
      <c r="V85" s="203"/>
      <c r="W85" s="203"/>
      <c r="X85" s="203"/>
      <c r="Y85" s="203"/>
      <c r="Z85" s="203"/>
      <c r="AA85" s="203"/>
    </row>
    <row r="86" spans="1:27">
      <c r="A86" s="385"/>
      <c r="B86" s="385"/>
      <c r="C86" s="385"/>
      <c r="D86" s="385"/>
      <c r="E86" s="385" t="s">
        <v>818</v>
      </c>
      <c r="F86" s="385"/>
      <c r="G86" s="434">
        <v>44135</v>
      </c>
      <c r="H86" s="385"/>
      <c r="I86" s="385" t="s">
        <v>922</v>
      </c>
      <c r="J86" s="385"/>
      <c r="K86" s="385" t="s">
        <v>923</v>
      </c>
      <c r="L86" s="385"/>
      <c r="M86" s="385" t="s">
        <v>924</v>
      </c>
      <c r="N86" s="385"/>
      <c r="O86" s="385" t="s">
        <v>793</v>
      </c>
      <c r="P86" s="385"/>
      <c r="Q86" s="386">
        <v>15.23</v>
      </c>
      <c r="R86" s="385"/>
      <c r="S86" s="386">
        <f t="shared" si="1"/>
        <v>17047.73</v>
      </c>
      <c r="T86" s="203"/>
      <c r="U86" s="203"/>
      <c r="V86" s="203"/>
      <c r="W86" s="203"/>
      <c r="X86" s="203"/>
      <c r="Y86" s="203"/>
      <c r="Z86" s="203"/>
      <c r="AA86" s="203"/>
    </row>
    <row r="87" spans="1:27">
      <c r="A87" s="385"/>
      <c r="B87" s="385"/>
      <c r="C87" s="385"/>
      <c r="D87" s="385"/>
      <c r="E87" s="385" t="s">
        <v>798</v>
      </c>
      <c r="F87" s="385"/>
      <c r="G87" s="434">
        <v>44135</v>
      </c>
      <c r="H87" s="385"/>
      <c r="I87" s="385"/>
      <c r="J87" s="385"/>
      <c r="K87" s="385" t="s">
        <v>915</v>
      </c>
      <c r="L87" s="385"/>
      <c r="M87" s="385" t="s">
        <v>956</v>
      </c>
      <c r="N87" s="385"/>
      <c r="O87" s="385" t="s">
        <v>793</v>
      </c>
      <c r="P87" s="385"/>
      <c r="Q87" s="386">
        <v>578.48</v>
      </c>
      <c r="R87" s="385"/>
      <c r="S87" s="386">
        <f t="shared" si="1"/>
        <v>17626.21</v>
      </c>
      <c r="T87" s="203"/>
      <c r="U87" s="203"/>
      <c r="V87" s="203"/>
      <c r="W87" s="203"/>
      <c r="X87" s="203"/>
      <c r="Y87" s="203"/>
      <c r="Z87" s="203"/>
      <c r="AA87" s="203"/>
    </row>
    <row r="88" spans="1:27">
      <c r="A88" s="385"/>
      <c r="B88" s="385"/>
      <c r="C88" s="385"/>
      <c r="D88" s="385"/>
      <c r="E88" s="385" t="s">
        <v>798</v>
      </c>
      <c r="F88" s="385"/>
      <c r="G88" s="434">
        <v>44135</v>
      </c>
      <c r="H88" s="385"/>
      <c r="I88" s="385"/>
      <c r="J88" s="385"/>
      <c r="K88" s="385" t="s">
        <v>915</v>
      </c>
      <c r="L88" s="385"/>
      <c r="M88" s="385" t="s">
        <v>957</v>
      </c>
      <c r="N88" s="385"/>
      <c r="O88" s="385" t="s">
        <v>793</v>
      </c>
      <c r="P88" s="385"/>
      <c r="Q88" s="386">
        <v>305.42</v>
      </c>
      <c r="R88" s="385"/>
      <c r="S88" s="386">
        <f t="shared" si="1"/>
        <v>17931.63</v>
      </c>
      <c r="T88" s="203"/>
      <c r="U88" s="203"/>
      <c r="V88" s="203"/>
      <c r="W88" s="203"/>
      <c r="X88" s="203"/>
      <c r="Y88" s="203"/>
      <c r="Z88" s="203"/>
      <c r="AA88" s="203"/>
    </row>
    <row r="89" spans="1:27">
      <c r="A89" s="385"/>
      <c r="B89" s="385"/>
      <c r="C89" s="385"/>
      <c r="D89" s="385"/>
      <c r="E89" s="385" t="s">
        <v>798</v>
      </c>
      <c r="F89" s="385"/>
      <c r="G89" s="434">
        <v>44135</v>
      </c>
      <c r="H89" s="385"/>
      <c r="I89" s="385"/>
      <c r="J89" s="385"/>
      <c r="K89" s="385" t="s">
        <v>915</v>
      </c>
      <c r="L89" s="385"/>
      <c r="M89" s="385" t="s">
        <v>954</v>
      </c>
      <c r="N89" s="385"/>
      <c r="O89" s="385"/>
      <c r="P89" s="385"/>
      <c r="Q89" s="386"/>
      <c r="R89" s="385"/>
      <c r="S89" s="386">
        <f t="shared" si="1"/>
        <v>17931.63</v>
      </c>
      <c r="T89" s="203"/>
      <c r="U89" s="203"/>
      <c r="V89" s="203"/>
      <c r="W89" s="203"/>
      <c r="X89" s="203"/>
      <c r="Y89" s="203"/>
      <c r="Z89" s="203"/>
      <c r="AA89" s="203"/>
    </row>
    <row r="90" spans="1:27">
      <c r="A90" s="385"/>
      <c r="B90" s="385"/>
      <c r="C90" s="385"/>
      <c r="D90" s="385"/>
      <c r="E90" s="385" t="s">
        <v>798</v>
      </c>
      <c r="F90" s="385"/>
      <c r="G90" s="434">
        <v>44152</v>
      </c>
      <c r="H90" s="385"/>
      <c r="I90" s="385"/>
      <c r="J90" s="385"/>
      <c r="K90" s="385" t="s">
        <v>952</v>
      </c>
      <c r="L90" s="385"/>
      <c r="M90" s="385" t="s">
        <v>953</v>
      </c>
      <c r="N90" s="385"/>
      <c r="O90" s="385" t="s">
        <v>793</v>
      </c>
      <c r="P90" s="385"/>
      <c r="Q90" s="386">
        <v>1054.6199999999999</v>
      </c>
      <c r="R90" s="385"/>
      <c r="S90" s="386">
        <f t="shared" si="1"/>
        <v>18986.25</v>
      </c>
      <c r="T90" s="203"/>
      <c r="U90" s="203"/>
      <c r="V90" s="203"/>
      <c r="W90" s="203"/>
      <c r="X90" s="203"/>
      <c r="Y90" s="203"/>
      <c r="Z90" s="203"/>
      <c r="AA90" s="203"/>
    </row>
    <row r="91" spans="1:27">
      <c r="A91" s="385"/>
      <c r="B91" s="385"/>
      <c r="C91" s="385"/>
      <c r="D91" s="385"/>
      <c r="E91" s="385" t="s">
        <v>798</v>
      </c>
      <c r="F91" s="385"/>
      <c r="G91" s="434">
        <v>44158</v>
      </c>
      <c r="H91" s="385"/>
      <c r="I91" s="385"/>
      <c r="J91" s="385"/>
      <c r="K91" s="385" t="s">
        <v>915</v>
      </c>
      <c r="L91" s="385"/>
      <c r="M91" s="385" t="s">
        <v>956</v>
      </c>
      <c r="N91" s="385"/>
      <c r="O91" s="385" t="s">
        <v>793</v>
      </c>
      <c r="P91" s="385"/>
      <c r="Q91" s="386"/>
      <c r="R91" s="385"/>
      <c r="S91" s="386">
        <f t="shared" si="1"/>
        <v>18986.25</v>
      </c>
      <c r="T91" s="203"/>
      <c r="U91" s="203"/>
      <c r="V91" s="203"/>
      <c r="W91" s="203"/>
      <c r="X91" s="203"/>
      <c r="Y91" s="203"/>
      <c r="Z91" s="203"/>
      <c r="AA91" s="203"/>
    </row>
    <row r="92" spans="1:27">
      <c r="A92" s="385"/>
      <c r="B92" s="385"/>
      <c r="C92" s="385"/>
      <c r="D92" s="385"/>
      <c r="E92" s="385" t="s">
        <v>798</v>
      </c>
      <c r="F92" s="385"/>
      <c r="G92" s="434">
        <v>44158</v>
      </c>
      <c r="H92" s="385"/>
      <c r="I92" s="385"/>
      <c r="J92" s="385"/>
      <c r="K92" s="385" t="s">
        <v>915</v>
      </c>
      <c r="L92" s="385"/>
      <c r="M92" s="385" t="s">
        <v>957</v>
      </c>
      <c r="N92" s="385"/>
      <c r="O92" s="385" t="s">
        <v>793</v>
      </c>
      <c r="P92" s="385"/>
      <c r="Q92" s="386"/>
      <c r="R92" s="385"/>
      <c r="S92" s="386">
        <f t="shared" si="1"/>
        <v>18986.25</v>
      </c>
      <c r="T92" s="203"/>
      <c r="U92" s="203"/>
      <c r="V92" s="203"/>
      <c r="W92" s="203"/>
      <c r="X92" s="203"/>
      <c r="Y92" s="203"/>
      <c r="Z92" s="203"/>
      <c r="AA92" s="203"/>
    </row>
    <row r="93" spans="1:27">
      <c r="A93" s="385"/>
      <c r="B93" s="385"/>
      <c r="C93" s="385"/>
      <c r="D93" s="385"/>
      <c r="E93" s="385" t="s">
        <v>798</v>
      </c>
      <c r="F93" s="385"/>
      <c r="G93" s="434">
        <v>44158</v>
      </c>
      <c r="H93" s="385"/>
      <c r="I93" s="385"/>
      <c r="J93" s="385"/>
      <c r="K93" s="385" t="s">
        <v>915</v>
      </c>
      <c r="L93" s="385"/>
      <c r="M93" s="385" t="s">
        <v>955</v>
      </c>
      <c r="N93" s="385"/>
      <c r="O93" s="385" t="s">
        <v>793</v>
      </c>
      <c r="P93" s="385"/>
      <c r="Q93" s="386">
        <v>46.16</v>
      </c>
      <c r="R93" s="385"/>
      <c r="S93" s="386">
        <f t="shared" si="1"/>
        <v>19032.41</v>
      </c>
      <c r="T93" s="203"/>
      <c r="U93" s="203"/>
      <c r="V93" s="203"/>
      <c r="W93" s="203"/>
      <c r="X93" s="203"/>
      <c r="Y93" s="203"/>
      <c r="Z93" s="203"/>
      <c r="AA93" s="203"/>
    </row>
    <row r="94" spans="1:27">
      <c r="A94" s="385"/>
      <c r="B94" s="385"/>
      <c r="C94" s="385"/>
      <c r="D94" s="385"/>
      <c r="E94" s="385" t="s">
        <v>798</v>
      </c>
      <c r="F94" s="385"/>
      <c r="G94" s="434">
        <v>44158</v>
      </c>
      <c r="H94" s="385"/>
      <c r="I94" s="385"/>
      <c r="J94" s="385"/>
      <c r="K94" s="385" t="s">
        <v>915</v>
      </c>
      <c r="L94" s="385"/>
      <c r="M94" s="385" t="s">
        <v>958</v>
      </c>
      <c r="N94" s="385"/>
      <c r="O94" s="385" t="s">
        <v>793</v>
      </c>
      <c r="P94" s="385"/>
      <c r="Q94" s="386">
        <v>66.69</v>
      </c>
      <c r="R94" s="385"/>
      <c r="S94" s="386">
        <f t="shared" si="1"/>
        <v>19099.099999999999</v>
      </c>
      <c r="T94" s="203"/>
      <c r="U94" s="203"/>
      <c r="V94" s="203"/>
      <c r="W94" s="203"/>
      <c r="X94" s="203"/>
      <c r="Y94" s="203"/>
      <c r="Z94" s="203"/>
      <c r="AA94" s="203"/>
    </row>
    <row r="95" spans="1:27">
      <c r="A95" s="385"/>
      <c r="B95" s="385"/>
      <c r="C95" s="385"/>
      <c r="D95" s="385"/>
      <c r="E95" s="385" t="s">
        <v>818</v>
      </c>
      <c r="F95" s="385"/>
      <c r="G95" s="434">
        <v>44165</v>
      </c>
      <c r="H95" s="385"/>
      <c r="I95" s="385" t="s">
        <v>922</v>
      </c>
      <c r="J95" s="385"/>
      <c r="K95" s="385" t="s">
        <v>923</v>
      </c>
      <c r="L95" s="385"/>
      <c r="M95" s="385" t="s">
        <v>924</v>
      </c>
      <c r="N95" s="385"/>
      <c r="O95" s="385" t="s">
        <v>793</v>
      </c>
      <c r="P95" s="385"/>
      <c r="Q95" s="386">
        <v>129.63</v>
      </c>
      <c r="R95" s="385"/>
      <c r="S95" s="386">
        <f t="shared" si="1"/>
        <v>19228.73</v>
      </c>
      <c r="T95" s="203"/>
      <c r="U95" s="203"/>
      <c r="V95" s="203"/>
      <c r="W95" s="203"/>
      <c r="X95" s="203"/>
      <c r="Y95" s="203"/>
      <c r="Z95" s="203"/>
      <c r="AA95" s="203"/>
    </row>
    <row r="96" spans="1:27">
      <c r="A96" s="385"/>
      <c r="B96" s="385"/>
      <c r="C96" s="385"/>
      <c r="D96" s="385"/>
      <c r="E96" s="385" t="s">
        <v>798</v>
      </c>
      <c r="F96" s="385"/>
      <c r="G96" s="434">
        <v>44173</v>
      </c>
      <c r="H96" s="385"/>
      <c r="I96" s="385"/>
      <c r="J96" s="385"/>
      <c r="K96" s="385" t="s">
        <v>952</v>
      </c>
      <c r="L96" s="385"/>
      <c r="M96" s="385" t="s">
        <v>953</v>
      </c>
      <c r="N96" s="385"/>
      <c r="O96" s="385" t="s">
        <v>793</v>
      </c>
      <c r="P96" s="385"/>
      <c r="Q96" s="386">
        <v>7.29</v>
      </c>
      <c r="R96" s="385"/>
      <c r="S96" s="386">
        <f t="shared" si="1"/>
        <v>19236.02</v>
      </c>
      <c r="T96" s="203"/>
      <c r="U96" s="203"/>
      <c r="V96" s="203"/>
      <c r="W96" s="203"/>
      <c r="X96" s="203"/>
      <c r="Y96" s="203"/>
      <c r="Z96" s="203"/>
      <c r="AA96" s="203"/>
    </row>
    <row r="97" spans="1:27">
      <c r="A97" s="385"/>
      <c r="B97" s="385"/>
      <c r="C97" s="385"/>
      <c r="D97" s="385"/>
      <c r="E97" s="385" t="s">
        <v>798</v>
      </c>
      <c r="F97" s="385"/>
      <c r="G97" s="434">
        <v>44174</v>
      </c>
      <c r="H97" s="385"/>
      <c r="I97" s="385"/>
      <c r="J97" s="385"/>
      <c r="K97" s="385" t="s">
        <v>915</v>
      </c>
      <c r="L97" s="385"/>
      <c r="M97" s="385" t="s">
        <v>956</v>
      </c>
      <c r="N97" s="385"/>
      <c r="O97" s="385" t="s">
        <v>793</v>
      </c>
      <c r="P97" s="385"/>
      <c r="Q97" s="386">
        <v>1953.94</v>
      </c>
      <c r="R97" s="385"/>
      <c r="S97" s="386">
        <f t="shared" si="1"/>
        <v>21189.96</v>
      </c>
      <c r="T97" s="203"/>
      <c r="U97" s="203"/>
      <c r="V97" s="203"/>
      <c r="W97" s="203"/>
      <c r="X97" s="203"/>
      <c r="Y97" s="203"/>
      <c r="Z97" s="203"/>
      <c r="AA97" s="203"/>
    </row>
    <row r="98" spans="1:27">
      <c r="A98" s="385"/>
      <c r="B98" s="385"/>
      <c r="C98" s="385"/>
      <c r="D98" s="385"/>
      <c r="E98" s="385" t="s">
        <v>798</v>
      </c>
      <c r="F98" s="385"/>
      <c r="G98" s="434">
        <v>44174</v>
      </c>
      <c r="H98" s="385"/>
      <c r="I98" s="385"/>
      <c r="J98" s="385"/>
      <c r="K98" s="385" t="s">
        <v>915</v>
      </c>
      <c r="L98" s="385"/>
      <c r="M98" s="385" t="s">
        <v>957</v>
      </c>
      <c r="N98" s="385"/>
      <c r="O98" s="385" t="s">
        <v>793</v>
      </c>
      <c r="P98" s="385"/>
      <c r="Q98" s="386">
        <v>690.92</v>
      </c>
      <c r="R98" s="385"/>
      <c r="S98" s="386">
        <f t="shared" si="1"/>
        <v>21880.880000000001</v>
      </c>
      <c r="T98" s="203"/>
      <c r="U98" s="203"/>
      <c r="V98" s="203"/>
      <c r="W98" s="203"/>
      <c r="X98" s="203"/>
      <c r="Y98" s="203"/>
      <c r="Z98" s="203"/>
      <c r="AA98" s="203"/>
    </row>
    <row r="99" spans="1:27">
      <c r="A99" s="385"/>
      <c r="B99" s="385"/>
      <c r="C99" s="385"/>
      <c r="D99" s="385"/>
      <c r="E99" s="385" t="s">
        <v>798</v>
      </c>
      <c r="F99" s="385"/>
      <c r="G99" s="434">
        <v>44174</v>
      </c>
      <c r="H99" s="385"/>
      <c r="I99" s="385"/>
      <c r="J99" s="385"/>
      <c r="K99" s="385" t="s">
        <v>915</v>
      </c>
      <c r="L99" s="385"/>
      <c r="M99" s="385" t="s">
        <v>955</v>
      </c>
      <c r="N99" s="385"/>
      <c r="O99" s="385" t="s">
        <v>793</v>
      </c>
      <c r="P99" s="385"/>
      <c r="Q99" s="386"/>
      <c r="R99" s="385"/>
      <c r="S99" s="386">
        <f t="shared" si="1"/>
        <v>21880.880000000001</v>
      </c>
      <c r="T99" s="203"/>
      <c r="U99" s="203"/>
      <c r="V99" s="203"/>
      <c r="W99" s="203"/>
      <c r="X99" s="203"/>
      <c r="Y99" s="203"/>
      <c r="Z99" s="203"/>
      <c r="AA99" s="203"/>
    </row>
    <row r="100" spans="1:27">
      <c r="A100" s="385"/>
      <c r="B100" s="385"/>
      <c r="C100" s="385"/>
      <c r="D100" s="385"/>
      <c r="E100" s="385" t="s">
        <v>798</v>
      </c>
      <c r="F100" s="385"/>
      <c r="G100" s="434">
        <v>44174</v>
      </c>
      <c r="H100" s="385"/>
      <c r="I100" s="385"/>
      <c r="J100" s="385"/>
      <c r="K100" s="385" t="s">
        <v>915</v>
      </c>
      <c r="L100" s="385"/>
      <c r="M100" s="385" t="s">
        <v>958</v>
      </c>
      <c r="N100" s="385"/>
      <c r="O100" s="385" t="s">
        <v>793</v>
      </c>
      <c r="P100" s="385"/>
      <c r="Q100" s="386"/>
      <c r="R100" s="385"/>
      <c r="S100" s="386">
        <f t="shared" si="1"/>
        <v>21880.880000000001</v>
      </c>
      <c r="T100" s="203"/>
      <c r="U100" s="203"/>
      <c r="V100" s="203"/>
      <c r="W100" s="203"/>
      <c r="X100" s="203"/>
      <c r="Y100" s="203"/>
      <c r="Z100" s="203"/>
      <c r="AA100" s="203"/>
    </row>
    <row r="101" spans="1:27">
      <c r="A101" s="385"/>
      <c r="B101" s="385"/>
      <c r="C101" s="385"/>
      <c r="D101" s="385"/>
      <c r="E101" s="385" t="s">
        <v>798</v>
      </c>
      <c r="F101" s="385"/>
      <c r="G101" s="434">
        <v>44179</v>
      </c>
      <c r="H101" s="385"/>
      <c r="I101" s="385"/>
      <c r="J101" s="385"/>
      <c r="K101" s="385" t="s">
        <v>915</v>
      </c>
      <c r="L101" s="385"/>
      <c r="M101" s="385" t="s">
        <v>959</v>
      </c>
      <c r="N101" s="385"/>
      <c r="O101" s="385" t="s">
        <v>793</v>
      </c>
      <c r="P101" s="385"/>
      <c r="Q101" s="386"/>
      <c r="R101" s="385"/>
      <c r="S101" s="386">
        <f t="shared" si="1"/>
        <v>21880.880000000001</v>
      </c>
      <c r="T101" s="203"/>
      <c r="U101" s="203"/>
      <c r="V101" s="203"/>
      <c r="W101" s="203"/>
      <c r="X101" s="203"/>
      <c r="Y101" s="203"/>
      <c r="Z101" s="203"/>
      <c r="AA101" s="203"/>
    </row>
    <row r="102" spans="1:27">
      <c r="A102" s="385"/>
      <c r="B102" s="385"/>
      <c r="C102" s="385"/>
      <c r="D102" s="385"/>
      <c r="E102" s="385" t="s">
        <v>798</v>
      </c>
      <c r="F102" s="385"/>
      <c r="G102" s="434">
        <v>44179</v>
      </c>
      <c r="H102" s="385"/>
      <c r="I102" s="385"/>
      <c r="J102" s="385"/>
      <c r="K102" s="385" t="s">
        <v>915</v>
      </c>
      <c r="L102" s="385"/>
      <c r="M102" s="385" t="s">
        <v>960</v>
      </c>
      <c r="N102" s="385"/>
      <c r="O102" s="385" t="s">
        <v>793</v>
      </c>
      <c r="P102" s="385"/>
      <c r="Q102" s="386"/>
      <c r="R102" s="385"/>
      <c r="S102" s="386">
        <f t="shared" si="1"/>
        <v>21880.880000000001</v>
      </c>
      <c r="T102" s="203"/>
      <c r="U102" s="203"/>
      <c r="V102" s="203"/>
      <c r="W102" s="203"/>
      <c r="X102" s="203"/>
      <c r="Y102" s="203"/>
      <c r="Z102" s="203"/>
      <c r="AA102" s="203"/>
    </row>
    <row r="103" spans="1:27">
      <c r="A103" s="385"/>
      <c r="B103" s="385"/>
      <c r="C103" s="385"/>
      <c r="D103" s="385"/>
      <c r="E103" s="385" t="s">
        <v>798</v>
      </c>
      <c r="F103" s="385"/>
      <c r="G103" s="434">
        <v>44179</v>
      </c>
      <c r="H103" s="385"/>
      <c r="I103" s="385"/>
      <c r="J103" s="385"/>
      <c r="K103" s="385" t="s">
        <v>915</v>
      </c>
      <c r="L103" s="385"/>
      <c r="M103" s="385" t="s">
        <v>961</v>
      </c>
      <c r="N103" s="385"/>
      <c r="O103" s="385" t="s">
        <v>793</v>
      </c>
      <c r="P103" s="385"/>
      <c r="Q103" s="386">
        <v>44.26</v>
      </c>
      <c r="R103" s="385"/>
      <c r="S103" s="386">
        <f t="shared" si="1"/>
        <v>21925.14</v>
      </c>
      <c r="T103" s="203"/>
      <c r="U103" s="203"/>
      <c r="V103" s="203"/>
      <c r="W103" s="203"/>
      <c r="X103" s="203"/>
      <c r="Y103" s="203"/>
      <c r="Z103" s="203"/>
      <c r="AA103" s="203"/>
    </row>
    <row r="104" spans="1:27">
      <c r="A104" s="385"/>
      <c r="B104" s="385"/>
      <c r="C104" s="385"/>
      <c r="D104" s="385"/>
      <c r="E104" s="385" t="s">
        <v>818</v>
      </c>
      <c r="F104" s="385"/>
      <c r="G104" s="434">
        <v>44196</v>
      </c>
      <c r="H104" s="385"/>
      <c r="I104" s="385" t="s">
        <v>922</v>
      </c>
      <c r="J104" s="385"/>
      <c r="K104" s="385" t="s">
        <v>923</v>
      </c>
      <c r="L104" s="385"/>
      <c r="M104" s="385" t="s">
        <v>924</v>
      </c>
      <c r="N104" s="385"/>
      <c r="O104" s="385" t="s">
        <v>793</v>
      </c>
      <c r="P104" s="385"/>
      <c r="Q104" s="386">
        <v>33.22</v>
      </c>
      <c r="R104" s="385"/>
      <c r="S104" s="386">
        <f t="shared" si="1"/>
        <v>21958.36</v>
      </c>
      <c r="T104" s="203"/>
      <c r="U104" s="203"/>
      <c r="V104" s="203"/>
      <c r="W104" s="203"/>
      <c r="X104" s="203"/>
      <c r="Y104" s="203"/>
      <c r="Z104" s="203"/>
      <c r="AA104" s="203"/>
    </row>
    <row r="105" spans="1:27" ht="15.75" thickBot="1">
      <c r="A105" s="385"/>
      <c r="B105" s="385"/>
      <c r="C105" s="385"/>
      <c r="D105" s="385"/>
      <c r="E105" s="385" t="s">
        <v>868</v>
      </c>
      <c r="F105" s="385"/>
      <c r="G105" s="434">
        <v>44196</v>
      </c>
      <c r="H105" s="385"/>
      <c r="I105" s="385" t="s">
        <v>869</v>
      </c>
      <c r="J105" s="385"/>
      <c r="K105" s="385" t="s">
        <v>952</v>
      </c>
      <c r="L105" s="385"/>
      <c r="M105" s="385" t="s">
        <v>953</v>
      </c>
      <c r="N105" s="385"/>
      <c r="O105" s="385"/>
      <c r="P105" s="385"/>
      <c r="Q105" s="386">
        <v>-1062.55</v>
      </c>
      <c r="R105" s="385"/>
      <c r="S105" s="386">
        <f t="shared" si="1"/>
        <v>20895.810000000001</v>
      </c>
      <c r="T105" s="203"/>
      <c r="U105" s="203"/>
      <c r="V105" s="203"/>
      <c r="W105" s="203"/>
      <c r="X105" s="203"/>
      <c r="Y105" s="203"/>
      <c r="Z105" s="203"/>
      <c r="AA105" s="203"/>
    </row>
    <row r="106" spans="1:27" ht="15.75" thickBot="1">
      <c r="A106" s="385"/>
      <c r="B106" s="385" t="s">
        <v>962</v>
      </c>
      <c r="C106" s="385"/>
      <c r="D106" s="385"/>
      <c r="E106" s="385"/>
      <c r="F106" s="385"/>
      <c r="G106" s="434"/>
      <c r="H106" s="385"/>
      <c r="I106" s="385"/>
      <c r="J106" s="385"/>
      <c r="K106" s="385"/>
      <c r="L106" s="385"/>
      <c r="M106" s="385"/>
      <c r="N106" s="385"/>
      <c r="O106" s="385"/>
      <c r="P106" s="385"/>
      <c r="Q106" s="435">
        <f>ROUND(SUM(Q2:Q105),5)</f>
        <v>20895.810000000001</v>
      </c>
      <c r="R106" s="385"/>
      <c r="S106" s="435">
        <f>S105</f>
        <v>20895.810000000001</v>
      </c>
      <c r="T106" s="203"/>
      <c r="U106" s="203"/>
      <c r="V106" s="203"/>
      <c r="W106" s="203"/>
      <c r="X106" s="203"/>
      <c r="Y106" s="203"/>
      <c r="Z106" s="203"/>
      <c r="AA106" s="203"/>
    </row>
    <row r="107" spans="1:27" ht="15.75" thickBot="1">
      <c r="A107" s="374" t="s">
        <v>142</v>
      </c>
      <c r="B107" s="374"/>
      <c r="C107" s="374"/>
      <c r="D107" s="374"/>
      <c r="E107" s="374"/>
      <c r="F107" s="374"/>
      <c r="G107" s="433"/>
      <c r="H107" s="374"/>
      <c r="I107" s="374"/>
      <c r="J107" s="374"/>
      <c r="K107" s="374"/>
      <c r="L107" s="374"/>
      <c r="M107" s="374"/>
      <c r="N107" s="374"/>
      <c r="O107" s="374"/>
      <c r="P107" s="374"/>
      <c r="Q107" s="389">
        <f>Q106</f>
        <v>20895.810000000001</v>
      </c>
      <c r="R107" s="374"/>
      <c r="S107" s="389">
        <f>S106</f>
        <v>20895.810000000001</v>
      </c>
      <c r="T107" s="203"/>
      <c r="U107" s="203"/>
      <c r="V107" s="203"/>
      <c r="W107" s="203"/>
      <c r="X107" s="203"/>
      <c r="Y107" s="203"/>
      <c r="Z107" s="203"/>
      <c r="AA107" s="203"/>
    </row>
    <row r="108" spans="1:27" ht="16.5" thickTop="1">
      <c r="A108" s="225"/>
      <c r="B108" s="225"/>
      <c r="C108" s="225"/>
      <c r="D108" s="225"/>
      <c r="E108" s="225"/>
      <c r="F108" s="225"/>
      <c r="G108" s="225"/>
      <c r="H108" s="225"/>
      <c r="I108" s="225"/>
      <c r="J108" s="225"/>
      <c r="K108" s="225"/>
      <c r="L108" s="225"/>
      <c r="M108" s="225"/>
      <c r="N108" s="225"/>
      <c r="O108" s="225"/>
      <c r="P108" s="225"/>
      <c r="Q108" s="225"/>
      <c r="R108" s="225"/>
      <c r="S108" s="225"/>
      <c r="T108" s="203"/>
      <c r="U108" s="203"/>
      <c r="V108" s="203"/>
      <c r="W108" s="203"/>
      <c r="X108" s="203"/>
      <c r="Y108" s="203"/>
      <c r="Z108" s="203"/>
      <c r="AA108" s="203"/>
    </row>
    <row r="109" spans="1:27">
      <c r="A109" s="203"/>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c r="AA109" s="203"/>
    </row>
    <row r="110" spans="1:27">
      <c r="A110" s="203"/>
      <c r="B110" s="203"/>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c r="AA110" s="203"/>
    </row>
    <row r="111" spans="1:27">
      <c r="A111" s="203"/>
      <c r="B111" s="203"/>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row>
    <row r="112" spans="1:27">
      <c r="A112" s="203"/>
      <c r="B112" s="203"/>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row>
    <row r="113" spans="1:27">
      <c r="A113" s="203"/>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row>
    <row r="114" spans="1:27">
      <c r="A114" s="203"/>
      <c r="B114" s="203"/>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row>
    <row r="115" spans="1:27">
      <c r="A115" s="203"/>
      <c r="B115" s="203"/>
      <c r="C115" s="203"/>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row>
    <row r="116" spans="1:27">
      <c r="A116" s="203"/>
      <c r="B116" s="203"/>
      <c r="C116" s="203"/>
      <c r="D116" s="203"/>
      <c r="E116" s="203"/>
      <c r="F116" s="203"/>
      <c r="G116" s="203"/>
      <c r="H116" s="203"/>
      <c r="I116" s="203"/>
      <c r="J116" s="203"/>
      <c r="K116" s="203"/>
      <c r="L116" s="203"/>
      <c r="M116" s="203"/>
      <c r="N116" s="203"/>
      <c r="O116" s="203"/>
      <c r="P116" s="203"/>
      <c r="Q116" s="203"/>
      <c r="R116" s="203"/>
      <c r="S116" s="203"/>
      <c r="T116" s="203"/>
      <c r="U116" s="203"/>
      <c r="V116" s="203"/>
      <c r="W116" s="203"/>
      <c r="X116" s="203"/>
      <c r="Y116" s="203"/>
      <c r="Z116" s="203"/>
      <c r="AA116" s="203"/>
    </row>
    <row r="117" spans="1:27">
      <c r="A117" s="203"/>
      <c r="B117" s="203"/>
      <c r="C117" s="203"/>
      <c r="D117" s="203"/>
      <c r="E117" s="203"/>
      <c r="F117" s="203"/>
      <c r="G117" s="203"/>
      <c r="H117" s="203"/>
      <c r="I117" s="203"/>
      <c r="J117" s="203"/>
      <c r="K117" s="203"/>
      <c r="L117" s="203"/>
      <c r="M117" s="203"/>
      <c r="N117" s="203"/>
      <c r="O117" s="203"/>
      <c r="P117" s="203"/>
      <c r="Q117" s="203"/>
      <c r="R117" s="203"/>
      <c r="S117" s="203"/>
      <c r="T117" s="203"/>
      <c r="U117" s="203"/>
      <c r="V117" s="203"/>
      <c r="W117" s="203"/>
      <c r="X117" s="203"/>
      <c r="Y117" s="203"/>
      <c r="Z117" s="203"/>
      <c r="AA117" s="203"/>
    </row>
    <row r="118" spans="1:27">
      <c r="A118" s="203"/>
      <c r="B118" s="203"/>
      <c r="C118" s="203"/>
      <c r="D118" s="203"/>
      <c r="E118" s="203"/>
      <c r="F118" s="203"/>
      <c r="G118" s="203"/>
      <c r="H118" s="203"/>
      <c r="I118" s="203"/>
      <c r="J118" s="203"/>
      <c r="K118" s="203"/>
      <c r="L118" s="203"/>
      <c r="M118" s="203"/>
      <c r="N118" s="203"/>
      <c r="O118" s="203"/>
      <c r="P118" s="203"/>
      <c r="Q118" s="203"/>
      <c r="R118" s="203"/>
      <c r="S118" s="203"/>
      <c r="T118" s="203"/>
      <c r="U118" s="203"/>
      <c r="V118" s="203"/>
      <c r="W118" s="203"/>
      <c r="X118" s="203"/>
      <c r="Y118" s="203"/>
      <c r="Z118" s="203"/>
      <c r="AA118" s="203"/>
    </row>
    <row r="119" spans="1:27">
      <c r="A119" s="203"/>
      <c r="B119" s="203"/>
      <c r="C119" s="203"/>
      <c r="D119" s="203"/>
      <c r="E119" s="203"/>
      <c r="F119" s="203"/>
      <c r="G119" s="203"/>
      <c r="H119" s="203"/>
      <c r="I119" s="203"/>
      <c r="J119" s="203"/>
      <c r="K119" s="203"/>
      <c r="L119" s="203"/>
      <c r="M119" s="203"/>
      <c r="N119" s="203"/>
      <c r="O119" s="203"/>
      <c r="P119" s="203"/>
      <c r="Q119" s="203"/>
      <c r="R119" s="203"/>
      <c r="S119" s="203"/>
      <c r="T119" s="203"/>
      <c r="U119" s="203"/>
      <c r="V119" s="203"/>
      <c r="W119" s="203"/>
      <c r="X119" s="203"/>
      <c r="Y119" s="203"/>
      <c r="Z119" s="203"/>
      <c r="AA119" s="203"/>
    </row>
    <row r="120" spans="1:27">
      <c r="A120" s="203"/>
      <c r="B120" s="203"/>
      <c r="C120" s="203"/>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c r="Z120" s="203"/>
      <c r="AA120" s="203"/>
    </row>
    <row r="121" spans="1:27">
      <c r="A121" s="203"/>
      <c r="B121" s="203"/>
      <c r="C121" s="203"/>
      <c r="D121" s="203"/>
      <c r="E121" s="203"/>
      <c r="F121" s="203"/>
      <c r="G121" s="203"/>
      <c r="H121" s="203"/>
      <c r="I121" s="203"/>
      <c r="J121" s="203"/>
      <c r="K121" s="203"/>
      <c r="L121" s="203"/>
      <c r="M121" s="203"/>
      <c r="N121" s="203"/>
      <c r="O121" s="203"/>
      <c r="P121" s="203"/>
      <c r="Q121" s="203"/>
      <c r="R121" s="203"/>
      <c r="S121" s="203"/>
      <c r="T121" s="203"/>
      <c r="U121" s="203"/>
      <c r="V121" s="203"/>
      <c r="W121" s="203"/>
      <c r="X121" s="203"/>
      <c r="Y121" s="203"/>
      <c r="Z121" s="203"/>
      <c r="AA121" s="203"/>
    </row>
    <row r="122" spans="1:27">
      <c r="A122" s="203"/>
      <c r="B122" s="203"/>
      <c r="C122" s="203"/>
      <c r="D122" s="203"/>
      <c r="E122" s="203"/>
      <c r="F122" s="203"/>
      <c r="G122" s="203"/>
      <c r="H122" s="203"/>
      <c r="I122" s="203"/>
      <c r="J122" s="203"/>
      <c r="K122" s="203"/>
      <c r="L122" s="203"/>
      <c r="M122" s="203"/>
      <c r="N122" s="203"/>
      <c r="O122" s="203"/>
      <c r="P122" s="203"/>
      <c r="Q122" s="203"/>
      <c r="R122" s="203"/>
      <c r="S122" s="203"/>
      <c r="T122" s="203"/>
      <c r="U122" s="203"/>
      <c r="V122" s="203"/>
      <c r="W122" s="203"/>
      <c r="X122" s="203"/>
      <c r="Y122" s="203"/>
      <c r="Z122" s="203"/>
      <c r="AA122" s="203"/>
    </row>
    <row r="123" spans="1:27">
      <c r="A123" s="203"/>
      <c r="B123" s="203"/>
      <c r="C123" s="203"/>
      <c r="D123" s="203"/>
      <c r="E123" s="203"/>
      <c r="F123" s="203"/>
      <c r="G123" s="203"/>
      <c r="H123" s="203"/>
      <c r="I123" s="203"/>
      <c r="J123" s="203"/>
      <c r="K123" s="203"/>
      <c r="L123" s="203"/>
      <c r="M123" s="203"/>
      <c r="N123" s="203"/>
      <c r="O123" s="203"/>
      <c r="P123" s="203"/>
      <c r="Q123" s="203"/>
      <c r="R123" s="203"/>
      <c r="S123" s="203"/>
      <c r="T123" s="203"/>
      <c r="U123" s="203"/>
      <c r="V123" s="203"/>
      <c r="W123" s="203"/>
      <c r="X123" s="203"/>
      <c r="Y123" s="203"/>
      <c r="Z123" s="203"/>
      <c r="AA123" s="203"/>
    </row>
    <row r="124" spans="1:27">
      <c r="A124" s="203"/>
      <c r="B124" s="203"/>
      <c r="C124" s="203"/>
      <c r="D124" s="203"/>
      <c r="E124" s="203"/>
      <c r="F124" s="203"/>
      <c r="G124" s="203"/>
      <c r="H124" s="203"/>
      <c r="I124" s="203"/>
      <c r="J124" s="203"/>
      <c r="K124" s="203"/>
      <c r="L124" s="203"/>
      <c r="M124" s="203"/>
      <c r="N124" s="203"/>
      <c r="O124" s="203"/>
      <c r="P124" s="203"/>
      <c r="Q124" s="203"/>
      <c r="R124" s="203"/>
      <c r="S124" s="203"/>
      <c r="T124" s="203"/>
      <c r="U124" s="203"/>
      <c r="V124" s="203"/>
      <c r="W124" s="203"/>
      <c r="X124" s="203"/>
      <c r="Y124" s="203"/>
      <c r="Z124" s="203"/>
      <c r="AA124" s="203"/>
    </row>
    <row r="125" spans="1:27">
      <c r="A125" s="203"/>
      <c r="B125" s="203"/>
      <c r="C125" s="203"/>
      <c r="D125" s="203"/>
      <c r="E125" s="203"/>
      <c r="F125" s="203"/>
      <c r="G125" s="203"/>
      <c r="H125" s="203"/>
      <c r="I125" s="203"/>
      <c r="J125" s="203"/>
      <c r="K125" s="203"/>
      <c r="L125" s="203"/>
      <c r="M125" s="203"/>
      <c r="N125" s="203"/>
      <c r="O125" s="203"/>
      <c r="P125" s="203"/>
      <c r="Q125" s="203"/>
      <c r="R125" s="203"/>
      <c r="S125" s="203"/>
      <c r="T125" s="203"/>
      <c r="U125" s="203"/>
      <c r="V125" s="203"/>
      <c r="W125" s="203"/>
      <c r="X125" s="203"/>
      <c r="Y125" s="203"/>
      <c r="Z125" s="203"/>
      <c r="AA125" s="203"/>
    </row>
    <row r="126" spans="1:27">
      <c r="A126" s="203"/>
      <c r="B126" s="203"/>
      <c r="C126" s="203"/>
      <c r="D126" s="203"/>
      <c r="E126" s="203"/>
      <c r="F126" s="203"/>
      <c r="G126" s="203"/>
      <c r="H126" s="203"/>
      <c r="I126" s="203"/>
      <c r="J126" s="203"/>
      <c r="K126" s="203"/>
      <c r="L126" s="203"/>
      <c r="M126" s="203"/>
      <c r="N126" s="203"/>
      <c r="O126" s="203"/>
      <c r="P126" s="203"/>
      <c r="Q126" s="203"/>
      <c r="R126" s="203"/>
      <c r="S126" s="203"/>
      <c r="T126" s="203"/>
      <c r="U126" s="203"/>
      <c r="V126" s="203"/>
      <c r="W126" s="203"/>
      <c r="X126" s="203"/>
      <c r="Y126" s="203"/>
      <c r="Z126" s="203"/>
      <c r="AA126" s="203"/>
    </row>
    <row r="127" spans="1:27">
      <c r="A127" s="203"/>
      <c r="B127" s="203"/>
      <c r="C127" s="203"/>
      <c r="D127" s="203"/>
      <c r="E127" s="203"/>
      <c r="F127" s="203"/>
      <c r="G127" s="203"/>
      <c r="H127" s="203"/>
      <c r="I127" s="203"/>
      <c r="J127" s="203"/>
      <c r="K127" s="203"/>
      <c r="L127" s="203"/>
      <c r="M127" s="203"/>
      <c r="N127" s="203"/>
      <c r="O127" s="203"/>
      <c r="P127" s="203"/>
      <c r="Q127" s="203"/>
      <c r="R127" s="203"/>
      <c r="S127" s="203"/>
      <c r="T127" s="203"/>
      <c r="U127" s="203"/>
      <c r="V127" s="203"/>
      <c r="W127" s="203"/>
      <c r="X127" s="203"/>
      <c r="Y127" s="203"/>
      <c r="Z127" s="203"/>
      <c r="AA127" s="203"/>
    </row>
    <row r="128" spans="1:27">
      <c r="A128" s="203"/>
      <c r="B128" s="203"/>
      <c r="C128" s="203"/>
      <c r="D128" s="203"/>
      <c r="E128" s="203"/>
      <c r="F128" s="203"/>
      <c r="G128" s="203"/>
      <c r="H128" s="203"/>
      <c r="I128" s="203"/>
      <c r="J128" s="203"/>
      <c r="K128" s="203"/>
      <c r="L128" s="203"/>
      <c r="M128" s="203"/>
      <c r="N128" s="203"/>
      <c r="O128" s="203"/>
      <c r="P128" s="203"/>
      <c r="Q128" s="203"/>
      <c r="R128" s="203"/>
      <c r="S128" s="203"/>
      <c r="T128" s="203"/>
      <c r="U128" s="203"/>
      <c r="V128" s="203"/>
      <c r="W128" s="203"/>
      <c r="X128" s="203"/>
      <c r="Y128" s="203"/>
      <c r="Z128" s="203"/>
      <c r="AA128" s="203"/>
    </row>
    <row r="129" spans="1:27">
      <c r="A129" s="203"/>
      <c r="B129" s="203"/>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c r="AA129" s="203"/>
    </row>
    <row r="130" spans="1:27">
      <c r="A130" s="203"/>
      <c r="B130" s="203"/>
      <c r="C130" s="203"/>
      <c r="D130" s="203"/>
      <c r="E130" s="203"/>
      <c r="F130" s="203"/>
      <c r="G130" s="203"/>
      <c r="H130" s="203"/>
      <c r="I130" s="203"/>
      <c r="J130" s="203"/>
      <c r="K130" s="203"/>
      <c r="L130" s="203"/>
      <c r="M130" s="203"/>
      <c r="N130" s="203"/>
      <c r="O130" s="203"/>
      <c r="P130" s="203"/>
      <c r="Q130" s="203"/>
      <c r="R130" s="203"/>
      <c r="S130" s="203"/>
      <c r="T130" s="203"/>
      <c r="U130" s="203"/>
      <c r="V130" s="203"/>
      <c r="W130" s="203"/>
      <c r="X130" s="203"/>
      <c r="Y130" s="203"/>
      <c r="Z130" s="203"/>
      <c r="AA130" s="203"/>
    </row>
    <row r="131" spans="1:27">
      <c r="A131" s="203"/>
      <c r="B131" s="203"/>
      <c r="C131" s="203"/>
      <c r="D131" s="203"/>
      <c r="E131" s="203"/>
      <c r="F131" s="203"/>
      <c r="G131" s="203"/>
      <c r="H131" s="203"/>
      <c r="I131" s="203"/>
      <c r="J131" s="203"/>
      <c r="K131" s="203"/>
      <c r="L131" s="203"/>
      <c r="M131" s="203"/>
      <c r="N131" s="203"/>
      <c r="O131" s="203"/>
      <c r="P131" s="203"/>
      <c r="Q131" s="203"/>
      <c r="R131" s="203"/>
      <c r="S131" s="203"/>
      <c r="T131" s="203"/>
      <c r="U131" s="203"/>
      <c r="V131" s="203"/>
      <c r="W131" s="203"/>
      <c r="X131" s="203"/>
      <c r="Y131" s="203"/>
      <c r="Z131" s="203"/>
      <c r="AA131" s="203"/>
    </row>
    <row r="132" spans="1:27">
      <c r="A132" s="203"/>
      <c r="B132" s="203"/>
      <c r="C132" s="203"/>
      <c r="D132" s="203"/>
      <c r="E132" s="203"/>
      <c r="F132" s="203"/>
      <c r="G132" s="203"/>
      <c r="H132" s="203"/>
      <c r="I132" s="203"/>
      <c r="J132" s="203"/>
      <c r="K132" s="203"/>
      <c r="L132" s="203"/>
      <c r="M132" s="203"/>
      <c r="N132" s="203"/>
      <c r="O132" s="203"/>
      <c r="P132" s="203"/>
      <c r="Q132" s="203"/>
      <c r="R132" s="203"/>
      <c r="S132" s="203"/>
      <c r="T132" s="203"/>
      <c r="U132" s="203"/>
      <c r="V132" s="203"/>
      <c r="W132" s="203"/>
      <c r="X132" s="203"/>
      <c r="Y132" s="203"/>
      <c r="Z132" s="203"/>
      <c r="AA132" s="203"/>
    </row>
    <row r="133" spans="1:27">
      <c r="A133" s="203"/>
      <c r="B133" s="203"/>
      <c r="C133" s="203"/>
      <c r="D133" s="203"/>
      <c r="E133" s="203"/>
      <c r="F133" s="203"/>
      <c r="G133" s="203"/>
      <c r="H133" s="203"/>
      <c r="I133" s="203"/>
      <c r="J133" s="203"/>
      <c r="K133" s="203"/>
      <c r="L133" s="203"/>
      <c r="M133" s="203"/>
      <c r="N133" s="203"/>
      <c r="O133" s="203"/>
      <c r="P133" s="203"/>
      <c r="Q133" s="203"/>
      <c r="R133" s="203"/>
      <c r="S133" s="203"/>
      <c r="T133" s="203"/>
      <c r="U133" s="203"/>
      <c r="V133" s="203"/>
      <c r="W133" s="203"/>
      <c r="X133" s="203"/>
      <c r="Y133" s="203"/>
      <c r="Z133" s="203"/>
      <c r="AA133" s="203"/>
    </row>
    <row r="134" spans="1:27">
      <c r="A134" s="203"/>
      <c r="B134" s="203"/>
      <c r="C134" s="203"/>
      <c r="D134" s="203"/>
      <c r="E134" s="203"/>
      <c r="F134" s="203"/>
      <c r="G134" s="203"/>
      <c r="H134" s="203"/>
      <c r="I134" s="203"/>
      <c r="J134" s="203"/>
      <c r="K134" s="203"/>
      <c r="L134" s="203"/>
      <c r="M134" s="203"/>
      <c r="N134" s="203"/>
      <c r="O134" s="203"/>
      <c r="P134" s="203"/>
      <c r="Q134" s="203"/>
      <c r="R134" s="203"/>
      <c r="S134" s="203"/>
      <c r="T134" s="203"/>
      <c r="U134" s="203"/>
      <c r="V134" s="203"/>
      <c r="W134" s="203"/>
      <c r="X134" s="203"/>
      <c r="Y134" s="203"/>
      <c r="Z134" s="203"/>
      <c r="AA134" s="203"/>
    </row>
    <row r="135" spans="1:27">
      <c r="A135" s="203"/>
      <c r="B135" s="203"/>
      <c r="C135" s="203"/>
      <c r="D135" s="203"/>
      <c r="E135" s="203"/>
      <c r="F135" s="203"/>
      <c r="G135" s="203"/>
      <c r="H135" s="203"/>
      <c r="I135" s="203"/>
      <c r="J135" s="203"/>
      <c r="K135" s="203"/>
      <c r="L135" s="203"/>
      <c r="M135" s="203"/>
      <c r="N135" s="203"/>
      <c r="O135" s="203"/>
      <c r="P135" s="203"/>
      <c r="Q135" s="203"/>
      <c r="R135" s="203"/>
      <c r="S135" s="203"/>
      <c r="T135" s="203"/>
      <c r="U135" s="203"/>
      <c r="V135" s="203"/>
      <c r="W135" s="203"/>
      <c r="X135" s="203"/>
      <c r="Y135" s="203"/>
      <c r="Z135" s="203"/>
      <c r="AA135" s="203"/>
    </row>
    <row r="136" spans="1:27">
      <c r="A136" s="203"/>
      <c r="B136" s="203"/>
      <c r="C136" s="203"/>
      <c r="D136" s="203"/>
      <c r="E136" s="203"/>
      <c r="F136" s="203"/>
      <c r="G136" s="203"/>
      <c r="H136" s="203"/>
      <c r="I136" s="203"/>
      <c r="J136" s="203"/>
      <c r="K136" s="203"/>
      <c r="L136" s="203"/>
      <c r="M136" s="203"/>
      <c r="N136" s="203"/>
      <c r="O136" s="203"/>
      <c r="P136" s="203"/>
      <c r="Q136" s="203"/>
      <c r="R136" s="203"/>
      <c r="S136" s="203"/>
      <c r="T136" s="203"/>
      <c r="U136" s="203"/>
      <c r="V136" s="203"/>
      <c r="W136" s="203"/>
      <c r="X136" s="203"/>
      <c r="Y136" s="203"/>
      <c r="Z136" s="203"/>
      <c r="AA136" s="203"/>
    </row>
    <row r="137" spans="1:27">
      <c r="A137" s="203"/>
      <c r="B137" s="203"/>
      <c r="C137" s="203"/>
      <c r="D137" s="203"/>
      <c r="E137" s="203"/>
      <c r="F137" s="203"/>
      <c r="G137" s="203"/>
      <c r="H137" s="203"/>
      <c r="I137" s="203"/>
      <c r="J137" s="203"/>
      <c r="K137" s="203"/>
      <c r="L137" s="203"/>
      <c r="M137" s="203"/>
      <c r="N137" s="203"/>
      <c r="O137" s="203"/>
      <c r="P137" s="203"/>
      <c r="Q137" s="203"/>
      <c r="R137" s="203"/>
      <c r="S137" s="203"/>
      <c r="T137" s="203"/>
      <c r="U137" s="203"/>
      <c r="V137" s="203"/>
      <c r="W137" s="203"/>
      <c r="X137" s="203"/>
      <c r="Y137" s="203"/>
      <c r="Z137" s="203"/>
      <c r="AA137" s="203"/>
    </row>
    <row r="138" spans="1:27">
      <c r="A138" s="203"/>
      <c r="B138" s="203"/>
      <c r="C138" s="203"/>
      <c r="D138" s="203"/>
      <c r="E138" s="203"/>
      <c r="F138" s="203"/>
      <c r="G138" s="203"/>
      <c r="H138" s="203"/>
      <c r="I138" s="203"/>
      <c r="J138" s="203"/>
      <c r="K138" s="203"/>
      <c r="L138" s="203"/>
      <c r="M138" s="203"/>
      <c r="N138" s="203"/>
      <c r="O138" s="203"/>
      <c r="P138" s="203"/>
      <c r="Q138" s="203"/>
      <c r="R138" s="203"/>
      <c r="S138" s="203"/>
      <c r="T138" s="203"/>
      <c r="U138" s="203"/>
      <c r="V138" s="203"/>
      <c r="W138" s="203"/>
      <c r="X138" s="203"/>
      <c r="Y138" s="203"/>
      <c r="Z138" s="203"/>
      <c r="AA138" s="203"/>
    </row>
    <row r="139" spans="1:27">
      <c r="A139" s="203"/>
      <c r="B139" s="203"/>
      <c r="C139" s="203"/>
      <c r="D139" s="203"/>
      <c r="E139" s="203"/>
      <c r="F139" s="203"/>
      <c r="G139" s="203"/>
      <c r="H139" s="203"/>
      <c r="I139" s="203"/>
      <c r="J139" s="203"/>
      <c r="K139" s="203"/>
      <c r="L139" s="203"/>
      <c r="M139" s="203"/>
      <c r="N139" s="203"/>
      <c r="O139" s="203"/>
      <c r="P139" s="203"/>
      <c r="Q139" s="203"/>
      <c r="R139" s="203"/>
      <c r="S139" s="203"/>
      <c r="T139" s="203"/>
      <c r="U139" s="203"/>
      <c r="V139" s="203"/>
      <c r="W139" s="203"/>
      <c r="X139" s="203"/>
      <c r="Y139" s="203"/>
      <c r="Z139" s="203"/>
      <c r="AA139" s="203"/>
    </row>
    <row r="140" spans="1:27">
      <c r="A140" s="203"/>
      <c r="B140" s="203"/>
      <c r="C140" s="203"/>
      <c r="D140" s="203"/>
      <c r="E140" s="203"/>
      <c r="F140" s="203"/>
      <c r="G140" s="203"/>
      <c r="H140" s="203"/>
      <c r="I140" s="203"/>
      <c r="J140" s="203"/>
      <c r="K140" s="203"/>
      <c r="L140" s="203"/>
      <c r="M140" s="203"/>
      <c r="N140" s="203"/>
      <c r="O140" s="203"/>
      <c r="P140" s="203"/>
      <c r="Q140" s="203"/>
      <c r="R140" s="203"/>
      <c r="S140" s="203"/>
      <c r="T140" s="203"/>
      <c r="U140" s="203"/>
      <c r="V140" s="203"/>
      <c r="W140" s="203"/>
      <c r="X140" s="203"/>
      <c r="Y140" s="203"/>
      <c r="Z140" s="203"/>
      <c r="AA140" s="203"/>
    </row>
    <row r="141" spans="1:27">
      <c r="A141" s="203"/>
      <c r="B141" s="203"/>
      <c r="C141" s="203"/>
      <c r="D141" s="203"/>
      <c r="E141" s="203"/>
      <c r="F141" s="203"/>
      <c r="G141" s="203"/>
      <c r="H141" s="203"/>
      <c r="I141" s="203"/>
      <c r="J141" s="203"/>
      <c r="K141" s="203"/>
      <c r="L141" s="203"/>
      <c r="M141" s="203"/>
      <c r="N141" s="203"/>
      <c r="O141" s="203"/>
      <c r="P141" s="203"/>
      <c r="Q141" s="203"/>
      <c r="R141" s="203"/>
      <c r="S141" s="203"/>
      <c r="T141" s="203"/>
      <c r="U141" s="203"/>
      <c r="V141" s="203"/>
      <c r="W141" s="203"/>
      <c r="X141" s="203"/>
      <c r="Y141" s="203"/>
      <c r="Z141" s="203"/>
      <c r="AA141" s="203"/>
    </row>
    <row r="142" spans="1:27">
      <c r="A142" s="203"/>
      <c r="B142" s="203"/>
      <c r="C142" s="203"/>
      <c r="D142" s="203"/>
      <c r="E142" s="203"/>
      <c r="F142" s="203"/>
      <c r="G142" s="203"/>
      <c r="H142" s="203"/>
      <c r="I142" s="203"/>
      <c r="J142" s="203"/>
      <c r="K142" s="203"/>
      <c r="L142" s="203"/>
      <c r="M142" s="203"/>
      <c r="N142" s="203"/>
      <c r="O142" s="203"/>
      <c r="P142" s="203"/>
      <c r="Q142" s="203"/>
      <c r="R142" s="203"/>
      <c r="S142" s="203"/>
      <c r="T142" s="203"/>
      <c r="U142" s="203"/>
      <c r="V142" s="203"/>
      <c r="W142" s="203"/>
      <c r="X142" s="203"/>
      <c r="Y142" s="203"/>
      <c r="Z142" s="203"/>
      <c r="AA142" s="203"/>
    </row>
    <row r="143" spans="1:27">
      <c r="A143" s="203"/>
      <c r="B143" s="203"/>
      <c r="C143" s="203"/>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c r="Z143" s="203"/>
      <c r="AA143" s="203"/>
    </row>
    <row r="144" spans="1:27">
      <c r="A144" s="203"/>
      <c r="B144" s="203"/>
      <c r="C144" s="203"/>
      <c r="D144" s="203"/>
      <c r="E144" s="203"/>
      <c r="F144" s="203"/>
      <c r="G144" s="203"/>
      <c r="H144" s="203"/>
      <c r="I144" s="203"/>
      <c r="J144" s="203"/>
      <c r="K144" s="203"/>
      <c r="L144" s="203"/>
      <c r="M144" s="203"/>
      <c r="N144" s="203"/>
      <c r="O144" s="203"/>
      <c r="P144" s="203"/>
      <c r="Q144" s="203"/>
      <c r="R144" s="203"/>
      <c r="S144" s="203"/>
      <c r="T144" s="203"/>
      <c r="U144" s="203"/>
      <c r="V144" s="203"/>
      <c r="W144" s="203"/>
      <c r="X144" s="203"/>
      <c r="Y144" s="203"/>
      <c r="Z144" s="203"/>
      <c r="AA144" s="203"/>
    </row>
    <row r="145" spans="1:27">
      <c r="A145" s="203"/>
      <c r="B145" s="203"/>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035A0-2C3E-4C9C-951A-DA32568202F5}">
  <dimension ref="A1:U49"/>
  <sheetViews>
    <sheetView topLeftCell="A16" workbookViewId="0">
      <selection activeCell="B36" sqref="B36:M43"/>
    </sheetView>
  </sheetViews>
  <sheetFormatPr defaultRowHeight="15"/>
  <cols>
    <col min="1" max="1" width="2.6640625" customWidth="1"/>
    <col min="2" max="2" width="1.88671875" customWidth="1"/>
    <col min="3" max="3" width="2.33203125" customWidth="1"/>
    <col min="4" max="4" width="9.88671875" customWidth="1"/>
    <col min="5" max="5" width="14.109375" customWidth="1"/>
    <col min="6" max="6" width="5.88671875" customWidth="1"/>
    <col min="7" max="7" width="7.5546875" customWidth="1"/>
    <col min="9" max="9" width="1" customWidth="1"/>
    <col min="10" max="10" width="10.44140625" bestFit="1" customWidth="1"/>
    <col min="11" max="11" width="1.21875" customWidth="1"/>
    <col min="12" max="12" width="5.88671875" customWidth="1"/>
    <col min="13" max="13" width="16.109375" customWidth="1"/>
  </cols>
  <sheetData>
    <row r="1" spans="1:21" ht="15.75" thickBot="1">
      <c r="A1" s="228"/>
      <c r="B1" s="228"/>
      <c r="C1" s="228"/>
      <c r="D1" s="228"/>
      <c r="E1" s="228"/>
      <c r="F1" s="228"/>
      <c r="G1" s="228"/>
      <c r="H1" s="228"/>
      <c r="I1" s="228"/>
      <c r="J1" s="228"/>
      <c r="K1" s="228"/>
      <c r="L1" s="228"/>
      <c r="M1" s="438"/>
      <c r="N1" s="228"/>
      <c r="O1" s="228"/>
      <c r="P1" s="228"/>
      <c r="Q1" s="203"/>
      <c r="R1" s="203"/>
      <c r="S1" s="203"/>
      <c r="T1" s="203"/>
      <c r="U1" s="203"/>
    </row>
    <row r="2" spans="1:21" ht="20.25">
      <c r="A2" s="228"/>
      <c r="B2" s="510" t="s">
        <v>963</v>
      </c>
      <c r="C2" s="511"/>
      <c r="D2" s="511"/>
      <c r="E2" s="511"/>
      <c r="F2" s="511"/>
      <c r="G2" s="511"/>
      <c r="H2" s="511"/>
      <c r="I2" s="511"/>
      <c r="J2" s="511"/>
      <c r="K2" s="511"/>
      <c r="L2" s="511"/>
      <c r="M2" s="512"/>
      <c r="N2" s="228"/>
      <c r="O2" s="228"/>
      <c r="P2" s="228"/>
      <c r="Q2" s="203"/>
      <c r="R2" s="203"/>
      <c r="S2" s="203"/>
      <c r="T2" s="203"/>
      <c r="U2" s="203"/>
    </row>
    <row r="3" spans="1:21" ht="21" thickBot="1">
      <c r="A3" s="228"/>
      <c r="B3" s="530" t="str">
        <f>"Due "&amp;TEXT('[3]Cover Sheet'!I56,"mmmm d, yyyy")</f>
        <v>Due May 1, 2021</v>
      </c>
      <c r="C3" s="531"/>
      <c r="D3" s="531"/>
      <c r="E3" s="531"/>
      <c r="F3" s="531"/>
      <c r="G3" s="531"/>
      <c r="H3" s="531"/>
      <c r="I3" s="531"/>
      <c r="J3" s="531"/>
      <c r="K3" s="531"/>
      <c r="L3" s="531"/>
      <c r="M3" s="532"/>
      <c r="N3" s="228"/>
      <c r="O3" s="228"/>
      <c r="P3" s="228"/>
      <c r="Q3" s="203"/>
      <c r="R3" s="203"/>
      <c r="S3" s="203"/>
      <c r="T3" s="203"/>
      <c r="U3" s="203"/>
    </row>
    <row r="4" spans="1:21">
      <c r="A4" s="228"/>
      <c r="B4" s="242"/>
      <c r="C4" s="242"/>
      <c r="D4" s="439" t="s">
        <v>964</v>
      </c>
      <c r="E4" s="242"/>
      <c r="F4" s="242"/>
      <c r="G4" s="242"/>
      <c r="H4" s="242"/>
      <c r="I4" s="242"/>
      <c r="J4" s="242"/>
      <c r="K4" s="242"/>
      <c r="L4" s="548" t="s">
        <v>965</v>
      </c>
      <c r="M4" s="548"/>
      <c r="N4" s="228"/>
      <c r="O4" s="228"/>
      <c r="P4" s="228"/>
      <c r="Q4" s="203"/>
      <c r="R4" s="203"/>
      <c r="S4" s="203"/>
      <c r="T4" s="203"/>
      <c r="U4" s="203"/>
    </row>
    <row r="5" spans="1:21" ht="15.75">
      <c r="A5" s="228"/>
      <c r="B5" s="242"/>
      <c r="C5" s="242"/>
      <c r="D5" s="549" t="str">
        <f>+'[1]Restating Adjustments'!A1</f>
        <v>Carroll-Naslund Disposal Service, Inc.</v>
      </c>
      <c r="E5" s="549"/>
      <c r="F5" s="549"/>
      <c r="G5" s="549"/>
      <c r="H5" s="549"/>
      <c r="I5" s="549"/>
      <c r="J5" s="549"/>
      <c r="K5" s="440"/>
      <c r="L5" s="550">
        <f>'[3]Cover Sheet'!B6</f>
        <v>2020</v>
      </c>
      <c r="M5" s="550"/>
      <c r="N5" s="228"/>
      <c r="O5" s="228"/>
      <c r="P5" s="228"/>
      <c r="Q5" s="203"/>
      <c r="R5" s="203"/>
      <c r="S5" s="203"/>
      <c r="T5" s="203"/>
      <c r="U5" s="203"/>
    </row>
    <row r="6" spans="1:21">
      <c r="A6" s="228"/>
      <c r="B6" s="242"/>
      <c r="C6" s="242"/>
      <c r="D6" s="242"/>
      <c r="E6" s="242"/>
      <c r="F6" s="242"/>
      <c r="G6" s="242"/>
      <c r="H6" s="242"/>
      <c r="I6" s="242"/>
      <c r="J6" s="242"/>
      <c r="K6" s="242"/>
      <c r="L6" s="242"/>
      <c r="M6" s="441"/>
      <c r="N6" s="228"/>
      <c r="O6" s="228"/>
      <c r="P6" s="228"/>
      <c r="Q6" s="203"/>
      <c r="R6" s="203"/>
      <c r="S6" s="203"/>
      <c r="T6" s="203"/>
      <c r="U6" s="203"/>
    </row>
    <row r="7" spans="1:21" ht="40.5" customHeight="1">
      <c r="A7" s="228"/>
      <c r="B7" s="547" t="s">
        <v>966</v>
      </c>
      <c r="C7" s="547"/>
      <c r="D7" s="547"/>
      <c r="E7" s="547"/>
      <c r="F7" s="547"/>
      <c r="G7" s="547"/>
      <c r="H7" s="547"/>
      <c r="I7" s="547"/>
      <c r="J7" s="547"/>
      <c r="K7" s="547"/>
      <c r="L7" s="547"/>
      <c r="M7" s="547"/>
      <c r="N7" s="228"/>
      <c r="O7" s="228"/>
      <c r="P7" s="228"/>
      <c r="Q7" s="203"/>
      <c r="R7" s="203"/>
      <c r="S7" s="203"/>
      <c r="T7" s="203"/>
      <c r="U7" s="203"/>
    </row>
    <row r="8" spans="1:21" ht="51.75" customHeight="1" thickBot="1">
      <c r="A8" s="228"/>
      <c r="B8" s="553" t="s">
        <v>967</v>
      </c>
      <c r="C8" s="553"/>
      <c r="D8" s="553"/>
      <c r="E8" s="553"/>
      <c r="F8" s="553"/>
      <c r="G8" s="553"/>
      <c r="H8" s="553"/>
      <c r="I8" s="553"/>
      <c r="J8" s="553"/>
      <c r="K8" s="553"/>
      <c r="L8" s="553"/>
      <c r="M8" s="553"/>
      <c r="N8" s="228"/>
      <c r="O8" s="228"/>
      <c r="P8" s="228"/>
      <c r="Q8" s="203"/>
      <c r="R8" s="203"/>
      <c r="S8" s="203"/>
      <c r="T8" s="203"/>
      <c r="U8" s="203"/>
    </row>
    <row r="9" spans="1:21" ht="16.5" thickBot="1">
      <c r="A9" s="228"/>
      <c r="B9" s="554" t="s">
        <v>968</v>
      </c>
      <c r="C9" s="555"/>
      <c r="D9" s="555"/>
      <c r="E9" s="555"/>
      <c r="F9" s="555"/>
      <c r="G9" s="555"/>
      <c r="H9" s="555"/>
      <c r="I9" s="555"/>
      <c r="J9" s="555"/>
      <c r="K9" s="555"/>
      <c r="L9" s="555"/>
      <c r="M9" s="556"/>
      <c r="N9" s="228"/>
      <c r="O9" s="228"/>
      <c r="P9" s="228"/>
      <c r="Q9" s="203"/>
      <c r="R9" s="203"/>
      <c r="S9" s="203"/>
      <c r="T9" s="203"/>
      <c r="U9" s="203"/>
    </row>
    <row r="10" spans="1:21">
      <c r="A10" s="228"/>
      <c r="B10" s="442">
        <v>1</v>
      </c>
      <c r="C10" s="439" t="s">
        <v>969</v>
      </c>
      <c r="D10" s="439"/>
      <c r="E10" s="439"/>
      <c r="F10" s="439"/>
      <c r="G10" s="439"/>
      <c r="H10" s="439"/>
      <c r="I10" s="439"/>
      <c r="J10" s="439"/>
      <c r="K10" s="439"/>
      <c r="L10" s="557">
        <f>IF('[3]Sch 8 Revenues'!D23&lt;&gt;"",'[3]Sch 8 Revenues'!D23,"")</f>
        <v>1300495</v>
      </c>
      <c r="M10" s="558"/>
      <c r="N10" s="228"/>
      <c r="O10" s="228"/>
      <c r="P10" s="228"/>
      <c r="Q10" s="203"/>
      <c r="R10" s="203"/>
      <c r="S10" s="203"/>
      <c r="T10" s="203"/>
      <c r="U10" s="203"/>
    </row>
    <row r="11" spans="1:21">
      <c r="A11" s="228"/>
      <c r="B11" s="442">
        <v>2</v>
      </c>
      <c r="C11" s="559" t="s">
        <v>970</v>
      </c>
      <c r="D11" s="559"/>
      <c r="E11" s="559"/>
      <c r="F11" s="559"/>
      <c r="G11" s="559"/>
      <c r="H11" s="559"/>
      <c r="I11" s="439"/>
      <c r="J11" s="443">
        <f>IF(L10&lt;&gt;"",IF(L10&lt;=2000,0,L10),"")</f>
        <v>1300495</v>
      </c>
      <c r="K11" s="439" t="s">
        <v>971</v>
      </c>
      <c r="L11" s="444">
        <v>5.1000000000000004E-3</v>
      </c>
      <c r="M11" s="445">
        <f>IF(L10&lt;&gt;"",IF(L10&lt;=2000,0,IF(J11*L11&lt;=20,20,J11*L11)),"")</f>
        <v>6632.5245000000004</v>
      </c>
      <c r="N11" s="228"/>
      <c r="O11" s="228"/>
      <c r="P11" s="228"/>
      <c r="Q11" s="203"/>
      <c r="R11" s="203"/>
      <c r="S11" s="203"/>
      <c r="T11" s="203"/>
      <c r="U11" s="203"/>
    </row>
    <row r="12" spans="1:21">
      <c r="A12" s="228"/>
      <c r="B12" s="442"/>
      <c r="C12" s="446"/>
      <c r="D12" s="446"/>
      <c r="E12" s="446"/>
      <c r="F12" s="446"/>
      <c r="G12" s="446"/>
      <c r="H12" s="446"/>
      <c r="I12" s="439"/>
      <c r="J12" s="447"/>
      <c r="K12" s="439"/>
      <c r="L12" s="444"/>
      <c r="M12" s="448"/>
      <c r="N12" s="228"/>
      <c r="O12" s="228"/>
      <c r="P12" s="228"/>
      <c r="Q12" s="203"/>
      <c r="R12" s="203"/>
      <c r="S12" s="203"/>
      <c r="T12" s="203"/>
      <c r="U12" s="203"/>
    </row>
    <row r="13" spans="1:21">
      <c r="A13" s="228"/>
      <c r="B13" s="442"/>
      <c r="C13" s="560" t="s">
        <v>972</v>
      </c>
      <c r="D13" s="560"/>
      <c r="E13" s="560"/>
      <c r="F13" s="560"/>
      <c r="G13" s="560"/>
      <c r="H13" s="560"/>
      <c r="I13" s="560"/>
      <c r="J13" s="560"/>
      <c r="K13" s="560"/>
      <c r="L13" s="560"/>
      <c r="M13" s="560"/>
      <c r="N13" s="228"/>
      <c r="O13" s="228"/>
      <c r="P13" s="228"/>
      <c r="Q13" s="203"/>
      <c r="R13" s="203"/>
      <c r="S13" s="203"/>
      <c r="T13" s="203"/>
      <c r="U13" s="203"/>
    </row>
    <row r="14" spans="1:21">
      <c r="A14" s="228"/>
      <c r="B14" s="449"/>
      <c r="C14" s="450"/>
      <c r="D14" s="450"/>
      <c r="E14" s="450"/>
      <c r="F14" s="450"/>
      <c r="G14" s="450"/>
      <c r="H14" s="450"/>
      <c r="I14" s="439"/>
      <c r="J14" s="239"/>
      <c r="K14" s="228"/>
      <c r="L14" s="228"/>
      <c r="M14" s="228"/>
      <c r="N14" s="228"/>
      <c r="O14" s="228"/>
      <c r="P14" s="228"/>
      <c r="Q14" s="203"/>
      <c r="R14" s="203"/>
      <c r="S14" s="203"/>
      <c r="T14" s="203"/>
      <c r="U14" s="203"/>
    </row>
    <row r="15" spans="1:21" ht="15.75" thickBot="1">
      <c r="A15" s="228"/>
      <c r="B15" s="440"/>
      <c r="C15" s="449"/>
      <c r="D15" s="439"/>
      <c r="E15" s="439"/>
      <c r="F15" s="439"/>
      <c r="G15" s="439"/>
      <c r="H15" s="439"/>
      <c r="I15" s="439"/>
      <c r="J15" s="561" t="s">
        <v>973</v>
      </c>
      <c r="K15" s="561"/>
      <c r="L15" s="561"/>
      <c r="M15" s="451" t="s">
        <v>974</v>
      </c>
      <c r="N15" s="228"/>
      <c r="O15" s="228"/>
      <c r="P15" s="228"/>
      <c r="Q15" s="203"/>
      <c r="R15" s="203"/>
      <c r="S15" s="203"/>
      <c r="T15" s="203"/>
      <c r="U15" s="203"/>
    </row>
    <row r="16" spans="1:21" ht="16.5" thickBot="1">
      <c r="A16" s="228"/>
      <c r="B16" s="554" t="s">
        <v>975</v>
      </c>
      <c r="C16" s="555"/>
      <c r="D16" s="555"/>
      <c r="E16" s="555"/>
      <c r="F16" s="555"/>
      <c r="G16" s="555"/>
      <c r="H16" s="555"/>
      <c r="I16" s="555"/>
      <c r="J16" s="555"/>
      <c r="K16" s="555"/>
      <c r="L16" s="555"/>
      <c r="M16" s="556"/>
      <c r="N16" s="228"/>
      <c r="O16" s="228"/>
      <c r="P16" s="228"/>
      <c r="Q16" s="203"/>
      <c r="R16" s="203"/>
      <c r="S16" s="203"/>
      <c r="T16" s="203"/>
      <c r="U16" s="203"/>
    </row>
    <row r="17" spans="1:21" ht="15.75">
      <c r="A17" s="228"/>
      <c r="B17" s="452"/>
      <c r="C17" s="452"/>
      <c r="D17" s="452"/>
      <c r="E17" s="452"/>
      <c r="F17" s="452"/>
      <c r="G17" s="452"/>
      <c r="H17" s="452"/>
      <c r="I17" s="452"/>
      <c r="J17" s="452"/>
      <c r="K17" s="452"/>
      <c r="L17" s="452"/>
      <c r="M17" s="452"/>
      <c r="N17" s="228"/>
      <c r="O17" s="228"/>
      <c r="P17" s="228"/>
      <c r="Q17" s="203"/>
      <c r="R17" s="203"/>
      <c r="S17" s="203"/>
      <c r="T17" s="203"/>
      <c r="U17" s="203"/>
    </row>
    <row r="18" spans="1:21">
      <c r="A18" s="228"/>
      <c r="B18" s="442">
        <v>3</v>
      </c>
      <c r="C18" s="439" t="s">
        <v>976</v>
      </c>
      <c r="D18" s="439"/>
      <c r="E18" s="453"/>
      <c r="F18" s="454"/>
      <c r="G18" s="453"/>
      <c r="H18" s="439"/>
      <c r="I18" s="439"/>
      <c r="J18" s="439"/>
      <c r="K18" s="439"/>
      <c r="L18" s="439"/>
      <c r="M18" s="455"/>
      <c r="N18" s="228"/>
      <c r="O18" s="228"/>
      <c r="P18" s="228"/>
      <c r="Q18" s="203"/>
      <c r="R18" s="203"/>
      <c r="S18" s="203"/>
      <c r="T18" s="203"/>
      <c r="U18" s="203"/>
    </row>
    <row r="19" spans="1:21">
      <c r="A19" s="228"/>
      <c r="B19" s="442" t="s">
        <v>977</v>
      </c>
      <c r="C19" s="439" t="s">
        <v>978</v>
      </c>
      <c r="D19" s="439"/>
      <c r="E19" s="453"/>
      <c r="F19" s="453"/>
      <c r="G19" s="453"/>
      <c r="H19" s="439"/>
      <c r="I19" s="439"/>
      <c r="J19" s="456"/>
      <c r="K19" s="439" t="s">
        <v>971</v>
      </c>
      <c r="L19" s="449">
        <v>0.02</v>
      </c>
      <c r="M19" s="457" t="str">
        <f>IF(J19&lt;&gt;"",J19*L19,"")</f>
        <v/>
      </c>
      <c r="N19" s="228"/>
      <c r="O19" s="228"/>
      <c r="P19" s="228"/>
      <c r="Q19" s="203"/>
      <c r="R19" s="203"/>
      <c r="S19" s="203"/>
      <c r="T19" s="203"/>
      <c r="U19" s="203"/>
    </row>
    <row r="20" spans="1:21">
      <c r="A20" s="228"/>
      <c r="B20" s="442">
        <v>4</v>
      </c>
      <c r="C20" s="439" t="s">
        <v>979</v>
      </c>
      <c r="D20" s="439"/>
      <c r="E20" s="453"/>
      <c r="F20" s="453"/>
      <c r="G20" s="453"/>
      <c r="H20" s="439"/>
      <c r="I20" s="439"/>
      <c r="J20" s="439"/>
      <c r="K20" s="439"/>
      <c r="L20" s="439"/>
      <c r="M20" s="455"/>
      <c r="N20" s="228"/>
      <c r="O20" s="228"/>
      <c r="P20" s="228"/>
      <c r="Q20" s="203"/>
      <c r="R20" s="203"/>
      <c r="S20" s="203"/>
      <c r="T20" s="203"/>
      <c r="U20" s="203"/>
    </row>
    <row r="21" spans="1:21">
      <c r="A21" s="228"/>
      <c r="B21" s="442" t="s">
        <v>980</v>
      </c>
      <c r="C21" s="439" t="s">
        <v>981</v>
      </c>
      <c r="D21" s="439"/>
      <c r="E21" s="453"/>
      <c r="F21" s="453"/>
      <c r="G21" s="453"/>
      <c r="H21" s="458"/>
      <c r="I21" s="449" t="s">
        <v>971</v>
      </c>
      <c r="J21" s="456" t="str">
        <f>IF(H21&lt;&gt;"",J19,"")</f>
        <v/>
      </c>
      <c r="K21" s="439" t="s">
        <v>971</v>
      </c>
      <c r="L21" s="449">
        <v>0.01</v>
      </c>
      <c r="M21" s="457" t="str">
        <f>IF(AND(H21&lt;&gt;"",J21&lt;&gt;""),H21*J21*L21,"")</f>
        <v/>
      </c>
      <c r="N21" s="228"/>
      <c r="O21" s="228"/>
      <c r="P21" s="228"/>
      <c r="Q21" s="203"/>
      <c r="R21" s="203"/>
      <c r="S21" s="203"/>
      <c r="T21" s="203"/>
      <c r="U21" s="203"/>
    </row>
    <row r="22" spans="1:21">
      <c r="A22" s="228"/>
      <c r="B22" s="442">
        <v>5</v>
      </c>
      <c r="C22" s="439" t="s">
        <v>982</v>
      </c>
      <c r="D22" s="439"/>
      <c r="E22" s="453"/>
      <c r="F22" s="453"/>
      <c r="G22" s="453"/>
      <c r="H22" s="439"/>
      <c r="I22" s="439"/>
      <c r="J22" s="439"/>
      <c r="K22" s="439"/>
      <c r="L22" s="439"/>
      <c r="M22" s="457" t="str">
        <f>IF(M19&lt;&gt;"",IF(M21&lt;&gt;"",M19+M21,M19),"")</f>
        <v/>
      </c>
      <c r="N22" s="228"/>
      <c r="O22" s="228"/>
      <c r="P22" s="228"/>
      <c r="Q22" s="203"/>
      <c r="R22" s="203"/>
      <c r="S22" s="203"/>
      <c r="T22" s="203"/>
      <c r="U22" s="203"/>
    </row>
    <row r="23" spans="1:21">
      <c r="A23" s="228"/>
      <c r="B23" s="442"/>
      <c r="C23" s="449"/>
      <c r="D23" s="439"/>
      <c r="E23" s="439"/>
      <c r="F23" s="439"/>
      <c r="G23" s="439"/>
      <c r="H23" s="439"/>
      <c r="I23" s="439"/>
      <c r="J23" s="439"/>
      <c r="K23" s="439"/>
      <c r="L23" s="439"/>
      <c r="M23" s="455"/>
      <c r="N23" s="228"/>
      <c r="O23" s="228"/>
      <c r="P23" s="228"/>
      <c r="Q23" s="203"/>
      <c r="R23" s="203"/>
      <c r="S23" s="203"/>
      <c r="T23" s="203"/>
      <c r="U23" s="203"/>
    </row>
    <row r="24" spans="1:21">
      <c r="A24" s="228"/>
      <c r="B24" s="442">
        <v>6</v>
      </c>
      <c r="C24" s="439" t="s">
        <v>983</v>
      </c>
      <c r="D24" s="439"/>
      <c r="E24" s="453"/>
      <c r="F24" s="453"/>
      <c r="G24" s="453"/>
      <c r="H24" s="439"/>
      <c r="I24" s="439"/>
      <c r="J24" s="439"/>
      <c r="K24" s="439"/>
      <c r="L24" s="439"/>
      <c r="M24" s="457">
        <f>IF(M11&lt;&gt;"",SUM(M11,M22),"")</f>
        <v>6632.5245000000004</v>
      </c>
      <c r="N24" s="228"/>
      <c r="O24" s="228"/>
      <c r="P24" s="228"/>
      <c r="Q24" s="203"/>
      <c r="R24" s="203"/>
      <c r="S24" s="203"/>
      <c r="T24" s="203"/>
      <c r="U24" s="203"/>
    </row>
    <row r="25" spans="1:21">
      <c r="A25" s="228"/>
      <c r="B25" s="449"/>
      <c r="C25" s="446"/>
      <c r="D25" s="446"/>
      <c r="E25" s="446"/>
      <c r="F25" s="446"/>
      <c r="G25" s="446"/>
      <c r="H25" s="439"/>
      <c r="I25" s="439"/>
      <c r="J25" s="439"/>
      <c r="K25" s="439"/>
      <c r="L25" s="439"/>
      <c r="M25" s="455"/>
      <c r="N25" s="228"/>
      <c r="O25" s="228"/>
      <c r="P25" s="228"/>
      <c r="Q25" s="203"/>
      <c r="R25" s="203"/>
      <c r="S25" s="203"/>
      <c r="T25" s="203"/>
      <c r="U25" s="203"/>
    </row>
    <row r="26" spans="1:21">
      <c r="A26" s="228"/>
      <c r="B26" s="440"/>
      <c r="C26" s="449"/>
      <c r="D26" s="439"/>
      <c r="E26" s="439"/>
      <c r="F26" s="439"/>
      <c r="G26" s="439"/>
      <c r="H26" s="439"/>
      <c r="I26" s="439"/>
      <c r="J26" s="561" t="s">
        <v>973</v>
      </c>
      <c r="K26" s="561"/>
      <c r="L26" s="561"/>
      <c r="M26" s="459" t="s">
        <v>984</v>
      </c>
      <c r="N26" s="228"/>
      <c r="O26" s="228"/>
      <c r="P26" s="228"/>
      <c r="Q26" s="203"/>
      <c r="R26" s="203"/>
      <c r="S26" s="203"/>
      <c r="T26" s="203"/>
      <c r="U26" s="203"/>
    </row>
    <row r="27" spans="1:21" ht="15.75" thickBot="1">
      <c r="A27" s="228"/>
      <c r="B27" s="242"/>
      <c r="C27" s="242"/>
      <c r="D27" s="242"/>
      <c r="E27" s="242"/>
      <c r="F27" s="242"/>
      <c r="G27" s="242"/>
      <c r="H27" s="242"/>
      <c r="I27" s="242"/>
      <c r="J27" s="242"/>
      <c r="K27" s="242"/>
      <c r="L27" s="242"/>
      <c r="M27" s="441"/>
      <c r="N27" s="228"/>
      <c r="O27" s="228"/>
      <c r="P27" s="228"/>
      <c r="Q27" s="203"/>
      <c r="R27" s="203"/>
      <c r="S27" s="203"/>
      <c r="T27" s="203"/>
      <c r="U27" s="203"/>
    </row>
    <row r="28" spans="1:21" ht="15.75" thickBot="1">
      <c r="A28" s="228"/>
      <c r="B28" s="562" t="s">
        <v>985</v>
      </c>
      <c r="C28" s="563"/>
      <c r="D28" s="563"/>
      <c r="E28" s="563"/>
      <c r="F28" s="563"/>
      <c r="G28" s="563"/>
      <c r="H28" s="563"/>
      <c r="I28" s="563"/>
      <c r="J28" s="563"/>
      <c r="K28" s="563"/>
      <c r="L28" s="563"/>
      <c r="M28" s="564"/>
      <c r="N28" s="228"/>
      <c r="O28" s="228"/>
      <c r="P28" s="228"/>
      <c r="Q28" s="203"/>
      <c r="R28" s="203"/>
      <c r="S28" s="203"/>
      <c r="T28" s="203"/>
      <c r="U28" s="203"/>
    </row>
    <row r="29" spans="1:21">
      <c r="A29" s="228"/>
      <c r="B29" s="460"/>
      <c r="C29" s="461"/>
      <c r="D29" s="461"/>
      <c r="E29" s="461"/>
      <c r="F29" s="461"/>
      <c r="G29" s="461"/>
      <c r="H29" s="461"/>
      <c r="I29" s="461"/>
      <c r="J29" s="461"/>
      <c r="K29" s="461"/>
      <c r="L29" s="461"/>
      <c r="M29" s="462"/>
      <c r="N29" s="228"/>
      <c r="O29" s="228"/>
      <c r="P29" s="228"/>
      <c r="Q29" s="203"/>
      <c r="R29" s="203"/>
      <c r="S29" s="203"/>
      <c r="T29" s="203"/>
      <c r="U29" s="203"/>
    </row>
    <row r="30" spans="1:21">
      <c r="A30" s="228"/>
      <c r="B30" s="463"/>
      <c r="C30" s="228"/>
      <c r="D30" s="464" t="s">
        <v>986</v>
      </c>
      <c r="E30" s="465"/>
      <c r="F30" s="228"/>
      <c r="G30" s="551" t="s">
        <v>974</v>
      </c>
      <c r="H30" s="551"/>
      <c r="I30" s="228"/>
      <c r="J30" s="565"/>
      <c r="K30" s="565"/>
      <c r="L30" s="565"/>
      <c r="M30" s="466"/>
      <c r="N30" s="228"/>
      <c r="O30" s="228"/>
      <c r="P30" s="228"/>
      <c r="Q30" s="203"/>
      <c r="R30" s="203"/>
      <c r="S30" s="203"/>
      <c r="T30" s="203"/>
      <c r="U30" s="203"/>
    </row>
    <row r="31" spans="1:21">
      <c r="A31" s="228"/>
      <c r="B31" s="463"/>
      <c r="C31" s="228"/>
      <c r="D31" s="467" t="s">
        <v>987</v>
      </c>
      <c r="E31" s="468" t="str">
        <f>"AR"&amp;L5</f>
        <v>AR2020</v>
      </c>
      <c r="F31" s="228"/>
      <c r="G31" s="551" t="s">
        <v>984</v>
      </c>
      <c r="H31" s="551"/>
      <c r="I31" s="228"/>
      <c r="J31" s="552"/>
      <c r="K31" s="552"/>
      <c r="L31" s="552"/>
      <c r="M31" s="466"/>
      <c r="N31" s="228"/>
      <c r="O31" s="228"/>
      <c r="P31" s="228"/>
      <c r="Q31" s="203"/>
      <c r="R31" s="203"/>
      <c r="S31" s="203"/>
      <c r="T31" s="203"/>
      <c r="U31" s="203"/>
    </row>
    <row r="32" spans="1:21">
      <c r="A32" s="228"/>
      <c r="B32" s="463"/>
      <c r="C32" s="228"/>
      <c r="D32" s="467" t="s">
        <v>988</v>
      </c>
      <c r="E32" s="468"/>
      <c r="F32" s="228"/>
      <c r="G32" s="551" t="s">
        <v>989</v>
      </c>
      <c r="H32" s="551"/>
      <c r="I32" s="228"/>
      <c r="J32" s="552"/>
      <c r="K32" s="552"/>
      <c r="L32" s="552"/>
      <c r="M32" s="466"/>
      <c r="N32" s="228"/>
      <c r="O32" s="228"/>
      <c r="P32" s="228"/>
      <c r="Q32" s="203"/>
      <c r="R32" s="203"/>
      <c r="S32" s="203"/>
      <c r="T32" s="203"/>
      <c r="U32" s="203"/>
    </row>
    <row r="33" spans="1:21">
      <c r="A33" s="228"/>
      <c r="B33" s="463"/>
      <c r="C33" s="228"/>
      <c r="D33" s="467"/>
      <c r="E33" s="469"/>
      <c r="F33" s="228"/>
      <c r="G33" s="551" t="s">
        <v>990</v>
      </c>
      <c r="H33" s="551"/>
      <c r="I33" s="228" t="s">
        <v>991</v>
      </c>
      <c r="J33" s="566"/>
      <c r="K33" s="566"/>
      <c r="L33" s="566"/>
      <c r="M33" s="466" t="s">
        <v>992</v>
      </c>
      <c r="N33" s="228"/>
      <c r="O33" s="228"/>
      <c r="P33" s="228"/>
      <c r="Q33" s="203"/>
      <c r="R33" s="203"/>
      <c r="S33" s="203"/>
      <c r="T33" s="203"/>
      <c r="U33" s="203"/>
    </row>
    <row r="34" spans="1:21" ht="15.75" thickBot="1">
      <c r="A34" s="470"/>
      <c r="B34" s="463"/>
      <c r="C34" s="228"/>
      <c r="D34" s="228"/>
      <c r="E34" s="228"/>
      <c r="F34" s="228"/>
      <c r="G34" s="567" t="s">
        <v>993</v>
      </c>
      <c r="H34" s="567"/>
      <c r="I34" s="228"/>
      <c r="J34" s="568"/>
      <c r="K34" s="568"/>
      <c r="L34" s="568"/>
      <c r="M34" s="471"/>
      <c r="N34" s="228"/>
      <c r="O34" s="228"/>
      <c r="P34" s="228"/>
      <c r="Q34" s="203"/>
      <c r="R34" s="203"/>
      <c r="S34" s="203"/>
      <c r="T34" s="203"/>
      <c r="U34" s="203"/>
    </row>
    <row r="35" spans="1:21" ht="16.5" thickTop="1" thickBot="1">
      <c r="A35" s="228"/>
      <c r="B35" s="472"/>
      <c r="C35" s="473"/>
      <c r="D35" s="473"/>
      <c r="E35" s="473"/>
      <c r="F35" s="473"/>
      <c r="G35" s="473"/>
      <c r="H35" s="473"/>
      <c r="I35" s="473"/>
      <c r="J35" s="473"/>
      <c r="K35" s="473"/>
      <c r="L35" s="473"/>
      <c r="M35" s="474"/>
      <c r="N35" s="228"/>
      <c r="O35" s="228"/>
      <c r="P35" s="228"/>
      <c r="Q35" s="203"/>
      <c r="R35" s="203"/>
      <c r="S35" s="203"/>
      <c r="T35" s="203"/>
      <c r="U35" s="203"/>
    </row>
    <row r="36" spans="1:21" ht="15.75">
      <c r="A36" s="228"/>
      <c r="B36" s="225"/>
      <c r="C36" s="225"/>
      <c r="D36" s="225"/>
      <c r="E36" s="225"/>
      <c r="F36" s="225"/>
      <c r="G36" s="225"/>
      <c r="H36" s="225"/>
      <c r="I36" s="225"/>
      <c r="J36" s="225"/>
      <c r="K36" s="225"/>
      <c r="L36" s="225"/>
      <c r="M36" s="318"/>
      <c r="N36" s="228"/>
      <c r="O36" s="228"/>
      <c r="P36" s="228"/>
      <c r="Q36" s="203"/>
      <c r="R36" s="203"/>
      <c r="S36" s="203"/>
      <c r="T36" s="203"/>
      <c r="U36" s="203"/>
    </row>
    <row r="37" spans="1:21" ht="15.75">
      <c r="A37" s="228"/>
      <c r="B37" s="225"/>
      <c r="C37" s="225"/>
      <c r="D37" s="225" t="s">
        <v>207</v>
      </c>
      <c r="E37" s="225"/>
      <c r="F37" s="225"/>
      <c r="G37" s="225"/>
      <c r="H37" s="225"/>
      <c r="I37" s="225"/>
      <c r="J37" s="225"/>
      <c r="K37" s="225"/>
      <c r="L37" s="225"/>
      <c r="M37" s="322">
        <v>6120.05</v>
      </c>
      <c r="N37" s="228"/>
      <c r="O37" s="228"/>
      <c r="P37" s="228"/>
      <c r="Q37" s="203"/>
      <c r="R37" s="203"/>
      <c r="S37" s="203"/>
      <c r="T37" s="203"/>
      <c r="U37" s="203"/>
    </row>
    <row r="38" spans="1:21" ht="15.75">
      <c r="A38" s="228"/>
      <c r="B38" s="225"/>
      <c r="C38" s="225"/>
      <c r="D38" s="225" t="s">
        <v>994</v>
      </c>
      <c r="E38" s="225"/>
      <c r="F38" s="225"/>
      <c r="G38" s="225"/>
      <c r="H38" s="225"/>
      <c r="I38" s="225"/>
      <c r="J38" s="225"/>
      <c r="K38" s="225"/>
      <c r="L38" s="225"/>
      <c r="M38" s="224">
        <f>+M24-M37</f>
        <v>512.47450000000026</v>
      </c>
      <c r="N38" s="228"/>
      <c r="O38" s="228"/>
      <c r="P38" s="228"/>
      <c r="Q38" s="203"/>
      <c r="R38" s="203"/>
      <c r="S38" s="203"/>
      <c r="T38" s="203"/>
      <c r="U38" s="203"/>
    </row>
    <row r="39" spans="1:21" ht="15.75">
      <c r="A39" s="228"/>
      <c r="B39" s="225"/>
      <c r="C39" s="225"/>
      <c r="D39" s="225"/>
      <c r="E39" s="225"/>
      <c r="F39" s="225"/>
      <c r="G39" s="225"/>
      <c r="H39" s="225"/>
      <c r="I39" s="225"/>
      <c r="J39" s="225"/>
      <c r="K39" s="225"/>
      <c r="L39" s="225"/>
      <c r="M39" s="224"/>
      <c r="N39" s="228"/>
      <c r="O39" s="228"/>
      <c r="P39" s="228"/>
      <c r="Q39" s="203"/>
      <c r="R39" s="203"/>
      <c r="S39" s="203"/>
      <c r="T39" s="203"/>
      <c r="U39" s="203"/>
    </row>
    <row r="40" spans="1:21" ht="15.75">
      <c r="A40" s="228"/>
      <c r="B40" s="225"/>
      <c r="C40" s="225"/>
      <c r="D40" s="225"/>
      <c r="E40" s="225"/>
      <c r="F40" s="225"/>
      <c r="G40" s="225"/>
      <c r="H40" s="225"/>
      <c r="I40" s="225"/>
      <c r="J40" s="225"/>
      <c r="K40" s="225"/>
      <c r="L40" s="225"/>
      <c r="M40" s="224"/>
      <c r="N40" s="228"/>
      <c r="O40" s="228"/>
      <c r="P40" s="228"/>
      <c r="Q40" s="203"/>
      <c r="R40" s="203"/>
      <c r="S40" s="203"/>
      <c r="T40" s="203"/>
      <c r="U40" s="203"/>
    </row>
    <row r="41" spans="1:21" ht="15.75">
      <c r="A41" s="203"/>
      <c r="B41" s="475"/>
      <c r="C41" s="475"/>
      <c r="D41" s="475"/>
      <c r="E41" s="475"/>
      <c r="F41" s="475"/>
      <c r="G41" s="475"/>
      <c r="H41" s="475"/>
      <c r="I41" s="475"/>
      <c r="J41" s="475"/>
      <c r="K41" s="475"/>
      <c r="L41" s="475"/>
      <c r="M41" s="475"/>
      <c r="N41" s="203"/>
      <c r="O41" s="203"/>
      <c r="P41" s="203"/>
      <c r="Q41" s="203"/>
      <c r="R41" s="203"/>
      <c r="S41" s="203"/>
      <c r="T41" s="203"/>
      <c r="U41" s="203"/>
    </row>
    <row r="42" spans="1:21" ht="15.75">
      <c r="A42" s="203"/>
      <c r="B42" s="475"/>
      <c r="C42" s="475"/>
      <c r="D42" s="475"/>
      <c r="E42" s="475"/>
      <c r="F42" s="475"/>
      <c r="G42" s="475"/>
      <c r="H42" s="475"/>
      <c r="I42" s="475"/>
      <c r="J42" s="475"/>
      <c r="K42" s="475"/>
      <c r="L42" s="475"/>
      <c r="M42" s="475"/>
      <c r="N42" s="203"/>
      <c r="O42" s="203"/>
      <c r="P42" s="203"/>
      <c r="Q42" s="203"/>
      <c r="R42" s="203"/>
      <c r="S42" s="203"/>
      <c r="T42" s="203"/>
      <c r="U42" s="203"/>
    </row>
    <row r="43" spans="1:21" ht="15.75">
      <c r="A43" s="203"/>
      <c r="B43" s="475"/>
      <c r="C43" s="475"/>
      <c r="D43" s="475"/>
      <c r="E43" s="475"/>
      <c r="F43" s="475"/>
      <c r="G43" s="475"/>
      <c r="H43" s="475"/>
      <c r="I43" s="475"/>
      <c r="J43" s="475"/>
      <c r="K43" s="475"/>
      <c r="L43" s="475"/>
      <c r="M43" s="475"/>
      <c r="N43" s="203"/>
      <c r="O43" s="203"/>
      <c r="P43" s="203"/>
      <c r="Q43" s="203"/>
      <c r="R43" s="203"/>
      <c r="S43" s="203"/>
      <c r="T43" s="203"/>
      <c r="U43" s="203"/>
    </row>
    <row r="44" spans="1:21">
      <c r="A44" s="203"/>
      <c r="B44" s="203"/>
      <c r="C44" s="203"/>
      <c r="D44" s="203"/>
      <c r="E44" s="203"/>
      <c r="F44" s="203"/>
      <c r="G44" s="203"/>
      <c r="H44" s="203"/>
      <c r="I44" s="203"/>
      <c r="J44" s="203"/>
      <c r="K44" s="203"/>
      <c r="L44" s="203"/>
      <c r="M44" s="203"/>
      <c r="N44" s="203"/>
      <c r="O44" s="203"/>
      <c r="P44" s="203"/>
      <c r="Q44" s="203"/>
      <c r="R44" s="203"/>
      <c r="S44" s="203"/>
      <c r="T44" s="203"/>
      <c r="U44" s="203"/>
    </row>
    <row r="45" spans="1:21">
      <c r="A45" s="203"/>
      <c r="B45" s="203"/>
      <c r="C45" s="203"/>
      <c r="D45" s="203"/>
      <c r="E45" s="203"/>
      <c r="F45" s="203"/>
      <c r="G45" s="203"/>
      <c r="H45" s="203"/>
      <c r="I45" s="203"/>
      <c r="J45" s="203"/>
      <c r="K45" s="203"/>
      <c r="L45" s="203"/>
      <c r="M45" s="203"/>
      <c r="N45" s="203"/>
      <c r="O45" s="203"/>
      <c r="P45" s="203"/>
      <c r="Q45" s="203"/>
      <c r="R45" s="203"/>
      <c r="S45" s="203"/>
      <c r="T45" s="203"/>
      <c r="U45" s="203"/>
    </row>
    <row r="46" spans="1:21">
      <c r="A46" s="203"/>
      <c r="B46" s="203"/>
      <c r="C46" s="203"/>
      <c r="D46" s="203"/>
      <c r="E46" s="203"/>
      <c r="F46" s="203"/>
      <c r="G46" s="203"/>
      <c r="H46" s="203"/>
      <c r="I46" s="203"/>
      <c r="J46" s="203"/>
      <c r="K46" s="203"/>
      <c r="L46" s="203"/>
      <c r="M46" s="203"/>
      <c r="N46" s="203"/>
      <c r="O46" s="203"/>
      <c r="P46" s="203"/>
      <c r="Q46" s="203"/>
      <c r="R46" s="203"/>
      <c r="S46" s="203"/>
      <c r="T46" s="203"/>
      <c r="U46" s="203"/>
    </row>
    <row r="47" spans="1:21">
      <c r="A47" s="203"/>
      <c r="B47" s="203"/>
      <c r="C47" s="203"/>
      <c r="D47" s="203"/>
      <c r="E47" s="203"/>
      <c r="F47" s="203"/>
      <c r="G47" s="203"/>
      <c r="H47" s="203"/>
      <c r="I47" s="203"/>
      <c r="J47" s="203"/>
      <c r="K47" s="203"/>
      <c r="L47" s="203"/>
      <c r="M47" s="203"/>
      <c r="N47" s="203"/>
      <c r="O47" s="203"/>
      <c r="P47" s="203"/>
      <c r="Q47" s="203"/>
      <c r="R47" s="203"/>
      <c r="S47" s="203"/>
      <c r="T47" s="203"/>
      <c r="U47" s="203"/>
    </row>
    <row r="48" spans="1:21">
      <c r="A48" s="203"/>
      <c r="B48" s="203"/>
      <c r="C48" s="203"/>
      <c r="D48" s="203"/>
      <c r="E48" s="203"/>
      <c r="F48" s="203"/>
      <c r="G48" s="203"/>
      <c r="H48" s="203"/>
      <c r="I48" s="203"/>
      <c r="J48" s="203"/>
      <c r="K48" s="203"/>
      <c r="L48" s="203"/>
      <c r="M48" s="203"/>
      <c r="N48" s="203"/>
      <c r="O48" s="203"/>
      <c r="P48" s="203"/>
      <c r="Q48" s="203"/>
      <c r="R48" s="203"/>
      <c r="S48" s="203"/>
      <c r="T48" s="203"/>
      <c r="U48" s="203"/>
    </row>
    <row r="49" spans="1:21">
      <c r="A49" s="203"/>
      <c r="B49" s="203"/>
      <c r="C49" s="203"/>
      <c r="D49" s="203"/>
      <c r="E49" s="203"/>
      <c r="F49" s="203"/>
      <c r="G49" s="203"/>
      <c r="H49" s="203"/>
      <c r="I49" s="203"/>
      <c r="J49" s="203"/>
      <c r="K49" s="203"/>
      <c r="L49" s="203"/>
      <c r="M49" s="203"/>
      <c r="N49" s="203"/>
      <c r="O49" s="203"/>
      <c r="P49" s="203"/>
      <c r="Q49" s="203"/>
      <c r="R49" s="203"/>
      <c r="S49" s="203"/>
      <c r="T49" s="203"/>
      <c r="U49" s="203"/>
    </row>
  </sheetData>
  <mergeCells count="25">
    <mergeCell ref="G32:H32"/>
    <mergeCell ref="J32:L32"/>
    <mergeCell ref="G33:H33"/>
    <mergeCell ref="J33:L33"/>
    <mergeCell ref="G34:H34"/>
    <mergeCell ref="J34:L34"/>
    <mergeCell ref="G31:H31"/>
    <mergeCell ref="J31:L31"/>
    <mergeCell ref="B8:M8"/>
    <mergeCell ref="B9:M9"/>
    <mergeCell ref="L10:M10"/>
    <mergeCell ref="C11:H11"/>
    <mergeCell ref="C13:M13"/>
    <mergeCell ref="J15:L15"/>
    <mergeCell ref="B16:M16"/>
    <mergeCell ref="J26:L26"/>
    <mergeCell ref="B28:M28"/>
    <mergeCell ref="G30:H30"/>
    <mergeCell ref="J30:L30"/>
    <mergeCell ref="B7:M7"/>
    <mergeCell ref="B2:M2"/>
    <mergeCell ref="B3:M3"/>
    <mergeCell ref="L4:M4"/>
    <mergeCell ref="D5:J5"/>
    <mergeCell ref="L5:M5"/>
  </mergeCells>
  <dataValidations count="2">
    <dataValidation allowBlank="1" showInputMessage="1" showErrorMessage="1" promptTitle="Months" prompt="Input Number of Months since May 31." sqref="H21" xr:uid="{66118395-7072-472B-BEB6-2039459F146B}"/>
    <dataValidation allowBlank="1" showInputMessage="1" showErrorMessage="1" promptTitle="Input Line 2" prompt="Input results of Line 2." sqref="J21 J19" xr:uid="{957FFD8C-7777-41FC-A163-6D7203C43573}"/>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83718-4C35-4008-A1CA-C25E958B4B2D}">
  <dimension ref="A1:AE77"/>
  <sheetViews>
    <sheetView topLeftCell="A34" workbookViewId="0">
      <selection activeCell="K18" sqref="K18"/>
    </sheetView>
  </sheetViews>
  <sheetFormatPr defaultRowHeight="15"/>
  <cols>
    <col min="1" max="1" width="2.33203125" customWidth="1"/>
    <col min="2" max="2" width="10.5546875" customWidth="1"/>
    <col min="3" max="3" width="1.77734375" customWidth="1"/>
    <col min="4" max="4" width="5.77734375" customWidth="1"/>
    <col min="5" max="5" width="8.77734375" bestFit="1" customWidth="1"/>
    <col min="6" max="6" width="4.109375" bestFit="1" customWidth="1"/>
    <col min="7" max="7" width="30.5546875" bestFit="1" customWidth="1"/>
    <col min="8" max="8" width="1.77734375" customWidth="1"/>
    <col min="9" max="9" width="19.88671875" bestFit="1" customWidth="1"/>
    <col min="10" max="10" width="1.77734375" customWidth="1"/>
    <col min="11" max="11" width="6.44140625" bestFit="1" customWidth="1"/>
    <col min="12" max="12" width="1.77734375" customWidth="1"/>
    <col min="13" max="13" width="21.77734375" bestFit="1" customWidth="1"/>
    <col min="14" max="14" width="1.77734375" customWidth="1"/>
    <col min="15" max="15" width="7.88671875" bestFit="1" customWidth="1"/>
    <col min="16" max="16" width="1.77734375" customWidth="1"/>
    <col min="17" max="17" width="7.88671875" bestFit="1" customWidth="1"/>
    <col min="18" max="18" width="2.77734375" customWidth="1"/>
    <col min="19" max="19" width="7.88671875" bestFit="1" customWidth="1"/>
    <col min="20" max="20" width="7.21875" bestFit="1" customWidth="1"/>
    <col min="21" max="21" width="10.44140625" customWidth="1"/>
    <col min="22" max="22" width="8.44140625" customWidth="1"/>
    <col min="23" max="24" width="7.21875" bestFit="1" customWidth="1"/>
  </cols>
  <sheetData>
    <row r="1" spans="1:31" ht="32.25" thickBot="1">
      <c r="A1" s="476"/>
      <c r="B1" s="476"/>
      <c r="C1" s="476"/>
      <c r="D1" s="477" t="s">
        <v>45</v>
      </c>
      <c r="E1" s="477" t="s">
        <v>782</v>
      </c>
      <c r="F1" s="477" t="s">
        <v>783</v>
      </c>
      <c r="G1" s="477" t="s">
        <v>784</v>
      </c>
      <c r="H1" s="476"/>
      <c r="I1" s="477" t="s">
        <v>785</v>
      </c>
      <c r="J1" s="476"/>
      <c r="K1" s="477" t="s">
        <v>786</v>
      </c>
      <c r="L1" s="476"/>
      <c r="M1" s="477" t="s">
        <v>787</v>
      </c>
      <c r="N1" s="476"/>
      <c r="O1" s="477" t="s">
        <v>47</v>
      </c>
      <c r="P1" s="476"/>
      <c r="Q1" s="477" t="s">
        <v>788</v>
      </c>
      <c r="R1" s="478"/>
      <c r="S1" s="478" t="s">
        <v>995</v>
      </c>
      <c r="T1" s="479" t="s">
        <v>996</v>
      </c>
      <c r="U1" s="478" t="s">
        <v>997</v>
      </c>
      <c r="V1" s="479" t="s">
        <v>998</v>
      </c>
      <c r="W1" s="478" t="s">
        <v>999</v>
      </c>
      <c r="X1" s="479" t="s">
        <v>1000</v>
      </c>
      <c r="Y1" s="478"/>
      <c r="Z1" s="478"/>
      <c r="AA1" s="228"/>
      <c r="AB1" s="228"/>
      <c r="AC1" s="228"/>
      <c r="AD1" s="228"/>
      <c r="AE1" s="228"/>
    </row>
    <row r="2" spans="1:31" ht="16.5" thickTop="1">
      <c r="A2" s="480"/>
      <c r="B2" s="480" t="s">
        <v>175</v>
      </c>
      <c r="C2" s="480"/>
      <c r="D2" s="480"/>
      <c r="E2" s="481"/>
      <c r="F2" s="480"/>
      <c r="G2" s="480"/>
      <c r="H2" s="480"/>
      <c r="I2" s="480"/>
      <c r="J2" s="480"/>
      <c r="K2" s="480"/>
      <c r="L2" s="480"/>
      <c r="M2" s="480"/>
      <c r="N2" s="480"/>
      <c r="O2" s="482"/>
      <c r="P2" s="480"/>
      <c r="Q2" s="482"/>
      <c r="R2" s="483"/>
      <c r="S2" s="484"/>
      <c r="T2" s="484"/>
      <c r="U2" s="484"/>
      <c r="V2" s="484"/>
      <c r="W2" s="484"/>
      <c r="X2" s="484"/>
      <c r="Y2" s="483"/>
      <c r="Z2" s="483"/>
      <c r="AA2" s="228"/>
      <c r="AB2" s="228"/>
      <c r="AC2" s="228"/>
      <c r="AD2" s="228"/>
      <c r="AE2" s="228"/>
    </row>
    <row r="3" spans="1:31" ht="15.75">
      <c r="A3" s="485"/>
      <c r="B3" s="485"/>
      <c r="C3" s="485"/>
      <c r="D3" s="485" t="s">
        <v>798</v>
      </c>
      <c r="E3" s="486">
        <v>43843</v>
      </c>
      <c r="F3" s="485"/>
      <c r="G3" s="485" t="s">
        <v>1001</v>
      </c>
      <c r="H3" s="485"/>
      <c r="I3" s="485"/>
      <c r="J3" s="485"/>
      <c r="K3" s="485" t="s">
        <v>793</v>
      </c>
      <c r="L3" s="485"/>
      <c r="M3" s="485" t="s">
        <v>801</v>
      </c>
      <c r="N3" s="485"/>
      <c r="O3" s="487">
        <v>514.49</v>
      </c>
      <c r="P3" s="485"/>
      <c r="Q3" s="487">
        <f t="shared" ref="Q3:Q45" si="0">ROUND(Q2+O3,5)</f>
        <v>514.49</v>
      </c>
      <c r="R3" s="483"/>
      <c r="S3" s="484">
        <f>+Q3</f>
        <v>514.49</v>
      </c>
      <c r="T3" s="484"/>
      <c r="U3" s="484"/>
      <c r="V3" s="484"/>
      <c r="W3" s="484"/>
      <c r="X3" s="484"/>
      <c r="Y3" s="483"/>
      <c r="Z3" s="483"/>
      <c r="AA3" s="228"/>
      <c r="AB3" s="228"/>
      <c r="AC3" s="228"/>
      <c r="AD3" s="228"/>
      <c r="AE3" s="228"/>
    </row>
    <row r="4" spans="1:31" ht="15.75">
      <c r="A4" s="485"/>
      <c r="B4" s="485"/>
      <c r="C4" s="485"/>
      <c r="D4" s="485" t="s">
        <v>798</v>
      </c>
      <c r="E4" s="486">
        <v>43854</v>
      </c>
      <c r="F4" s="485"/>
      <c r="G4" s="485" t="s">
        <v>1002</v>
      </c>
      <c r="H4" s="485"/>
      <c r="I4" s="485" t="s">
        <v>1003</v>
      </c>
      <c r="J4" s="485"/>
      <c r="K4" s="485" t="s">
        <v>793</v>
      </c>
      <c r="L4" s="485"/>
      <c r="M4" s="485" t="s">
        <v>801</v>
      </c>
      <c r="N4" s="485"/>
      <c r="O4" s="487">
        <v>265.14999999999998</v>
      </c>
      <c r="P4" s="485"/>
      <c r="Q4" s="487">
        <f t="shared" si="0"/>
        <v>779.64</v>
      </c>
      <c r="R4" s="483"/>
      <c r="S4" s="484"/>
      <c r="T4" s="484">
        <f>+O4</f>
        <v>265.14999999999998</v>
      </c>
      <c r="U4" s="484"/>
      <c r="V4" s="484"/>
      <c r="W4" s="484"/>
      <c r="X4" s="484"/>
      <c r="Y4" s="483"/>
      <c r="Z4" s="483"/>
      <c r="AA4" s="228"/>
      <c r="AB4" s="228"/>
      <c r="AC4" s="228"/>
      <c r="AD4" s="228"/>
      <c r="AE4" s="228"/>
    </row>
    <row r="5" spans="1:31" ht="47.25">
      <c r="A5" s="485"/>
      <c r="B5" s="485"/>
      <c r="C5" s="485"/>
      <c r="D5" s="488" t="s">
        <v>795</v>
      </c>
      <c r="E5" s="486">
        <v>43861</v>
      </c>
      <c r="F5" s="485"/>
      <c r="G5" s="485" t="s">
        <v>1004</v>
      </c>
      <c r="H5" s="485"/>
      <c r="I5" s="485" t="s">
        <v>1005</v>
      </c>
      <c r="J5" s="485"/>
      <c r="K5" s="485" t="s">
        <v>793</v>
      </c>
      <c r="L5" s="485"/>
      <c r="M5" s="485" t="s">
        <v>797</v>
      </c>
      <c r="N5" s="485"/>
      <c r="O5" s="487">
        <v>297.89999999999998</v>
      </c>
      <c r="P5" s="485"/>
      <c r="Q5" s="487">
        <f t="shared" si="0"/>
        <v>1077.54</v>
      </c>
      <c r="R5" s="483"/>
      <c r="S5" s="484"/>
      <c r="T5" s="484"/>
      <c r="U5" s="484">
        <f>+O5</f>
        <v>297.89999999999998</v>
      </c>
      <c r="V5" s="484"/>
      <c r="W5" s="484"/>
      <c r="X5" s="484"/>
      <c r="Y5" s="483"/>
      <c r="Z5" s="483"/>
      <c r="AA5" s="228"/>
      <c r="AB5" s="228"/>
      <c r="AC5" s="228"/>
      <c r="AD5" s="228"/>
      <c r="AE5" s="228"/>
    </row>
    <row r="6" spans="1:31" ht="15.75">
      <c r="A6" s="485"/>
      <c r="B6" s="485"/>
      <c r="C6" s="485"/>
      <c r="D6" s="485" t="s">
        <v>798</v>
      </c>
      <c r="E6" s="486">
        <v>43864</v>
      </c>
      <c r="F6" s="485"/>
      <c r="G6" s="485" t="s">
        <v>1002</v>
      </c>
      <c r="H6" s="485"/>
      <c r="I6" s="485" t="s">
        <v>1003</v>
      </c>
      <c r="J6" s="485"/>
      <c r="K6" s="485" t="s">
        <v>793</v>
      </c>
      <c r="L6" s="485"/>
      <c r="M6" s="485" t="s">
        <v>801</v>
      </c>
      <c r="N6" s="485"/>
      <c r="O6" s="487">
        <v>265.14999999999998</v>
      </c>
      <c r="P6" s="485"/>
      <c r="Q6" s="487">
        <f t="shared" si="0"/>
        <v>1342.69</v>
      </c>
      <c r="R6" s="483"/>
      <c r="S6" s="484">
        <f>+O6</f>
        <v>265.14999999999998</v>
      </c>
      <c r="T6" s="484"/>
      <c r="U6" s="484"/>
      <c r="V6" s="484"/>
      <c r="W6" s="484"/>
      <c r="X6" s="484"/>
      <c r="Y6" s="483"/>
      <c r="Z6" s="483"/>
      <c r="AA6" s="228"/>
      <c r="AB6" s="228"/>
      <c r="AC6" s="228"/>
      <c r="AD6" s="228"/>
      <c r="AE6" s="228"/>
    </row>
    <row r="7" spans="1:31" ht="15.75">
      <c r="A7" s="485"/>
      <c r="B7" s="485"/>
      <c r="C7" s="485"/>
      <c r="D7" s="485" t="s">
        <v>798</v>
      </c>
      <c r="E7" s="486">
        <v>43866</v>
      </c>
      <c r="F7" s="485"/>
      <c r="G7" s="485" t="s">
        <v>1006</v>
      </c>
      <c r="H7" s="485"/>
      <c r="I7" s="485" t="s">
        <v>1007</v>
      </c>
      <c r="J7" s="485"/>
      <c r="K7" s="485"/>
      <c r="L7" s="485"/>
      <c r="M7" s="485" t="s">
        <v>801</v>
      </c>
      <c r="N7" s="485"/>
      <c r="O7" s="487">
        <v>700</v>
      </c>
      <c r="P7" s="485"/>
      <c r="Q7" s="487">
        <f t="shared" si="0"/>
        <v>2042.69</v>
      </c>
      <c r="R7" s="483"/>
      <c r="S7" s="484">
        <f>+O7</f>
        <v>700</v>
      </c>
      <c r="T7" s="484"/>
      <c r="U7" s="484"/>
      <c r="V7" s="484"/>
      <c r="W7" s="484"/>
      <c r="X7" s="484"/>
      <c r="Y7" s="483"/>
      <c r="Z7" s="483"/>
      <c r="AA7" s="228"/>
      <c r="AB7" s="228"/>
      <c r="AC7" s="228"/>
      <c r="AD7" s="228"/>
      <c r="AE7" s="228"/>
    </row>
    <row r="8" spans="1:31" ht="15.75">
      <c r="A8" s="485"/>
      <c r="B8" s="485"/>
      <c r="C8" s="485"/>
      <c r="D8" s="485" t="s">
        <v>798</v>
      </c>
      <c r="E8" s="486">
        <v>43874</v>
      </c>
      <c r="F8" s="485"/>
      <c r="G8" s="485" t="s">
        <v>1001</v>
      </c>
      <c r="H8" s="485"/>
      <c r="I8" s="485"/>
      <c r="J8" s="485"/>
      <c r="K8" s="485" t="s">
        <v>793</v>
      </c>
      <c r="L8" s="485"/>
      <c r="M8" s="485" t="s">
        <v>801</v>
      </c>
      <c r="N8" s="485"/>
      <c r="O8" s="487">
        <v>545.02</v>
      </c>
      <c r="P8" s="485"/>
      <c r="Q8" s="487">
        <f t="shared" si="0"/>
        <v>2587.71</v>
      </c>
      <c r="R8" s="483"/>
      <c r="S8" s="484">
        <f>+O8</f>
        <v>545.02</v>
      </c>
      <c r="T8" s="484"/>
      <c r="U8" s="484"/>
      <c r="V8" s="484"/>
      <c r="W8" s="484"/>
      <c r="X8" s="484"/>
      <c r="Y8" s="483"/>
      <c r="Z8" s="483"/>
      <c r="AA8" s="228"/>
      <c r="AB8" s="228"/>
      <c r="AC8" s="228"/>
      <c r="AD8" s="228"/>
      <c r="AE8" s="228"/>
    </row>
    <row r="9" spans="1:31" ht="15.75">
      <c r="A9" s="485"/>
      <c r="B9" s="485"/>
      <c r="C9" s="485"/>
      <c r="D9" s="485" t="s">
        <v>798</v>
      </c>
      <c r="E9" s="486">
        <v>43886</v>
      </c>
      <c r="F9" s="485"/>
      <c r="G9" s="485" t="s">
        <v>1008</v>
      </c>
      <c r="H9" s="485"/>
      <c r="I9" s="485" t="s">
        <v>1009</v>
      </c>
      <c r="J9" s="485"/>
      <c r="K9" s="485" t="s">
        <v>793</v>
      </c>
      <c r="L9" s="485"/>
      <c r="M9" s="485" t="s">
        <v>801</v>
      </c>
      <c r="N9" s="485"/>
      <c r="O9" s="487">
        <v>519.99</v>
      </c>
      <c r="P9" s="485"/>
      <c r="Q9" s="487">
        <f t="shared" si="0"/>
        <v>3107.7</v>
      </c>
      <c r="R9" s="483"/>
      <c r="S9" s="484"/>
      <c r="T9" s="484"/>
      <c r="U9" s="484"/>
      <c r="V9" s="484">
        <f>+O9</f>
        <v>519.99</v>
      </c>
      <c r="W9" s="484"/>
      <c r="X9" s="484"/>
      <c r="Y9" s="483"/>
      <c r="Z9" s="483"/>
      <c r="AA9" s="228"/>
      <c r="AB9" s="228"/>
      <c r="AC9" s="228"/>
      <c r="AD9" s="228"/>
      <c r="AE9" s="228"/>
    </row>
    <row r="10" spans="1:31" ht="15.75">
      <c r="A10" s="485"/>
      <c r="B10" s="485"/>
      <c r="C10" s="485"/>
      <c r="D10" s="485" t="s">
        <v>798</v>
      </c>
      <c r="E10" s="486">
        <v>43895</v>
      </c>
      <c r="F10" s="485"/>
      <c r="G10" s="485" t="s">
        <v>1010</v>
      </c>
      <c r="H10" s="485"/>
      <c r="I10" s="485" t="s">
        <v>1011</v>
      </c>
      <c r="J10" s="485"/>
      <c r="K10" s="485" t="s">
        <v>793</v>
      </c>
      <c r="L10" s="485"/>
      <c r="M10" s="485" t="s">
        <v>801</v>
      </c>
      <c r="N10" s="485"/>
      <c r="O10" s="487">
        <v>300</v>
      </c>
      <c r="P10" s="485"/>
      <c r="Q10" s="487">
        <f t="shared" si="0"/>
        <v>3407.7</v>
      </c>
      <c r="R10" s="483"/>
      <c r="S10" s="484">
        <f>+O10</f>
        <v>300</v>
      </c>
      <c r="T10" s="484"/>
      <c r="U10" s="484"/>
      <c r="V10" s="484"/>
      <c r="W10" s="484"/>
      <c r="X10" s="484"/>
      <c r="Y10" s="483"/>
      <c r="Z10" s="483"/>
      <c r="AA10" s="228"/>
      <c r="AB10" s="228"/>
      <c r="AC10" s="228"/>
      <c r="AD10" s="228"/>
      <c r="AE10" s="228"/>
    </row>
    <row r="11" spans="1:31" ht="15.75">
      <c r="A11" s="485"/>
      <c r="B11" s="485"/>
      <c r="C11" s="485"/>
      <c r="D11" s="485" t="s">
        <v>798</v>
      </c>
      <c r="E11" s="486">
        <v>43899</v>
      </c>
      <c r="F11" s="485"/>
      <c r="G11" s="485" t="s">
        <v>1001</v>
      </c>
      <c r="H11" s="485"/>
      <c r="I11" s="485"/>
      <c r="J11" s="485"/>
      <c r="K11" s="485" t="s">
        <v>793</v>
      </c>
      <c r="L11" s="485"/>
      <c r="M11" s="485" t="s">
        <v>801</v>
      </c>
      <c r="N11" s="485"/>
      <c r="O11" s="487">
        <v>666.54</v>
      </c>
      <c r="P11" s="485"/>
      <c r="Q11" s="487">
        <f t="shared" si="0"/>
        <v>4074.24</v>
      </c>
      <c r="R11" s="483"/>
      <c r="S11" s="484">
        <f>+O11</f>
        <v>666.54</v>
      </c>
      <c r="T11" s="484"/>
      <c r="U11" s="484"/>
      <c r="V11" s="484"/>
      <c r="W11" s="484"/>
      <c r="X11" s="484"/>
      <c r="Y11" s="483"/>
      <c r="Z11" s="483"/>
      <c r="AA11" s="228"/>
      <c r="AB11" s="228"/>
      <c r="AC11" s="228"/>
      <c r="AD11" s="228"/>
      <c r="AE11" s="228"/>
    </row>
    <row r="12" spans="1:31" ht="15.75">
      <c r="A12" s="485"/>
      <c r="B12" s="485"/>
      <c r="C12" s="485"/>
      <c r="D12" s="485" t="s">
        <v>798</v>
      </c>
      <c r="E12" s="486">
        <v>43915</v>
      </c>
      <c r="F12" s="485"/>
      <c r="G12" s="485" t="s">
        <v>1002</v>
      </c>
      <c r="H12" s="485"/>
      <c r="I12" s="485" t="s">
        <v>1003</v>
      </c>
      <c r="J12" s="485"/>
      <c r="K12" s="485" t="s">
        <v>793</v>
      </c>
      <c r="L12" s="485"/>
      <c r="M12" s="485" t="s">
        <v>801</v>
      </c>
      <c r="N12" s="485"/>
      <c r="O12" s="487">
        <v>265.14999999999998</v>
      </c>
      <c r="P12" s="485"/>
      <c r="Q12" s="487">
        <f t="shared" si="0"/>
        <v>4339.3900000000003</v>
      </c>
      <c r="R12" s="483"/>
      <c r="S12" s="484"/>
      <c r="T12" s="484">
        <f>+O12</f>
        <v>265.14999999999998</v>
      </c>
      <c r="U12" s="484"/>
      <c r="V12" s="484"/>
      <c r="W12" s="484"/>
      <c r="X12" s="484"/>
      <c r="Y12" s="483"/>
      <c r="Z12" s="483"/>
      <c r="AA12" s="228"/>
      <c r="AB12" s="228"/>
      <c r="AC12" s="228"/>
      <c r="AD12" s="228"/>
      <c r="AE12" s="228"/>
    </row>
    <row r="13" spans="1:31" ht="15.75">
      <c r="A13" s="485"/>
      <c r="B13" s="485"/>
      <c r="C13" s="485"/>
      <c r="D13" s="485" t="s">
        <v>798</v>
      </c>
      <c r="E13" s="486">
        <v>43924</v>
      </c>
      <c r="F13" s="485"/>
      <c r="G13" s="485" t="s">
        <v>1012</v>
      </c>
      <c r="H13" s="485"/>
      <c r="I13" s="485"/>
      <c r="J13" s="485"/>
      <c r="K13" s="485" t="s">
        <v>793</v>
      </c>
      <c r="L13" s="485"/>
      <c r="M13" s="485" t="s">
        <v>801</v>
      </c>
      <c r="N13" s="485"/>
      <c r="O13" s="487">
        <v>1000</v>
      </c>
      <c r="P13" s="485"/>
      <c r="Q13" s="487">
        <f t="shared" si="0"/>
        <v>5339.39</v>
      </c>
      <c r="R13" s="483"/>
      <c r="S13" s="484">
        <f>+O13</f>
        <v>1000</v>
      </c>
      <c r="T13" s="484"/>
      <c r="U13" s="484"/>
      <c r="V13" s="484"/>
      <c r="W13" s="484"/>
      <c r="X13" s="484"/>
      <c r="Y13" s="483"/>
      <c r="Z13" s="483"/>
      <c r="AA13" s="228"/>
      <c r="AB13" s="228"/>
      <c r="AC13" s="228"/>
      <c r="AD13" s="228"/>
      <c r="AE13" s="228"/>
    </row>
    <row r="14" spans="1:31" ht="15.75">
      <c r="A14" s="485"/>
      <c r="B14" s="485"/>
      <c r="C14" s="485"/>
      <c r="D14" s="485" t="s">
        <v>798</v>
      </c>
      <c r="E14" s="486">
        <v>43928</v>
      </c>
      <c r="F14" s="485"/>
      <c r="G14" s="485" t="s">
        <v>1013</v>
      </c>
      <c r="H14" s="485"/>
      <c r="I14" s="485" t="s">
        <v>1014</v>
      </c>
      <c r="J14" s="485"/>
      <c r="K14" s="485" t="s">
        <v>793</v>
      </c>
      <c r="L14" s="485"/>
      <c r="M14" s="485" t="s">
        <v>801</v>
      </c>
      <c r="N14" s="485"/>
      <c r="O14" s="487">
        <v>42</v>
      </c>
      <c r="P14" s="485"/>
      <c r="Q14" s="487">
        <f t="shared" si="0"/>
        <v>5381.39</v>
      </c>
      <c r="R14" s="483"/>
      <c r="S14" s="484">
        <f>+O14</f>
        <v>42</v>
      </c>
      <c r="T14" s="484"/>
      <c r="U14" s="484"/>
      <c r="V14" s="484"/>
      <c r="W14" s="484"/>
      <c r="X14" s="484"/>
      <c r="Y14" s="483"/>
      <c r="Z14" s="483"/>
      <c r="AA14" s="228"/>
      <c r="AB14" s="228"/>
      <c r="AC14" s="228"/>
      <c r="AD14" s="228"/>
      <c r="AE14" s="228"/>
    </row>
    <row r="15" spans="1:31" ht="15.75">
      <c r="A15" s="485"/>
      <c r="B15" s="485"/>
      <c r="C15" s="485"/>
      <c r="D15" s="485" t="s">
        <v>798</v>
      </c>
      <c r="E15" s="486">
        <v>43937</v>
      </c>
      <c r="F15" s="485"/>
      <c r="G15" s="485" t="s">
        <v>1001</v>
      </c>
      <c r="H15" s="485"/>
      <c r="I15" s="485" t="s">
        <v>1015</v>
      </c>
      <c r="J15" s="485"/>
      <c r="K15" s="485" t="s">
        <v>793</v>
      </c>
      <c r="L15" s="485"/>
      <c r="M15" s="485" t="s">
        <v>801</v>
      </c>
      <c r="N15" s="485"/>
      <c r="O15" s="487">
        <v>40.47</v>
      </c>
      <c r="P15" s="485"/>
      <c r="Q15" s="487">
        <f t="shared" si="0"/>
        <v>5421.86</v>
      </c>
      <c r="R15" s="483"/>
      <c r="S15" s="484">
        <f>+O15</f>
        <v>40.47</v>
      </c>
      <c r="T15" s="484"/>
      <c r="U15" s="484"/>
      <c r="V15" s="484"/>
      <c r="W15" s="484"/>
      <c r="X15" s="484"/>
      <c r="Y15" s="483"/>
      <c r="Z15" s="483"/>
      <c r="AA15" s="228"/>
      <c r="AB15" s="228"/>
      <c r="AC15" s="228"/>
      <c r="AD15" s="228"/>
      <c r="AE15" s="228"/>
    </row>
    <row r="16" spans="1:31" ht="15.75">
      <c r="A16" s="485"/>
      <c r="B16" s="485"/>
      <c r="C16" s="485"/>
      <c r="D16" s="485" t="s">
        <v>798</v>
      </c>
      <c r="E16" s="486">
        <v>43950</v>
      </c>
      <c r="F16" s="485"/>
      <c r="G16" s="485" t="s">
        <v>1002</v>
      </c>
      <c r="H16" s="485"/>
      <c r="I16" s="485" t="s">
        <v>1003</v>
      </c>
      <c r="J16" s="485"/>
      <c r="K16" s="485" t="s">
        <v>793</v>
      </c>
      <c r="L16" s="485"/>
      <c r="M16" s="485" t="s">
        <v>801</v>
      </c>
      <c r="N16" s="485"/>
      <c r="O16" s="487">
        <v>265.14999999999998</v>
      </c>
      <c r="P16" s="485"/>
      <c r="Q16" s="487">
        <f t="shared" si="0"/>
        <v>5687.01</v>
      </c>
      <c r="R16" s="483"/>
      <c r="S16" s="484"/>
      <c r="T16" s="484">
        <f>+O16</f>
        <v>265.14999999999998</v>
      </c>
      <c r="U16" s="484"/>
      <c r="V16" s="484"/>
      <c r="W16" s="484"/>
      <c r="X16" s="484"/>
      <c r="Y16" s="483"/>
      <c r="Z16" s="483"/>
      <c r="AA16" s="228"/>
      <c r="AB16" s="228"/>
      <c r="AC16" s="228"/>
      <c r="AD16" s="228"/>
      <c r="AE16" s="228"/>
    </row>
    <row r="17" spans="1:31" ht="15.75">
      <c r="A17" s="485"/>
      <c r="B17" s="485"/>
      <c r="C17" s="485"/>
      <c r="D17" s="485" t="s">
        <v>798</v>
      </c>
      <c r="E17" s="486">
        <v>43977</v>
      </c>
      <c r="F17" s="485"/>
      <c r="G17" s="485" t="s">
        <v>1002</v>
      </c>
      <c r="H17" s="485"/>
      <c r="I17" s="485" t="s">
        <v>1003</v>
      </c>
      <c r="J17" s="485"/>
      <c r="K17" s="485" t="s">
        <v>793</v>
      </c>
      <c r="L17" s="485"/>
      <c r="M17" s="485" t="s">
        <v>801</v>
      </c>
      <c r="N17" s="485"/>
      <c r="O17" s="487">
        <v>265.14999999999998</v>
      </c>
      <c r="P17" s="485"/>
      <c r="Q17" s="487">
        <f t="shared" si="0"/>
        <v>5952.16</v>
      </c>
      <c r="R17" s="483"/>
      <c r="S17" s="484"/>
      <c r="T17" s="484">
        <f>+O17</f>
        <v>265.14999999999998</v>
      </c>
      <c r="U17" s="484"/>
      <c r="V17" s="484"/>
      <c r="W17" s="484"/>
      <c r="X17" s="484"/>
      <c r="Y17" s="483"/>
      <c r="Z17" s="483"/>
      <c r="AA17" s="228"/>
      <c r="AB17" s="228"/>
      <c r="AC17" s="228"/>
      <c r="AD17" s="228"/>
      <c r="AE17" s="228"/>
    </row>
    <row r="18" spans="1:31" ht="15.75">
      <c r="A18" s="485"/>
      <c r="B18" s="485"/>
      <c r="C18" s="485"/>
      <c r="D18" s="485" t="s">
        <v>798</v>
      </c>
      <c r="E18" s="486">
        <v>43979</v>
      </c>
      <c r="F18" s="485"/>
      <c r="G18" s="485" t="s">
        <v>1001</v>
      </c>
      <c r="H18" s="485"/>
      <c r="I18" s="485" t="s">
        <v>1015</v>
      </c>
      <c r="J18" s="485"/>
      <c r="K18" s="485" t="s">
        <v>793</v>
      </c>
      <c r="L18" s="485"/>
      <c r="M18" s="485" t="s">
        <v>801</v>
      </c>
      <c r="N18" s="485"/>
      <c r="O18" s="487">
        <v>265</v>
      </c>
      <c r="P18" s="485"/>
      <c r="Q18" s="487">
        <f t="shared" si="0"/>
        <v>6217.16</v>
      </c>
      <c r="R18" s="483"/>
      <c r="S18" s="484">
        <f t="shared" ref="S18:S19" si="1">+O18</f>
        <v>265</v>
      </c>
      <c r="T18" s="484"/>
      <c r="U18" s="484"/>
      <c r="V18" s="484"/>
      <c r="W18" s="484"/>
      <c r="X18" s="484"/>
      <c r="Y18" s="483"/>
      <c r="Z18" s="483"/>
      <c r="AA18" s="228"/>
      <c r="AB18" s="228"/>
      <c r="AC18" s="228"/>
      <c r="AD18" s="228"/>
      <c r="AE18" s="228"/>
    </row>
    <row r="19" spans="1:31" ht="15.75">
      <c r="A19" s="485"/>
      <c r="B19" s="485"/>
      <c r="C19" s="485"/>
      <c r="D19" s="485" t="s">
        <v>798</v>
      </c>
      <c r="E19" s="486">
        <v>43994</v>
      </c>
      <c r="F19" s="485"/>
      <c r="G19" s="485" t="s">
        <v>1001</v>
      </c>
      <c r="H19" s="485"/>
      <c r="I19" s="485" t="s">
        <v>1015</v>
      </c>
      <c r="J19" s="485"/>
      <c r="K19" s="485" t="s">
        <v>793</v>
      </c>
      <c r="L19" s="485"/>
      <c r="M19" s="485" t="s">
        <v>801</v>
      </c>
      <c r="N19" s="485"/>
      <c r="O19" s="487">
        <v>295.42</v>
      </c>
      <c r="P19" s="485"/>
      <c r="Q19" s="487">
        <f t="shared" si="0"/>
        <v>6512.58</v>
      </c>
      <c r="R19" s="483"/>
      <c r="S19" s="484">
        <f t="shared" si="1"/>
        <v>295.42</v>
      </c>
      <c r="T19" s="484"/>
      <c r="U19" s="484"/>
      <c r="V19" s="484"/>
      <c r="W19" s="484"/>
      <c r="X19" s="484"/>
      <c r="Y19" s="483"/>
      <c r="Z19" s="483"/>
      <c r="AA19" s="228"/>
      <c r="AB19" s="228"/>
      <c r="AC19" s="228"/>
      <c r="AD19" s="228"/>
      <c r="AE19" s="228"/>
    </row>
    <row r="20" spans="1:31" ht="15.75">
      <c r="A20" s="485"/>
      <c r="B20" s="485"/>
      <c r="C20" s="485"/>
      <c r="D20" s="485" t="s">
        <v>798</v>
      </c>
      <c r="E20" s="486">
        <v>44008</v>
      </c>
      <c r="F20" s="485"/>
      <c r="G20" s="485" t="s">
        <v>1016</v>
      </c>
      <c r="H20" s="485"/>
      <c r="I20" s="485" t="s">
        <v>1017</v>
      </c>
      <c r="J20" s="485"/>
      <c r="K20" s="485" t="s">
        <v>793</v>
      </c>
      <c r="L20" s="485"/>
      <c r="M20" s="485" t="s">
        <v>801</v>
      </c>
      <c r="N20" s="485"/>
      <c r="O20" s="487">
        <v>40</v>
      </c>
      <c r="P20" s="485"/>
      <c r="Q20" s="487">
        <f t="shared" si="0"/>
        <v>6552.58</v>
      </c>
      <c r="R20" s="483"/>
      <c r="S20" s="484"/>
      <c r="T20" s="484"/>
      <c r="U20" s="484"/>
      <c r="V20" s="484"/>
      <c r="W20" s="484">
        <f>+O20</f>
        <v>40</v>
      </c>
      <c r="X20" s="484"/>
      <c r="Y20" s="483"/>
      <c r="Z20" s="483"/>
      <c r="AA20" s="228"/>
      <c r="AB20" s="228"/>
      <c r="AC20" s="228"/>
      <c r="AD20" s="228"/>
      <c r="AE20" s="228"/>
    </row>
    <row r="21" spans="1:31" ht="15.75">
      <c r="A21" s="485"/>
      <c r="B21" s="485"/>
      <c r="C21" s="485"/>
      <c r="D21" s="485" t="s">
        <v>798</v>
      </c>
      <c r="E21" s="486">
        <v>44008</v>
      </c>
      <c r="F21" s="485"/>
      <c r="G21" s="485" t="s">
        <v>1002</v>
      </c>
      <c r="H21" s="485"/>
      <c r="I21" s="485" t="s">
        <v>1003</v>
      </c>
      <c r="J21" s="485"/>
      <c r="K21" s="485" t="s">
        <v>793</v>
      </c>
      <c r="L21" s="485"/>
      <c r="M21" s="485" t="s">
        <v>801</v>
      </c>
      <c r="N21" s="485"/>
      <c r="O21" s="487">
        <v>265.14999999999998</v>
      </c>
      <c r="P21" s="485"/>
      <c r="Q21" s="487">
        <f t="shared" si="0"/>
        <v>6817.73</v>
      </c>
      <c r="R21" s="483"/>
      <c r="S21" s="484"/>
      <c r="T21" s="484">
        <f>+O21</f>
        <v>265.14999999999998</v>
      </c>
      <c r="U21" s="484"/>
      <c r="V21" s="484"/>
      <c r="W21" s="484"/>
      <c r="X21" s="484"/>
      <c r="Y21" s="483"/>
      <c r="Z21" s="483"/>
      <c r="AA21" s="228"/>
      <c r="AB21" s="228"/>
      <c r="AC21" s="228"/>
      <c r="AD21" s="228"/>
      <c r="AE21" s="228"/>
    </row>
    <row r="22" spans="1:31" ht="15.75">
      <c r="A22" s="485"/>
      <c r="B22" s="485"/>
      <c r="C22" s="485"/>
      <c r="D22" s="485" t="s">
        <v>798</v>
      </c>
      <c r="E22" s="486">
        <v>44026</v>
      </c>
      <c r="F22" s="485"/>
      <c r="G22" s="485" t="s">
        <v>1001</v>
      </c>
      <c r="H22" s="485"/>
      <c r="I22" s="485" t="s">
        <v>1018</v>
      </c>
      <c r="J22" s="485"/>
      <c r="K22" s="485" t="s">
        <v>793</v>
      </c>
      <c r="L22" s="485"/>
      <c r="M22" s="485" t="s">
        <v>801</v>
      </c>
      <c r="N22" s="485"/>
      <c r="O22" s="487">
        <v>405.52</v>
      </c>
      <c r="P22" s="485"/>
      <c r="Q22" s="487">
        <f t="shared" si="0"/>
        <v>7223.25</v>
      </c>
      <c r="R22" s="483"/>
      <c r="S22" s="484">
        <f>+O22</f>
        <v>405.52</v>
      </c>
      <c r="T22" s="484"/>
      <c r="U22" s="484"/>
      <c r="V22" s="484"/>
      <c r="W22" s="484"/>
      <c r="X22" s="484"/>
      <c r="Y22" s="483"/>
      <c r="Z22" s="483"/>
      <c r="AA22" s="228"/>
      <c r="AB22" s="228"/>
      <c r="AC22" s="228"/>
      <c r="AD22" s="228"/>
      <c r="AE22" s="228"/>
    </row>
    <row r="23" spans="1:31" ht="15.75">
      <c r="A23" s="485"/>
      <c r="B23" s="485"/>
      <c r="C23" s="485"/>
      <c r="D23" s="485" t="s">
        <v>798</v>
      </c>
      <c r="E23" s="486">
        <v>44029</v>
      </c>
      <c r="F23" s="485"/>
      <c r="G23" s="485" t="s">
        <v>1019</v>
      </c>
      <c r="H23" s="485"/>
      <c r="I23" s="485" t="s">
        <v>1020</v>
      </c>
      <c r="J23" s="485"/>
      <c r="K23" s="485"/>
      <c r="L23" s="485"/>
      <c r="M23" s="485" t="s">
        <v>801</v>
      </c>
      <c r="N23" s="485"/>
      <c r="O23" s="487">
        <v>175</v>
      </c>
      <c r="P23" s="485"/>
      <c r="Q23" s="487">
        <f t="shared" si="0"/>
        <v>7398.25</v>
      </c>
      <c r="R23" s="483"/>
      <c r="S23" s="484">
        <f>+O23</f>
        <v>175</v>
      </c>
      <c r="T23" s="484"/>
      <c r="U23" s="484"/>
      <c r="V23" s="484"/>
      <c r="W23" s="484"/>
      <c r="X23" s="484"/>
      <c r="Y23" s="483"/>
      <c r="Z23" s="483"/>
      <c r="AA23" s="228"/>
      <c r="AB23" s="228"/>
      <c r="AC23" s="228"/>
      <c r="AD23" s="228"/>
      <c r="AE23" s="228"/>
    </row>
    <row r="24" spans="1:31" ht="15.75">
      <c r="A24" s="485"/>
      <c r="B24" s="485"/>
      <c r="C24" s="485"/>
      <c r="D24" s="485" t="s">
        <v>798</v>
      </c>
      <c r="E24" s="486">
        <v>44032</v>
      </c>
      <c r="F24" s="485"/>
      <c r="G24" s="485" t="s">
        <v>1021</v>
      </c>
      <c r="H24" s="485"/>
      <c r="I24" s="485" t="s">
        <v>1022</v>
      </c>
      <c r="J24" s="485"/>
      <c r="K24" s="485"/>
      <c r="L24" s="485"/>
      <c r="M24" s="485" t="s">
        <v>801</v>
      </c>
      <c r="N24" s="485"/>
      <c r="O24" s="487">
        <v>95</v>
      </c>
      <c r="P24" s="485"/>
      <c r="Q24" s="487">
        <f t="shared" si="0"/>
        <v>7493.25</v>
      </c>
      <c r="R24" s="483"/>
      <c r="S24" s="484">
        <f>+O24</f>
        <v>95</v>
      </c>
      <c r="T24" s="484"/>
      <c r="U24" s="484"/>
      <c r="V24" s="484"/>
      <c r="W24" s="484"/>
      <c r="X24" s="484"/>
      <c r="Y24" s="483"/>
      <c r="Z24" s="483"/>
      <c r="AA24" s="228"/>
      <c r="AB24" s="228"/>
      <c r="AC24" s="228"/>
      <c r="AD24" s="228"/>
      <c r="AE24" s="228"/>
    </row>
    <row r="25" spans="1:31" ht="15.75">
      <c r="A25" s="485"/>
      <c r="B25" s="485"/>
      <c r="C25" s="485"/>
      <c r="D25" s="485" t="s">
        <v>798</v>
      </c>
      <c r="E25" s="486">
        <v>44043</v>
      </c>
      <c r="F25" s="485"/>
      <c r="G25" s="485" t="s">
        <v>1002</v>
      </c>
      <c r="H25" s="485"/>
      <c r="I25" s="485" t="s">
        <v>1003</v>
      </c>
      <c r="J25" s="485"/>
      <c r="K25" s="485" t="s">
        <v>793</v>
      </c>
      <c r="L25" s="485"/>
      <c r="M25" s="485" t="s">
        <v>801</v>
      </c>
      <c r="N25" s="485"/>
      <c r="O25" s="487">
        <v>265.14999999999998</v>
      </c>
      <c r="P25" s="485"/>
      <c r="Q25" s="487">
        <f t="shared" si="0"/>
        <v>7758.4</v>
      </c>
      <c r="R25" s="483"/>
      <c r="S25" s="484"/>
      <c r="T25" s="484">
        <f>+O25</f>
        <v>265.14999999999998</v>
      </c>
      <c r="U25" s="484"/>
      <c r="V25" s="484"/>
      <c r="W25" s="484"/>
      <c r="X25" s="484"/>
      <c r="Y25" s="483"/>
      <c r="Z25" s="483"/>
      <c r="AA25" s="228"/>
      <c r="AB25" s="228"/>
      <c r="AC25" s="228"/>
      <c r="AD25" s="228"/>
      <c r="AE25" s="228"/>
    </row>
    <row r="26" spans="1:31" ht="15.75">
      <c r="A26" s="485"/>
      <c r="B26" s="485"/>
      <c r="C26" s="485"/>
      <c r="D26" s="485" t="s">
        <v>798</v>
      </c>
      <c r="E26" s="486">
        <v>44068</v>
      </c>
      <c r="F26" s="485"/>
      <c r="G26" s="485" t="s">
        <v>1002</v>
      </c>
      <c r="H26" s="485"/>
      <c r="I26" s="485" t="s">
        <v>1003</v>
      </c>
      <c r="J26" s="485"/>
      <c r="K26" s="485" t="s">
        <v>793</v>
      </c>
      <c r="L26" s="485"/>
      <c r="M26" s="485" t="s">
        <v>801</v>
      </c>
      <c r="N26" s="485"/>
      <c r="O26" s="487">
        <v>265.14999999999998</v>
      </c>
      <c r="P26" s="485"/>
      <c r="Q26" s="487">
        <f t="shared" si="0"/>
        <v>8023.55</v>
      </c>
      <c r="R26" s="483"/>
      <c r="S26" s="484"/>
      <c r="T26" s="484">
        <f>+O26</f>
        <v>265.14999999999998</v>
      </c>
      <c r="U26" s="484"/>
      <c r="V26" s="484"/>
      <c r="W26" s="484"/>
      <c r="X26" s="484"/>
      <c r="Y26" s="483"/>
      <c r="Z26" s="483"/>
      <c r="AA26" s="228"/>
      <c r="AB26" s="228"/>
      <c r="AC26" s="228"/>
      <c r="AD26" s="228"/>
      <c r="AE26" s="228"/>
    </row>
    <row r="27" spans="1:31" ht="15.75">
      <c r="A27" s="485"/>
      <c r="B27" s="485"/>
      <c r="C27" s="485"/>
      <c r="D27" s="485" t="s">
        <v>798</v>
      </c>
      <c r="E27" s="486">
        <v>44068</v>
      </c>
      <c r="F27" s="485"/>
      <c r="G27" s="485" t="s">
        <v>1001</v>
      </c>
      <c r="H27" s="485"/>
      <c r="I27" s="485" t="s">
        <v>1018</v>
      </c>
      <c r="J27" s="485"/>
      <c r="K27" s="485" t="s">
        <v>793</v>
      </c>
      <c r="L27" s="485"/>
      <c r="M27" s="485" t="s">
        <v>801</v>
      </c>
      <c r="N27" s="485"/>
      <c r="O27" s="487">
        <v>613.41999999999996</v>
      </c>
      <c r="P27" s="485"/>
      <c r="Q27" s="487">
        <f t="shared" si="0"/>
        <v>8636.9699999999993</v>
      </c>
      <c r="R27" s="483"/>
      <c r="S27" s="484">
        <f>+O27</f>
        <v>613.41999999999996</v>
      </c>
      <c r="T27" s="484"/>
      <c r="U27" s="484"/>
      <c r="V27" s="484"/>
      <c r="W27" s="484"/>
      <c r="X27" s="484"/>
      <c r="Y27" s="483"/>
      <c r="Z27" s="483"/>
      <c r="AA27" s="228"/>
      <c r="AB27" s="228"/>
      <c r="AC27" s="228"/>
      <c r="AD27" s="228"/>
      <c r="AE27" s="228"/>
    </row>
    <row r="28" spans="1:31" ht="15.75">
      <c r="A28" s="485"/>
      <c r="B28" s="485"/>
      <c r="C28" s="485"/>
      <c r="D28" s="485" t="s">
        <v>798</v>
      </c>
      <c r="E28" s="486">
        <v>44090</v>
      </c>
      <c r="F28" s="485"/>
      <c r="G28" s="485" t="s">
        <v>1023</v>
      </c>
      <c r="H28" s="485"/>
      <c r="I28" s="485" t="s">
        <v>996</v>
      </c>
      <c r="J28" s="485"/>
      <c r="K28" s="485" t="s">
        <v>793</v>
      </c>
      <c r="L28" s="485"/>
      <c r="M28" s="485" t="s">
        <v>801</v>
      </c>
      <c r="N28" s="485"/>
      <c r="O28" s="487">
        <v>1328.4</v>
      </c>
      <c r="P28" s="485"/>
      <c r="Q28" s="487">
        <f t="shared" si="0"/>
        <v>9965.3700000000008</v>
      </c>
      <c r="R28" s="483"/>
      <c r="S28" s="484"/>
      <c r="T28" s="484">
        <f>+O28</f>
        <v>1328.4</v>
      </c>
      <c r="U28" s="484"/>
      <c r="V28" s="484"/>
      <c r="W28" s="484"/>
      <c r="X28" s="484"/>
      <c r="Y28" s="483"/>
      <c r="Z28" s="483"/>
      <c r="AA28" s="228"/>
      <c r="AB28" s="228"/>
      <c r="AC28" s="228"/>
      <c r="AD28" s="228"/>
      <c r="AE28" s="228"/>
    </row>
    <row r="29" spans="1:31" ht="15.75">
      <c r="A29" s="485"/>
      <c r="B29" s="485"/>
      <c r="C29" s="485"/>
      <c r="D29" s="485" t="s">
        <v>798</v>
      </c>
      <c r="E29" s="486">
        <v>44092</v>
      </c>
      <c r="F29" s="485"/>
      <c r="G29" s="485" t="s">
        <v>1001</v>
      </c>
      <c r="H29" s="485"/>
      <c r="I29" s="485" t="s">
        <v>1024</v>
      </c>
      <c r="J29" s="485"/>
      <c r="K29" s="485" t="s">
        <v>793</v>
      </c>
      <c r="L29" s="485"/>
      <c r="M29" s="485" t="s">
        <v>801</v>
      </c>
      <c r="N29" s="485"/>
      <c r="O29" s="487">
        <v>376.72</v>
      </c>
      <c r="P29" s="485"/>
      <c r="Q29" s="487">
        <f t="shared" si="0"/>
        <v>10342.09</v>
      </c>
      <c r="R29" s="483"/>
      <c r="S29" s="484">
        <f>+O29</f>
        <v>376.72</v>
      </c>
      <c r="T29" s="484"/>
      <c r="U29" s="484"/>
      <c r="V29" s="484"/>
      <c r="W29" s="484"/>
      <c r="X29" s="484"/>
      <c r="Y29" s="483"/>
      <c r="Z29" s="483"/>
      <c r="AA29" s="228"/>
      <c r="AB29" s="228"/>
      <c r="AC29" s="228"/>
      <c r="AD29" s="228"/>
      <c r="AE29" s="228"/>
    </row>
    <row r="30" spans="1:31" ht="15.75">
      <c r="A30" s="485"/>
      <c r="B30" s="485"/>
      <c r="C30" s="485"/>
      <c r="D30" s="485" t="s">
        <v>798</v>
      </c>
      <c r="E30" s="486">
        <v>44095</v>
      </c>
      <c r="F30" s="485"/>
      <c r="G30" s="485" t="s">
        <v>1002</v>
      </c>
      <c r="H30" s="485"/>
      <c r="I30" s="485" t="s">
        <v>1003</v>
      </c>
      <c r="J30" s="485"/>
      <c r="K30" s="485" t="s">
        <v>793</v>
      </c>
      <c r="L30" s="485"/>
      <c r="M30" s="485" t="s">
        <v>801</v>
      </c>
      <c r="N30" s="485"/>
      <c r="O30" s="487">
        <v>265.64999999999998</v>
      </c>
      <c r="P30" s="485"/>
      <c r="Q30" s="487">
        <f t="shared" si="0"/>
        <v>10607.74</v>
      </c>
      <c r="R30" s="483"/>
      <c r="S30" s="484"/>
      <c r="T30" s="484">
        <f>+O30</f>
        <v>265.64999999999998</v>
      </c>
      <c r="U30" s="484"/>
      <c r="V30" s="484"/>
      <c r="W30" s="484"/>
      <c r="X30" s="484"/>
      <c r="Y30" s="483"/>
      <c r="Z30" s="483"/>
      <c r="AA30" s="228"/>
      <c r="AB30" s="228"/>
      <c r="AC30" s="228"/>
      <c r="AD30" s="228"/>
      <c r="AE30" s="228"/>
    </row>
    <row r="31" spans="1:31" ht="15.75">
      <c r="A31" s="485"/>
      <c r="B31" s="485"/>
      <c r="C31" s="485"/>
      <c r="D31" s="485" t="s">
        <v>798</v>
      </c>
      <c r="E31" s="486">
        <v>44099</v>
      </c>
      <c r="F31" s="485"/>
      <c r="G31" s="485" t="s">
        <v>1025</v>
      </c>
      <c r="H31" s="485"/>
      <c r="I31" s="485" t="s">
        <v>1026</v>
      </c>
      <c r="J31" s="485"/>
      <c r="K31" s="485"/>
      <c r="L31" s="485"/>
      <c r="M31" s="485" t="s">
        <v>801</v>
      </c>
      <c r="N31" s="485"/>
      <c r="O31" s="487">
        <v>500</v>
      </c>
      <c r="P31" s="485"/>
      <c r="Q31" s="487">
        <f t="shared" si="0"/>
        <v>11107.74</v>
      </c>
      <c r="R31" s="483"/>
      <c r="S31" s="484">
        <f>+O31</f>
        <v>500</v>
      </c>
      <c r="T31" s="484"/>
      <c r="U31" s="484"/>
      <c r="V31" s="484"/>
      <c r="W31" s="484"/>
      <c r="X31" s="484"/>
      <c r="Y31" s="483"/>
      <c r="Z31" s="483"/>
      <c r="AA31" s="228"/>
      <c r="AB31" s="228"/>
      <c r="AC31" s="228"/>
      <c r="AD31" s="228"/>
      <c r="AE31" s="228"/>
    </row>
    <row r="32" spans="1:31" ht="15.75">
      <c r="A32" s="485"/>
      <c r="B32" s="485"/>
      <c r="C32" s="485"/>
      <c r="D32" s="485" t="s">
        <v>798</v>
      </c>
      <c r="E32" s="486">
        <v>44105</v>
      </c>
      <c r="F32" s="485"/>
      <c r="G32" s="485" t="s">
        <v>1027</v>
      </c>
      <c r="H32" s="485"/>
      <c r="I32" s="485" t="s">
        <v>1028</v>
      </c>
      <c r="J32" s="485"/>
      <c r="K32" s="485" t="s">
        <v>793</v>
      </c>
      <c r="L32" s="485"/>
      <c r="M32" s="485" t="s">
        <v>801</v>
      </c>
      <c r="N32" s="485"/>
      <c r="O32" s="487">
        <v>7516.4</v>
      </c>
      <c r="P32" s="485"/>
      <c r="Q32" s="487">
        <f t="shared" si="0"/>
        <v>18624.14</v>
      </c>
      <c r="R32" s="483"/>
      <c r="S32" s="484">
        <f>+O32</f>
        <v>7516.4</v>
      </c>
      <c r="T32" s="484"/>
      <c r="U32" s="484"/>
      <c r="V32" s="484"/>
      <c r="W32" s="484"/>
      <c r="X32" s="484"/>
      <c r="Y32" s="483"/>
      <c r="Z32" s="483"/>
      <c r="AA32" s="228"/>
      <c r="AB32" s="228"/>
      <c r="AC32" s="228"/>
      <c r="AD32" s="228"/>
      <c r="AE32" s="228"/>
    </row>
    <row r="33" spans="1:31" ht="15.75">
      <c r="A33" s="485"/>
      <c r="B33" s="485"/>
      <c r="C33" s="485"/>
      <c r="D33" s="485" t="s">
        <v>798</v>
      </c>
      <c r="E33" s="486">
        <v>44116</v>
      </c>
      <c r="F33" s="485"/>
      <c r="G33" s="485" t="s">
        <v>1029</v>
      </c>
      <c r="H33" s="485"/>
      <c r="I33" s="485"/>
      <c r="J33" s="485"/>
      <c r="K33" s="485" t="s">
        <v>793</v>
      </c>
      <c r="L33" s="485"/>
      <c r="M33" s="485" t="s">
        <v>801</v>
      </c>
      <c r="N33" s="485"/>
      <c r="O33" s="487">
        <v>1317.74</v>
      </c>
      <c r="P33" s="485"/>
      <c r="Q33" s="487">
        <f t="shared" si="0"/>
        <v>19941.88</v>
      </c>
      <c r="R33" s="483"/>
      <c r="S33" s="484">
        <f>+O33</f>
        <v>1317.74</v>
      </c>
      <c r="T33" s="484"/>
      <c r="U33" s="484"/>
      <c r="V33" s="484"/>
      <c r="W33" s="484"/>
      <c r="X33" s="484"/>
      <c r="Y33" s="483"/>
      <c r="Z33" s="483"/>
      <c r="AA33" s="228"/>
      <c r="AB33" s="228"/>
      <c r="AC33" s="228"/>
      <c r="AD33" s="228"/>
      <c r="AE33" s="228"/>
    </row>
    <row r="34" spans="1:31" ht="15.75">
      <c r="A34" s="485"/>
      <c r="B34" s="485"/>
      <c r="C34" s="485"/>
      <c r="D34" s="485" t="s">
        <v>798</v>
      </c>
      <c r="E34" s="486">
        <v>44130</v>
      </c>
      <c r="F34" s="485"/>
      <c r="G34" s="485" t="s">
        <v>1002</v>
      </c>
      <c r="H34" s="485"/>
      <c r="I34" s="485" t="s">
        <v>1003</v>
      </c>
      <c r="J34" s="485"/>
      <c r="K34" s="485" t="s">
        <v>793</v>
      </c>
      <c r="L34" s="485"/>
      <c r="M34" s="485" t="s">
        <v>801</v>
      </c>
      <c r="N34" s="485"/>
      <c r="O34" s="487">
        <v>265.64999999999998</v>
      </c>
      <c r="P34" s="485"/>
      <c r="Q34" s="487">
        <f t="shared" si="0"/>
        <v>20207.53</v>
      </c>
      <c r="R34" s="483"/>
      <c r="S34" s="484"/>
      <c r="T34" s="484">
        <f>+O34</f>
        <v>265.64999999999998</v>
      </c>
      <c r="U34" s="484"/>
      <c r="V34" s="484"/>
      <c r="W34" s="484"/>
      <c r="X34" s="484"/>
      <c r="Y34" s="483"/>
      <c r="Z34" s="483"/>
      <c r="AA34" s="228"/>
      <c r="AB34" s="228"/>
      <c r="AC34" s="228"/>
      <c r="AD34" s="228"/>
      <c r="AE34" s="228"/>
    </row>
    <row r="35" spans="1:31" ht="15.75">
      <c r="A35" s="485"/>
      <c r="B35" s="485"/>
      <c r="C35" s="485"/>
      <c r="D35" s="485" t="s">
        <v>798</v>
      </c>
      <c r="E35" s="486">
        <v>44130</v>
      </c>
      <c r="F35" s="485"/>
      <c r="G35" s="485" t="s">
        <v>1001</v>
      </c>
      <c r="H35" s="485"/>
      <c r="I35" s="485" t="s">
        <v>1015</v>
      </c>
      <c r="J35" s="485"/>
      <c r="K35" s="485" t="s">
        <v>793</v>
      </c>
      <c r="L35" s="485"/>
      <c r="M35" s="485" t="s">
        <v>801</v>
      </c>
      <c r="N35" s="485"/>
      <c r="O35" s="487">
        <v>267</v>
      </c>
      <c r="P35" s="485"/>
      <c r="Q35" s="487">
        <f t="shared" si="0"/>
        <v>20474.53</v>
      </c>
      <c r="R35" s="483"/>
      <c r="S35" s="484">
        <f>+O35</f>
        <v>267</v>
      </c>
      <c r="T35" s="484"/>
      <c r="U35" s="484"/>
      <c r="V35" s="484"/>
      <c r="W35" s="484"/>
      <c r="X35" s="484"/>
      <c r="Y35" s="483"/>
      <c r="Z35" s="483"/>
      <c r="AA35" s="228"/>
      <c r="AB35" s="228"/>
      <c r="AC35" s="228"/>
      <c r="AD35" s="228"/>
      <c r="AE35" s="228"/>
    </row>
    <row r="36" spans="1:31" ht="47.25">
      <c r="A36" s="485"/>
      <c r="B36" s="485"/>
      <c r="C36" s="485"/>
      <c r="D36" s="488" t="s">
        <v>795</v>
      </c>
      <c r="E36" s="486">
        <v>44135</v>
      </c>
      <c r="F36" s="485"/>
      <c r="G36" s="485" t="s">
        <v>1030</v>
      </c>
      <c r="H36" s="485"/>
      <c r="I36" s="485" t="s">
        <v>1031</v>
      </c>
      <c r="J36" s="485"/>
      <c r="K36" s="485" t="s">
        <v>793</v>
      </c>
      <c r="L36" s="485"/>
      <c r="M36" s="485" t="s">
        <v>797</v>
      </c>
      <c r="N36" s="485"/>
      <c r="O36" s="487">
        <v>247.51</v>
      </c>
      <c r="P36" s="485"/>
      <c r="Q36" s="487">
        <f t="shared" si="0"/>
        <v>20722.04</v>
      </c>
      <c r="R36" s="483"/>
      <c r="S36" s="484">
        <f>+O36</f>
        <v>247.51</v>
      </c>
      <c r="T36" s="484"/>
      <c r="U36" s="484"/>
      <c r="V36" s="484"/>
      <c r="W36" s="484"/>
      <c r="X36" s="484"/>
      <c r="Y36" s="483"/>
      <c r="Z36" s="483"/>
      <c r="AA36" s="228"/>
      <c r="AB36" s="228"/>
      <c r="AC36" s="228"/>
      <c r="AD36" s="228"/>
      <c r="AE36" s="228"/>
    </row>
    <row r="37" spans="1:31" ht="15.75">
      <c r="A37" s="485"/>
      <c r="B37" s="485"/>
      <c r="C37" s="485"/>
      <c r="D37" s="485" t="s">
        <v>798</v>
      </c>
      <c r="E37" s="486">
        <v>44152</v>
      </c>
      <c r="F37" s="485"/>
      <c r="G37" s="485" t="s">
        <v>1032</v>
      </c>
      <c r="H37" s="485"/>
      <c r="I37" s="485" t="s">
        <v>1033</v>
      </c>
      <c r="J37" s="485"/>
      <c r="K37" s="485"/>
      <c r="L37" s="485"/>
      <c r="M37" s="485" t="s">
        <v>801</v>
      </c>
      <c r="N37" s="485"/>
      <c r="O37" s="487">
        <v>939.6</v>
      </c>
      <c r="P37" s="485"/>
      <c r="Q37" s="487">
        <f t="shared" si="0"/>
        <v>21661.64</v>
      </c>
      <c r="R37" s="483"/>
      <c r="S37" s="484"/>
      <c r="T37" s="484">
        <f>+O37</f>
        <v>939.6</v>
      </c>
      <c r="U37" s="484"/>
      <c r="V37" s="484"/>
      <c r="W37" s="484"/>
      <c r="X37" s="484"/>
      <c r="Y37" s="483"/>
      <c r="Z37" s="483"/>
      <c r="AA37" s="228"/>
      <c r="AB37" s="228"/>
      <c r="AC37" s="228"/>
      <c r="AD37" s="228"/>
      <c r="AE37" s="228"/>
    </row>
    <row r="38" spans="1:31" ht="15.75">
      <c r="A38" s="485"/>
      <c r="B38" s="485"/>
      <c r="C38" s="485"/>
      <c r="D38" s="485" t="s">
        <v>798</v>
      </c>
      <c r="E38" s="486">
        <v>44153</v>
      </c>
      <c r="F38" s="485"/>
      <c r="G38" s="485" t="s">
        <v>1001</v>
      </c>
      <c r="H38" s="485"/>
      <c r="I38" s="485" t="s">
        <v>1015</v>
      </c>
      <c r="J38" s="485"/>
      <c r="K38" s="485" t="s">
        <v>793</v>
      </c>
      <c r="L38" s="485"/>
      <c r="M38" s="485" t="s">
        <v>801</v>
      </c>
      <c r="N38" s="485"/>
      <c r="O38" s="487">
        <v>415</v>
      </c>
      <c r="P38" s="485"/>
      <c r="Q38" s="487">
        <f t="shared" si="0"/>
        <v>22076.639999999999</v>
      </c>
      <c r="R38" s="483"/>
      <c r="S38" s="484">
        <f>+O38</f>
        <v>415</v>
      </c>
      <c r="T38" s="484"/>
      <c r="U38" s="484"/>
      <c r="V38" s="484"/>
      <c r="W38" s="484"/>
      <c r="X38" s="484"/>
      <c r="Y38" s="483"/>
      <c r="Z38" s="483"/>
      <c r="AA38" s="228"/>
      <c r="AB38" s="228"/>
      <c r="AC38" s="228"/>
      <c r="AD38" s="228"/>
      <c r="AE38" s="228"/>
    </row>
    <row r="39" spans="1:31" ht="15.75">
      <c r="A39" s="485"/>
      <c r="B39" s="485"/>
      <c r="C39" s="485"/>
      <c r="D39" s="485" t="s">
        <v>798</v>
      </c>
      <c r="E39" s="486">
        <v>44160</v>
      </c>
      <c r="F39" s="485"/>
      <c r="G39" s="485" t="s">
        <v>1002</v>
      </c>
      <c r="H39" s="485"/>
      <c r="I39" s="485" t="s">
        <v>1003</v>
      </c>
      <c r="J39" s="485"/>
      <c r="K39" s="485" t="s">
        <v>793</v>
      </c>
      <c r="L39" s="485"/>
      <c r="M39" s="485" t="s">
        <v>801</v>
      </c>
      <c r="N39" s="485"/>
      <c r="O39" s="487">
        <v>265.64999999999998</v>
      </c>
      <c r="P39" s="485"/>
      <c r="Q39" s="487">
        <f t="shared" si="0"/>
        <v>22342.29</v>
      </c>
      <c r="R39" s="483"/>
      <c r="S39" s="484"/>
      <c r="T39" s="484">
        <f>+O39</f>
        <v>265.64999999999998</v>
      </c>
      <c r="U39" s="484"/>
      <c r="V39" s="484"/>
      <c r="W39" s="484"/>
      <c r="X39" s="484"/>
      <c r="Y39" s="483"/>
      <c r="Z39" s="483"/>
      <c r="AA39" s="228"/>
      <c r="AB39" s="228"/>
      <c r="AC39" s="228"/>
      <c r="AD39" s="228"/>
      <c r="AE39" s="228"/>
    </row>
    <row r="40" spans="1:31" ht="15.75">
      <c r="A40" s="485"/>
      <c r="B40" s="485"/>
      <c r="C40" s="485"/>
      <c r="D40" s="485" t="s">
        <v>798</v>
      </c>
      <c r="E40" s="486">
        <v>44170</v>
      </c>
      <c r="F40" s="485"/>
      <c r="G40" s="485" t="s">
        <v>1004</v>
      </c>
      <c r="H40" s="485"/>
      <c r="I40" s="485" t="s">
        <v>1034</v>
      </c>
      <c r="J40" s="485"/>
      <c r="K40" s="485" t="s">
        <v>793</v>
      </c>
      <c r="L40" s="485"/>
      <c r="M40" s="485" t="s">
        <v>801</v>
      </c>
      <c r="N40" s="485"/>
      <c r="O40" s="487">
        <v>148.6</v>
      </c>
      <c r="P40" s="485"/>
      <c r="Q40" s="487">
        <f t="shared" si="0"/>
        <v>22490.89</v>
      </c>
      <c r="R40" s="483"/>
      <c r="S40" s="484"/>
      <c r="T40" s="484"/>
      <c r="U40" s="484"/>
      <c r="V40" s="484"/>
      <c r="W40" s="484"/>
      <c r="X40" s="484">
        <f>+O40</f>
        <v>148.6</v>
      </c>
      <c r="Y40" s="483"/>
      <c r="Z40" s="483"/>
      <c r="AA40" s="228"/>
      <c r="AB40" s="228"/>
      <c r="AC40" s="228"/>
      <c r="AD40" s="228"/>
      <c r="AE40" s="228"/>
    </row>
    <row r="41" spans="1:31" ht="15.75">
      <c r="A41" s="485"/>
      <c r="B41" s="485"/>
      <c r="C41" s="485"/>
      <c r="D41" s="485" t="s">
        <v>818</v>
      </c>
      <c r="E41" s="486">
        <v>44181</v>
      </c>
      <c r="F41" s="485" t="s">
        <v>1035</v>
      </c>
      <c r="G41" s="485" t="s">
        <v>1036</v>
      </c>
      <c r="H41" s="485"/>
      <c r="I41" s="485"/>
      <c r="J41" s="485"/>
      <c r="K41" s="485" t="s">
        <v>793</v>
      </c>
      <c r="L41" s="485"/>
      <c r="M41" s="485" t="s">
        <v>794</v>
      </c>
      <c r="N41" s="485"/>
      <c r="O41" s="487">
        <v>700</v>
      </c>
      <c r="P41" s="485"/>
      <c r="Q41" s="487">
        <f t="shared" si="0"/>
        <v>23190.89</v>
      </c>
      <c r="R41" s="483"/>
      <c r="S41" s="484">
        <f>+O41</f>
        <v>700</v>
      </c>
      <c r="T41" s="484"/>
      <c r="U41" s="484"/>
      <c r="V41" s="484"/>
      <c r="W41" s="484"/>
      <c r="X41" s="484"/>
      <c r="Y41" s="483"/>
      <c r="Z41" s="483"/>
      <c r="AA41" s="228"/>
      <c r="AB41" s="228"/>
      <c r="AC41" s="228"/>
      <c r="AD41" s="228"/>
      <c r="AE41" s="228"/>
    </row>
    <row r="42" spans="1:31" ht="15.75">
      <c r="A42" s="485"/>
      <c r="B42" s="485"/>
      <c r="C42" s="485"/>
      <c r="D42" s="485" t="s">
        <v>798</v>
      </c>
      <c r="E42" s="486">
        <v>44182</v>
      </c>
      <c r="F42" s="485"/>
      <c r="G42" s="485" t="s">
        <v>1001</v>
      </c>
      <c r="H42" s="485"/>
      <c r="I42" s="485" t="s">
        <v>1015</v>
      </c>
      <c r="J42" s="485"/>
      <c r="K42" s="485" t="s">
        <v>793</v>
      </c>
      <c r="L42" s="485"/>
      <c r="M42" s="485" t="s">
        <v>801</v>
      </c>
      <c r="N42" s="485"/>
      <c r="O42" s="487">
        <v>352.5</v>
      </c>
      <c r="P42" s="485"/>
      <c r="Q42" s="487">
        <f t="shared" si="0"/>
        <v>23543.39</v>
      </c>
      <c r="R42" s="483"/>
      <c r="S42" s="484">
        <f>+O42</f>
        <v>352.5</v>
      </c>
      <c r="T42" s="484"/>
      <c r="U42" s="484"/>
      <c r="V42" s="484"/>
      <c r="W42" s="484"/>
      <c r="X42" s="484"/>
      <c r="Y42" s="483"/>
      <c r="Z42" s="483"/>
      <c r="AA42" s="228"/>
      <c r="AB42" s="228"/>
      <c r="AC42" s="228"/>
      <c r="AD42" s="228"/>
      <c r="AE42" s="228"/>
    </row>
    <row r="43" spans="1:31" ht="15.75">
      <c r="A43" s="485"/>
      <c r="B43" s="485"/>
      <c r="C43" s="485"/>
      <c r="D43" s="485" t="s">
        <v>798</v>
      </c>
      <c r="E43" s="486">
        <v>44187</v>
      </c>
      <c r="F43" s="485"/>
      <c r="G43" s="485" t="s">
        <v>1002</v>
      </c>
      <c r="H43" s="485"/>
      <c r="I43" s="485" t="s">
        <v>1003</v>
      </c>
      <c r="J43" s="485"/>
      <c r="K43" s="485" t="s">
        <v>793</v>
      </c>
      <c r="L43" s="485"/>
      <c r="M43" s="485" t="s">
        <v>801</v>
      </c>
      <c r="N43" s="485"/>
      <c r="O43" s="487">
        <v>265.64999999999998</v>
      </c>
      <c r="P43" s="485"/>
      <c r="Q43" s="487">
        <f t="shared" si="0"/>
        <v>23809.040000000001</v>
      </c>
      <c r="R43" s="483"/>
      <c r="S43" s="484"/>
      <c r="T43" s="484">
        <f>+O43</f>
        <v>265.64999999999998</v>
      </c>
      <c r="U43" s="484"/>
      <c r="V43" s="484"/>
      <c r="W43" s="484"/>
      <c r="X43" s="484"/>
      <c r="Y43" s="483"/>
      <c r="Z43" s="483"/>
      <c r="AA43" s="228"/>
      <c r="AB43" s="228"/>
      <c r="AC43" s="228"/>
      <c r="AD43" s="228"/>
      <c r="AE43" s="228"/>
    </row>
    <row r="44" spans="1:31" ht="47.25">
      <c r="A44" s="485"/>
      <c r="B44" s="485"/>
      <c r="C44" s="485"/>
      <c r="D44" s="488" t="s">
        <v>795</v>
      </c>
      <c r="E44" s="486">
        <v>44196</v>
      </c>
      <c r="F44" s="485"/>
      <c r="G44" s="485" t="s">
        <v>1037</v>
      </c>
      <c r="H44" s="485"/>
      <c r="I44" s="485"/>
      <c r="J44" s="485"/>
      <c r="K44" s="485"/>
      <c r="L44" s="485"/>
      <c r="M44" s="485" t="s">
        <v>797</v>
      </c>
      <c r="N44" s="485"/>
      <c r="O44" s="487">
        <v>300</v>
      </c>
      <c r="P44" s="485"/>
      <c r="Q44" s="487">
        <f t="shared" si="0"/>
        <v>24109.040000000001</v>
      </c>
      <c r="R44" s="483"/>
      <c r="S44" s="484">
        <f>+O44</f>
        <v>300</v>
      </c>
      <c r="T44" s="484"/>
      <c r="U44" s="484"/>
      <c r="V44" s="484"/>
      <c r="W44" s="484"/>
      <c r="X44" s="484"/>
      <c r="Y44" s="483"/>
      <c r="Z44" s="483"/>
      <c r="AA44" s="228"/>
      <c r="AB44" s="228"/>
      <c r="AC44" s="228"/>
      <c r="AD44" s="228"/>
      <c r="AE44" s="228"/>
    </row>
    <row r="45" spans="1:31" ht="48" thickBot="1">
      <c r="A45" s="485"/>
      <c r="B45" s="485"/>
      <c r="C45" s="485"/>
      <c r="D45" s="488" t="s">
        <v>795</v>
      </c>
      <c r="E45" s="486">
        <v>44196</v>
      </c>
      <c r="F45" s="485"/>
      <c r="G45" s="485" t="s">
        <v>1004</v>
      </c>
      <c r="H45" s="485"/>
      <c r="I45" s="485" t="s">
        <v>1038</v>
      </c>
      <c r="J45" s="485"/>
      <c r="K45" s="485" t="s">
        <v>793</v>
      </c>
      <c r="L45" s="485"/>
      <c r="M45" s="485" t="s">
        <v>797</v>
      </c>
      <c r="N45" s="485"/>
      <c r="O45" s="487">
        <v>457.6</v>
      </c>
      <c r="P45" s="485"/>
      <c r="Q45" s="487">
        <f t="shared" si="0"/>
        <v>24566.639999999999</v>
      </c>
      <c r="R45" s="483"/>
      <c r="S45" s="489"/>
      <c r="T45" s="489"/>
      <c r="U45" s="489"/>
      <c r="V45" s="489"/>
      <c r="W45" s="489"/>
      <c r="X45" s="489">
        <f>+O45</f>
        <v>457.6</v>
      </c>
      <c r="Y45" s="483"/>
      <c r="Z45" s="483"/>
      <c r="AA45" s="228"/>
      <c r="AB45" s="228"/>
      <c r="AC45" s="228"/>
      <c r="AD45" s="228"/>
      <c r="AE45" s="228"/>
    </row>
    <row r="46" spans="1:31" ht="16.5" thickBot="1">
      <c r="A46" s="485"/>
      <c r="B46" s="485" t="s">
        <v>1039</v>
      </c>
      <c r="C46" s="485"/>
      <c r="D46" s="485"/>
      <c r="E46" s="486"/>
      <c r="F46" s="485"/>
      <c r="G46" s="485"/>
      <c r="H46" s="485"/>
      <c r="I46" s="485"/>
      <c r="J46" s="485"/>
      <c r="K46" s="485"/>
      <c r="L46" s="485"/>
      <c r="M46" s="485"/>
      <c r="N46" s="485"/>
      <c r="O46" s="490">
        <f>ROUND(SUM(O2:O45),5)</f>
        <v>24566.639999999999</v>
      </c>
      <c r="P46" s="485"/>
      <c r="Q46" s="490">
        <f>Q45</f>
        <v>24566.639999999999</v>
      </c>
      <c r="R46" s="483"/>
      <c r="S46" s="484">
        <f>SUM(S2:S45)</f>
        <v>17915.900000000001</v>
      </c>
      <c r="T46" s="484">
        <f>SUM(T2:T45)</f>
        <v>5186.6499999999996</v>
      </c>
      <c r="U46" s="484">
        <f t="shared" ref="U46:X46" si="2">SUM(U2:U45)</f>
        <v>297.89999999999998</v>
      </c>
      <c r="V46" s="484">
        <f t="shared" si="2"/>
        <v>519.99</v>
      </c>
      <c r="W46" s="484">
        <f t="shared" si="2"/>
        <v>40</v>
      </c>
      <c r="X46" s="484">
        <f t="shared" si="2"/>
        <v>606.20000000000005</v>
      </c>
      <c r="Y46" s="483"/>
      <c r="Z46" s="483"/>
      <c r="AA46" s="228"/>
      <c r="AB46" s="228"/>
      <c r="AC46" s="228"/>
      <c r="AD46" s="228"/>
      <c r="AE46" s="228"/>
    </row>
    <row r="47" spans="1:31" ht="16.5" thickBot="1">
      <c r="A47" s="480" t="s">
        <v>142</v>
      </c>
      <c r="B47" s="480"/>
      <c r="C47" s="480"/>
      <c r="D47" s="480"/>
      <c r="E47" s="481"/>
      <c r="F47" s="480"/>
      <c r="G47" s="480"/>
      <c r="H47" s="480"/>
      <c r="I47" s="480"/>
      <c r="J47" s="480"/>
      <c r="K47" s="480"/>
      <c r="L47" s="480"/>
      <c r="M47" s="480"/>
      <c r="N47" s="480"/>
      <c r="O47" s="491">
        <f>O46</f>
        <v>24566.639999999999</v>
      </c>
      <c r="P47" s="480"/>
      <c r="Q47" s="491">
        <f>Q46</f>
        <v>24566.639999999999</v>
      </c>
      <c r="R47" s="492"/>
      <c r="S47" s="492"/>
      <c r="T47" s="492"/>
      <c r="U47" s="492"/>
      <c r="V47" s="492"/>
      <c r="W47" s="492"/>
      <c r="X47" s="492"/>
      <c r="Y47" s="492"/>
      <c r="Z47" s="492"/>
      <c r="AA47" s="228"/>
      <c r="AB47" s="228"/>
      <c r="AC47" s="228"/>
      <c r="AD47" s="228"/>
      <c r="AE47" s="228"/>
    </row>
    <row r="48" spans="1:31" ht="16.5" thickTop="1">
      <c r="A48" s="483"/>
      <c r="B48" s="483"/>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228"/>
      <c r="AB48" s="228"/>
      <c r="AC48" s="228"/>
      <c r="AD48" s="228"/>
      <c r="AE48" s="228"/>
    </row>
    <row r="49" spans="1:31" ht="15.75">
      <c r="A49" s="483"/>
      <c r="B49" s="483"/>
      <c r="C49" s="483"/>
      <c r="D49" s="483"/>
      <c r="E49" s="483"/>
      <c r="F49" s="483"/>
      <c r="G49" s="483"/>
      <c r="H49" s="483"/>
      <c r="I49" s="483"/>
      <c r="J49" s="483"/>
      <c r="K49" s="483"/>
      <c r="L49" s="483"/>
      <c r="M49" s="483"/>
      <c r="N49" s="483"/>
      <c r="O49" s="493">
        <f>SUM(O3:O45)</f>
        <v>24566.639999999996</v>
      </c>
      <c r="P49" s="483"/>
      <c r="Q49" s="483"/>
      <c r="R49" s="483"/>
      <c r="S49" s="483"/>
      <c r="T49" s="483"/>
      <c r="U49" s="483"/>
      <c r="V49" s="483"/>
      <c r="W49" s="483"/>
      <c r="X49" s="483"/>
      <c r="Y49" s="483"/>
      <c r="Z49" s="483"/>
      <c r="AA49" s="228"/>
      <c r="AB49" s="228"/>
      <c r="AC49" s="228"/>
      <c r="AD49" s="228"/>
      <c r="AE49" s="228"/>
    </row>
    <row r="50" spans="1:31">
      <c r="A50" s="228"/>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row>
    <row r="51" spans="1:31">
      <c r="A51" s="228"/>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row>
    <row r="52" spans="1:31">
      <c r="A52" s="228"/>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row>
    <row r="53" spans="1:31">
      <c r="A53" s="228"/>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row>
    <row r="54" spans="1:31">
      <c r="A54" s="228"/>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row>
    <row r="55" spans="1:31">
      <c r="A55" s="228"/>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row>
    <row r="56" spans="1:31">
      <c r="A56" s="228"/>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row>
    <row r="57" spans="1:31">
      <c r="A57" s="228"/>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row>
    <row r="58" spans="1:31">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row>
    <row r="59" spans="1:31">
      <c r="A59" s="228"/>
      <c r="B59" s="228"/>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row>
    <row r="60" spans="1:31">
      <c r="A60" s="228"/>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row>
    <row r="61" spans="1:31">
      <c r="A61" s="228"/>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row>
    <row r="62" spans="1:31">
      <c r="A62" s="228"/>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row>
    <row r="63" spans="1:31">
      <c r="A63" s="228"/>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row>
    <row r="64" spans="1:31">
      <c r="A64" s="228"/>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row>
    <row r="65" spans="1:31">
      <c r="A65" s="228"/>
      <c r="B65" s="228"/>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row>
    <row r="66" spans="1:31">
      <c r="A66" s="228"/>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row>
    <row r="67" spans="1:31">
      <c r="A67" s="228"/>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row>
    <row r="68" spans="1:31">
      <c r="A68" s="228"/>
      <c r="B68" s="228"/>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row>
    <row r="69" spans="1:31">
      <c r="A69" s="228"/>
      <c r="B69" s="228"/>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row>
    <row r="70" spans="1:31">
      <c r="A70" s="228"/>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row>
    <row r="71" spans="1:31">
      <c r="A71" s="228"/>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row>
    <row r="72" spans="1:31">
      <c r="A72" s="228"/>
      <c r="B72" s="228"/>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row>
    <row r="73" spans="1:31">
      <c r="A73" s="228"/>
      <c r="B73" s="228"/>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row>
    <row r="74" spans="1:31">
      <c r="A74" s="228"/>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row>
    <row r="75" spans="1:31">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row>
    <row r="76" spans="1:31">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row>
    <row r="77" spans="1:31">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E3321-4CEA-40D9-9F06-F7F84ACF7D95}">
  <sheetPr>
    <pageSetUpPr fitToPage="1"/>
  </sheetPr>
  <dimension ref="A1:R109"/>
  <sheetViews>
    <sheetView workbookViewId="0">
      <selection sqref="A1:Q75"/>
    </sheetView>
  </sheetViews>
  <sheetFormatPr defaultRowHeight="15"/>
  <cols>
    <col min="1" max="1" width="2.77734375" customWidth="1"/>
    <col min="2" max="2" width="4.5546875" customWidth="1"/>
    <col min="3" max="3" width="26.88671875" customWidth="1"/>
    <col min="17" max="17" width="9" customWidth="1"/>
  </cols>
  <sheetData>
    <row r="1" spans="1:18" ht="23.25">
      <c r="A1" s="204"/>
      <c r="B1" s="205"/>
      <c r="C1" s="205"/>
      <c r="D1" s="205"/>
      <c r="E1" s="205"/>
      <c r="F1" s="204"/>
      <c r="G1" s="204"/>
      <c r="H1" s="204" t="s">
        <v>128</v>
      </c>
      <c r="I1" s="204"/>
      <c r="J1" s="206"/>
      <c r="K1" s="206"/>
      <c r="L1" s="206"/>
      <c r="M1" s="206"/>
      <c r="N1" s="206"/>
      <c r="O1" s="206"/>
      <c r="P1" s="206"/>
      <c r="Q1" s="206"/>
      <c r="R1" s="203"/>
    </row>
    <row r="2" spans="1:18" ht="23.25">
      <c r="A2" s="204"/>
      <c r="B2" s="204"/>
      <c r="C2" s="204"/>
      <c r="D2" s="204"/>
      <c r="E2" s="204"/>
      <c r="F2" s="204"/>
      <c r="G2" s="204"/>
      <c r="H2" s="204" t="s">
        <v>129</v>
      </c>
      <c r="I2" s="204"/>
      <c r="J2" s="206"/>
      <c r="K2" s="206"/>
      <c r="L2" s="206"/>
      <c r="M2" s="206"/>
      <c r="N2" s="206"/>
      <c r="O2" s="206"/>
      <c r="P2" s="206"/>
      <c r="Q2" s="206"/>
      <c r="R2" s="203"/>
    </row>
    <row r="3" spans="1:18" ht="15.75">
      <c r="A3" s="207"/>
      <c r="B3" s="208"/>
      <c r="C3" s="208"/>
      <c r="D3" s="208"/>
      <c r="E3" s="208"/>
      <c r="F3" s="207"/>
      <c r="G3" s="207"/>
      <c r="H3" s="207"/>
      <c r="I3" s="207"/>
      <c r="J3" s="206"/>
      <c r="K3" s="206"/>
      <c r="L3" s="206"/>
      <c r="M3" s="206"/>
      <c r="N3" s="206"/>
      <c r="O3" s="206"/>
      <c r="P3" s="206"/>
      <c r="Q3" s="206"/>
      <c r="R3" s="203"/>
    </row>
    <row r="4" spans="1:18" ht="15.75" thickBot="1">
      <c r="A4" s="209"/>
      <c r="B4" s="209"/>
      <c r="C4" s="209"/>
      <c r="D4" s="210" t="s">
        <v>130</v>
      </c>
      <c r="E4" s="210" t="s">
        <v>131</v>
      </c>
      <c r="F4" s="210" t="s">
        <v>132</v>
      </c>
      <c r="G4" s="210" t="s">
        <v>133</v>
      </c>
      <c r="H4" s="210" t="s">
        <v>134</v>
      </c>
      <c r="I4" s="210" t="s">
        <v>135</v>
      </c>
      <c r="J4" s="210" t="s">
        <v>136</v>
      </c>
      <c r="K4" s="210" t="s">
        <v>137</v>
      </c>
      <c r="L4" s="210" t="s">
        <v>138</v>
      </c>
      <c r="M4" s="210" t="s">
        <v>139</v>
      </c>
      <c r="N4" s="210" t="s">
        <v>140</v>
      </c>
      <c r="O4" s="210" t="s">
        <v>141</v>
      </c>
      <c r="P4" s="211"/>
      <c r="Q4" s="210" t="s">
        <v>142</v>
      </c>
      <c r="R4" s="203"/>
    </row>
    <row r="5" spans="1:18" ht="15.75" thickTop="1">
      <c r="A5" s="212" t="s">
        <v>143</v>
      </c>
      <c r="B5" s="212"/>
      <c r="C5" s="212"/>
      <c r="D5" s="213"/>
      <c r="E5" s="213"/>
      <c r="F5" s="213"/>
      <c r="G5" s="213"/>
      <c r="H5" s="213"/>
      <c r="I5" s="213"/>
      <c r="J5" s="213"/>
      <c r="K5" s="213"/>
      <c r="L5" s="213"/>
      <c r="M5" s="213"/>
      <c r="N5" s="213"/>
      <c r="O5" s="213"/>
      <c r="P5" s="214"/>
      <c r="Q5" s="213"/>
      <c r="R5" s="203"/>
    </row>
    <row r="6" spans="1:18">
      <c r="A6" s="215"/>
      <c r="B6" s="212" t="s">
        <v>144</v>
      </c>
      <c r="C6" s="215"/>
      <c r="D6" s="213"/>
      <c r="E6" s="213"/>
      <c r="F6" s="213"/>
      <c r="G6" s="213"/>
      <c r="H6" s="213"/>
      <c r="I6" s="213"/>
      <c r="J6" s="213"/>
      <c r="K6" s="213"/>
      <c r="L6" s="213"/>
      <c r="M6" s="213"/>
      <c r="N6" s="213"/>
      <c r="O6" s="213"/>
      <c r="P6" s="214"/>
      <c r="Q6" s="213"/>
      <c r="R6" s="203"/>
    </row>
    <row r="7" spans="1:18">
      <c r="A7" s="215"/>
      <c r="B7" s="215"/>
      <c r="C7" s="214" t="s">
        <v>145</v>
      </c>
      <c r="D7" s="213">
        <v>4133.93</v>
      </c>
      <c r="E7" s="213">
        <v>17873.75</v>
      </c>
      <c r="F7" s="213">
        <v>5647.64</v>
      </c>
      <c r="G7" s="213">
        <v>7311.35</v>
      </c>
      <c r="H7" s="213">
        <v>18859.12</v>
      </c>
      <c r="I7" s="213">
        <v>4210.74</v>
      </c>
      <c r="J7" s="213">
        <v>3235.91</v>
      </c>
      <c r="K7" s="213">
        <v>21053.89</v>
      </c>
      <c r="L7" s="213">
        <v>4643.17</v>
      </c>
      <c r="M7" s="213">
        <v>2495.5100000000002</v>
      </c>
      <c r="N7" s="213">
        <v>20553.62</v>
      </c>
      <c r="O7" s="213">
        <v>4539.4799999999996</v>
      </c>
      <c r="P7" s="214"/>
      <c r="Q7" s="213">
        <f t="shared" ref="Q7:Q19" si="0">ROUND(SUM(D7:O7),5)</f>
        <v>114558.11</v>
      </c>
      <c r="R7" s="203"/>
    </row>
    <row r="8" spans="1:18">
      <c r="A8" s="215"/>
      <c r="B8" s="215"/>
      <c r="C8" s="215" t="s">
        <v>146</v>
      </c>
      <c r="D8" s="213">
        <v>186.32</v>
      </c>
      <c r="E8" s="213">
        <v>4463.4399999999996</v>
      </c>
      <c r="F8" s="213">
        <v>483.07</v>
      </c>
      <c r="G8" s="213">
        <v>1361.91</v>
      </c>
      <c r="H8" s="213">
        <v>2706.11</v>
      </c>
      <c r="I8" s="213">
        <v>1476.7</v>
      </c>
      <c r="J8" s="213">
        <v>896.91</v>
      </c>
      <c r="K8" s="213">
        <v>4642.29</v>
      </c>
      <c r="L8" s="213">
        <v>744.39</v>
      </c>
      <c r="M8" s="213">
        <v>391.33</v>
      </c>
      <c r="N8" s="213">
        <v>3693.55</v>
      </c>
      <c r="O8" s="213">
        <v>3738.73</v>
      </c>
      <c r="P8" s="214"/>
      <c r="Q8" s="213">
        <f t="shared" si="0"/>
        <v>24784.75</v>
      </c>
      <c r="R8" s="203"/>
    </row>
    <row r="9" spans="1:18">
      <c r="A9" s="215"/>
      <c r="B9" s="215"/>
      <c r="C9" s="214" t="s">
        <v>147</v>
      </c>
      <c r="D9" s="213">
        <v>6238.71</v>
      </c>
      <c r="E9" s="213">
        <v>7279.93</v>
      </c>
      <c r="F9" s="213">
        <v>3702.36</v>
      </c>
      <c r="G9" s="213">
        <v>6613.75</v>
      </c>
      <c r="H9" s="213">
        <v>6499.02</v>
      </c>
      <c r="I9" s="213">
        <v>5653.59</v>
      </c>
      <c r="J9" s="213">
        <v>5437.87</v>
      </c>
      <c r="K9" s="213">
        <v>8457.44</v>
      </c>
      <c r="L9" s="213">
        <v>5310</v>
      </c>
      <c r="M9" s="213">
        <v>4243.1499999999996</v>
      </c>
      <c r="N9" s="213">
        <v>7645.45</v>
      </c>
      <c r="O9" s="213">
        <v>6579.97</v>
      </c>
      <c r="P9" s="214"/>
      <c r="Q9" s="213">
        <f t="shared" si="0"/>
        <v>73661.240000000005</v>
      </c>
      <c r="R9" s="203"/>
    </row>
    <row r="10" spans="1:18">
      <c r="A10" s="215"/>
      <c r="B10" s="215"/>
      <c r="C10" s="215" t="s">
        <v>148</v>
      </c>
      <c r="D10" s="213">
        <v>6020.39</v>
      </c>
      <c r="E10" s="213">
        <v>5815.97</v>
      </c>
      <c r="F10" s="213">
        <v>4937.88</v>
      </c>
      <c r="G10" s="213">
        <v>7365.13</v>
      </c>
      <c r="H10" s="213">
        <v>5688.79</v>
      </c>
      <c r="I10" s="213">
        <v>5606.95</v>
      </c>
      <c r="J10" s="213">
        <v>5247.37</v>
      </c>
      <c r="K10" s="213">
        <v>6047.95</v>
      </c>
      <c r="L10" s="213">
        <v>5521.54</v>
      </c>
      <c r="M10" s="213">
        <v>5817.13</v>
      </c>
      <c r="N10" s="213">
        <v>5209.2700000000004</v>
      </c>
      <c r="O10" s="213">
        <v>6045.69</v>
      </c>
      <c r="P10" s="214"/>
      <c r="Q10" s="213">
        <f t="shared" si="0"/>
        <v>69324.06</v>
      </c>
      <c r="R10" s="203"/>
    </row>
    <row r="11" spans="1:18">
      <c r="A11" s="215"/>
      <c r="B11" s="215"/>
      <c r="C11" s="215" t="s">
        <v>149</v>
      </c>
      <c r="D11" s="213">
        <v>966.98</v>
      </c>
      <c r="E11" s="213">
        <v>1297.52</v>
      </c>
      <c r="F11" s="213">
        <v>966.98</v>
      </c>
      <c r="G11" s="213">
        <v>575.99</v>
      </c>
      <c r="H11" s="213">
        <v>802.1</v>
      </c>
      <c r="I11" s="213">
        <v>1749.56</v>
      </c>
      <c r="J11" s="213">
        <v>884.85</v>
      </c>
      <c r="K11" s="213">
        <v>1184.2</v>
      </c>
      <c r="L11" s="213">
        <v>1040.81</v>
      </c>
      <c r="M11" s="213">
        <v>739.65</v>
      </c>
      <c r="N11" s="213">
        <v>1228.77</v>
      </c>
      <c r="O11" s="213">
        <v>1385.04</v>
      </c>
      <c r="P11" s="214"/>
      <c r="Q11" s="213">
        <f t="shared" si="0"/>
        <v>12822.45</v>
      </c>
      <c r="R11" s="203"/>
    </row>
    <row r="12" spans="1:18">
      <c r="A12" s="215"/>
      <c r="B12" s="215"/>
      <c r="C12" s="215" t="s">
        <v>150</v>
      </c>
      <c r="D12" s="213">
        <f>6401.78-D13</f>
        <v>3606.74</v>
      </c>
      <c r="E12" s="213">
        <f>4359.61-E13</f>
        <v>-769.67000000000007</v>
      </c>
      <c r="F12" s="213">
        <f>7485.97-F13</f>
        <v>2949.01</v>
      </c>
      <c r="G12" s="213">
        <f>10798.4-G13</f>
        <v>5930.24</v>
      </c>
      <c r="H12" s="213">
        <f>13793.12-H13</f>
        <v>7027.0400000000009</v>
      </c>
      <c r="I12" s="213">
        <f>6786.42-I13</f>
        <v>1443.9800000000005</v>
      </c>
      <c r="J12" s="213">
        <f>7228.31-J13</f>
        <v>3510.2300000000005</v>
      </c>
      <c r="K12" s="213">
        <f>9235.79-K13</f>
        <v>6267.9500000000007</v>
      </c>
      <c r="L12" s="213">
        <f>10298.49-L13</f>
        <v>7868.25</v>
      </c>
      <c r="M12" s="213">
        <f>5382.28-M13</f>
        <v>3333.64</v>
      </c>
      <c r="N12" s="213">
        <f>6686.12-N13</f>
        <v>4183.3999999999996</v>
      </c>
      <c r="O12" s="213">
        <f>6640.48-O13</f>
        <v>3123.9999999999995</v>
      </c>
      <c r="P12" s="214"/>
      <c r="Q12" s="213">
        <f t="shared" si="0"/>
        <v>48474.81</v>
      </c>
      <c r="R12" s="203"/>
    </row>
    <row r="13" spans="1:18">
      <c r="A13" s="215"/>
      <c r="B13" s="215"/>
      <c r="C13" s="215" t="s">
        <v>151</v>
      </c>
      <c r="D13" s="213">
        <v>2795.04</v>
      </c>
      <c r="E13" s="213">
        <v>5129.28</v>
      </c>
      <c r="F13" s="213">
        <v>4536.96</v>
      </c>
      <c r="G13" s="213">
        <v>4868.16</v>
      </c>
      <c r="H13" s="213">
        <v>6766.08</v>
      </c>
      <c r="I13" s="213">
        <v>5342.44</v>
      </c>
      <c r="J13" s="213">
        <v>3718.08</v>
      </c>
      <c r="K13" s="213">
        <v>2967.84</v>
      </c>
      <c r="L13" s="213">
        <v>2430.2399999999998</v>
      </c>
      <c r="M13" s="213">
        <v>2048.64</v>
      </c>
      <c r="N13" s="213">
        <v>2502.7199999999998</v>
      </c>
      <c r="O13" s="213">
        <v>3516.48</v>
      </c>
      <c r="P13" s="214"/>
      <c r="Q13" s="213">
        <f t="shared" si="0"/>
        <v>46621.96</v>
      </c>
      <c r="R13" s="203"/>
    </row>
    <row r="14" spans="1:18">
      <c r="A14" s="215"/>
      <c r="B14" s="215"/>
      <c r="C14" s="215" t="s">
        <v>152</v>
      </c>
      <c r="D14" s="213">
        <v>1983.64</v>
      </c>
      <c r="E14" s="213">
        <v>15233.88</v>
      </c>
      <c r="F14" s="213">
        <v>3009.69</v>
      </c>
      <c r="G14" s="213">
        <v>1699.83</v>
      </c>
      <c r="H14" s="213">
        <v>17321.7</v>
      </c>
      <c r="I14" s="213">
        <v>2906.04</v>
      </c>
      <c r="J14" s="213">
        <v>1452.29</v>
      </c>
      <c r="K14" s="213">
        <v>15942.34</v>
      </c>
      <c r="L14" s="213">
        <v>3431.36</v>
      </c>
      <c r="M14" s="213">
        <v>2069.69</v>
      </c>
      <c r="N14" s="213">
        <v>14834.29</v>
      </c>
      <c r="O14" s="213">
        <v>2491.4899999999998</v>
      </c>
      <c r="P14" s="214"/>
      <c r="Q14" s="213">
        <f t="shared" si="0"/>
        <v>82376.240000000005</v>
      </c>
      <c r="R14" s="203"/>
    </row>
    <row r="15" spans="1:18">
      <c r="A15" s="215"/>
      <c r="B15" s="215"/>
      <c r="C15" s="215" t="s">
        <v>153</v>
      </c>
      <c r="D15" s="213">
        <v>14892.38</v>
      </c>
      <c r="E15" s="213">
        <v>142771.85</v>
      </c>
      <c r="F15" s="213">
        <v>33087.99</v>
      </c>
      <c r="G15" s="213">
        <v>17396.7</v>
      </c>
      <c r="H15" s="213">
        <v>154115.43</v>
      </c>
      <c r="I15" s="213">
        <v>26811.13</v>
      </c>
      <c r="J15" s="213">
        <v>18475.490000000002</v>
      </c>
      <c r="K15" s="213">
        <v>154080.5</v>
      </c>
      <c r="L15" s="213">
        <v>47810.12</v>
      </c>
      <c r="M15" s="213">
        <v>14696.15</v>
      </c>
      <c r="N15" s="213">
        <v>145596.22</v>
      </c>
      <c r="O15" s="213">
        <v>34878.629999999997</v>
      </c>
      <c r="P15" s="214"/>
      <c r="Q15" s="213">
        <f t="shared" si="0"/>
        <v>804612.59</v>
      </c>
      <c r="R15" s="203"/>
    </row>
    <row r="16" spans="1:18">
      <c r="A16" s="215"/>
      <c r="B16" s="215"/>
      <c r="C16" s="215" t="s">
        <v>154</v>
      </c>
      <c r="D16" s="213">
        <v>2928.84</v>
      </c>
      <c r="E16" s="213">
        <v>2146</v>
      </c>
      <c r="F16" s="213">
        <v>2269.6</v>
      </c>
      <c r="G16" s="213">
        <v>2237.84</v>
      </c>
      <c r="H16" s="213">
        <v>2227.09</v>
      </c>
      <c r="I16" s="213">
        <v>2475.71</v>
      </c>
      <c r="J16" s="213">
        <v>1892.89</v>
      </c>
      <c r="K16" s="213">
        <v>1906.9</v>
      </c>
      <c r="L16" s="213">
        <v>1995.87</v>
      </c>
      <c r="M16" s="213">
        <v>2516.0500000000002</v>
      </c>
      <c r="N16" s="213">
        <v>2643.39</v>
      </c>
      <c r="O16" s="213">
        <v>2097.5500000000002</v>
      </c>
      <c r="P16" s="214"/>
      <c r="Q16" s="213">
        <f t="shared" si="0"/>
        <v>27337.73</v>
      </c>
      <c r="R16" s="203"/>
    </row>
    <row r="17" spans="1:18">
      <c r="A17" s="215"/>
      <c r="B17" s="215"/>
      <c r="C17" s="215" t="s">
        <v>155</v>
      </c>
      <c r="D17" s="213">
        <v>16655.7</v>
      </c>
      <c r="E17" s="213">
        <v>20984.38</v>
      </c>
      <c r="F17" s="213">
        <v>16300.15</v>
      </c>
      <c r="G17" s="213">
        <v>15902.69</v>
      </c>
      <c r="H17" s="213">
        <v>18914.78</v>
      </c>
      <c r="I17" s="213">
        <v>16153.26</v>
      </c>
      <c r="J17" s="213">
        <v>18125.439999999999</v>
      </c>
      <c r="K17" s="213">
        <v>23829.78</v>
      </c>
      <c r="L17" s="213">
        <v>21093.31</v>
      </c>
      <c r="M17" s="213">
        <v>18128.599999999999</v>
      </c>
      <c r="N17" s="213">
        <v>17893</v>
      </c>
      <c r="O17" s="213">
        <v>19865.41</v>
      </c>
      <c r="P17" s="214"/>
      <c r="Q17" s="213">
        <f t="shared" si="0"/>
        <v>223846.5</v>
      </c>
      <c r="R17" s="203"/>
    </row>
    <row r="18" spans="1:18" ht="15.75" thickBot="1">
      <c r="A18" s="215"/>
      <c r="B18" s="215"/>
      <c r="C18" s="214" t="s">
        <v>156</v>
      </c>
      <c r="D18" s="216">
        <v>0</v>
      </c>
      <c r="E18" s="216">
        <v>513.80999999999995</v>
      </c>
      <c r="F18" s="216">
        <v>0</v>
      </c>
      <c r="G18" s="216">
        <v>0</v>
      </c>
      <c r="H18" s="216">
        <v>759.15</v>
      </c>
      <c r="I18" s="216">
        <v>0</v>
      </c>
      <c r="J18" s="216">
        <v>994.68</v>
      </c>
      <c r="K18" s="216">
        <v>0</v>
      </c>
      <c r="L18" s="216">
        <v>0</v>
      </c>
      <c r="M18" s="216">
        <v>0</v>
      </c>
      <c r="N18" s="216">
        <v>0</v>
      </c>
      <c r="O18" s="216">
        <v>771.2</v>
      </c>
      <c r="P18" s="214"/>
      <c r="Q18" s="216">
        <f t="shared" si="0"/>
        <v>3038.84</v>
      </c>
      <c r="R18" s="203"/>
    </row>
    <row r="19" spans="1:18">
      <c r="A19" s="215"/>
      <c r="B19" s="212" t="s">
        <v>157</v>
      </c>
      <c r="C19" s="212"/>
      <c r="D19" s="213">
        <f t="shared" ref="D19:O19" si="1">ROUND(SUM(D6:D18),5)</f>
        <v>60408.67</v>
      </c>
      <c r="E19" s="213">
        <f t="shared" si="1"/>
        <v>222740.14</v>
      </c>
      <c r="F19" s="213">
        <f t="shared" si="1"/>
        <v>77891.33</v>
      </c>
      <c r="G19" s="213">
        <f t="shared" si="1"/>
        <v>71263.59</v>
      </c>
      <c r="H19" s="213">
        <f t="shared" si="1"/>
        <v>241686.41</v>
      </c>
      <c r="I19" s="213">
        <f t="shared" si="1"/>
        <v>73830.100000000006</v>
      </c>
      <c r="J19" s="213">
        <f t="shared" si="1"/>
        <v>63872.01</v>
      </c>
      <c r="K19" s="213">
        <f t="shared" si="1"/>
        <v>246381.08</v>
      </c>
      <c r="L19" s="213">
        <f t="shared" si="1"/>
        <v>101889.06</v>
      </c>
      <c r="M19" s="213">
        <f t="shared" si="1"/>
        <v>56479.54</v>
      </c>
      <c r="N19" s="213">
        <f t="shared" si="1"/>
        <v>225983.68</v>
      </c>
      <c r="O19" s="213">
        <f t="shared" si="1"/>
        <v>89033.67</v>
      </c>
      <c r="P19" s="214"/>
      <c r="Q19" s="213">
        <f t="shared" si="0"/>
        <v>1531459.28</v>
      </c>
      <c r="R19" s="203"/>
    </row>
    <row r="20" spans="1:18">
      <c r="A20" s="215"/>
      <c r="B20" s="215"/>
      <c r="C20" s="215"/>
      <c r="D20" s="213"/>
      <c r="E20" s="213"/>
      <c r="F20" s="213"/>
      <c r="G20" s="213"/>
      <c r="H20" s="213"/>
      <c r="I20" s="213"/>
      <c r="J20" s="213"/>
      <c r="K20" s="213"/>
      <c r="L20" s="213"/>
      <c r="M20" s="213"/>
      <c r="N20" s="213"/>
      <c r="O20" s="213"/>
      <c r="P20" s="214"/>
      <c r="Q20" s="213"/>
      <c r="R20" s="203"/>
    </row>
    <row r="21" spans="1:18">
      <c r="A21" s="215"/>
      <c r="B21" s="212" t="s">
        <v>158</v>
      </c>
      <c r="C21" s="212"/>
      <c r="D21" s="213">
        <v>0</v>
      </c>
      <c r="E21" s="213">
        <v>0</v>
      </c>
      <c r="F21" s="213">
        <v>0</v>
      </c>
      <c r="G21" s="213">
        <v>0</v>
      </c>
      <c r="H21" s="213">
        <v>0</v>
      </c>
      <c r="I21" s="213">
        <v>0</v>
      </c>
      <c r="J21" s="213">
        <v>0</v>
      </c>
      <c r="K21" s="213">
        <v>0</v>
      </c>
      <c r="L21" s="213">
        <v>0</v>
      </c>
      <c r="M21" s="213">
        <v>0</v>
      </c>
      <c r="N21" s="213">
        <v>0</v>
      </c>
      <c r="O21" s="213">
        <v>135479.88</v>
      </c>
      <c r="P21" s="214"/>
      <c r="Q21" s="213">
        <f>ROUND(SUM(D21:O21),5)</f>
        <v>135479.88</v>
      </c>
      <c r="R21" s="203"/>
    </row>
    <row r="22" spans="1:18">
      <c r="A22" s="215"/>
      <c r="B22" s="215" t="s">
        <v>20</v>
      </c>
      <c r="C22" s="215"/>
      <c r="D22" s="213"/>
      <c r="E22" s="213"/>
      <c r="F22" s="213"/>
      <c r="G22" s="213"/>
      <c r="H22" s="213"/>
      <c r="I22" s="213"/>
      <c r="J22" s="213"/>
      <c r="K22" s="213"/>
      <c r="L22" s="213"/>
      <c r="M22" s="213"/>
      <c r="N22" s="213"/>
      <c r="O22" s="213"/>
      <c r="P22" s="214"/>
      <c r="Q22" s="213"/>
      <c r="R22" s="203"/>
    </row>
    <row r="23" spans="1:18" ht="15.75" thickBot="1">
      <c r="A23" s="215"/>
      <c r="B23" s="215"/>
      <c r="C23" s="215" t="s">
        <v>159</v>
      </c>
      <c r="D23" s="216">
        <v>1893.67</v>
      </c>
      <c r="E23" s="216">
        <v>0</v>
      </c>
      <c r="F23" s="216">
        <v>0</v>
      </c>
      <c r="G23" s="216">
        <v>1654.3</v>
      </c>
      <c r="H23" s="216">
        <v>0</v>
      </c>
      <c r="I23" s="216">
        <v>0</v>
      </c>
      <c r="J23" s="216">
        <v>1732.1</v>
      </c>
      <c r="K23" s="216">
        <v>0</v>
      </c>
      <c r="L23" s="216">
        <v>0</v>
      </c>
      <c r="M23" s="216">
        <v>1597.32</v>
      </c>
      <c r="N23" s="216">
        <v>0</v>
      </c>
      <c r="O23" s="216">
        <v>0</v>
      </c>
      <c r="P23" s="214"/>
      <c r="Q23" s="216">
        <f>ROUND(SUM(D23:O23),5)</f>
        <v>6877.39</v>
      </c>
      <c r="R23" s="203"/>
    </row>
    <row r="24" spans="1:18">
      <c r="A24" s="215"/>
      <c r="B24" s="212" t="s">
        <v>160</v>
      </c>
      <c r="C24" s="212"/>
      <c r="D24" s="213">
        <f t="shared" ref="D24:O24" si="2">ROUND(SUM(D22:D23),5)</f>
        <v>1893.67</v>
      </c>
      <c r="E24" s="213">
        <f t="shared" si="2"/>
        <v>0</v>
      </c>
      <c r="F24" s="213">
        <f t="shared" si="2"/>
        <v>0</v>
      </c>
      <c r="G24" s="213">
        <f t="shared" si="2"/>
        <v>1654.3</v>
      </c>
      <c r="H24" s="213">
        <f t="shared" si="2"/>
        <v>0</v>
      </c>
      <c r="I24" s="213">
        <f t="shared" si="2"/>
        <v>0</v>
      </c>
      <c r="J24" s="213">
        <f t="shared" si="2"/>
        <v>1732.1</v>
      </c>
      <c r="K24" s="213">
        <f t="shared" si="2"/>
        <v>0</v>
      </c>
      <c r="L24" s="213">
        <f t="shared" si="2"/>
        <v>0</v>
      </c>
      <c r="M24" s="213">
        <f t="shared" si="2"/>
        <v>1597.32</v>
      </c>
      <c r="N24" s="213">
        <f t="shared" si="2"/>
        <v>0</v>
      </c>
      <c r="O24" s="213">
        <f t="shared" si="2"/>
        <v>0</v>
      </c>
      <c r="P24" s="214"/>
      <c r="Q24" s="213">
        <f>ROUND(SUM(D24:O24),5)</f>
        <v>6877.39</v>
      </c>
      <c r="R24" s="203"/>
    </row>
    <row r="25" spans="1:18">
      <c r="A25" s="215"/>
      <c r="B25" s="215" t="s">
        <v>161</v>
      </c>
      <c r="C25" s="215"/>
      <c r="D25" s="213"/>
      <c r="E25" s="213"/>
      <c r="F25" s="213"/>
      <c r="G25" s="213"/>
      <c r="H25" s="213"/>
      <c r="I25" s="213"/>
      <c r="J25" s="213"/>
      <c r="K25" s="213"/>
      <c r="L25" s="213"/>
      <c r="M25" s="213"/>
      <c r="N25" s="213"/>
      <c r="O25" s="213"/>
      <c r="P25" s="214"/>
      <c r="Q25" s="213"/>
      <c r="R25" s="203"/>
    </row>
    <row r="26" spans="1:18">
      <c r="A26" s="215"/>
      <c r="B26" s="215"/>
      <c r="C26" s="215" t="s">
        <v>162</v>
      </c>
      <c r="D26" s="213">
        <v>986.26</v>
      </c>
      <c r="E26" s="213">
        <v>982.34</v>
      </c>
      <c r="F26" s="213">
        <v>715.55</v>
      </c>
      <c r="G26" s="213">
        <v>1844.28</v>
      </c>
      <c r="H26" s="213">
        <v>941.79</v>
      </c>
      <c r="I26" s="213">
        <v>111.02</v>
      </c>
      <c r="J26" s="213">
        <v>1134.79</v>
      </c>
      <c r="K26" s="213">
        <v>973.22</v>
      </c>
      <c r="L26" s="213">
        <v>1101.8</v>
      </c>
      <c r="M26" s="213">
        <v>1116.8900000000001</v>
      </c>
      <c r="N26" s="213">
        <v>1004.15</v>
      </c>
      <c r="O26" s="213">
        <v>1130.03</v>
      </c>
      <c r="P26" s="214"/>
      <c r="Q26" s="213">
        <f>ROUND(SUM(D26:O26),5)</f>
        <v>12042.12</v>
      </c>
      <c r="R26" s="203"/>
    </row>
    <row r="27" spans="1:18">
      <c r="A27" s="215"/>
      <c r="B27" s="215"/>
      <c r="C27" s="215" t="s">
        <v>163</v>
      </c>
      <c r="D27" s="213">
        <v>245.81</v>
      </c>
      <c r="E27" s="213">
        <v>300.85000000000002</v>
      </c>
      <c r="F27" s="213">
        <v>196.84</v>
      </c>
      <c r="G27" s="213">
        <v>157.32</v>
      </c>
      <c r="H27" s="213">
        <v>152.15</v>
      </c>
      <c r="I27" s="213">
        <v>120.9</v>
      </c>
      <c r="J27" s="213">
        <v>114.15</v>
      </c>
      <c r="K27" s="213">
        <v>157.25</v>
      </c>
      <c r="L27" s="213">
        <v>163.44999999999999</v>
      </c>
      <c r="M27" s="213">
        <v>133.41999999999999</v>
      </c>
      <c r="N27" s="213">
        <v>174.4</v>
      </c>
      <c r="O27" s="213">
        <v>311.85000000000002</v>
      </c>
      <c r="P27" s="214"/>
      <c r="Q27" s="213">
        <f>ROUND(SUM(D27:O27),5)</f>
        <v>2228.39</v>
      </c>
      <c r="R27" s="203"/>
    </row>
    <row r="28" spans="1:18">
      <c r="A28" s="215"/>
      <c r="B28" s="215"/>
      <c r="C28" s="215" t="s">
        <v>164</v>
      </c>
      <c r="D28" s="213">
        <v>0</v>
      </c>
      <c r="E28" s="213">
        <v>97.6</v>
      </c>
      <c r="F28" s="213">
        <v>38.270000000000003</v>
      </c>
      <c r="G28" s="213">
        <v>102.08</v>
      </c>
      <c r="H28" s="213">
        <v>204.16</v>
      </c>
      <c r="I28" s="213">
        <v>102.08</v>
      </c>
      <c r="J28" s="213">
        <v>102.08</v>
      </c>
      <c r="K28" s="213">
        <v>103.18</v>
      </c>
      <c r="L28" s="213">
        <v>103.18</v>
      </c>
      <c r="M28" s="213">
        <v>0</v>
      </c>
      <c r="N28" s="213">
        <v>103.18</v>
      </c>
      <c r="O28" s="213">
        <v>206.36</v>
      </c>
      <c r="P28" s="214"/>
      <c r="Q28" s="213">
        <f>ROUND(SUM(D28:O28),5)</f>
        <v>1162.17</v>
      </c>
      <c r="R28" s="203"/>
    </row>
    <row r="29" spans="1:18" ht="15.75" thickBot="1">
      <c r="A29" s="215"/>
      <c r="B29" s="215"/>
      <c r="C29" s="215" t="s">
        <v>165</v>
      </c>
      <c r="D29" s="216">
        <v>338.81</v>
      </c>
      <c r="E29" s="216">
        <v>344.82</v>
      </c>
      <c r="F29" s="216">
        <v>344.82</v>
      </c>
      <c r="G29" s="216">
        <v>344.92</v>
      </c>
      <c r="H29" s="216">
        <v>344.92</v>
      </c>
      <c r="I29" s="216">
        <v>344.92</v>
      </c>
      <c r="J29" s="216">
        <v>344.92</v>
      </c>
      <c r="K29" s="216">
        <v>344.92</v>
      </c>
      <c r="L29" s="216">
        <v>344.92</v>
      </c>
      <c r="M29" s="216">
        <v>344.92</v>
      </c>
      <c r="N29" s="216">
        <v>344.92</v>
      </c>
      <c r="O29" s="216">
        <v>344.86</v>
      </c>
      <c r="P29" s="214"/>
      <c r="Q29" s="216">
        <f>ROUND(SUM(D29:O29),5)</f>
        <v>4132.67</v>
      </c>
      <c r="R29" s="203"/>
    </row>
    <row r="30" spans="1:18">
      <c r="A30" s="215"/>
      <c r="B30" s="212" t="s">
        <v>166</v>
      </c>
      <c r="C30" s="212"/>
      <c r="D30" s="213">
        <f t="shared" ref="D30:O30" si="3">ROUND(SUM(D25:D29),5)</f>
        <v>1570.88</v>
      </c>
      <c r="E30" s="213">
        <f t="shared" si="3"/>
        <v>1725.61</v>
      </c>
      <c r="F30" s="213">
        <f t="shared" si="3"/>
        <v>1295.48</v>
      </c>
      <c r="G30" s="213">
        <f t="shared" si="3"/>
        <v>2448.6</v>
      </c>
      <c r="H30" s="213">
        <f t="shared" si="3"/>
        <v>1643.02</v>
      </c>
      <c r="I30" s="213">
        <f t="shared" si="3"/>
        <v>678.92</v>
      </c>
      <c r="J30" s="213">
        <f t="shared" si="3"/>
        <v>1695.94</v>
      </c>
      <c r="K30" s="213">
        <f t="shared" si="3"/>
        <v>1578.57</v>
      </c>
      <c r="L30" s="213">
        <f t="shared" si="3"/>
        <v>1713.35</v>
      </c>
      <c r="M30" s="213">
        <f t="shared" si="3"/>
        <v>1595.23</v>
      </c>
      <c r="N30" s="213">
        <f t="shared" si="3"/>
        <v>1626.65</v>
      </c>
      <c r="O30" s="213">
        <f t="shared" si="3"/>
        <v>1993.1</v>
      </c>
      <c r="P30" s="214"/>
      <c r="Q30" s="213">
        <f t="shared" ref="Q30:Q49" si="4">ROUND(SUM(D30:O30),5)</f>
        <v>19565.349999999999</v>
      </c>
      <c r="R30" s="203"/>
    </row>
    <row r="31" spans="1:18">
      <c r="A31" s="215"/>
      <c r="B31" s="215"/>
      <c r="C31" s="215"/>
      <c r="D31" s="213"/>
      <c r="E31" s="213"/>
      <c r="F31" s="213"/>
      <c r="G31" s="213"/>
      <c r="H31" s="213"/>
      <c r="I31" s="213"/>
      <c r="J31" s="213"/>
      <c r="K31" s="213"/>
      <c r="L31" s="213"/>
      <c r="M31" s="213"/>
      <c r="N31" s="213"/>
      <c r="O31" s="213"/>
      <c r="P31" s="214"/>
      <c r="Q31" s="213"/>
      <c r="R31" s="203"/>
    </row>
    <row r="32" spans="1:18">
      <c r="A32" s="215"/>
      <c r="B32" s="215" t="s">
        <v>167</v>
      </c>
      <c r="C32" s="215"/>
      <c r="D32" s="213">
        <v>1481.56</v>
      </c>
      <c r="E32" s="213">
        <v>2217.37</v>
      </c>
      <c r="F32" s="213">
        <v>887.23</v>
      </c>
      <c r="G32" s="213">
        <v>934.79</v>
      </c>
      <c r="H32" s="213">
        <v>2591.04</v>
      </c>
      <c r="I32" s="213">
        <v>1330.42</v>
      </c>
      <c r="J32" s="213">
        <v>1058.03</v>
      </c>
      <c r="K32" s="213">
        <v>2931.52</v>
      </c>
      <c r="L32" s="213">
        <v>1519.3</v>
      </c>
      <c r="M32" s="213">
        <v>2980.37</v>
      </c>
      <c r="N32" s="213">
        <v>1297.0999999999999</v>
      </c>
      <c r="O32" s="213">
        <v>1667.08</v>
      </c>
      <c r="P32" s="214"/>
      <c r="Q32" s="213">
        <f t="shared" si="4"/>
        <v>20895.810000000001</v>
      </c>
      <c r="R32" s="203"/>
    </row>
    <row r="33" spans="1:18">
      <c r="A33" s="215"/>
      <c r="B33" s="215" t="s">
        <v>168</v>
      </c>
      <c r="C33" s="215"/>
      <c r="D33" s="213">
        <v>5536.88</v>
      </c>
      <c r="E33" s="213">
        <v>830.1</v>
      </c>
      <c r="F33" s="213">
        <v>0</v>
      </c>
      <c r="G33" s="213">
        <v>7673.4</v>
      </c>
      <c r="H33" s="213">
        <v>8178.4</v>
      </c>
      <c r="I33" s="213">
        <v>2501.7600000000002</v>
      </c>
      <c r="J33" s="213">
        <v>8265.3799999999992</v>
      </c>
      <c r="K33" s="213">
        <v>3647.34</v>
      </c>
      <c r="L33" s="213">
        <v>17025.240000000002</v>
      </c>
      <c r="M33" s="213">
        <v>9647.69</v>
      </c>
      <c r="N33" s="213">
        <v>9812.83</v>
      </c>
      <c r="O33" s="213">
        <v>-26134.83</v>
      </c>
      <c r="P33" s="214"/>
      <c r="Q33" s="213">
        <f t="shared" si="4"/>
        <v>46984.19</v>
      </c>
      <c r="R33" s="203"/>
    </row>
    <row r="34" spans="1:18">
      <c r="A34" s="215"/>
      <c r="B34" s="215" t="s">
        <v>169</v>
      </c>
      <c r="C34" s="215"/>
      <c r="D34" s="213">
        <v>11.17</v>
      </c>
      <c r="E34" s="213">
        <v>312.73</v>
      </c>
      <c r="F34" s="213">
        <v>10.76</v>
      </c>
      <c r="G34" s="213">
        <v>2061.7800000000002</v>
      </c>
      <c r="H34" s="213">
        <v>3604.3</v>
      </c>
      <c r="I34" s="213">
        <v>2238.63</v>
      </c>
      <c r="J34" s="213">
        <v>1730.57</v>
      </c>
      <c r="K34" s="213">
        <v>2369.75</v>
      </c>
      <c r="L34" s="213">
        <v>48.03</v>
      </c>
      <c r="M34" s="213">
        <v>0</v>
      </c>
      <c r="N34" s="213">
        <v>-52.73</v>
      </c>
      <c r="O34" s="213">
        <v>780.06</v>
      </c>
      <c r="P34" s="214"/>
      <c r="Q34" s="213">
        <f t="shared" si="4"/>
        <v>13115.05</v>
      </c>
      <c r="R34" s="203"/>
    </row>
    <row r="35" spans="1:18">
      <c r="A35" s="215"/>
      <c r="B35" s="215" t="s">
        <v>170</v>
      </c>
      <c r="C35" s="215"/>
      <c r="D35" s="213">
        <v>0</v>
      </c>
      <c r="E35" s="213">
        <v>2025.88</v>
      </c>
      <c r="F35" s="213">
        <v>6636.53</v>
      </c>
      <c r="G35" s="213">
        <v>217.94</v>
      </c>
      <c r="H35" s="213">
        <v>0</v>
      </c>
      <c r="I35" s="213">
        <v>473.01</v>
      </c>
      <c r="J35" s="213">
        <v>240.2</v>
      </c>
      <c r="K35" s="213">
        <v>8431.24</v>
      </c>
      <c r="L35" s="213">
        <v>719.98</v>
      </c>
      <c r="M35" s="213">
        <v>2733.87</v>
      </c>
      <c r="N35" s="213">
        <v>308.76</v>
      </c>
      <c r="O35" s="213">
        <v>2062.7800000000002</v>
      </c>
      <c r="P35" s="214"/>
      <c r="Q35" s="213">
        <f t="shared" si="4"/>
        <v>23850.19</v>
      </c>
      <c r="R35" s="203"/>
    </row>
    <row r="36" spans="1:18">
      <c r="A36" s="215"/>
      <c r="B36" s="215" t="s">
        <v>171</v>
      </c>
      <c r="C36" s="215"/>
      <c r="D36" s="213">
        <v>2422.0100000000002</v>
      </c>
      <c r="E36" s="213">
        <v>2299.6999999999998</v>
      </c>
      <c r="F36" s="213">
        <v>727.09</v>
      </c>
      <c r="G36" s="213">
        <v>1607.19</v>
      </c>
      <c r="H36" s="213">
        <v>1375.12</v>
      </c>
      <c r="I36" s="213">
        <v>1164.32</v>
      </c>
      <c r="J36" s="213">
        <v>7918.06</v>
      </c>
      <c r="K36" s="213">
        <v>5970.53</v>
      </c>
      <c r="L36" s="213">
        <v>7700.71</v>
      </c>
      <c r="M36" s="213">
        <v>1692.75</v>
      </c>
      <c r="N36" s="213">
        <v>3565.28</v>
      </c>
      <c r="O36" s="213">
        <v>2832.4</v>
      </c>
      <c r="P36" s="214"/>
      <c r="Q36" s="213">
        <f t="shared" si="4"/>
        <v>39275.160000000003</v>
      </c>
      <c r="R36" s="203"/>
    </row>
    <row r="37" spans="1:18">
      <c r="A37" s="215"/>
      <c r="B37" s="215" t="s">
        <v>172</v>
      </c>
      <c r="C37" s="215"/>
      <c r="D37" s="213">
        <v>0</v>
      </c>
      <c r="E37" s="213">
        <v>97.11</v>
      </c>
      <c r="F37" s="213">
        <v>516.96</v>
      </c>
      <c r="G37" s="213">
        <v>78.55</v>
      </c>
      <c r="H37" s="213">
        <v>114.21</v>
      </c>
      <c r="I37" s="213">
        <v>-132.32</v>
      </c>
      <c r="J37" s="213">
        <v>48.47</v>
      </c>
      <c r="K37" s="213">
        <v>48.47</v>
      </c>
      <c r="L37" s="213">
        <v>456.35</v>
      </c>
      <c r="M37" s="213">
        <v>476.25</v>
      </c>
      <c r="N37" s="213">
        <v>1220.3599999999999</v>
      </c>
      <c r="O37" s="213">
        <v>307.23</v>
      </c>
      <c r="P37" s="214"/>
      <c r="Q37" s="213">
        <f t="shared" si="4"/>
        <v>3231.64</v>
      </c>
      <c r="R37" s="203"/>
    </row>
    <row r="38" spans="1:18">
      <c r="A38" s="215"/>
      <c r="B38" s="215" t="s">
        <v>173</v>
      </c>
      <c r="C38" s="215"/>
      <c r="D38" s="213">
        <v>5327.7</v>
      </c>
      <c r="E38" s="213">
        <v>5582.52</v>
      </c>
      <c r="F38" s="213">
        <v>4641.2</v>
      </c>
      <c r="G38" s="213">
        <v>5087.51</v>
      </c>
      <c r="H38" s="213">
        <v>4516</v>
      </c>
      <c r="I38" s="213">
        <v>4006.36</v>
      </c>
      <c r="J38" s="213">
        <v>4562.59</v>
      </c>
      <c r="K38" s="213">
        <v>4788.6000000000004</v>
      </c>
      <c r="L38" s="213">
        <v>4712.08</v>
      </c>
      <c r="M38" s="213">
        <v>4936.41</v>
      </c>
      <c r="N38" s="213">
        <v>4534.8100000000004</v>
      </c>
      <c r="O38" s="213">
        <v>4917.21</v>
      </c>
      <c r="P38" s="214"/>
      <c r="Q38" s="213">
        <f t="shared" si="4"/>
        <v>57612.99</v>
      </c>
      <c r="R38" s="203"/>
    </row>
    <row r="39" spans="1:18">
      <c r="A39" s="215"/>
      <c r="B39" s="215" t="s">
        <v>174</v>
      </c>
      <c r="C39" s="215"/>
      <c r="D39" s="213">
        <v>27378.720000000001</v>
      </c>
      <c r="E39" s="213">
        <v>26576.16</v>
      </c>
      <c r="F39" s="213">
        <v>29185.919999999998</v>
      </c>
      <c r="G39" s="213">
        <v>35346.720000000001</v>
      </c>
      <c r="H39" s="213">
        <v>37938.269999999997</v>
      </c>
      <c r="I39" s="213">
        <v>37771.72</v>
      </c>
      <c r="J39" s="213">
        <v>34903.68</v>
      </c>
      <c r="K39" s="213">
        <v>31981.439999999999</v>
      </c>
      <c r="L39" s="213">
        <v>32225.31</v>
      </c>
      <c r="M39" s="213">
        <v>30871.77</v>
      </c>
      <c r="N39" s="213">
        <v>30201.599999999999</v>
      </c>
      <c r="O39" s="213">
        <v>30923.07</v>
      </c>
      <c r="P39" s="214"/>
      <c r="Q39" s="213">
        <f>ROUND(SUM(D39:O39),5)</f>
        <v>385304.38</v>
      </c>
      <c r="R39" s="203"/>
    </row>
    <row r="40" spans="1:18">
      <c r="A40" s="215"/>
      <c r="B40" s="215" t="s">
        <v>175</v>
      </c>
      <c r="C40" s="215"/>
      <c r="D40" s="213">
        <v>1077.54</v>
      </c>
      <c r="E40" s="213">
        <v>2030.16</v>
      </c>
      <c r="F40" s="213">
        <v>1231.69</v>
      </c>
      <c r="G40" s="213">
        <v>1347.62</v>
      </c>
      <c r="H40" s="213">
        <v>530.15</v>
      </c>
      <c r="I40" s="213">
        <v>600.57000000000005</v>
      </c>
      <c r="J40" s="213">
        <v>940.67</v>
      </c>
      <c r="K40" s="213">
        <v>878.57</v>
      </c>
      <c r="L40" s="213">
        <v>2470.77</v>
      </c>
      <c r="M40" s="213">
        <v>9614.2999999999993</v>
      </c>
      <c r="N40" s="213">
        <v>1620.25</v>
      </c>
      <c r="O40" s="213">
        <v>2224.35</v>
      </c>
      <c r="P40" s="214"/>
      <c r="Q40" s="213">
        <f t="shared" si="4"/>
        <v>24566.639999999999</v>
      </c>
      <c r="R40" s="203"/>
    </row>
    <row r="41" spans="1:18">
      <c r="A41" s="215"/>
      <c r="B41" s="215" t="s">
        <v>176</v>
      </c>
      <c r="C41" s="215"/>
      <c r="D41" s="213">
        <v>256</v>
      </c>
      <c r="E41" s="213">
        <v>100</v>
      </c>
      <c r="F41" s="213">
        <v>200</v>
      </c>
      <c r="G41" s="213">
        <v>1500</v>
      </c>
      <c r="H41" s="213">
        <v>0</v>
      </c>
      <c r="I41" s="213">
        <v>26.78</v>
      </c>
      <c r="J41" s="213">
        <v>0</v>
      </c>
      <c r="K41" s="213">
        <v>750</v>
      </c>
      <c r="L41" s="213">
        <v>0</v>
      </c>
      <c r="M41" s="213">
        <v>450</v>
      </c>
      <c r="N41" s="213">
        <v>0</v>
      </c>
      <c r="O41" s="213">
        <v>1000</v>
      </c>
      <c r="P41" s="214"/>
      <c r="Q41" s="213">
        <f t="shared" si="4"/>
        <v>4282.78</v>
      </c>
      <c r="R41" s="203"/>
    </row>
    <row r="42" spans="1:18">
      <c r="A42" s="215"/>
      <c r="B42" s="215" t="s">
        <v>177</v>
      </c>
      <c r="C42" s="215"/>
      <c r="D42" s="213">
        <v>2817.7</v>
      </c>
      <c r="E42" s="213">
        <v>2413.5300000000002</v>
      </c>
      <c r="F42" s="213">
        <v>3254.73</v>
      </c>
      <c r="G42" s="213">
        <v>2706.61</v>
      </c>
      <c r="H42" s="213">
        <v>2765.61</v>
      </c>
      <c r="I42" s="213">
        <v>2765.61</v>
      </c>
      <c r="J42" s="213">
        <v>352.08</v>
      </c>
      <c r="K42" s="213">
        <v>5369.14</v>
      </c>
      <c r="L42" s="213">
        <v>542.08000000000004</v>
      </c>
      <c r="M42" s="213">
        <v>546.83000000000004</v>
      </c>
      <c r="N42" s="213">
        <v>9357.32</v>
      </c>
      <c r="O42" s="213">
        <v>2526.96</v>
      </c>
      <c r="P42" s="214"/>
      <c r="Q42" s="213">
        <f t="shared" si="4"/>
        <v>35418.199999999997</v>
      </c>
      <c r="R42" s="203"/>
    </row>
    <row r="43" spans="1:18">
      <c r="A43" s="215"/>
      <c r="B43" s="215" t="s">
        <v>178</v>
      </c>
      <c r="C43" s="215"/>
      <c r="D43" s="213">
        <v>0</v>
      </c>
      <c r="E43" s="213">
        <v>73</v>
      </c>
      <c r="F43" s="213">
        <v>0</v>
      </c>
      <c r="G43" s="213">
        <v>9.56</v>
      </c>
      <c r="H43" s="213">
        <v>60</v>
      </c>
      <c r="I43" s="213">
        <v>340.05</v>
      </c>
      <c r="J43" s="213">
        <v>60</v>
      </c>
      <c r="K43" s="213">
        <v>0</v>
      </c>
      <c r="L43" s="213">
        <v>60</v>
      </c>
      <c r="M43" s="213">
        <v>0</v>
      </c>
      <c r="N43" s="213">
        <v>85</v>
      </c>
      <c r="O43" s="213">
        <v>82.87</v>
      </c>
      <c r="P43" s="214"/>
      <c r="Q43" s="213">
        <f t="shared" si="4"/>
        <v>770.48</v>
      </c>
      <c r="R43" s="203"/>
    </row>
    <row r="44" spans="1:18">
      <c r="A44" s="215"/>
      <c r="B44" s="215" t="s">
        <v>179</v>
      </c>
      <c r="C44" s="215"/>
      <c r="D44" s="213">
        <v>2997.15</v>
      </c>
      <c r="E44" s="213">
        <v>4316.8</v>
      </c>
      <c r="F44" s="213">
        <v>1236.83</v>
      </c>
      <c r="G44" s="213">
        <v>4097</v>
      </c>
      <c r="H44" s="213">
        <v>2091.6</v>
      </c>
      <c r="I44" s="213">
        <v>1215.1099999999999</v>
      </c>
      <c r="J44" s="213">
        <v>2791.12</v>
      </c>
      <c r="K44" s="213">
        <v>498.74</v>
      </c>
      <c r="L44" s="213">
        <v>2263.5700000000002</v>
      </c>
      <c r="M44" s="213">
        <v>2873.38</v>
      </c>
      <c r="N44" s="213">
        <v>3253.26</v>
      </c>
      <c r="O44" s="213">
        <v>4116.8100000000004</v>
      </c>
      <c r="P44" s="214"/>
      <c r="Q44" s="213">
        <f t="shared" si="4"/>
        <v>31751.37</v>
      </c>
      <c r="R44" s="203"/>
    </row>
    <row r="45" spans="1:18">
      <c r="A45" s="215"/>
      <c r="B45" s="215" t="s">
        <v>180</v>
      </c>
      <c r="C45" s="215"/>
      <c r="D45" s="213">
        <v>390</v>
      </c>
      <c r="E45" s="213">
        <v>780</v>
      </c>
      <c r="F45" s="213">
        <v>0</v>
      </c>
      <c r="G45" s="213">
        <v>390</v>
      </c>
      <c r="H45" s="213">
        <v>390</v>
      </c>
      <c r="I45" s="213">
        <v>390</v>
      </c>
      <c r="J45" s="213">
        <v>390</v>
      </c>
      <c r="K45" s="213">
        <v>390</v>
      </c>
      <c r="L45" s="213">
        <v>390</v>
      </c>
      <c r="M45" s="213">
        <v>780</v>
      </c>
      <c r="N45" s="213">
        <v>0</v>
      </c>
      <c r="O45" s="213">
        <v>390</v>
      </c>
      <c r="P45" s="214"/>
      <c r="Q45" s="213">
        <f t="shared" si="4"/>
        <v>4680</v>
      </c>
      <c r="R45" s="203"/>
    </row>
    <row r="46" spans="1:18">
      <c r="A46" s="215"/>
      <c r="B46" s="215" t="s">
        <v>181</v>
      </c>
      <c r="C46" s="215"/>
      <c r="D46" s="213">
        <v>125</v>
      </c>
      <c r="E46" s="213">
        <v>0</v>
      </c>
      <c r="F46" s="213">
        <v>0</v>
      </c>
      <c r="G46" s="213">
        <v>5885</v>
      </c>
      <c r="H46" s="213">
        <v>0</v>
      </c>
      <c r="I46" s="213">
        <v>0</v>
      </c>
      <c r="J46" s="213">
        <v>0</v>
      </c>
      <c r="K46" s="213">
        <v>0</v>
      </c>
      <c r="L46" s="213">
        <v>0</v>
      </c>
      <c r="M46" s="213">
        <v>0</v>
      </c>
      <c r="N46" s="213">
        <v>0</v>
      </c>
      <c r="O46" s="213">
        <v>0</v>
      </c>
      <c r="P46" s="214"/>
      <c r="Q46" s="213">
        <f t="shared" si="4"/>
        <v>6010</v>
      </c>
      <c r="R46" s="203"/>
    </row>
    <row r="47" spans="1:18">
      <c r="A47" s="215"/>
      <c r="B47" s="215" t="s">
        <v>182</v>
      </c>
      <c r="C47" s="215"/>
      <c r="D47" s="213">
        <v>0</v>
      </c>
      <c r="E47" s="213">
        <v>125</v>
      </c>
      <c r="F47" s="213">
        <v>200</v>
      </c>
      <c r="G47" s="213">
        <v>175</v>
      </c>
      <c r="H47" s="213">
        <v>1000</v>
      </c>
      <c r="I47" s="213">
        <v>2704</v>
      </c>
      <c r="J47" s="213">
        <v>0</v>
      </c>
      <c r="K47" s="213">
        <v>458.35</v>
      </c>
      <c r="L47" s="213">
        <v>0</v>
      </c>
      <c r="M47" s="213">
        <v>0</v>
      </c>
      <c r="N47" s="213">
        <v>0</v>
      </c>
      <c r="O47" s="213">
        <v>0</v>
      </c>
      <c r="P47" s="214"/>
      <c r="Q47" s="213">
        <f t="shared" si="4"/>
        <v>4662.3500000000004</v>
      </c>
      <c r="R47" s="203"/>
    </row>
    <row r="48" spans="1:18">
      <c r="A48" s="215"/>
      <c r="B48" s="215" t="s">
        <v>183</v>
      </c>
      <c r="C48" s="215"/>
      <c r="D48" s="213">
        <v>0</v>
      </c>
      <c r="E48" s="213">
        <v>0</v>
      </c>
      <c r="F48" s="213">
        <v>0</v>
      </c>
      <c r="G48" s="213">
        <v>0</v>
      </c>
      <c r="H48" s="213">
        <v>0</v>
      </c>
      <c r="I48" s="213">
        <v>0</v>
      </c>
      <c r="J48" s="213">
        <v>17.5</v>
      </c>
      <c r="K48" s="213">
        <v>0</v>
      </c>
      <c r="L48" s="213">
        <v>435</v>
      </c>
      <c r="M48" s="213">
        <v>300</v>
      </c>
      <c r="N48" s="213">
        <v>235</v>
      </c>
      <c r="O48" s="213">
        <v>0</v>
      </c>
      <c r="P48" s="214"/>
      <c r="Q48" s="213">
        <f t="shared" si="4"/>
        <v>987.5</v>
      </c>
      <c r="R48" s="203"/>
    </row>
    <row r="49" spans="1:18">
      <c r="A49" s="215"/>
      <c r="B49" s="215" t="s">
        <v>184</v>
      </c>
      <c r="C49" s="215"/>
      <c r="D49" s="213">
        <v>1499.09</v>
      </c>
      <c r="E49" s="213">
        <v>2019</v>
      </c>
      <c r="F49" s="213">
        <v>2003.6</v>
      </c>
      <c r="G49" s="213">
        <v>4859.21</v>
      </c>
      <c r="H49" s="213">
        <v>3607.2</v>
      </c>
      <c r="I49" s="213">
        <v>2404.8000000000002</v>
      </c>
      <c r="J49" s="213">
        <v>1370.44</v>
      </c>
      <c r="K49" s="213">
        <v>1856.88</v>
      </c>
      <c r="L49" s="213">
        <v>10116.52</v>
      </c>
      <c r="M49" s="213">
        <v>5707.31</v>
      </c>
      <c r="N49" s="213">
        <v>0.35</v>
      </c>
      <c r="O49" s="213">
        <v>3344.48</v>
      </c>
      <c r="P49" s="214"/>
      <c r="Q49" s="213">
        <f t="shared" si="4"/>
        <v>38788.879999999997</v>
      </c>
      <c r="R49" s="203"/>
    </row>
    <row r="50" spans="1:18">
      <c r="A50" s="215"/>
      <c r="B50" s="215" t="s">
        <v>185</v>
      </c>
      <c r="C50" s="215"/>
      <c r="D50" s="213"/>
      <c r="E50" s="213"/>
      <c r="F50" s="213"/>
      <c r="G50" s="213"/>
      <c r="H50" s="213"/>
      <c r="I50" s="213"/>
      <c r="J50" s="213"/>
      <c r="K50" s="213"/>
      <c r="L50" s="213"/>
      <c r="M50" s="213"/>
      <c r="N50" s="213"/>
      <c r="O50" s="213"/>
      <c r="P50" s="214"/>
      <c r="Q50" s="213"/>
      <c r="R50" s="203"/>
    </row>
    <row r="51" spans="1:18">
      <c r="A51" s="215"/>
      <c r="B51" s="215"/>
      <c r="C51" s="215" t="s">
        <v>186</v>
      </c>
      <c r="D51" s="213">
        <v>699.98</v>
      </c>
      <c r="E51" s="213">
        <v>245.26</v>
      </c>
      <c r="F51" s="213">
        <v>349.62</v>
      </c>
      <c r="G51" s="213">
        <v>1172.8699999999999</v>
      </c>
      <c r="H51" s="213">
        <v>751.41</v>
      </c>
      <c r="I51" s="213">
        <v>380.4</v>
      </c>
      <c r="J51" s="213">
        <v>910.59</v>
      </c>
      <c r="K51" s="213">
        <v>645.49</v>
      </c>
      <c r="L51" s="213">
        <v>618.24</v>
      </c>
      <c r="M51" s="213">
        <v>737.16</v>
      </c>
      <c r="N51" s="213">
        <v>323.77</v>
      </c>
      <c r="O51" s="213">
        <v>511.05</v>
      </c>
      <c r="P51" s="214"/>
      <c r="Q51" s="213">
        <f t="shared" ref="Q51:Q68" si="5">ROUND(SUM(D51:O51),5)</f>
        <v>7345.84</v>
      </c>
      <c r="R51" s="203"/>
    </row>
    <row r="52" spans="1:18" ht="15.75" thickBot="1">
      <c r="A52" s="215"/>
      <c r="B52" s="215"/>
      <c r="C52" s="215" t="s">
        <v>187</v>
      </c>
      <c r="D52" s="216">
        <v>249.93</v>
      </c>
      <c r="E52" s="216">
        <v>1314.97</v>
      </c>
      <c r="F52" s="216">
        <v>0</v>
      </c>
      <c r="G52" s="216">
        <v>0</v>
      </c>
      <c r="H52" s="216">
        <v>0</v>
      </c>
      <c r="I52" s="216">
        <v>0</v>
      </c>
      <c r="J52" s="216">
        <v>0</v>
      </c>
      <c r="K52" s="216">
        <v>0</v>
      </c>
      <c r="L52" s="216">
        <v>0</v>
      </c>
      <c r="M52" s="216">
        <v>0</v>
      </c>
      <c r="N52" s="216">
        <v>0</v>
      </c>
      <c r="O52" s="216">
        <v>0</v>
      </c>
      <c r="P52" s="214"/>
      <c r="Q52" s="216">
        <f t="shared" si="5"/>
        <v>1564.9</v>
      </c>
      <c r="R52" s="203"/>
    </row>
    <row r="53" spans="1:18">
      <c r="A53" s="215"/>
      <c r="B53" s="215" t="s">
        <v>188</v>
      </c>
      <c r="C53" s="215"/>
      <c r="D53" s="213">
        <f t="shared" ref="D53:O53" si="6">ROUND(SUM(D50:D52),5)</f>
        <v>949.91</v>
      </c>
      <c r="E53" s="213">
        <f t="shared" si="6"/>
        <v>1560.23</v>
      </c>
      <c r="F53" s="213">
        <f t="shared" si="6"/>
        <v>349.62</v>
      </c>
      <c r="G53" s="213">
        <f t="shared" si="6"/>
        <v>1172.8699999999999</v>
      </c>
      <c r="H53" s="213">
        <f t="shared" si="6"/>
        <v>751.41</v>
      </c>
      <c r="I53" s="213">
        <f t="shared" si="6"/>
        <v>380.4</v>
      </c>
      <c r="J53" s="213">
        <f t="shared" si="6"/>
        <v>910.59</v>
      </c>
      <c r="K53" s="213">
        <f t="shared" si="6"/>
        <v>645.49</v>
      </c>
      <c r="L53" s="213">
        <f t="shared" si="6"/>
        <v>618.24</v>
      </c>
      <c r="M53" s="213">
        <f t="shared" si="6"/>
        <v>737.16</v>
      </c>
      <c r="N53" s="213">
        <f t="shared" si="6"/>
        <v>323.77</v>
      </c>
      <c r="O53" s="213">
        <f t="shared" si="6"/>
        <v>511.05</v>
      </c>
      <c r="P53" s="214"/>
      <c r="Q53" s="213">
        <f t="shared" si="5"/>
        <v>8910.74</v>
      </c>
      <c r="R53" s="203"/>
    </row>
    <row r="54" spans="1:18">
      <c r="A54" s="215"/>
      <c r="B54" s="215" t="s">
        <v>189</v>
      </c>
      <c r="C54" s="215"/>
      <c r="D54" s="213">
        <v>0</v>
      </c>
      <c r="E54" s="213">
        <v>0</v>
      </c>
      <c r="F54" s="213">
        <v>0</v>
      </c>
      <c r="G54" s="213">
        <v>0</v>
      </c>
      <c r="H54" s="213">
        <v>0</v>
      </c>
      <c r="I54" s="213">
        <v>0</v>
      </c>
      <c r="J54" s="213">
        <v>0</v>
      </c>
      <c r="K54" s="213">
        <v>0</v>
      </c>
      <c r="L54" s="213">
        <v>0</v>
      </c>
      <c r="M54" s="213">
        <v>0</v>
      </c>
      <c r="N54" s="213">
        <v>0</v>
      </c>
      <c r="O54" s="213">
        <v>67.13</v>
      </c>
      <c r="P54" s="214"/>
      <c r="Q54" s="213">
        <f t="shared" si="5"/>
        <v>67.13</v>
      </c>
      <c r="R54" s="203"/>
    </row>
    <row r="55" spans="1:18">
      <c r="A55" s="215"/>
      <c r="B55" s="215" t="s">
        <v>190</v>
      </c>
      <c r="C55" s="215"/>
      <c r="D55" s="213">
        <v>0</v>
      </c>
      <c r="E55" s="213">
        <v>167.35</v>
      </c>
      <c r="F55" s="213">
        <v>256.63</v>
      </c>
      <c r="G55" s="213">
        <v>0</v>
      </c>
      <c r="H55" s="213">
        <v>133.94</v>
      </c>
      <c r="I55" s="213">
        <v>0</v>
      </c>
      <c r="J55" s="213">
        <v>45</v>
      </c>
      <c r="K55" s="213">
        <v>72.349999999999994</v>
      </c>
      <c r="L55" s="213">
        <v>210.89</v>
      </c>
      <c r="M55" s="213">
        <v>82</v>
      </c>
      <c r="N55" s="213">
        <v>72.349999999999994</v>
      </c>
      <c r="O55" s="213">
        <v>72.349999999999994</v>
      </c>
      <c r="P55" s="214"/>
      <c r="Q55" s="213">
        <f t="shared" si="5"/>
        <v>1112.8599999999999</v>
      </c>
      <c r="R55" s="203"/>
    </row>
    <row r="56" spans="1:18">
      <c r="A56" s="215"/>
      <c r="B56" s="215" t="s">
        <v>191</v>
      </c>
      <c r="C56" s="215"/>
      <c r="D56" s="213">
        <v>529.5</v>
      </c>
      <c r="E56" s="213">
        <v>0</v>
      </c>
      <c r="F56" s="213">
        <v>0</v>
      </c>
      <c r="G56" s="213">
        <v>0</v>
      </c>
      <c r="H56" s="213">
        <v>1463.25</v>
      </c>
      <c r="I56" s="213">
        <v>940.59</v>
      </c>
      <c r="J56" s="213">
        <v>166</v>
      </c>
      <c r="K56" s="213">
        <v>1378</v>
      </c>
      <c r="L56" s="213">
        <v>1295</v>
      </c>
      <c r="M56" s="213">
        <v>0</v>
      </c>
      <c r="N56" s="213">
        <v>360.65</v>
      </c>
      <c r="O56" s="213">
        <v>870.5</v>
      </c>
      <c r="P56" s="214"/>
      <c r="Q56" s="213">
        <f t="shared" si="5"/>
        <v>7003.49</v>
      </c>
      <c r="R56" s="203"/>
    </row>
    <row r="57" spans="1:18">
      <c r="A57" s="215"/>
      <c r="B57" s="215" t="s">
        <v>192</v>
      </c>
      <c r="C57" s="215"/>
      <c r="D57" s="213">
        <v>0</v>
      </c>
      <c r="E57" s="213">
        <v>0</v>
      </c>
      <c r="F57" s="213">
        <v>0</v>
      </c>
      <c r="G57" s="213">
        <v>6120.05</v>
      </c>
      <c r="H57" s="213">
        <v>0</v>
      </c>
      <c r="I57" s="213">
        <v>0</v>
      </c>
      <c r="J57" s="213">
        <v>0</v>
      </c>
      <c r="K57" s="213">
        <v>0</v>
      </c>
      <c r="L57" s="213">
        <v>0</v>
      </c>
      <c r="M57" s="213">
        <v>0</v>
      </c>
      <c r="N57" s="213">
        <v>0</v>
      </c>
      <c r="O57" s="213">
        <v>0</v>
      </c>
      <c r="P57" s="214"/>
      <c r="Q57" s="213">
        <f t="shared" si="5"/>
        <v>6120.05</v>
      </c>
      <c r="R57" s="203"/>
    </row>
    <row r="58" spans="1:18">
      <c r="A58" s="215"/>
      <c r="B58" s="215" t="s">
        <v>193</v>
      </c>
      <c r="C58" s="215"/>
      <c r="D58" s="213">
        <v>0</v>
      </c>
      <c r="E58" s="213">
        <v>0</v>
      </c>
      <c r="F58" s="213">
        <v>0</v>
      </c>
      <c r="G58" s="213">
        <v>0</v>
      </c>
      <c r="H58" s="213">
        <v>0</v>
      </c>
      <c r="I58" s="213">
        <v>0</v>
      </c>
      <c r="J58" s="213">
        <v>0</v>
      </c>
      <c r="K58" s="213">
        <v>0</v>
      </c>
      <c r="L58" s="213">
        <v>171.61</v>
      </c>
      <c r="M58" s="213">
        <v>0</v>
      </c>
      <c r="N58" s="213">
        <v>0</v>
      </c>
      <c r="O58" s="213">
        <v>0</v>
      </c>
      <c r="P58" s="214"/>
      <c r="Q58" s="213">
        <f t="shared" si="5"/>
        <v>171.61</v>
      </c>
      <c r="R58" s="203"/>
    </row>
    <row r="59" spans="1:18">
      <c r="A59" s="215"/>
      <c r="B59" s="215" t="s">
        <v>194</v>
      </c>
      <c r="C59" s="215"/>
      <c r="D59" s="213">
        <v>0</v>
      </c>
      <c r="E59" s="213">
        <v>0</v>
      </c>
      <c r="F59" s="213">
        <v>0</v>
      </c>
      <c r="G59" s="213">
        <v>30</v>
      </c>
      <c r="H59" s="213">
        <v>0</v>
      </c>
      <c r="I59" s="213">
        <v>0</v>
      </c>
      <c r="J59" s="213">
        <v>0</v>
      </c>
      <c r="K59" s="213">
        <v>0</v>
      </c>
      <c r="L59" s="213">
        <v>0</v>
      </c>
      <c r="M59" s="213">
        <v>0</v>
      </c>
      <c r="N59" s="213">
        <v>0</v>
      </c>
      <c r="O59" s="213">
        <v>0</v>
      </c>
      <c r="P59" s="214"/>
      <c r="Q59" s="213">
        <f t="shared" si="5"/>
        <v>30</v>
      </c>
      <c r="R59" s="203"/>
    </row>
    <row r="60" spans="1:18">
      <c r="A60" s="215"/>
      <c r="B60" s="215" t="s">
        <v>195</v>
      </c>
      <c r="C60" s="215"/>
      <c r="D60" s="213">
        <v>0</v>
      </c>
      <c r="E60" s="213">
        <v>0</v>
      </c>
      <c r="F60" s="213">
        <v>0</v>
      </c>
      <c r="G60" s="213">
        <v>167.42</v>
      </c>
      <c r="H60" s="213">
        <v>0</v>
      </c>
      <c r="I60" s="213">
        <v>0</v>
      </c>
      <c r="J60" s="213">
        <v>0</v>
      </c>
      <c r="K60" s="213">
        <v>0</v>
      </c>
      <c r="L60" s="213">
        <v>0</v>
      </c>
      <c r="M60" s="213">
        <v>0</v>
      </c>
      <c r="N60" s="213">
        <v>0</v>
      </c>
      <c r="O60" s="213">
        <v>0</v>
      </c>
      <c r="P60" s="214"/>
      <c r="Q60" s="213">
        <f t="shared" si="5"/>
        <v>167.42</v>
      </c>
      <c r="R60" s="203"/>
    </row>
    <row r="61" spans="1:18">
      <c r="A61" s="215"/>
      <c r="B61" s="215" t="s">
        <v>196</v>
      </c>
      <c r="C61" s="215"/>
      <c r="D61" s="213">
        <v>0</v>
      </c>
      <c r="E61" s="213">
        <v>0</v>
      </c>
      <c r="F61" s="213">
        <v>0</v>
      </c>
      <c r="G61" s="213">
        <v>2308.98</v>
      </c>
      <c r="H61" s="213">
        <v>0</v>
      </c>
      <c r="I61" s="213">
        <v>0</v>
      </c>
      <c r="J61" s="213">
        <v>0</v>
      </c>
      <c r="K61" s="213">
        <v>0</v>
      </c>
      <c r="L61" s="213">
        <v>0</v>
      </c>
      <c r="M61" s="213">
        <v>2308.9699999999998</v>
      </c>
      <c r="N61" s="213">
        <v>0</v>
      </c>
      <c r="O61" s="213">
        <v>0</v>
      </c>
      <c r="P61" s="214"/>
      <c r="Q61" s="213">
        <f t="shared" si="5"/>
        <v>4617.95</v>
      </c>
      <c r="R61" s="203"/>
    </row>
    <row r="62" spans="1:18">
      <c r="A62" s="215"/>
      <c r="B62" s="215" t="s">
        <v>197</v>
      </c>
      <c r="C62" s="215"/>
      <c r="D62" s="213">
        <v>1029.3800000000001</v>
      </c>
      <c r="E62" s="213">
        <v>835.59</v>
      </c>
      <c r="F62" s="213">
        <v>3288.26</v>
      </c>
      <c r="G62" s="213">
        <v>1106.46</v>
      </c>
      <c r="H62" s="213">
        <v>994.34</v>
      </c>
      <c r="I62" s="213">
        <v>4106.17</v>
      </c>
      <c r="J62" s="213">
        <v>1219.3</v>
      </c>
      <c r="K62" s="213">
        <v>1045.51</v>
      </c>
      <c r="L62" s="213">
        <v>4170.68</v>
      </c>
      <c r="M62" s="213">
        <v>1699.25</v>
      </c>
      <c r="N62" s="213">
        <v>941.96</v>
      </c>
      <c r="O62" s="213">
        <v>3825.35</v>
      </c>
      <c r="P62" s="214"/>
      <c r="Q62" s="213">
        <f t="shared" si="5"/>
        <v>24262.25</v>
      </c>
      <c r="R62" s="203"/>
    </row>
    <row r="63" spans="1:18">
      <c r="A63" s="215"/>
      <c r="B63" s="215" t="s">
        <v>198</v>
      </c>
      <c r="C63" s="215"/>
      <c r="D63" s="213">
        <v>18.850000000000001</v>
      </c>
      <c r="E63" s="213">
        <v>22.15</v>
      </c>
      <c r="F63" s="213">
        <v>31.9</v>
      </c>
      <c r="G63" s="213">
        <v>19.440000000000001</v>
      </c>
      <c r="H63" s="213">
        <v>23.45</v>
      </c>
      <c r="I63" s="213">
        <v>33.200000000000003</v>
      </c>
      <c r="J63" s="213">
        <v>19.57</v>
      </c>
      <c r="K63" s="213">
        <v>19.45</v>
      </c>
      <c r="L63" s="213">
        <v>37.950000000000003</v>
      </c>
      <c r="M63" s="213">
        <v>22.56</v>
      </c>
      <c r="N63" s="213">
        <v>19.559999999999999</v>
      </c>
      <c r="O63" s="213">
        <v>34.82</v>
      </c>
      <c r="P63" s="214"/>
      <c r="Q63" s="213">
        <f t="shared" si="5"/>
        <v>302.89999999999998</v>
      </c>
      <c r="R63" s="203"/>
    </row>
    <row r="64" spans="1:18">
      <c r="A64" s="215"/>
      <c r="B64" s="215" t="s">
        <v>199</v>
      </c>
      <c r="C64" s="215"/>
      <c r="D64" s="213">
        <v>52417.71</v>
      </c>
      <c r="E64" s="213">
        <v>36214.78</v>
      </c>
      <c r="F64" s="213">
        <v>34443.03</v>
      </c>
      <c r="G64" s="213">
        <v>38907.629999999997</v>
      </c>
      <c r="H64" s="213">
        <v>50858.61</v>
      </c>
      <c r="I64" s="213">
        <v>42343.87</v>
      </c>
      <c r="J64" s="213">
        <v>62214.94</v>
      </c>
      <c r="K64" s="213">
        <v>40528.839999999997</v>
      </c>
      <c r="L64" s="213">
        <v>40800.620000000003</v>
      </c>
      <c r="M64" s="213">
        <v>40102.43</v>
      </c>
      <c r="N64" s="213">
        <v>40640.57</v>
      </c>
      <c r="O64" s="213">
        <v>73140.08</v>
      </c>
      <c r="P64" s="214"/>
      <c r="Q64" s="213">
        <f t="shared" si="5"/>
        <v>552613.11</v>
      </c>
      <c r="R64" s="203"/>
    </row>
    <row r="65" spans="1:18">
      <c r="A65" s="215"/>
      <c r="B65" s="215" t="s">
        <v>200</v>
      </c>
      <c r="C65" s="215"/>
      <c r="D65" s="213">
        <v>-157.25</v>
      </c>
      <c r="E65" s="213">
        <v>-2570.5</v>
      </c>
      <c r="F65" s="213">
        <v>3618.57</v>
      </c>
      <c r="G65" s="213">
        <v>-4136.24</v>
      </c>
      <c r="H65" s="213">
        <v>2530.25</v>
      </c>
      <c r="I65" s="213">
        <v>-2661.89</v>
      </c>
      <c r="J65" s="213">
        <v>3140.91</v>
      </c>
      <c r="K65" s="213">
        <v>-2009.88</v>
      </c>
      <c r="L65" s="213">
        <v>3285.13</v>
      </c>
      <c r="M65" s="213">
        <v>-1052.67</v>
      </c>
      <c r="N65" s="213">
        <v>-4459.4799999999996</v>
      </c>
      <c r="O65" s="213">
        <v>2608.6799999999998</v>
      </c>
      <c r="P65" s="214"/>
      <c r="Q65" s="213">
        <f t="shared" si="5"/>
        <v>-1864.37</v>
      </c>
      <c r="R65" s="203"/>
    </row>
    <row r="66" spans="1:18" ht="15.75" thickBot="1">
      <c r="A66" s="215"/>
      <c r="B66" s="215" t="s">
        <v>201</v>
      </c>
      <c r="C66" s="215"/>
      <c r="D66" s="213">
        <v>1822.65</v>
      </c>
      <c r="E66" s="213">
        <v>5772.53</v>
      </c>
      <c r="F66" s="213">
        <v>3954.32</v>
      </c>
      <c r="G66" s="213">
        <v>3125.53</v>
      </c>
      <c r="H66" s="213">
        <v>5310.58</v>
      </c>
      <c r="I66" s="213">
        <v>4239.66</v>
      </c>
      <c r="J66" s="213">
        <v>3708.89</v>
      </c>
      <c r="K66" s="213">
        <v>3037.82</v>
      </c>
      <c r="L66" s="213">
        <v>5305.73</v>
      </c>
      <c r="M66" s="213">
        <v>3631.77</v>
      </c>
      <c r="N66" s="213">
        <v>4218.32</v>
      </c>
      <c r="O66" s="213">
        <v>3800.39</v>
      </c>
      <c r="P66" s="214"/>
      <c r="Q66" s="213">
        <f t="shared" si="5"/>
        <v>47928.19</v>
      </c>
      <c r="R66" s="203"/>
    </row>
    <row r="67" spans="1:18" ht="15.75" thickBot="1">
      <c r="A67" s="215"/>
      <c r="B67" s="215"/>
      <c r="C67" s="215"/>
      <c r="D67" s="217">
        <f t="shared" ref="D67:O67" si="7">ROUND(SUM(D20:D21)+D24+SUM(D30:D49)+SUM(D53:D66),5)</f>
        <v>111395.82</v>
      </c>
      <c r="E67" s="217">
        <f t="shared" si="7"/>
        <v>95526.8</v>
      </c>
      <c r="F67" s="217">
        <f t="shared" si="7"/>
        <v>97970.35</v>
      </c>
      <c r="G67" s="217">
        <f t="shared" si="7"/>
        <v>126902.92</v>
      </c>
      <c r="H67" s="217">
        <f t="shared" si="7"/>
        <v>132470.75</v>
      </c>
      <c r="I67" s="217">
        <f t="shared" si="7"/>
        <v>109861.74</v>
      </c>
      <c r="J67" s="217">
        <f t="shared" si="7"/>
        <v>139502.03</v>
      </c>
      <c r="K67" s="217">
        <f t="shared" si="7"/>
        <v>116666.72</v>
      </c>
      <c r="L67" s="217">
        <f t="shared" si="7"/>
        <v>138294.14000000001</v>
      </c>
      <c r="M67" s="217">
        <f t="shared" si="7"/>
        <v>124334.95</v>
      </c>
      <c r="N67" s="217">
        <f t="shared" si="7"/>
        <v>109183.54</v>
      </c>
      <c r="O67" s="217">
        <f t="shared" si="7"/>
        <v>253443.8</v>
      </c>
      <c r="P67" s="214"/>
      <c r="Q67" s="217">
        <f t="shared" si="5"/>
        <v>1555553.56</v>
      </c>
      <c r="R67" s="203"/>
    </row>
    <row r="68" spans="1:18">
      <c r="A68" s="215" t="s">
        <v>202</v>
      </c>
      <c r="B68" s="215"/>
      <c r="C68" s="215"/>
      <c r="D68" s="213">
        <f>ROUND(D19-D67,5)</f>
        <v>-50987.15</v>
      </c>
      <c r="E68" s="213">
        <f t="shared" ref="E68:O68" si="8">ROUND(E19-E67,5)</f>
        <v>127213.34</v>
      </c>
      <c r="F68" s="213">
        <f t="shared" si="8"/>
        <v>-20079.02</v>
      </c>
      <c r="G68" s="213">
        <f t="shared" si="8"/>
        <v>-55639.33</v>
      </c>
      <c r="H68" s="213">
        <f t="shared" si="8"/>
        <v>109215.66</v>
      </c>
      <c r="I68" s="213">
        <f t="shared" si="8"/>
        <v>-36031.64</v>
      </c>
      <c r="J68" s="213">
        <f t="shared" si="8"/>
        <v>-75630.02</v>
      </c>
      <c r="K68" s="213">
        <f t="shared" si="8"/>
        <v>129714.36</v>
      </c>
      <c r="L68" s="213">
        <f t="shared" si="8"/>
        <v>-36405.08</v>
      </c>
      <c r="M68" s="213">
        <f t="shared" si="8"/>
        <v>-67855.41</v>
      </c>
      <c r="N68" s="213">
        <f t="shared" si="8"/>
        <v>116800.14</v>
      </c>
      <c r="O68" s="213">
        <f t="shared" si="8"/>
        <v>-164410.13</v>
      </c>
      <c r="P68" s="214"/>
      <c r="Q68" s="213">
        <f t="shared" si="5"/>
        <v>-24094.28</v>
      </c>
      <c r="R68" s="203"/>
    </row>
    <row r="69" spans="1:18">
      <c r="A69" s="215" t="s">
        <v>203</v>
      </c>
      <c r="B69" s="215"/>
      <c r="C69" s="215"/>
      <c r="D69" s="213"/>
      <c r="E69" s="213"/>
      <c r="F69" s="213"/>
      <c r="G69" s="213"/>
      <c r="H69" s="213"/>
      <c r="I69" s="213"/>
      <c r="J69" s="213"/>
      <c r="K69" s="213"/>
      <c r="L69" s="213"/>
      <c r="M69" s="213"/>
      <c r="N69" s="213"/>
      <c r="O69" s="213"/>
      <c r="P69" s="214"/>
      <c r="Q69" s="213"/>
      <c r="R69" s="203"/>
    </row>
    <row r="70" spans="1:18">
      <c r="A70" s="215"/>
      <c r="B70" s="215"/>
      <c r="C70" s="215"/>
      <c r="D70" s="213"/>
      <c r="E70" s="213"/>
      <c r="F70" s="213"/>
      <c r="G70" s="213"/>
      <c r="H70" s="213"/>
      <c r="I70" s="213"/>
      <c r="J70" s="213"/>
      <c r="K70" s="213"/>
      <c r="L70" s="213"/>
      <c r="M70" s="213"/>
      <c r="N70" s="213"/>
      <c r="O70" s="213"/>
      <c r="P70" s="214"/>
      <c r="Q70" s="213"/>
      <c r="R70" s="203"/>
    </row>
    <row r="71" spans="1:18" ht="15.75" thickBot="1">
      <c r="A71" s="215"/>
      <c r="B71" s="215" t="s">
        <v>204</v>
      </c>
      <c r="C71" s="215"/>
      <c r="D71" s="213">
        <v>0</v>
      </c>
      <c r="E71" s="213">
        <v>0</v>
      </c>
      <c r="F71" s="213">
        <v>140</v>
      </c>
      <c r="G71" s="213">
        <v>0</v>
      </c>
      <c r="H71" s="213">
        <v>10</v>
      </c>
      <c r="I71" s="213">
        <v>1500</v>
      </c>
      <c r="J71" s="213">
        <v>3076.13</v>
      </c>
      <c r="K71" s="213">
        <v>1931.04</v>
      </c>
      <c r="L71" s="213">
        <v>0</v>
      </c>
      <c r="M71" s="213">
        <v>0</v>
      </c>
      <c r="N71" s="213">
        <v>1458</v>
      </c>
      <c r="O71" s="213">
        <v>662.24</v>
      </c>
      <c r="P71" s="214"/>
      <c r="Q71" s="213">
        <f>ROUND(SUM(D71:O71),5)</f>
        <v>8777.41</v>
      </c>
      <c r="R71" s="203"/>
    </row>
    <row r="72" spans="1:18" ht="15.75" thickBot="1">
      <c r="A72" s="215"/>
      <c r="B72" s="215"/>
      <c r="C72" s="215"/>
      <c r="D72" s="218">
        <f t="shared" ref="D72:O72" si="9">ROUND(SUM(D70:D71),5)</f>
        <v>0</v>
      </c>
      <c r="E72" s="218">
        <f t="shared" si="9"/>
        <v>0</v>
      </c>
      <c r="F72" s="218">
        <f t="shared" si="9"/>
        <v>140</v>
      </c>
      <c r="G72" s="218">
        <f t="shared" si="9"/>
        <v>0</v>
      </c>
      <c r="H72" s="218">
        <f t="shared" si="9"/>
        <v>10</v>
      </c>
      <c r="I72" s="218">
        <f t="shared" si="9"/>
        <v>1500</v>
      </c>
      <c r="J72" s="218">
        <f t="shared" si="9"/>
        <v>3076.13</v>
      </c>
      <c r="K72" s="218">
        <f t="shared" si="9"/>
        <v>1931.04</v>
      </c>
      <c r="L72" s="218">
        <f t="shared" si="9"/>
        <v>0</v>
      </c>
      <c r="M72" s="218">
        <f t="shared" si="9"/>
        <v>0</v>
      </c>
      <c r="N72" s="218">
        <f t="shared" si="9"/>
        <v>1458</v>
      </c>
      <c r="O72" s="218">
        <f t="shared" si="9"/>
        <v>662.24</v>
      </c>
      <c r="P72" s="214"/>
      <c r="Q72" s="218">
        <f>ROUND(SUM(D72:O72),5)</f>
        <v>8777.41</v>
      </c>
      <c r="R72" s="203"/>
    </row>
    <row r="73" spans="1:18" ht="15.75" thickBot="1">
      <c r="A73" s="215" t="s">
        <v>205</v>
      </c>
      <c r="B73" s="215"/>
      <c r="C73" s="215"/>
      <c r="D73" s="218">
        <f t="shared" ref="D73:O73" si="10">ROUND(D69-D72,5)</f>
        <v>0</v>
      </c>
      <c r="E73" s="218">
        <f t="shared" si="10"/>
        <v>0</v>
      </c>
      <c r="F73" s="218">
        <f t="shared" si="10"/>
        <v>-140</v>
      </c>
      <c r="G73" s="218">
        <f t="shared" si="10"/>
        <v>0</v>
      </c>
      <c r="H73" s="218">
        <f t="shared" si="10"/>
        <v>-10</v>
      </c>
      <c r="I73" s="218">
        <f t="shared" si="10"/>
        <v>-1500</v>
      </c>
      <c r="J73" s="218">
        <f t="shared" si="10"/>
        <v>-3076.13</v>
      </c>
      <c r="K73" s="218">
        <f t="shared" si="10"/>
        <v>-1931.04</v>
      </c>
      <c r="L73" s="218">
        <f t="shared" si="10"/>
        <v>0</v>
      </c>
      <c r="M73" s="218">
        <f t="shared" si="10"/>
        <v>0</v>
      </c>
      <c r="N73" s="218">
        <f t="shared" si="10"/>
        <v>-1458</v>
      </c>
      <c r="O73" s="218">
        <f t="shared" si="10"/>
        <v>-662.24</v>
      </c>
      <c r="P73" s="214"/>
      <c r="Q73" s="218">
        <f>ROUND(SUM(D73:O73),5)</f>
        <v>-8777.41</v>
      </c>
      <c r="R73" s="203"/>
    </row>
    <row r="74" spans="1:18" ht="15.75" thickBot="1">
      <c r="A74" s="215"/>
      <c r="B74" s="215"/>
      <c r="C74" s="215"/>
      <c r="D74" s="219">
        <f t="shared" ref="D74:O74" si="11">ROUND(D68+D73,5)</f>
        <v>-50987.15</v>
      </c>
      <c r="E74" s="219">
        <f t="shared" si="11"/>
        <v>127213.34</v>
      </c>
      <c r="F74" s="219">
        <f t="shared" si="11"/>
        <v>-20219.02</v>
      </c>
      <c r="G74" s="219">
        <f t="shared" si="11"/>
        <v>-55639.33</v>
      </c>
      <c r="H74" s="219">
        <f t="shared" si="11"/>
        <v>109205.66</v>
      </c>
      <c r="I74" s="219">
        <f t="shared" si="11"/>
        <v>-37531.64</v>
      </c>
      <c r="J74" s="219">
        <f t="shared" si="11"/>
        <v>-78706.149999999994</v>
      </c>
      <c r="K74" s="219">
        <f t="shared" si="11"/>
        <v>127783.32</v>
      </c>
      <c r="L74" s="219">
        <f t="shared" si="11"/>
        <v>-36405.08</v>
      </c>
      <c r="M74" s="219">
        <f t="shared" si="11"/>
        <v>-67855.41</v>
      </c>
      <c r="N74" s="219">
        <f t="shared" si="11"/>
        <v>115342.14</v>
      </c>
      <c r="O74" s="219">
        <f t="shared" si="11"/>
        <v>-165072.37</v>
      </c>
      <c r="P74" s="215"/>
      <c r="Q74" s="219">
        <f>ROUND(SUM(D74:O74),5)</f>
        <v>-32871.69</v>
      </c>
      <c r="R74" s="203"/>
    </row>
    <row r="75" spans="1:18" ht="15.75" thickTop="1">
      <c r="A75" s="206"/>
      <c r="B75" s="206"/>
      <c r="C75" s="206"/>
      <c r="D75" s="206"/>
      <c r="E75" s="206"/>
      <c r="F75" s="206"/>
      <c r="G75" s="206"/>
      <c r="H75" s="206"/>
      <c r="I75" s="206"/>
      <c r="J75" s="206"/>
      <c r="K75" s="206"/>
      <c r="L75" s="206"/>
      <c r="M75" s="206"/>
      <c r="N75" s="206"/>
      <c r="O75" s="206"/>
      <c r="P75" s="206"/>
      <c r="Q75" s="206"/>
      <c r="R75" s="203"/>
    </row>
    <row r="76" spans="1:18">
      <c r="A76" s="203"/>
      <c r="B76" s="203"/>
      <c r="C76" s="203"/>
      <c r="D76" s="203"/>
      <c r="E76" s="203"/>
      <c r="F76" s="203"/>
      <c r="G76" s="203"/>
      <c r="H76" s="203"/>
      <c r="I76" s="203"/>
      <c r="J76" s="203"/>
      <c r="K76" s="203"/>
      <c r="L76" s="203"/>
      <c r="M76" s="203"/>
      <c r="N76" s="203"/>
      <c r="O76" s="203"/>
      <c r="P76" s="203"/>
      <c r="Q76" s="203"/>
      <c r="R76" s="203"/>
    </row>
    <row r="77" spans="1:18">
      <c r="A77" s="203"/>
      <c r="B77" s="203"/>
      <c r="C77" s="203"/>
      <c r="D77" s="203"/>
      <c r="E77" s="203"/>
      <c r="F77" s="203"/>
      <c r="G77" s="203"/>
      <c r="H77" s="203"/>
      <c r="I77" s="203"/>
      <c r="J77" s="203"/>
      <c r="K77" s="203"/>
      <c r="L77" s="203"/>
      <c r="M77" s="203"/>
      <c r="N77" s="203"/>
      <c r="O77" s="203"/>
      <c r="P77" s="203"/>
      <c r="Q77" s="203"/>
      <c r="R77" s="203"/>
    </row>
    <row r="78" spans="1:18">
      <c r="A78" s="203"/>
      <c r="B78" s="203"/>
      <c r="C78" s="203"/>
      <c r="D78" s="203"/>
      <c r="E78" s="203"/>
      <c r="F78" s="203"/>
      <c r="G78" s="203"/>
      <c r="H78" s="203"/>
      <c r="I78" s="203"/>
      <c r="J78" s="203"/>
      <c r="K78" s="203"/>
      <c r="L78" s="203"/>
      <c r="M78" s="203"/>
      <c r="N78" s="203"/>
      <c r="O78" s="203"/>
      <c r="P78" s="203"/>
      <c r="Q78" s="203"/>
      <c r="R78" s="203"/>
    </row>
    <row r="79" spans="1:18">
      <c r="A79" s="203"/>
      <c r="B79" s="203"/>
      <c r="C79" s="203"/>
      <c r="D79" s="203"/>
      <c r="E79" s="203"/>
      <c r="F79" s="203"/>
      <c r="G79" s="203"/>
      <c r="H79" s="203"/>
      <c r="I79" s="203"/>
      <c r="J79" s="203"/>
      <c r="K79" s="203"/>
      <c r="L79" s="203"/>
      <c r="M79" s="203"/>
      <c r="N79" s="203"/>
      <c r="O79" s="203"/>
      <c r="P79" s="203"/>
      <c r="Q79" s="203"/>
      <c r="R79" s="203"/>
    </row>
    <row r="80" spans="1:18">
      <c r="A80" s="203"/>
      <c r="B80" s="203"/>
      <c r="C80" s="203"/>
      <c r="D80" s="203"/>
      <c r="E80" s="203"/>
      <c r="F80" s="203"/>
      <c r="G80" s="203"/>
      <c r="H80" s="203"/>
      <c r="I80" s="203"/>
      <c r="J80" s="203"/>
      <c r="K80" s="203"/>
      <c r="L80" s="203"/>
      <c r="M80" s="203"/>
      <c r="N80" s="203"/>
      <c r="O80" s="203"/>
      <c r="P80" s="203"/>
      <c r="Q80" s="203"/>
      <c r="R80" s="203"/>
    </row>
    <row r="81" spans="1:18">
      <c r="A81" s="203"/>
      <c r="B81" s="203"/>
      <c r="C81" s="203"/>
      <c r="D81" s="203"/>
      <c r="E81" s="203"/>
      <c r="F81" s="203"/>
      <c r="G81" s="203"/>
      <c r="H81" s="203"/>
      <c r="I81" s="203"/>
      <c r="J81" s="203"/>
      <c r="K81" s="203"/>
      <c r="L81" s="203"/>
      <c r="M81" s="203"/>
      <c r="N81" s="203"/>
      <c r="O81" s="203"/>
      <c r="P81" s="203"/>
      <c r="Q81" s="203"/>
      <c r="R81" s="203"/>
    </row>
    <row r="82" spans="1:18">
      <c r="A82" s="203"/>
      <c r="B82" s="203"/>
      <c r="C82" s="203"/>
      <c r="D82" s="203"/>
      <c r="E82" s="203"/>
      <c r="F82" s="203"/>
      <c r="G82" s="203"/>
      <c r="H82" s="203"/>
      <c r="I82" s="203"/>
      <c r="J82" s="203"/>
      <c r="K82" s="203"/>
      <c r="L82" s="203"/>
      <c r="M82" s="203"/>
      <c r="N82" s="203"/>
      <c r="O82" s="203"/>
      <c r="P82" s="203"/>
      <c r="Q82" s="203"/>
      <c r="R82" s="203"/>
    </row>
    <row r="83" spans="1:18">
      <c r="A83" s="203"/>
      <c r="B83" s="203"/>
      <c r="C83" s="203"/>
      <c r="D83" s="203"/>
      <c r="E83" s="203"/>
      <c r="F83" s="203"/>
      <c r="G83" s="203"/>
      <c r="H83" s="203"/>
      <c r="I83" s="203"/>
      <c r="J83" s="203"/>
      <c r="K83" s="203"/>
      <c r="L83" s="203"/>
      <c r="M83" s="203"/>
      <c r="N83" s="203"/>
      <c r="O83" s="203"/>
      <c r="P83" s="203"/>
      <c r="Q83" s="203"/>
      <c r="R83" s="203"/>
    </row>
    <row r="84" spans="1:18">
      <c r="A84" s="203"/>
      <c r="B84" s="203"/>
      <c r="C84" s="203"/>
      <c r="D84" s="203"/>
      <c r="E84" s="203"/>
      <c r="F84" s="203"/>
      <c r="G84" s="203"/>
      <c r="H84" s="203"/>
      <c r="I84" s="203"/>
      <c r="J84" s="203"/>
      <c r="K84" s="203"/>
      <c r="L84" s="203"/>
      <c r="M84" s="203"/>
      <c r="N84" s="203"/>
      <c r="O84" s="203"/>
      <c r="P84" s="203"/>
      <c r="Q84" s="203"/>
      <c r="R84" s="203"/>
    </row>
    <row r="85" spans="1:18">
      <c r="A85" s="203"/>
      <c r="B85" s="203"/>
      <c r="C85" s="203"/>
      <c r="D85" s="203"/>
      <c r="E85" s="203"/>
      <c r="F85" s="203"/>
      <c r="G85" s="203"/>
      <c r="H85" s="203"/>
      <c r="I85" s="203"/>
      <c r="J85" s="203"/>
      <c r="K85" s="203"/>
      <c r="L85" s="203"/>
      <c r="M85" s="203"/>
      <c r="N85" s="203"/>
      <c r="O85" s="203"/>
      <c r="P85" s="203"/>
      <c r="Q85" s="203"/>
      <c r="R85" s="203"/>
    </row>
    <row r="86" spans="1:18">
      <c r="A86" s="203"/>
      <c r="B86" s="203"/>
      <c r="C86" s="203"/>
      <c r="D86" s="203"/>
      <c r="E86" s="203"/>
      <c r="F86" s="203"/>
      <c r="G86" s="203"/>
      <c r="H86" s="203"/>
      <c r="I86" s="203"/>
      <c r="J86" s="203"/>
      <c r="K86" s="203"/>
      <c r="L86" s="203"/>
      <c r="M86" s="203"/>
      <c r="N86" s="203"/>
      <c r="O86" s="203"/>
      <c r="P86" s="203"/>
      <c r="Q86" s="203"/>
      <c r="R86" s="203"/>
    </row>
    <row r="87" spans="1:18">
      <c r="A87" s="203"/>
      <c r="B87" s="203"/>
      <c r="C87" s="203"/>
      <c r="D87" s="203"/>
      <c r="E87" s="203"/>
      <c r="F87" s="203"/>
      <c r="G87" s="203"/>
      <c r="H87" s="203"/>
      <c r="I87" s="203"/>
      <c r="J87" s="203"/>
      <c r="K87" s="203"/>
      <c r="L87" s="203"/>
      <c r="M87" s="203"/>
      <c r="N87" s="203"/>
      <c r="O87" s="203"/>
      <c r="P87" s="203"/>
      <c r="Q87" s="203"/>
      <c r="R87" s="203"/>
    </row>
    <row r="88" spans="1:18">
      <c r="A88" s="203"/>
      <c r="B88" s="203"/>
      <c r="C88" s="203"/>
      <c r="D88" s="203"/>
      <c r="E88" s="203"/>
      <c r="F88" s="203"/>
      <c r="G88" s="203"/>
      <c r="H88" s="203"/>
      <c r="I88" s="203"/>
      <c r="J88" s="203"/>
      <c r="K88" s="203"/>
      <c r="L88" s="203"/>
      <c r="M88" s="203"/>
      <c r="N88" s="203"/>
      <c r="O88" s="203"/>
      <c r="P88" s="203"/>
      <c r="Q88" s="203"/>
      <c r="R88" s="203"/>
    </row>
    <row r="89" spans="1:18">
      <c r="A89" s="203"/>
      <c r="B89" s="203"/>
      <c r="C89" s="203"/>
      <c r="D89" s="203"/>
      <c r="E89" s="203"/>
      <c r="F89" s="203"/>
      <c r="G89" s="203"/>
      <c r="H89" s="203"/>
      <c r="I89" s="203"/>
      <c r="J89" s="203"/>
      <c r="K89" s="203"/>
      <c r="L89" s="203"/>
      <c r="M89" s="203"/>
      <c r="N89" s="203"/>
      <c r="O89" s="203"/>
      <c r="P89" s="203"/>
      <c r="Q89" s="203"/>
      <c r="R89" s="203"/>
    </row>
    <row r="90" spans="1:18">
      <c r="A90" s="203"/>
      <c r="B90" s="203"/>
      <c r="C90" s="203"/>
      <c r="D90" s="203"/>
      <c r="E90" s="203"/>
      <c r="F90" s="203"/>
      <c r="G90" s="203"/>
      <c r="H90" s="203"/>
      <c r="I90" s="203"/>
      <c r="J90" s="203"/>
      <c r="K90" s="203"/>
      <c r="L90" s="203"/>
      <c r="M90" s="203"/>
      <c r="N90" s="203"/>
      <c r="O90" s="203"/>
      <c r="P90" s="203"/>
      <c r="Q90" s="203"/>
      <c r="R90" s="203"/>
    </row>
    <row r="91" spans="1:18">
      <c r="A91" s="203"/>
      <c r="B91" s="203"/>
      <c r="C91" s="203"/>
      <c r="D91" s="203"/>
      <c r="E91" s="203"/>
      <c r="F91" s="203"/>
      <c r="G91" s="203"/>
      <c r="H91" s="203"/>
      <c r="I91" s="203"/>
      <c r="J91" s="203"/>
      <c r="K91" s="203"/>
      <c r="L91" s="203"/>
      <c r="M91" s="203"/>
      <c r="N91" s="203"/>
      <c r="O91" s="203"/>
      <c r="P91" s="203"/>
      <c r="Q91" s="203"/>
      <c r="R91" s="203"/>
    </row>
    <row r="92" spans="1:18">
      <c r="A92" s="203"/>
      <c r="B92" s="203"/>
      <c r="C92" s="203"/>
      <c r="D92" s="203"/>
      <c r="E92" s="203"/>
      <c r="F92" s="203"/>
      <c r="G92" s="203"/>
      <c r="H92" s="203"/>
      <c r="I92" s="203"/>
      <c r="J92" s="203"/>
      <c r="K92" s="203"/>
      <c r="L92" s="203"/>
      <c r="M92" s="203"/>
      <c r="N92" s="203"/>
      <c r="O92" s="203"/>
      <c r="P92" s="203"/>
      <c r="Q92" s="203"/>
      <c r="R92" s="203"/>
    </row>
    <row r="93" spans="1:18">
      <c r="A93" s="203"/>
      <c r="B93" s="203"/>
      <c r="C93" s="203"/>
      <c r="D93" s="203"/>
      <c r="E93" s="203"/>
      <c r="F93" s="203"/>
      <c r="G93" s="203"/>
      <c r="H93" s="203"/>
      <c r="I93" s="203"/>
      <c r="J93" s="203"/>
      <c r="K93" s="203"/>
      <c r="L93" s="203"/>
      <c r="M93" s="203"/>
      <c r="N93" s="203"/>
      <c r="O93" s="203"/>
      <c r="P93" s="203"/>
      <c r="Q93" s="203"/>
      <c r="R93" s="203"/>
    </row>
    <row r="94" spans="1:18">
      <c r="A94" s="203"/>
      <c r="B94" s="203"/>
      <c r="C94" s="203"/>
      <c r="D94" s="203"/>
      <c r="E94" s="203"/>
      <c r="F94" s="203"/>
      <c r="G94" s="203"/>
      <c r="H94" s="203"/>
      <c r="I94" s="203"/>
      <c r="J94" s="203"/>
      <c r="K94" s="203"/>
      <c r="L94" s="203"/>
      <c r="M94" s="203"/>
      <c r="N94" s="203"/>
      <c r="O94" s="203"/>
      <c r="P94" s="203"/>
      <c r="Q94" s="203"/>
      <c r="R94" s="203"/>
    </row>
    <row r="95" spans="1:18">
      <c r="A95" s="203"/>
      <c r="B95" s="203"/>
      <c r="C95" s="203"/>
      <c r="D95" s="203"/>
      <c r="E95" s="203"/>
      <c r="F95" s="203"/>
      <c r="G95" s="203"/>
      <c r="H95" s="203"/>
      <c r="I95" s="203"/>
      <c r="J95" s="203"/>
      <c r="K95" s="203"/>
      <c r="L95" s="203"/>
      <c r="M95" s="203"/>
      <c r="N95" s="203"/>
      <c r="O95" s="203"/>
      <c r="P95" s="203"/>
      <c r="Q95" s="203"/>
      <c r="R95" s="203"/>
    </row>
    <row r="96" spans="1:18">
      <c r="A96" s="203"/>
      <c r="B96" s="203"/>
      <c r="C96" s="203"/>
      <c r="D96" s="203"/>
      <c r="E96" s="203"/>
      <c r="F96" s="203"/>
      <c r="G96" s="203"/>
      <c r="H96" s="203"/>
      <c r="I96" s="203"/>
      <c r="J96" s="203"/>
      <c r="K96" s="203"/>
      <c r="L96" s="203"/>
      <c r="M96" s="203"/>
      <c r="N96" s="203"/>
      <c r="O96" s="203"/>
      <c r="P96" s="203"/>
      <c r="Q96" s="203"/>
      <c r="R96" s="203"/>
    </row>
    <row r="97" spans="1:18">
      <c r="A97" s="203"/>
      <c r="B97" s="203"/>
      <c r="C97" s="203"/>
      <c r="D97" s="203"/>
      <c r="E97" s="203"/>
      <c r="F97" s="203"/>
      <c r="G97" s="203"/>
      <c r="H97" s="203"/>
      <c r="I97" s="203"/>
      <c r="J97" s="203"/>
      <c r="K97" s="203"/>
      <c r="L97" s="203"/>
      <c r="M97" s="203"/>
      <c r="N97" s="203"/>
      <c r="O97" s="203"/>
      <c r="P97" s="203"/>
      <c r="Q97" s="203"/>
      <c r="R97" s="203"/>
    </row>
    <row r="98" spans="1:18">
      <c r="A98" s="203"/>
      <c r="B98" s="203"/>
      <c r="C98" s="203"/>
      <c r="D98" s="203"/>
      <c r="E98" s="203"/>
      <c r="F98" s="203"/>
      <c r="G98" s="203"/>
      <c r="H98" s="203"/>
      <c r="I98" s="203"/>
      <c r="J98" s="203"/>
      <c r="K98" s="203"/>
      <c r="L98" s="203"/>
      <c r="M98" s="203"/>
      <c r="N98" s="203"/>
      <c r="O98" s="203"/>
      <c r="P98" s="203"/>
      <c r="Q98" s="203"/>
      <c r="R98" s="203"/>
    </row>
    <row r="99" spans="1:18">
      <c r="A99" s="203"/>
      <c r="B99" s="203"/>
      <c r="C99" s="203"/>
      <c r="D99" s="203"/>
      <c r="E99" s="203"/>
      <c r="F99" s="203"/>
      <c r="G99" s="203"/>
      <c r="H99" s="203"/>
      <c r="I99" s="203"/>
      <c r="J99" s="203"/>
      <c r="K99" s="203"/>
      <c r="L99" s="203"/>
      <c r="M99" s="203"/>
      <c r="N99" s="203"/>
      <c r="O99" s="203"/>
      <c r="P99" s="203"/>
      <c r="Q99" s="203"/>
      <c r="R99" s="203"/>
    </row>
    <row r="100" spans="1:18">
      <c r="A100" s="203"/>
      <c r="B100" s="203"/>
      <c r="C100" s="203"/>
      <c r="D100" s="203"/>
      <c r="E100" s="203"/>
      <c r="F100" s="203"/>
      <c r="G100" s="203"/>
      <c r="H100" s="203"/>
      <c r="I100" s="203"/>
      <c r="J100" s="203"/>
      <c r="K100" s="203"/>
      <c r="L100" s="203"/>
      <c r="M100" s="203"/>
      <c r="N100" s="203"/>
      <c r="O100" s="203"/>
      <c r="P100" s="203"/>
      <c r="Q100" s="203"/>
      <c r="R100" s="203"/>
    </row>
    <row r="101" spans="1:18">
      <c r="A101" s="203"/>
      <c r="B101" s="203"/>
      <c r="C101" s="203"/>
      <c r="D101" s="203"/>
      <c r="E101" s="203"/>
      <c r="F101" s="203"/>
      <c r="G101" s="203"/>
      <c r="H101" s="203"/>
      <c r="I101" s="203"/>
      <c r="J101" s="203"/>
      <c r="K101" s="203"/>
      <c r="L101" s="203"/>
      <c r="M101" s="203"/>
      <c r="N101" s="203"/>
      <c r="O101" s="203"/>
      <c r="P101" s="203"/>
      <c r="Q101" s="203"/>
      <c r="R101" s="203"/>
    </row>
    <row r="102" spans="1:18">
      <c r="A102" s="203"/>
      <c r="B102" s="203"/>
      <c r="C102" s="203"/>
      <c r="D102" s="203"/>
      <c r="E102" s="203"/>
      <c r="F102" s="203"/>
      <c r="G102" s="203"/>
      <c r="H102" s="203"/>
      <c r="I102" s="203"/>
      <c r="J102" s="203"/>
      <c r="K102" s="203"/>
      <c r="L102" s="203"/>
      <c r="M102" s="203"/>
      <c r="N102" s="203"/>
      <c r="O102" s="203"/>
      <c r="P102" s="203"/>
      <c r="Q102" s="203"/>
      <c r="R102" s="203"/>
    </row>
    <row r="103" spans="1:18">
      <c r="A103" s="203"/>
      <c r="B103" s="203"/>
      <c r="C103" s="203"/>
      <c r="D103" s="203"/>
      <c r="E103" s="203"/>
      <c r="F103" s="203"/>
      <c r="G103" s="203"/>
      <c r="H103" s="203"/>
      <c r="I103" s="203"/>
      <c r="J103" s="203"/>
      <c r="K103" s="203"/>
      <c r="L103" s="203"/>
      <c r="M103" s="203"/>
      <c r="N103" s="203"/>
      <c r="O103" s="203"/>
      <c r="P103" s="203"/>
      <c r="Q103" s="203"/>
      <c r="R103" s="203"/>
    </row>
    <row r="104" spans="1:18">
      <c r="A104" s="203"/>
      <c r="B104" s="203"/>
      <c r="C104" s="203"/>
      <c r="D104" s="203"/>
      <c r="E104" s="203"/>
      <c r="F104" s="203"/>
      <c r="G104" s="203"/>
      <c r="H104" s="203"/>
      <c r="I104" s="203"/>
      <c r="J104" s="203"/>
      <c r="K104" s="203"/>
      <c r="L104" s="203"/>
      <c r="M104" s="203"/>
      <c r="N104" s="203"/>
      <c r="O104" s="203"/>
      <c r="P104" s="203"/>
      <c r="Q104" s="203"/>
      <c r="R104" s="203"/>
    </row>
    <row r="105" spans="1:18">
      <c r="A105" s="203"/>
      <c r="B105" s="203"/>
      <c r="C105" s="203"/>
      <c r="D105" s="203"/>
      <c r="E105" s="203"/>
      <c r="F105" s="203"/>
      <c r="G105" s="203"/>
      <c r="H105" s="203"/>
      <c r="I105" s="203"/>
      <c r="J105" s="203"/>
      <c r="K105" s="203"/>
      <c r="L105" s="203"/>
      <c r="M105" s="203"/>
      <c r="N105" s="203"/>
      <c r="O105" s="203"/>
      <c r="P105" s="203"/>
      <c r="Q105" s="203"/>
      <c r="R105" s="203"/>
    </row>
    <row r="106" spans="1:18">
      <c r="A106" s="203"/>
      <c r="B106" s="203"/>
      <c r="C106" s="203"/>
      <c r="D106" s="203"/>
      <c r="E106" s="203"/>
      <c r="F106" s="203"/>
      <c r="G106" s="203"/>
      <c r="H106" s="203"/>
      <c r="I106" s="203"/>
      <c r="J106" s="203"/>
      <c r="K106" s="203"/>
      <c r="L106" s="203"/>
      <c r="M106" s="203"/>
      <c r="N106" s="203"/>
      <c r="O106" s="203"/>
      <c r="P106" s="203"/>
      <c r="Q106" s="203"/>
      <c r="R106" s="203"/>
    </row>
    <row r="107" spans="1:18">
      <c r="A107" s="203"/>
      <c r="B107" s="203"/>
      <c r="C107" s="203"/>
      <c r="D107" s="203"/>
      <c r="E107" s="203"/>
      <c r="F107" s="203"/>
      <c r="G107" s="203"/>
      <c r="H107" s="203"/>
      <c r="I107" s="203"/>
      <c r="J107" s="203"/>
      <c r="K107" s="203"/>
      <c r="L107" s="203"/>
      <c r="M107" s="203"/>
      <c r="N107" s="203"/>
      <c r="O107" s="203"/>
      <c r="P107" s="203"/>
      <c r="Q107" s="203"/>
      <c r="R107" s="203"/>
    </row>
    <row r="108" spans="1:18">
      <c r="A108" s="203"/>
      <c r="B108" s="203"/>
      <c r="C108" s="203"/>
      <c r="D108" s="203"/>
      <c r="E108" s="203"/>
      <c r="F108" s="203"/>
      <c r="G108" s="203"/>
      <c r="H108" s="203"/>
      <c r="I108" s="203"/>
      <c r="J108" s="203"/>
      <c r="K108" s="203"/>
      <c r="L108" s="203"/>
      <c r="M108" s="203"/>
      <c r="N108" s="203"/>
      <c r="O108" s="203"/>
      <c r="P108" s="203"/>
      <c r="Q108" s="203"/>
      <c r="R108" s="203"/>
    </row>
    <row r="109" spans="1:18">
      <c r="A109" s="203"/>
      <c r="B109" s="203"/>
      <c r="C109" s="203"/>
      <c r="D109" s="203"/>
      <c r="E109" s="203"/>
      <c r="F109" s="203"/>
      <c r="G109" s="203"/>
      <c r="H109" s="203"/>
      <c r="I109" s="203"/>
      <c r="J109" s="203"/>
      <c r="K109" s="203"/>
      <c r="L109" s="203"/>
      <c r="M109" s="203"/>
      <c r="N109" s="203"/>
      <c r="O109" s="203"/>
      <c r="P109" s="203"/>
      <c r="Q109" s="203"/>
      <c r="R109" s="203"/>
    </row>
  </sheetData>
  <pageMargins left="0.25" right="0.25" top="0.75" bottom="0.75" header="0.3" footer="0.3"/>
  <pageSetup scale="70" fitToHeight="0" orientation="landscape" r:id="rId1"/>
  <headerFooter>
    <oddFooter>&amp;C&amp;F&amp;A&amp;RPage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C866-DCB0-42D0-BECC-BE0340E8A6C0}">
  <dimension ref="A1:AF102"/>
  <sheetViews>
    <sheetView workbookViewId="0">
      <selection activeCell="K16" sqref="K16"/>
    </sheetView>
  </sheetViews>
  <sheetFormatPr defaultRowHeight="15"/>
  <cols>
    <col min="1" max="1" width="2.33203125" customWidth="1"/>
    <col min="2" max="2" width="10.77734375" customWidth="1"/>
    <col min="3" max="3" width="12.109375" bestFit="1" customWidth="1"/>
    <col min="4" max="4" width="1.77734375" customWidth="1"/>
    <col min="5" max="5" width="7" bestFit="1" customWidth="1"/>
    <col min="6" max="7" width="0" hidden="1" customWidth="1"/>
    <col min="8" max="8" width="1.77734375" customWidth="1"/>
    <col min="9" max="9" width="22.6640625" customWidth="1"/>
    <col min="10" max="10" width="1.77734375" customWidth="1"/>
    <col min="11" max="11" width="12.33203125" customWidth="1"/>
    <col min="12" max="12" width="1.77734375" customWidth="1"/>
    <col min="13" max="16" width="0" hidden="1" customWidth="1"/>
    <col min="17" max="17" width="21.77734375" bestFit="1" customWidth="1"/>
    <col min="18" max="18" width="1.77734375" customWidth="1"/>
    <col min="19" max="19" width="6.88671875" bestFit="1" customWidth="1"/>
    <col min="20" max="20" width="1.77734375" customWidth="1"/>
    <col min="21" max="21" width="8" customWidth="1"/>
    <col min="22" max="22" width="8.21875" customWidth="1"/>
    <col min="23" max="23" width="9" customWidth="1"/>
  </cols>
  <sheetData>
    <row r="1" spans="1:32" ht="16.5" thickBot="1">
      <c r="A1" s="382"/>
      <c r="B1" s="382"/>
      <c r="C1" s="432" t="s">
        <v>45</v>
      </c>
      <c r="D1" s="382"/>
      <c r="E1" s="432" t="s">
        <v>782</v>
      </c>
      <c r="F1" s="382"/>
      <c r="G1" s="432" t="s">
        <v>783</v>
      </c>
      <c r="H1" s="382"/>
      <c r="I1" s="432" t="s">
        <v>784</v>
      </c>
      <c r="J1" s="382"/>
      <c r="K1" s="432" t="s">
        <v>785</v>
      </c>
      <c r="L1" s="382"/>
      <c r="M1" s="432" t="s">
        <v>786</v>
      </c>
      <c r="N1" s="382"/>
      <c r="O1" s="432" t="s">
        <v>1040</v>
      </c>
      <c r="P1" s="382"/>
      <c r="Q1" s="432" t="s">
        <v>787</v>
      </c>
      <c r="R1" s="382"/>
      <c r="S1" s="432" t="s">
        <v>47</v>
      </c>
      <c r="T1" s="382"/>
      <c r="U1" s="311"/>
      <c r="V1" s="311"/>
      <c r="W1" s="311"/>
      <c r="X1" s="311"/>
      <c r="Y1" s="311"/>
      <c r="Z1" s="311"/>
      <c r="AA1" s="225"/>
      <c r="AB1" s="203"/>
      <c r="AC1" s="203"/>
      <c r="AD1" s="203"/>
      <c r="AE1" s="203"/>
      <c r="AF1" s="203"/>
    </row>
    <row r="2" spans="1:32" ht="32.25" thickTop="1">
      <c r="A2" s="374"/>
      <c r="B2" s="374" t="s">
        <v>184</v>
      </c>
      <c r="C2" s="374"/>
      <c r="D2" s="374"/>
      <c r="E2" s="433"/>
      <c r="F2" s="374"/>
      <c r="G2" s="374"/>
      <c r="H2" s="374"/>
      <c r="I2" s="374"/>
      <c r="J2" s="374"/>
      <c r="K2" s="374"/>
      <c r="L2" s="374"/>
      <c r="M2" s="374"/>
      <c r="N2" s="374"/>
      <c r="O2" s="374"/>
      <c r="P2" s="374"/>
      <c r="Q2" s="374"/>
      <c r="R2" s="374"/>
      <c r="S2" s="388"/>
      <c r="T2" s="374"/>
      <c r="U2" s="494" t="s">
        <v>245</v>
      </c>
      <c r="V2" s="494" t="s">
        <v>1041</v>
      </c>
      <c r="W2" s="494" t="s">
        <v>998</v>
      </c>
      <c r="X2" s="494" t="s">
        <v>1042</v>
      </c>
      <c r="Y2" s="494" t="s">
        <v>995</v>
      </c>
      <c r="Z2" s="225"/>
      <c r="AA2" s="225"/>
      <c r="AB2" s="203"/>
      <c r="AC2" s="203"/>
      <c r="AD2" s="203"/>
      <c r="AE2" s="203"/>
      <c r="AF2" s="203"/>
    </row>
    <row r="3" spans="1:32" ht="15.75">
      <c r="A3" s="385"/>
      <c r="B3" s="385"/>
      <c r="C3" s="385" t="s">
        <v>798</v>
      </c>
      <c r="D3" s="385"/>
      <c r="E3" s="434">
        <v>44172</v>
      </c>
      <c r="F3" s="385"/>
      <c r="G3" s="385"/>
      <c r="H3" s="385"/>
      <c r="I3" s="385" t="s">
        <v>1043</v>
      </c>
      <c r="J3" s="385"/>
      <c r="K3" s="385" t="s">
        <v>1044</v>
      </c>
      <c r="L3" s="385"/>
      <c r="M3" s="385" t="s">
        <v>793</v>
      </c>
      <c r="N3" s="385"/>
      <c r="O3" s="495"/>
      <c r="P3" s="385"/>
      <c r="Q3" s="385" t="s">
        <v>801</v>
      </c>
      <c r="R3" s="385"/>
      <c r="S3" s="386">
        <v>141.97</v>
      </c>
      <c r="T3" s="385"/>
      <c r="U3" s="437"/>
      <c r="V3" s="225"/>
      <c r="W3" s="225"/>
      <c r="X3" s="225"/>
      <c r="Y3" s="437">
        <f>+S3</f>
        <v>141.97</v>
      </c>
      <c r="Z3" s="225"/>
      <c r="AA3" s="225"/>
      <c r="AB3" s="203"/>
      <c r="AC3" s="203"/>
      <c r="AD3" s="203"/>
      <c r="AE3" s="203"/>
      <c r="AF3" s="203"/>
    </row>
    <row r="4" spans="1:32" ht="15.75">
      <c r="A4" s="385"/>
      <c r="B4" s="385"/>
      <c r="C4" s="385" t="s">
        <v>818</v>
      </c>
      <c r="D4" s="385"/>
      <c r="E4" s="434">
        <v>44183</v>
      </c>
      <c r="F4" s="385"/>
      <c r="G4" s="385" t="s">
        <v>1045</v>
      </c>
      <c r="H4" s="385"/>
      <c r="I4" s="385" t="s">
        <v>1046</v>
      </c>
      <c r="J4" s="385"/>
      <c r="K4" s="385" t="s">
        <v>1047</v>
      </c>
      <c r="L4" s="385"/>
      <c r="M4" s="385" t="s">
        <v>793</v>
      </c>
      <c r="N4" s="385"/>
      <c r="O4" s="495"/>
      <c r="P4" s="385"/>
      <c r="Q4" s="385" t="s">
        <v>794</v>
      </c>
      <c r="R4" s="385"/>
      <c r="S4" s="386">
        <v>174.87</v>
      </c>
      <c r="T4" s="385"/>
      <c r="U4" s="437">
        <f>+S4</f>
        <v>174.87</v>
      </c>
      <c r="V4" s="225"/>
      <c r="W4" s="225"/>
      <c r="X4" s="225"/>
      <c r="Y4" s="225"/>
      <c r="Z4" s="225"/>
      <c r="AA4" s="225"/>
      <c r="AB4" s="203"/>
      <c r="AC4" s="203"/>
      <c r="AD4" s="203"/>
      <c r="AE4" s="203"/>
      <c r="AF4" s="203"/>
    </row>
    <row r="5" spans="1:32" ht="15.75">
      <c r="A5" s="385"/>
      <c r="B5" s="385"/>
      <c r="C5" s="385" t="s">
        <v>1048</v>
      </c>
      <c r="D5" s="385"/>
      <c r="E5" s="434">
        <v>44029</v>
      </c>
      <c r="F5" s="385"/>
      <c r="G5" s="385" t="s">
        <v>1049</v>
      </c>
      <c r="H5" s="385"/>
      <c r="I5" s="385" t="s">
        <v>1050</v>
      </c>
      <c r="J5" s="385"/>
      <c r="K5" s="385" t="s">
        <v>1051</v>
      </c>
      <c r="L5" s="385"/>
      <c r="M5" s="385" t="s">
        <v>793</v>
      </c>
      <c r="N5" s="385"/>
      <c r="O5" s="495"/>
      <c r="P5" s="385"/>
      <c r="Q5" s="385" t="s">
        <v>794</v>
      </c>
      <c r="R5" s="385"/>
      <c r="S5" s="386">
        <v>-138.41999999999999</v>
      </c>
      <c r="T5" s="385"/>
      <c r="U5" s="225"/>
      <c r="V5" s="437">
        <f>+S5</f>
        <v>-138.41999999999999</v>
      </c>
      <c r="W5" s="225"/>
      <c r="X5" s="225"/>
      <c r="Y5" s="225"/>
      <c r="Z5" s="225"/>
      <c r="AA5" s="225"/>
      <c r="AB5" s="203"/>
      <c r="AC5" s="203"/>
      <c r="AD5" s="203"/>
      <c r="AE5" s="203"/>
      <c r="AF5" s="203"/>
    </row>
    <row r="6" spans="1:32" ht="15.75">
      <c r="A6" s="385"/>
      <c r="B6" s="385"/>
      <c r="C6" s="385" t="s">
        <v>1048</v>
      </c>
      <c r="D6" s="385"/>
      <c r="E6" s="434">
        <v>44043</v>
      </c>
      <c r="F6" s="385"/>
      <c r="G6" s="385" t="s">
        <v>1052</v>
      </c>
      <c r="H6" s="385"/>
      <c r="I6" s="385" t="s">
        <v>1050</v>
      </c>
      <c r="J6" s="385"/>
      <c r="K6" s="385" t="s">
        <v>1051</v>
      </c>
      <c r="L6" s="385"/>
      <c r="M6" s="385" t="s">
        <v>793</v>
      </c>
      <c r="N6" s="385"/>
      <c r="O6" s="495"/>
      <c r="P6" s="385"/>
      <c r="Q6" s="385" t="s">
        <v>794</v>
      </c>
      <c r="R6" s="385"/>
      <c r="S6" s="386">
        <v>-138.41999999999999</v>
      </c>
      <c r="T6" s="385"/>
      <c r="U6" s="225"/>
      <c r="V6" s="437">
        <f t="shared" ref="V6:V13" si="0">+S6</f>
        <v>-138.41999999999999</v>
      </c>
      <c r="W6" s="225"/>
      <c r="X6" s="225"/>
      <c r="Y6" s="225"/>
      <c r="Z6" s="225"/>
      <c r="AA6" s="225"/>
      <c r="AB6" s="203"/>
      <c r="AC6" s="203"/>
      <c r="AD6" s="203"/>
      <c r="AE6" s="203"/>
      <c r="AF6" s="203"/>
    </row>
    <row r="7" spans="1:32" ht="15.75">
      <c r="A7" s="385"/>
      <c r="B7" s="385"/>
      <c r="C7" s="385" t="s">
        <v>1048</v>
      </c>
      <c r="D7" s="385"/>
      <c r="E7" s="434">
        <v>44057</v>
      </c>
      <c r="F7" s="385"/>
      <c r="G7" s="385" t="s">
        <v>1053</v>
      </c>
      <c r="H7" s="385"/>
      <c r="I7" s="385" t="s">
        <v>1050</v>
      </c>
      <c r="J7" s="385"/>
      <c r="K7" s="385" t="s">
        <v>1051</v>
      </c>
      <c r="L7" s="385"/>
      <c r="M7" s="385" t="s">
        <v>793</v>
      </c>
      <c r="N7" s="385"/>
      <c r="O7" s="495"/>
      <c r="P7" s="385"/>
      <c r="Q7" s="385" t="s">
        <v>794</v>
      </c>
      <c r="R7" s="385"/>
      <c r="S7" s="386">
        <v>-138.41999999999999</v>
      </c>
      <c r="T7" s="385"/>
      <c r="U7" s="225"/>
      <c r="V7" s="437">
        <f t="shared" si="0"/>
        <v>-138.41999999999999</v>
      </c>
      <c r="W7" s="225"/>
      <c r="X7" s="225"/>
      <c r="Y7" s="225"/>
      <c r="Z7" s="225"/>
      <c r="AA7" s="225"/>
      <c r="AB7" s="203"/>
      <c r="AC7" s="203"/>
      <c r="AD7" s="203"/>
      <c r="AE7" s="203"/>
      <c r="AF7" s="203"/>
    </row>
    <row r="8" spans="1:32" ht="15.75">
      <c r="A8" s="385"/>
      <c r="B8" s="385"/>
      <c r="C8" s="385" t="s">
        <v>1048</v>
      </c>
      <c r="D8" s="385"/>
      <c r="E8" s="434">
        <v>44071</v>
      </c>
      <c r="F8" s="385"/>
      <c r="G8" s="385" t="s">
        <v>1054</v>
      </c>
      <c r="H8" s="385"/>
      <c r="I8" s="385" t="s">
        <v>1050</v>
      </c>
      <c r="J8" s="385"/>
      <c r="K8" s="385" t="s">
        <v>1051</v>
      </c>
      <c r="L8" s="385"/>
      <c r="M8" s="385" t="s">
        <v>793</v>
      </c>
      <c r="N8" s="385"/>
      <c r="O8" s="495"/>
      <c r="P8" s="385"/>
      <c r="Q8" s="385" t="s">
        <v>794</v>
      </c>
      <c r="R8" s="385"/>
      <c r="S8" s="386">
        <v>-138.41999999999999</v>
      </c>
      <c r="T8" s="385"/>
      <c r="U8" s="225"/>
      <c r="V8" s="437">
        <f t="shared" si="0"/>
        <v>-138.41999999999999</v>
      </c>
      <c r="W8" s="225"/>
      <c r="X8" s="225"/>
      <c r="Y8" s="225"/>
      <c r="Z8" s="225"/>
      <c r="AA8" s="225"/>
      <c r="AB8" s="203"/>
      <c r="AC8" s="203"/>
      <c r="AD8" s="203"/>
      <c r="AE8" s="203"/>
      <c r="AF8" s="203"/>
    </row>
    <row r="9" spans="1:32" ht="15.75">
      <c r="A9" s="385"/>
      <c r="B9" s="385"/>
      <c r="C9" s="385" t="s">
        <v>1048</v>
      </c>
      <c r="D9" s="385"/>
      <c r="E9" s="434">
        <v>44085</v>
      </c>
      <c r="F9" s="385"/>
      <c r="G9" s="385" t="s">
        <v>1055</v>
      </c>
      <c r="H9" s="385"/>
      <c r="I9" s="385" t="s">
        <v>1050</v>
      </c>
      <c r="J9" s="385"/>
      <c r="K9" s="385" t="s">
        <v>1051</v>
      </c>
      <c r="L9" s="385"/>
      <c r="M9" s="385" t="s">
        <v>793</v>
      </c>
      <c r="N9" s="385"/>
      <c r="O9" s="495"/>
      <c r="P9" s="385"/>
      <c r="Q9" s="385" t="s">
        <v>794</v>
      </c>
      <c r="R9" s="385"/>
      <c r="S9" s="386">
        <v>-138.41999999999999</v>
      </c>
      <c r="T9" s="385"/>
      <c r="U9" s="225"/>
      <c r="V9" s="437">
        <f t="shared" si="0"/>
        <v>-138.41999999999999</v>
      </c>
      <c r="W9" s="225"/>
      <c r="X9" s="225"/>
      <c r="Y9" s="225"/>
      <c r="Z9" s="225"/>
      <c r="AA9" s="225"/>
      <c r="AB9" s="203"/>
      <c r="AC9" s="203"/>
      <c r="AD9" s="203"/>
      <c r="AE9" s="203"/>
      <c r="AF9" s="203"/>
    </row>
    <row r="10" spans="1:32" ht="15.75">
      <c r="A10" s="385"/>
      <c r="B10" s="385"/>
      <c r="C10" s="385" t="s">
        <v>1048</v>
      </c>
      <c r="D10" s="385"/>
      <c r="E10" s="434">
        <v>44099</v>
      </c>
      <c r="F10" s="385"/>
      <c r="G10" s="385" t="s">
        <v>1056</v>
      </c>
      <c r="H10" s="385"/>
      <c r="I10" s="385" t="s">
        <v>1050</v>
      </c>
      <c r="J10" s="385"/>
      <c r="K10" s="385" t="s">
        <v>1051</v>
      </c>
      <c r="L10" s="385"/>
      <c r="M10" s="385" t="s">
        <v>793</v>
      </c>
      <c r="N10" s="385"/>
      <c r="O10" s="495"/>
      <c r="P10" s="385"/>
      <c r="Q10" s="385" t="s">
        <v>794</v>
      </c>
      <c r="R10" s="385"/>
      <c r="S10" s="386">
        <v>-138.41999999999999</v>
      </c>
      <c r="T10" s="385"/>
      <c r="U10" s="225"/>
      <c r="V10" s="437">
        <f t="shared" si="0"/>
        <v>-138.41999999999999</v>
      </c>
      <c r="W10" s="225"/>
      <c r="X10" s="225"/>
      <c r="Y10" s="225"/>
      <c r="Z10" s="225"/>
      <c r="AA10" s="225"/>
      <c r="AB10" s="203"/>
      <c r="AC10" s="203"/>
      <c r="AD10" s="203"/>
      <c r="AE10" s="203"/>
      <c r="AF10" s="203"/>
    </row>
    <row r="11" spans="1:32" ht="15.75">
      <c r="A11" s="385"/>
      <c r="B11" s="385"/>
      <c r="C11" s="385" t="s">
        <v>1048</v>
      </c>
      <c r="D11" s="385"/>
      <c r="E11" s="434">
        <v>44113</v>
      </c>
      <c r="F11" s="385"/>
      <c r="G11" s="385" t="s">
        <v>1057</v>
      </c>
      <c r="H11" s="385"/>
      <c r="I11" s="385" t="s">
        <v>1050</v>
      </c>
      <c r="J11" s="385"/>
      <c r="K11" s="385" t="s">
        <v>1051</v>
      </c>
      <c r="L11" s="385"/>
      <c r="M11" s="385" t="s">
        <v>793</v>
      </c>
      <c r="N11" s="385"/>
      <c r="O11" s="495"/>
      <c r="P11" s="385"/>
      <c r="Q11" s="385" t="s">
        <v>794</v>
      </c>
      <c r="R11" s="385"/>
      <c r="S11" s="386">
        <v>-138.41999999999999</v>
      </c>
      <c r="T11" s="385"/>
      <c r="U11" s="225"/>
      <c r="V11" s="437">
        <f t="shared" si="0"/>
        <v>-138.41999999999999</v>
      </c>
      <c r="W11" s="225"/>
      <c r="X11" s="225"/>
      <c r="Y11" s="225"/>
      <c r="Z11" s="225"/>
      <c r="AA11" s="225"/>
      <c r="AB11" s="203"/>
      <c r="AC11" s="203"/>
      <c r="AD11" s="203"/>
      <c r="AE11" s="203"/>
      <c r="AF11" s="203"/>
    </row>
    <row r="12" spans="1:32" ht="15.75">
      <c r="A12" s="385"/>
      <c r="B12" s="385"/>
      <c r="C12" s="385" t="s">
        <v>1048</v>
      </c>
      <c r="D12" s="385"/>
      <c r="E12" s="434">
        <v>44141</v>
      </c>
      <c r="F12" s="385"/>
      <c r="G12" s="385" t="s">
        <v>1058</v>
      </c>
      <c r="H12" s="385"/>
      <c r="I12" s="385" t="s">
        <v>1050</v>
      </c>
      <c r="J12" s="385"/>
      <c r="K12" s="385" t="s">
        <v>1051</v>
      </c>
      <c r="L12" s="385"/>
      <c r="M12" s="385" t="s">
        <v>793</v>
      </c>
      <c r="N12" s="385"/>
      <c r="O12" s="495"/>
      <c r="P12" s="385"/>
      <c r="Q12" s="385" t="s">
        <v>794</v>
      </c>
      <c r="R12" s="385"/>
      <c r="S12" s="386">
        <v>-138.41999999999999</v>
      </c>
      <c r="T12" s="385"/>
      <c r="U12" s="225"/>
      <c r="V12" s="437">
        <f t="shared" si="0"/>
        <v>-138.41999999999999</v>
      </c>
      <c r="W12" s="225"/>
      <c r="X12" s="225"/>
      <c r="Y12" s="225"/>
      <c r="Z12" s="225"/>
      <c r="AA12" s="225"/>
      <c r="AB12" s="203"/>
      <c r="AC12" s="203"/>
      <c r="AD12" s="203"/>
      <c r="AE12" s="203"/>
      <c r="AF12" s="203"/>
    </row>
    <row r="13" spans="1:32" ht="15.75">
      <c r="A13" s="385"/>
      <c r="B13" s="385"/>
      <c r="C13" s="385" t="s">
        <v>1048</v>
      </c>
      <c r="D13" s="385"/>
      <c r="E13" s="434">
        <v>44155</v>
      </c>
      <c r="F13" s="385"/>
      <c r="G13" s="385" t="s">
        <v>1059</v>
      </c>
      <c r="H13" s="385"/>
      <c r="I13" s="385" t="s">
        <v>1050</v>
      </c>
      <c r="J13" s="385"/>
      <c r="K13" s="385" t="s">
        <v>1051</v>
      </c>
      <c r="L13" s="385"/>
      <c r="M13" s="385" t="s">
        <v>793</v>
      </c>
      <c r="N13" s="385"/>
      <c r="O13" s="495"/>
      <c r="P13" s="385"/>
      <c r="Q13" s="385" t="s">
        <v>794</v>
      </c>
      <c r="R13" s="385"/>
      <c r="S13" s="386">
        <v>-138.41999999999999</v>
      </c>
      <c r="T13" s="385"/>
      <c r="U13" s="225"/>
      <c r="V13" s="437">
        <f t="shared" si="0"/>
        <v>-138.41999999999999</v>
      </c>
      <c r="W13" s="225"/>
      <c r="X13" s="225"/>
      <c r="Y13" s="225"/>
      <c r="Z13" s="225"/>
      <c r="AA13" s="225"/>
      <c r="AB13" s="203"/>
      <c r="AC13" s="203"/>
      <c r="AD13" s="203"/>
      <c r="AE13" s="203"/>
      <c r="AF13" s="203"/>
    </row>
    <row r="14" spans="1:32" ht="15.75">
      <c r="A14" s="385"/>
      <c r="B14" s="385"/>
      <c r="C14" s="385" t="s">
        <v>818</v>
      </c>
      <c r="D14" s="385"/>
      <c r="E14" s="434">
        <v>44162</v>
      </c>
      <c r="F14" s="385"/>
      <c r="G14" s="385" t="s">
        <v>1060</v>
      </c>
      <c r="H14" s="385"/>
      <c r="I14" s="385" t="s">
        <v>1050</v>
      </c>
      <c r="J14" s="385"/>
      <c r="K14" s="385" t="s">
        <v>1061</v>
      </c>
      <c r="L14" s="385"/>
      <c r="M14" s="385" t="s">
        <v>793</v>
      </c>
      <c r="N14" s="385"/>
      <c r="O14" s="495"/>
      <c r="P14" s="385"/>
      <c r="Q14" s="385" t="s">
        <v>794</v>
      </c>
      <c r="R14" s="385"/>
      <c r="S14" s="386">
        <v>127.19</v>
      </c>
      <c r="T14" s="385"/>
      <c r="U14" s="437"/>
      <c r="V14" s="225"/>
      <c r="W14" s="437">
        <f>+S14</f>
        <v>127.19</v>
      </c>
      <c r="X14" s="225"/>
      <c r="Y14" s="225"/>
      <c r="Z14" s="225"/>
      <c r="AA14" s="225"/>
      <c r="AB14" s="203"/>
      <c r="AC14" s="203"/>
      <c r="AD14" s="203"/>
      <c r="AE14" s="203"/>
      <c r="AF14" s="203"/>
    </row>
    <row r="15" spans="1:32" ht="15.75">
      <c r="A15" s="385"/>
      <c r="B15" s="385"/>
      <c r="C15" s="385" t="s">
        <v>1048</v>
      </c>
      <c r="D15" s="385"/>
      <c r="E15" s="434">
        <v>44169</v>
      </c>
      <c r="F15" s="385"/>
      <c r="G15" s="385" t="s">
        <v>1062</v>
      </c>
      <c r="H15" s="385"/>
      <c r="I15" s="385" t="s">
        <v>1050</v>
      </c>
      <c r="J15" s="385"/>
      <c r="K15" s="385" t="s">
        <v>1051</v>
      </c>
      <c r="L15" s="385"/>
      <c r="M15" s="385" t="s">
        <v>793</v>
      </c>
      <c r="N15" s="385"/>
      <c r="O15" s="495"/>
      <c r="P15" s="385"/>
      <c r="Q15" s="385" t="s">
        <v>794</v>
      </c>
      <c r="R15" s="385"/>
      <c r="S15" s="386">
        <v>-138.41999999999999</v>
      </c>
      <c r="T15" s="385"/>
      <c r="U15" s="225"/>
      <c r="V15" s="437">
        <f>+S15</f>
        <v>-138.41999999999999</v>
      </c>
      <c r="W15" s="225"/>
      <c r="X15" s="225"/>
      <c r="Y15" s="225"/>
      <c r="Z15" s="225"/>
      <c r="AA15" s="225"/>
      <c r="AB15" s="203"/>
      <c r="AC15" s="203"/>
      <c r="AD15" s="203"/>
      <c r="AE15" s="203"/>
      <c r="AF15" s="203"/>
    </row>
    <row r="16" spans="1:32" ht="15.75">
      <c r="A16" s="385"/>
      <c r="B16" s="385"/>
      <c r="C16" s="385" t="s">
        <v>1048</v>
      </c>
      <c r="D16" s="385"/>
      <c r="E16" s="434">
        <v>44183</v>
      </c>
      <c r="F16" s="385"/>
      <c r="G16" s="385" t="s">
        <v>1063</v>
      </c>
      <c r="H16" s="385"/>
      <c r="I16" s="385" t="s">
        <v>1050</v>
      </c>
      <c r="J16" s="385"/>
      <c r="K16" s="385" t="s">
        <v>1051</v>
      </c>
      <c r="L16" s="385"/>
      <c r="M16" s="385" t="s">
        <v>793</v>
      </c>
      <c r="N16" s="385"/>
      <c r="O16" s="495"/>
      <c r="P16" s="385"/>
      <c r="Q16" s="385" t="s">
        <v>794</v>
      </c>
      <c r="R16" s="385"/>
      <c r="S16" s="386">
        <v>-138.41999999999999</v>
      </c>
      <c r="T16" s="385"/>
      <c r="U16" s="225"/>
      <c r="V16" s="437">
        <f>+S16</f>
        <v>-138.41999999999999</v>
      </c>
      <c r="W16" s="225"/>
      <c r="X16" s="225"/>
      <c r="Y16" s="225"/>
      <c r="Z16" s="225"/>
      <c r="AA16" s="225"/>
      <c r="AB16" s="203"/>
      <c r="AC16" s="203"/>
      <c r="AD16" s="203"/>
      <c r="AE16" s="203"/>
      <c r="AF16" s="203"/>
    </row>
    <row r="17" spans="1:32" ht="15.75">
      <c r="A17" s="385"/>
      <c r="B17" s="385"/>
      <c r="C17" s="385" t="s">
        <v>1048</v>
      </c>
      <c r="D17" s="385"/>
      <c r="E17" s="434">
        <v>44194</v>
      </c>
      <c r="F17" s="385"/>
      <c r="G17" s="385" t="s">
        <v>1064</v>
      </c>
      <c r="H17" s="385"/>
      <c r="I17" s="385" t="s">
        <v>1050</v>
      </c>
      <c r="J17" s="385"/>
      <c r="K17" s="385"/>
      <c r="L17" s="385"/>
      <c r="M17" s="385" t="s">
        <v>793</v>
      </c>
      <c r="N17" s="385"/>
      <c r="O17" s="495"/>
      <c r="P17" s="385"/>
      <c r="Q17" s="385" t="s">
        <v>794</v>
      </c>
      <c r="R17" s="385"/>
      <c r="S17" s="386">
        <v>-110.09</v>
      </c>
      <c r="T17" s="385"/>
      <c r="U17" s="225"/>
      <c r="V17" s="437">
        <f>+S17</f>
        <v>-110.09</v>
      </c>
      <c r="W17" s="225"/>
      <c r="X17" s="225"/>
      <c r="Y17" s="225"/>
      <c r="Z17" s="225"/>
      <c r="AA17" s="225"/>
      <c r="AB17" s="203"/>
      <c r="AC17" s="203"/>
      <c r="AD17" s="203"/>
      <c r="AE17" s="203"/>
      <c r="AF17" s="203"/>
    </row>
    <row r="18" spans="1:32" ht="15.75">
      <c r="A18" s="385"/>
      <c r="B18" s="385"/>
      <c r="C18" s="385" t="s">
        <v>795</v>
      </c>
      <c r="D18" s="385"/>
      <c r="E18" s="434">
        <v>43921</v>
      </c>
      <c r="F18" s="385"/>
      <c r="G18" s="385"/>
      <c r="H18" s="385"/>
      <c r="I18" s="385" t="s">
        <v>1037</v>
      </c>
      <c r="J18" s="385"/>
      <c r="K18" s="385" t="s">
        <v>1065</v>
      </c>
      <c r="L18" s="385"/>
      <c r="M18" s="385"/>
      <c r="N18" s="385"/>
      <c r="O18" s="495"/>
      <c r="P18" s="385"/>
      <c r="Q18" s="385" t="s">
        <v>797</v>
      </c>
      <c r="R18" s="385"/>
      <c r="S18" s="386">
        <v>200</v>
      </c>
      <c r="T18" s="385"/>
      <c r="U18" s="437">
        <f>+S18</f>
        <v>200</v>
      </c>
      <c r="V18" s="225"/>
      <c r="W18" s="225"/>
      <c r="X18" s="225"/>
      <c r="Y18" s="225"/>
      <c r="Z18" s="225"/>
      <c r="AA18" s="225"/>
      <c r="AB18" s="203"/>
      <c r="AC18" s="203"/>
      <c r="AD18" s="203"/>
      <c r="AE18" s="203"/>
      <c r="AF18" s="203"/>
    </row>
    <row r="19" spans="1:32" ht="15.75">
      <c r="A19" s="385"/>
      <c r="B19" s="385"/>
      <c r="C19" s="385" t="s">
        <v>818</v>
      </c>
      <c r="D19" s="385"/>
      <c r="E19" s="434">
        <v>44124</v>
      </c>
      <c r="F19" s="385"/>
      <c r="G19" s="385" t="s">
        <v>1066</v>
      </c>
      <c r="H19" s="385"/>
      <c r="I19" s="385" t="s">
        <v>1067</v>
      </c>
      <c r="J19" s="385"/>
      <c r="K19" s="385" t="s">
        <v>1068</v>
      </c>
      <c r="L19" s="385"/>
      <c r="M19" s="385" t="s">
        <v>793</v>
      </c>
      <c r="N19" s="385"/>
      <c r="O19" s="495"/>
      <c r="P19" s="385"/>
      <c r="Q19" s="385" t="s">
        <v>794</v>
      </c>
      <c r="R19" s="385"/>
      <c r="S19" s="386">
        <v>84.79</v>
      </c>
      <c r="T19" s="385"/>
      <c r="U19" s="437">
        <f>+S19</f>
        <v>84.79</v>
      </c>
      <c r="V19" s="225"/>
      <c r="W19" s="225"/>
      <c r="X19" s="225"/>
      <c r="Y19" s="225"/>
      <c r="Z19" s="225"/>
      <c r="AA19" s="225"/>
      <c r="AB19" s="203"/>
      <c r="AC19" s="203"/>
      <c r="AD19" s="203"/>
      <c r="AE19" s="203"/>
      <c r="AF19" s="203"/>
    </row>
    <row r="20" spans="1:32" ht="15.75">
      <c r="A20" s="385"/>
      <c r="B20" s="385"/>
      <c r="C20" s="385" t="s">
        <v>818</v>
      </c>
      <c r="D20" s="385"/>
      <c r="E20" s="434">
        <v>43929</v>
      </c>
      <c r="F20" s="385"/>
      <c r="G20" s="385" t="s">
        <v>1069</v>
      </c>
      <c r="H20" s="385"/>
      <c r="I20" s="385" t="s">
        <v>820</v>
      </c>
      <c r="J20" s="385"/>
      <c r="K20" s="385" t="s">
        <v>1068</v>
      </c>
      <c r="L20" s="385"/>
      <c r="M20" s="385" t="s">
        <v>793</v>
      </c>
      <c r="N20" s="385"/>
      <c r="O20" s="495"/>
      <c r="P20" s="385"/>
      <c r="Q20" s="385" t="s">
        <v>794</v>
      </c>
      <c r="R20" s="385"/>
      <c r="S20" s="386">
        <v>158.99</v>
      </c>
      <c r="T20" s="385"/>
      <c r="U20" s="437">
        <f>+S20</f>
        <v>158.99</v>
      </c>
      <c r="V20" s="225"/>
      <c r="W20" s="225"/>
      <c r="X20" s="225"/>
      <c r="Y20" s="225"/>
      <c r="Z20" s="225"/>
      <c r="AA20" s="225"/>
      <c r="AB20" s="203"/>
      <c r="AC20" s="203"/>
      <c r="AD20" s="203"/>
      <c r="AE20" s="203"/>
      <c r="AF20" s="203"/>
    </row>
    <row r="21" spans="1:32" ht="15.75">
      <c r="A21" s="385"/>
      <c r="B21" s="385"/>
      <c r="C21" s="385" t="s">
        <v>795</v>
      </c>
      <c r="D21" s="385"/>
      <c r="E21" s="434">
        <v>43861</v>
      </c>
      <c r="F21" s="385"/>
      <c r="G21" s="385"/>
      <c r="H21" s="385"/>
      <c r="I21" s="385" t="s">
        <v>1070</v>
      </c>
      <c r="J21" s="385"/>
      <c r="K21" s="385" t="s">
        <v>1071</v>
      </c>
      <c r="L21" s="385"/>
      <c r="M21" s="385" t="s">
        <v>793</v>
      </c>
      <c r="N21" s="385"/>
      <c r="O21" s="495"/>
      <c r="P21" s="385"/>
      <c r="Q21" s="385" t="s">
        <v>797</v>
      </c>
      <c r="R21" s="385"/>
      <c r="S21" s="386">
        <v>24</v>
      </c>
      <c r="T21" s="385"/>
      <c r="U21" s="437">
        <f>+S21</f>
        <v>24</v>
      </c>
      <c r="V21" s="225"/>
      <c r="W21" s="225"/>
      <c r="X21" s="225"/>
      <c r="Y21" s="225"/>
      <c r="Z21" s="225"/>
      <c r="AA21" s="225"/>
      <c r="AB21" s="203"/>
      <c r="AC21" s="203"/>
      <c r="AD21" s="203"/>
      <c r="AE21" s="203"/>
      <c r="AF21" s="203"/>
    </row>
    <row r="22" spans="1:32" ht="15.75">
      <c r="A22" s="385"/>
      <c r="B22" s="385"/>
      <c r="C22" s="385" t="s">
        <v>798</v>
      </c>
      <c r="D22" s="385"/>
      <c r="E22" s="434">
        <v>44111</v>
      </c>
      <c r="F22" s="385"/>
      <c r="G22" s="385"/>
      <c r="H22" s="385"/>
      <c r="I22" s="385" t="s">
        <v>903</v>
      </c>
      <c r="J22" s="385"/>
      <c r="K22" s="385" t="s">
        <v>1072</v>
      </c>
      <c r="L22" s="385"/>
      <c r="M22" s="385" t="s">
        <v>793</v>
      </c>
      <c r="N22" s="385"/>
      <c r="O22" s="495"/>
      <c r="P22" s="385"/>
      <c r="Q22" s="385" t="s">
        <v>801</v>
      </c>
      <c r="R22" s="385"/>
      <c r="S22" s="386">
        <v>209.24</v>
      </c>
      <c r="T22" s="385"/>
      <c r="U22" s="437">
        <f>+S22</f>
        <v>209.24</v>
      </c>
      <c r="V22" s="225"/>
      <c r="W22" s="225"/>
      <c r="X22" s="225"/>
      <c r="Y22" s="225"/>
      <c r="Z22" s="225"/>
      <c r="AA22" s="225"/>
      <c r="AB22" s="203"/>
      <c r="AC22" s="203"/>
      <c r="AD22" s="203"/>
      <c r="AE22" s="203"/>
      <c r="AF22" s="203"/>
    </row>
    <row r="23" spans="1:32" ht="15.75">
      <c r="A23" s="385"/>
      <c r="B23" s="385"/>
      <c r="C23" s="385" t="s">
        <v>798</v>
      </c>
      <c r="D23" s="385"/>
      <c r="E23" s="434">
        <v>43852</v>
      </c>
      <c r="F23" s="385"/>
      <c r="G23" s="385"/>
      <c r="H23" s="385"/>
      <c r="I23" s="385" t="s">
        <v>1073</v>
      </c>
      <c r="J23" s="385"/>
      <c r="K23" s="385" t="s">
        <v>1074</v>
      </c>
      <c r="L23" s="385"/>
      <c r="M23" s="385" t="s">
        <v>793</v>
      </c>
      <c r="N23" s="385"/>
      <c r="O23" s="495"/>
      <c r="P23" s="385"/>
      <c r="Q23" s="385" t="s">
        <v>801</v>
      </c>
      <c r="R23" s="385"/>
      <c r="S23" s="386">
        <v>225.09</v>
      </c>
      <c r="T23" s="385"/>
      <c r="U23" s="225"/>
      <c r="V23" s="225"/>
      <c r="W23" s="437">
        <f>+S23</f>
        <v>225.09</v>
      </c>
      <c r="X23" s="225"/>
      <c r="Y23" s="225"/>
      <c r="Z23" s="225"/>
      <c r="AA23" s="225"/>
      <c r="AB23" s="203"/>
      <c r="AC23" s="203"/>
      <c r="AD23" s="203"/>
      <c r="AE23" s="203"/>
      <c r="AF23" s="203"/>
    </row>
    <row r="24" spans="1:32" ht="15.75">
      <c r="A24" s="385"/>
      <c r="B24" s="385"/>
      <c r="C24" s="385" t="s">
        <v>798</v>
      </c>
      <c r="D24" s="385"/>
      <c r="E24" s="434">
        <v>43866</v>
      </c>
      <c r="F24" s="385"/>
      <c r="G24" s="385"/>
      <c r="H24" s="385"/>
      <c r="I24" s="385" t="s">
        <v>1073</v>
      </c>
      <c r="J24" s="385"/>
      <c r="K24" s="385" t="s">
        <v>1074</v>
      </c>
      <c r="L24" s="385"/>
      <c r="M24" s="385" t="s">
        <v>793</v>
      </c>
      <c r="N24" s="385"/>
      <c r="O24" s="495"/>
      <c r="P24" s="385"/>
      <c r="Q24" s="385" t="s">
        <v>801</v>
      </c>
      <c r="R24" s="385"/>
      <c r="S24" s="386">
        <v>215.4</v>
      </c>
      <c r="T24" s="385"/>
      <c r="U24" s="225"/>
      <c r="V24" s="225"/>
      <c r="W24" s="437">
        <f t="shared" ref="W24:W28" si="1">+S24</f>
        <v>215.4</v>
      </c>
      <c r="X24" s="225"/>
      <c r="Y24" s="225"/>
      <c r="Z24" s="225"/>
      <c r="AA24" s="225"/>
      <c r="AB24" s="203"/>
      <c r="AC24" s="203"/>
      <c r="AD24" s="203"/>
      <c r="AE24" s="203"/>
      <c r="AF24" s="203"/>
    </row>
    <row r="25" spans="1:32" ht="15.75">
      <c r="A25" s="385"/>
      <c r="B25" s="385"/>
      <c r="C25" s="385" t="s">
        <v>798</v>
      </c>
      <c r="D25" s="385"/>
      <c r="E25" s="434">
        <v>43943</v>
      </c>
      <c r="F25" s="385"/>
      <c r="G25" s="385"/>
      <c r="H25" s="385"/>
      <c r="I25" s="385" t="s">
        <v>1073</v>
      </c>
      <c r="J25" s="385"/>
      <c r="K25" s="385" t="s">
        <v>1074</v>
      </c>
      <c r="L25" s="385"/>
      <c r="M25" s="385" t="s">
        <v>793</v>
      </c>
      <c r="N25" s="385"/>
      <c r="O25" s="495"/>
      <c r="P25" s="385"/>
      <c r="Q25" s="385" t="s">
        <v>801</v>
      </c>
      <c r="R25" s="385"/>
      <c r="S25" s="386">
        <v>155.52000000000001</v>
      </c>
      <c r="T25" s="385"/>
      <c r="U25" s="225"/>
      <c r="V25" s="225"/>
      <c r="W25" s="437">
        <f t="shared" si="1"/>
        <v>155.52000000000001</v>
      </c>
      <c r="X25" s="225"/>
      <c r="Y25" s="225"/>
      <c r="Z25" s="225"/>
      <c r="AA25" s="225"/>
      <c r="AB25" s="203"/>
      <c r="AC25" s="203"/>
      <c r="AD25" s="203"/>
      <c r="AE25" s="203"/>
      <c r="AF25" s="203"/>
    </row>
    <row r="26" spans="1:32" ht="15.75">
      <c r="A26" s="385"/>
      <c r="B26" s="385"/>
      <c r="C26" s="385" t="s">
        <v>798</v>
      </c>
      <c r="D26" s="385"/>
      <c r="E26" s="434">
        <v>44055</v>
      </c>
      <c r="F26" s="385"/>
      <c r="G26" s="385"/>
      <c r="H26" s="385"/>
      <c r="I26" s="385" t="s">
        <v>1073</v>
      </c>
      <c r="J26" s="385"/>
      <c r="K26" s="385" t="s">
        <v>1074</v>
      </c>
      <c r="L26" s="385"/>
      <c r="M26" s="385" t="s">
        <v>793</v>
      </c>
      <c r="N26" s="385"/>
      <c r="O26" s="495"/>
      <c r="P26" s="385"/>
      <c r="Q26" s="385" t="s">
        <v>801</v>
      </c>
      <c r="R26" s="385"/>
      <c r="S26" s="386">
        <v>89.64</v>
      </c>
      <c r="T26" s="385"/>
      <c r="U26" s="225"/>
      <c r="V26" s="225"/>
      <c r="W26" s="437">
        <f t="shared" si="1"/>
        <v>89.64</v>
      </c>
      <c r="X26" s="225"/>
      <c r="Y26" s="225"/>
      <c r="Z26" s="225"/>
      <c r="AA26" s="225"/>
      <c r="AB26" s="203"/>
      <c r="AC26" s="203"/>
      <c r="AD26" s="203"/>
      <c r="AE26" s="203"/>
      <c r="AF26" s="203"/>
    </row>
    <row r="27" spans="1:32" ht="15.75">
      <c r="A27" s="385"/>
      <c r="B27" s="385"/>
      <c r="C27" s="385" t="s">
        <v>798</v>
      </c>
      <c r="D27" s="385"/>
      <c r="E27" s="434">
        <v>44082</v>
      </c>
      <c r="F27" s="385"/>
      <c r="G27" s="385"/>
      <c r="H27" s="385"/>
      <c r="I27" s="385" t="s">
        <v>1073</v>
      </c>
      <c r="J27" s="385"/>
      <c r="K27" s="385" t="s">
        <v>1074</v>
      </c>
      <c r="L27" s="385"/>
      <c r="M27" s="385" t="s">
        <v>793</v>
      </c>
      <c r="N27" s="385"/>
      <c r="O27" s="495"/>
      <c r="P27" s="385"/>
      <c r="Q27" s="385" t="s">
        <v>801</v>
      </c>
      <c r="R27" s="385"/>
      <c r="S27" s="386">
        <v>455.76</v>
      </c>
      <c r="T27" s="385"/>
      <c r="U27" s="225"/>
      <c r="V27" s="225"/>
      <c r="W27" s="437">
        <f t="shared" si="1"/>
        <v>455.76</v>
      </c>
      <c r="X27" s="225"/>
      <c r="Y27" s="225"/>
      <c r="Z27" s="225"/>
      <c r="AA27" s="225"/>
      <c r="AB27" s="203"/>
      <c r="AC27" s="203"/>
      <c r="AD27" s="203"/>
      <c r="AE27" s="203"/>
      <c r="AF27" s="203"/>
    </row>
    <row r="28" spans="1:32" ht="15.75">
      <c r="A28" s="385"/>
      <c r="B28" s="385"/>
      <c r="C28" s="385" t="s">
        <v>798</v>
      </c>
      <c r="D28" s="385"/>
      <c r="E28" s="434">
        <v>44135</v>
      </c>
      <c r="F28" s="385"/>
      <c r="G28" s="385"/>
      <c r="H28" s="385"/>
      <c r="I28" s="385" t="s">
        <v>1073</v>
      </c>
      <c r="J28" s="385"/>
      <c r="K28" s="385" t="s">
        <v>1075</v>
      </c>
      <c r="L28" s="385"/>
      <c r="M28" s="385" t="s">
        <v>793</v>
      </c>
      <c r="N28" s="385"/>
      <c r="O28" s="495"/>
      <c r="P28" s="385"/>
      <c r="Q28" s="385" t="s">
        <v>801</v>
      </c>
      <c r="R28" s="385"/>
      <c r="S28" s="386">
        <v>302.39999999999998</v>
      </c>
      <c r="T28" s="385"/>
      <c r="U28" s="225"/>
      <c r="V28" s="225"/>
      <c r="W28" s="437">
        <f t="shared" si="1"/>
        <v>302.39999999999998</v>
      </c>
      <c r="X28" s="225"/>
      <c r="Y28" s="225"/>
      <c r="Z28" s="225"/>
      <c r="AA28" s="225"/>
      <c r="AB28" s="203"/>
      <c r="AC28" s="203"/>
      <c r="AD28" s="203"/>
      <c r="AE28" s="203"/>
      <c r="AF28" s="203"/>
    </row>
    <row r="29" spans="1:32" ht="15.75">
      <c r="A29" s="385"/>
      <c r="B29" s="385"/>
      <c r="C29" s="385" t="s">
        <v>798</v>
      </c>
      <c r="D29" s="385"/>
      <c r="E29" s="434">
        <v>43837</v>
      </c>
      <c r="F29" s="385"/>
      <c r="G29" s="385"/>
      <c r="H29" s="385"/>
      <c r="I29" s="385" t="s">
        <v>1076</v>
      </c>
      <c r="J29" s="385"/>
      <c r="K29" s="385" t="s">
        <v>1077</v>
      </c>
      <c r="L29" s="385"/>
      <c r="M29" s="385"/>
      <c r="N29" s="385"/>
      <c r="O29" s="495"/>
      <c r="P29" s="385"/>
      <c r="Q29" s="385" t="s">
        <v>801</v>
      </c>
      <c r="R29" s="385"/>
      <c r="S29" s="386">
        <v>312.5</v>
      </c>
      <c r="T29" s="385"/>
      <c r="U29" s="225"/>
      <c r="V29" s="225"/>
      <c r="W29" s="225"/>
      <c r="X29" s="437">
        <f t="shared" ref="X29:X45" si="2">+S29</f>
        <v>312.5</v>
      </c>
      <c r="Y29" s="225"/>
      <c r="Z29" s="225"/>
      <c r="AA29" s="225"/>
      <c r="AB29" s="203"/>
      <c r="AC29" s="203"/>
      <c r="AD29" s="203"/>
      <c r="AE29" s="203"/>
      <c r="AF29" s="203"/>
    </row>
    <row r="30" spans="1:32" ht="15.75">
      <c r="A30" s="385"/>
      <c r="B30" s="385"/>
      <c r="C30" s="385" t="s">
        <v>798</v>
      </c>
      <c r="D30" s="385"/>
      <c r="E30" s="434">
        <v>43837</v>
      </c>
      <c r="F30" s="385"/>
      <c r="G30" s="385"/>
      <c r="H30" s="385"/>
      <c r="I30" s="385" t="s">
        <v>1076</v>
      </c>
      <c r="J30" s="385"/>
      <c r="K30" s="385" t="s">
        <v>1077</v>
      </c>
      <c r="L30" s="385"/>
      <c r="M30" s="385"/>
      <c r="N30" s="385"/>
      <c r="O30" s="495"/>
      <c r="P30" s="385"/>
      <c r="Q30" s="385" t="s">
        <v>801</v>
      </c>
      <c r="R30" s="385"/>
      <c r="S30" s="386">
        <v>312.5</v>
      </c>
      <c r="T30" s="385"/>
      <c r="U30" s="225"/>
      <c r="V30" s="225"/>
      <c r="W30" s="225"/>
      <c r="X30" s="437">
        <f t="shared" si="2"/>
        <v>312.5</v>
      </c>
      <c r="Y30" s="225"/>
      <c r="Z30" s="225"/>
      <c r="AA30" s="225"/>
      <c r="AB30" s="203"/>
      <c r="AC30" s="203"/>
      <c r="AD30" s="203"/>
      <c r="AE30" s="203"/>
      <c r="AF30" s="203"/>
    </row>
    <row r="31" spans="1:32" ht="15.75">
      <c r="A31" s="385"/>
      <c r="B31" s="385"/>
      <c r="C31" s="385" t="s">
        <v>798</v>
      </c>
      <c r="D31" s="385"/>
      <c r="E31" s="434">
        <v>43837</v>
      </c>
      <c r="F31" s="385"/>
      <c r="G31" s="385"/>
      <c r="H31" s="385"/>
      <c r="I31" s="385" t="s">
        <v>1076</v>
      </c>
      <c r="J31" s="385"/>
      <c r="K31" s="385" t="s">
        <v>1077</v>
      </c>
      <c r="L31" s="385"/>
      <c r="M31" s="385"/>
      <c r="N31" s="385"/>
      <c r="O31" s="495"/>
      <c r="P31" s="385"/>
      <c r="Q31" s="385" t="s">
        <v>801</v>
      </c>
      <c r="R31" s="385"/>
      <c r="S31" s="386">
        <v>312.5</v>
      </c>
      <c r="T31" s="385"/>
      <c r="U31" s="225"/>
      <c r="V31" s="225"/>
      <c r="W31" s="225"/>
      <c r="X31" s="437">
        <f t="shared" si="2"/>
        <v>312.5</v>
      </c>
      <c r="Y31" s="225"/>
      <c r="Z31" s="225"/>
      <c r="AA31" s="225"/>
      <c r="AB31" s="203"/>
      <c r="AC31" s="203"/>
      <c r="AD31" s="203"/>
      <c r="AE31" s="203"/>
      <c r="AF31" s="203"/>
    </row>
    <row r="32" spans="1:32" ht="15.75">
      <c r="A32" s="385"/>
      <c r="B32" s="385"/>
      <c r="C32" s="385" t="s">
        <v>798</v>
      </c>
      <c r="D32" s="385"/>
      <c r="E32" s="434">
        <v>43837</v>
      </c>
      <c r="F32" s="385"/>
      <c r="G32" s="385"/>
      <c r="H32" s="385"/>
      <c r="I32" s="385" t="s">
        <v>1076</v>
      </c>
      <c r="J32" s="385"/>
      <c r="K32" s="385" t="s">
        <v>1077</v>
      </c>
      <c r="L32" s="385"/>
      <c r="M32" s="385"/>
      <c r="N32" s="385"/>
      <c r="O32" s="495"/>
      <c r="P32" s="385"/>
      <c r="Q32" s="385" t="s">
        <v>801</v>
      </c>
      <c r="R32" s="385"/>
      <c r="S32" s="386">
        <v>312.5</v>
      </c>
      <c r="T32" s="385"/>
      <c r="U32" s="225"/>
      <c r="V32" s="225"/>
      <c r="W32" s="225"/>
      <c r="X32" s="437">
        <f t="shared" si="2"/>
        <v>312.5</v>
      </c>
      <c r="Y32" s="225"/>
      <c r="Z32" s="225"/>
      <c r="AA32" s="225"/>
      <c r="AB32" s="203"/>
      <c r="AC32" s="203"/>
      <c r="AD32" s="203"/>
      <c r="AE32" s="203"/>
      <c r="AF32" s="203"/>
    </row>
    <row r="33" spans="1:32" ht="15.75">
      <c r="A33" s="385"/>
      <c r="B33" s="385"/>
      <c r="C33" s="385" t="s">
        <v>798</v>
      </c>
      <c r="D33" s="385"/>
      <c r="E33" s="434">
        <v>43945</v>
      </c>
      <c r="F33" s="385"/>
      <c r="G33" s="385"/>
      <c r="H33" s="385"/>
      <c r="I33" s="385" t="s">
        <v>1076</v>
      </c>
      <c r="J33" s="385"/>
      <c r="K33" s="385" t="s">
        <v>1078</v>
      </c>
      <c r="L33" s="385"/>
      <c r="M33" s="385"/>
      <c r="N33" s="385"/>
      <c r="O33" s="495"/>
      <c r="P33" s="385"/>
      <c r="Q33" s="385" t="s">
        <v>1079</v>
      </c>
      <c r="R33" s="385"/>
      <c r="S33" s="386">
        <v>312.5</v>
      </c>
      <c r="T33" s="385"/>
      <c r="U33" s="225"/>
      <c r="V33" s="225"/>
      <c r="W33" s="225"/>
      <c r="X33" s="437">
        <f t="shared" si="2"/>
        <v>312.5</v>
      </c>
      <c r="Y33" s="225"/>
      <c r="Z33" s="225"/>
      <c r="AA33" s="225"/>
      <c r="AB33" s="203"/>
      <c r="AC33" s="203"/>
      <c r="AD33" s="203"/>
      <c r="AE33" s="203"/>
      <c r="AF33" s="203"/>
    </row>
    <row r="34" spans="1:32" ht="15.75">
      <c r="A34" s="385"/>
      <c r="B34" s="385"/>
      <c r="C34" s="385" t="s">
        <v>798</v>
      </c>
      <c r="D34" s="385"/>
      <c r="E34" s="434">
        <v>43945</v>
      </c>
      <c r="F34" s="385"/>
      <c r="G34" s="385"/>
      <c r="H34" s="385"/>
      <c r="I34" s="385" t="s">
        <v>1076</v>
      </c>
      <c r="J34" s="385"/>
      <c r="K34" s="385" t="s">
        <v>1080</v>
      </c>
      <c r="L34" s="385"/>
      <c r="M34" s="385"/>
      <c r="N34" s="385"/>
      <c r="O34" s="495"/>
      <c r="P34" s="385"/>
      <c r="Q34" s="385" t="s">
        <v>1079</v>
      </c>
      <c r="R34" s="385"/>
      <c r="S34" s="386">
        <v>312.5</v>
      </c>
      <c r="T34" s="385"/>
      <c r="U34" s="225"/>
      <c r="V34" s="225"/>
      <c r="W34" s="225"/>
      <c r="X34" s="437">
        <f t="shared" si="2"/>
        <v>312.5</v>
      </c>
      <c r="Y34" s="225"/>
      <c r="Z34" s="225"/>
      <c r="AA34" s="225"/>
      <c r="AB34" s="203"/>
      <c r="AC34" s="203"/>
      <c r="AD34" s="203"/>
      <c r="AE34" s="203"/>
      <c r="AF34" s="203"/>
    </row>
    <row r="35" spans="1:32" ht="15.75">
      <c r="A35" s="385"/>
      <c r="B35" s="385"/>
      <c r="C35" s="385" t="s">
        <v>798</v>
      </c>
      <c r="D35" s="385"/>
      <c r="E35" s="434">
        <v>43945</v>
      </c>
      <c r="F35" s="385"/>
      <c r="G35" s="385"/>
      <c r="H35" s="385"/>
      <c r="I35" s="385" t="s">
        <v>1076</v>
      </c>
      <c r="J35" s="385"/>
      <c r="K35" s="385" t="s">
        <v>1080</v>
      </c>
      <c r="L35" s="385"/>
      <c r="M35" s="385"/>
      <c r="N35" s="385"/>
      <c r="O35" s="495"/>
      <c r="P35" s="385"/>
      <c r="Q35" s="385" t="s">
        <v>1079</v>
      </c>
      <c r="R35" s="385"/>
      <c r="S35" s="386">
        <v>312.5</v>
      </c>
      <c r="T35" s="385"/>
      <c r="U35" s="225"/>
      <c r="V35" s="225"/>
      <c r="W35" s="225"/>
      <c r="X35" s="437">
        <f t="shared" si="2"/>
        <v>312.5</v>
      </c>
      <c r="Y35" s="225"/>
      <c r="Z35" s="225"/>
      <c r="AA35" s="225"/>
      <c r="AB35" s="203"/>
      <c r="AC35" s="203"/>
      <c r="AD35" s="203"/>
      <c r="AE35" s="203"/>
      <c r="AF35" s="203"/>
    </row>
    <row r="36" spans="1:32" ht="15.75">
      <c r="A36" s="385"/>
      <c r="B36" s="385"/>
      <c r="C36" s="385" t="s">
        <v>798</v>
      </c>
      <c r="D36" s="385"/>
      <c r="E36" s="434">
        <v>44037</v>
      </c>
      <c r="F36" s="385"/>
      <c r="G36" s="385"/>
      <c r="H36" s="385"/>
      <c r="I36" s="385" t="s">
        <v>1076</v>
      </c>
      <c r="J36" s="385"/>
      <c r="K36" s="385" t="s">
        <v>1081</v>
      </c>
      <c r="L36" s="385"/>
      <c r="M36" s="385"/>
      <c r="N36" s="385"/>
      <c r="O36" s="495"/>
      <c r="P36" s="385"/>
      <c r="Q36" s="385" t="s">
        <v>801</v>
      </c>
      <c r="R36" s="385"/>
      <c r="S36" s="386">
        <v>312.5</v>
      </c>
      <c r="T36" s="385"/>
      <c r="U36" s="225"/>
      <c r="V36" s="225"/>
      <c r="W36" s="225"/>
      <c r="X36" s="437">
        <f t="shared" si="2"/>
        <v>312.5</v>
      </c>
      <c r="Y36" s="225"/>
      <c r="Z36" s="225"/>
      <c r="AA36" s="225"/>
      <c r="AB36" s="203"/>
      <c r="AC36" s="203"/>
      <c r="AD36" s="203"/>
      <c r="AE36" s="203"/>
      <c r="AF36" s="203"/>
    </row>
    <row r="37" spans="1:32" ht="15.75">
      <c r="A37" s="385"/>
      <c r="B37" s="385"/>
      <c r="C37" s="385" t="s">
        <v>798</v>
      </c>
      <c r="D37" s="385"/>
      <c r="E37" s="434">
        <v>44037</v>
      </c>
      <c r="F37" s="385"/>
      <c r="G37" s="385"/>
      <c r="H37" s="385"/>
      <c r="I37" s="385" t="s">
        <v>1076</v>
      </c>
      <c r="J37" s="385"/>
      <c r="K37" s="385" t="s">
        <v>1081</v>
      </c>
      <c r="L37" s="385"/>
      <c r="M37" s="385"/>
      <c r="N37" s="385"/>
      <c r="O37" s="495"/>
      <c r="P37" s="385"/>
      <c r="Q37" s="385" t="s">
        <v>801</v>
      </c>
      <c r="R37" s="385"/>
      <c r="S37" s="386">
        <v>312.5</v>
      </c>
      <c r="T37" s="385"/>
      <c r="U37" s="225"/>
      <c r="V37" s="225"/>
      <c r="W37" s="225"/>
      <c r="X37" s="437">
        <f t="shared" si="2"/>
        <v>312.5</v>
      </c>
      <c r="Y37" s="225"/>
      <c r="Z37" s="225"/>
      <c r="AA37" s="225"/>
      <c r="AB37" s="203"/>
      <c r="AC37" s="203"/>
      <c r="AD37" s="203"/>
      <c r="AE37" s="203"/>
      <c r="AF37" s="203"/>
    </row>
    <row r="38" spans="1:32" ht="15.75">
      <c r="A38" s="385"/>
      <c r="B38" s="385"/>
      <c r="C38" s="385" t="s">
        <v>798</v>
      </c>
      <c r="D38" s="385"/>
      <c r="E38" s="434">
        <v>44037</v>
      </c>
      <c r="F38" s="385"/>
      <c r="G38" s="385"/>
      <c r="H38" s="385"/>
      <c r="I38" s="385" t="s">
        <v>1076</v>
      </c>
      <c r="J38" s="385"/>
      <c r="K38" s="385" t="s">
        <v>1081</v>
      </c>
      <c r="L38" s="385"/>
      <c r="M38" s="385"/>
      <c r="N38" s="385"/>
      <c r="O38" s="495"/>
      <c r="P38" s="385"/>
      <c r="Q38" s="385" t="s">
        <v>801</v>
      </c>
      <c r="R38" s="385"/>
      <c r="S38" s="386">
        <v>312.5</v>
      </c>
      <c r="T38" s="385"/>
      <c r="U38" s="225"/>
      <c r="V38" s="225"/>
      <c r="W38" s="225"/>
      <c r="X38" s="437">
        <f t="shared" si="2"/>
        <v>312.5</v>
      </c>
      <c r="Y38" s="225"/>
      <c r="Z38" s="225"/>
      <c r="AA38" s="225"/>
      <c r="AB38" s="203"/>
      <c r="AC38" s="203"/>
      <c r="AD38" s="203"/>
      <c r="AE38" s="203"/>
      <c r="AF38" s="203"/>
    </row>
    <row r="39" spans="1:32" ht="15.75">
      <c r="A39" s="385"/>
      <c r="B39" s="385"/>
      <c r="C39" s="385" t="s">
        <v>798</v>
      </c>
      <c r="D39" s="385"/>
      <c r="E39" s="434">
        <v>44037</v>
      </c>
      <c r="F39" s="385"/>
      <c r="G39" s="385"/>
      <c r="H39" s="385"/>
      <c r="I39" s="385" t="s">
        <v>1076</v>
      </c>
      <c r="J39" s="385"/>
      <c r="K39" s="385" t="s">
        <v>1081</v>
      </c>
      <c r="L39" s="385"/>
      <c r="M39" s="385"/>
      <c r="N39" s="385"/>
      <c r="O39" s="495"/>
      <c r="P39" s="385"/>
      <c r="Q39" s="385" t="s">
        <v>801</v>
      </c>
      <c r="R39" s="385"/>
      <c r="S39" s="386">
        <v>312.5</v>
      </c>
      <c r="T39" s="385"/>
      <c r="U39" s="225"/>
      <c r="V39" s="225"/>
      <c r="W39" s="225"/>
      <c r="X39" s="437">
        <f t="shared" si="2"/>
        <v>312.5</v>
      </c>
      <c r="Y39" s="225"/>
      <c r="Z39" s="225"/>
      <c r="AA39" s="225"/>
      <c r="AB39" s="203"/>
      <c r="AC39" s="203"/>
      <c r="AD39" s="203"/>
      <c r="AE39" s="203"/>
      <c r="AF39" s="203"/>
    </row>
    <row r="40" spans="1:32" ht="15.75">
      <c r="A40" s="385"/>
      <c r="B40" s="385"/>
      <c r="C40" s="385" t="s">
        <v>798</v>
      </c>
      <c r="D40" s="385"/>
      <c r="E40" s="434">
        <v>44037</v>
      </c>
      <c r="F40" s="385"/>
      <c r="G40" s="385"/>
      <c r="H40" s="385"/>
      <c r="I40" s="385" t="s">
        <v>1076</v>
      </c>
      <c r="J40" s="385"/>
      <c r="K40" s="385" t="s">
        <v>1081</v>
      </c>
      <c r="L40" s="385"/>
      <c r="M40" s="385"/>
      <c r="N40" s="385"/>
      <c r="O40" s="495"/>
      <c r="P40" s="385"/>
      <c r="Q40" s="385" t="s">
        <v>801</v>
      </c>
      <c r="R40" s="385"/>
      <c r="S40" s="386">
        <v>312.5</v>
      </c>
      <c r="T40" s="385"/>
      <c r="U40" s="225"/>
      <c r="V40" s="225"/>
      <c r="W40" s="225"/>
      <c r="X40" s="437">
        <f t="shared" si="2"/>
        <v>312.5</v>
      </c>
      <c r="Y40" s="225"/>
      <c r="Z40" s="225"/>
      <c r="AA40" s="225"/>
      <c r="AB40" s="203"/>
      <c r="AC40" s="203"/>
      <c r="AD40" s="203"/>
      <c r="AE40" s="203"/>
      <c r="AF40" s="203"/>
    </row>
    <row r="41" spans="1:32" ht="15.75">
      <c r="A41" s="385"/>
      <c r="B41" s="385"/>
      <c r="C41" s="385" t="s">
        <v>798</v>
      </c>
      <c r="D41" s="385"/>
      <c r="E41" s="434">
        <v>44119</v>
      </c>
      <c r="F41" s="385"/>
      <c r="G41" s="385"/>
      <c r="H41" s="385"/>
      <c r="I41" s="385" t="s">
        <v>1076</v>
      </c>
      <c r="J41" s="385"/>
      <c r="K41" s="385" t="s">
        <v>1082</v>
      </c>
      <c r="L41" s="385"/>
      <c r="M41" s="385"/>
      <c r="N41" s="385"/>
      <c r="O41" s="495"/>
      <c r="P41" s="385"/>
      <c r="Q41" s="385" t="s">
        <v>801</v>
      </c>
      <c r="R41" s="385"/>
      <c r="S41" s="386">
        <v>312.5</v>
      </c>
      <c r="T41" s="385"/>
      <c r="U41" s="225"/>
      <c r="V41" s="225"/>
      <c r="W41" s="225"/>
      <c r="X41" s="437">
        <f t="shared" si="2"/>
        <v>312.5</v>
      </c>
      <c r="Y41" s="225"/>
      <c r="Z41" s="225"/>
      <c r="AA41" s="225"/>
      <c r="AB41" s="203"/>
      <c r="AC41" s="203"/>
      <c r="AD41" s="203"/>
      <c r="AE41" s="203"/>
      <c r="AF41" s="203"/>
    </row>
    <row r="42" spans="1:32" ht="15.75">
      <c r="A42" s="385"/>
      <c r="B42" s="385"/>
      <c r="C42" s="385" t="s">
        <v>798</v>
      </c>
      <c r="D42" s="385"/>
      <c r="E42" s="434">
        <v>44119</v>
      </c>
      <c r="F42" s="385"/>
      <c r="G42" s="385"/>
      <c r="H42" s="385"/>
      <c r="I42" s="385" t="s">
        <v>1076</v>
      </c>
      <c r="J42" s="385"/>
      <c r="K42" s="385" t="s">
        <v>1082</v>
      </c>
      <c r="L42" s="385"/>
      <c r="M42" s="385"/>
      <c r="N42" s="385"/>
      <c r="O42" s="495"/>
      <c r="P42" s="385"/>
      <c r="Q42" s="385" t="s">
        <v>801</v>
      </c>
      <c r="R42" s="385"/>
      <c r="S42" s="386">
        <v>312.5</v>
      </c>
      <c r="T42" s="385"/>
      <c r="U42" s="225"/>
      <c r="V42" s="225"/>
      <c r="W42" s="225"/>
      <c r="X42" s="437">
        <f t="shared" si="2"/>
        <v>312.5</v>
      </c>
      <c r="Y42" s="225"/>
      <c r="Z42" s="225"/>
      <c r="AA42" s="225"/>
      <c r="AB42" s="203"/>
      <c r="AC42" s="203"/>
      <c r="AD42" s="203"/>
      <c r="AE42" s="203"/>
      <c r="AF42" s="203"/>
    </row>
    <row r="43" spans="1:32" ht="15.75">
      <c r="A43" s="385"/>
      <c r="B43" s="385"/>
      <c r="C43" s="385" t="s">
        <v>798</v>
      </c>
      <c r="D43" s="385"/>
      <c r="E43" s="434">
        <v>44119</v>
      </c>
      <c r="F43" s="385"/>
      <c r="G43" s="385"/>
      <c r="H43" s="385"/>
      <c r="I43" s="385" t="s">
        <v>1076</v>
      </c>
      <c r="J43" s="385"/>
      <c r="K43" s="385" t="s">
        <v>1082</v>
      </c>
      <c r="L43" s="385"/>
      <c r="M43" s="385"/>
      <c r="N43" s="385"/>
      <c r="O43" s="495"/>
      <c r="P43" s="385"/>
      <c r="Q43" s="385" t="s">
        <v>801</v>
      </c>
      <c r="R43" s="385"/>
      <c r="S43" s="386">
        <v>312.5</v>
      </c>
      <c r="T43" s="385"/>
      <c r="U43" s="225"/>
      <c r="V43" s="225"/>
      <c r="W43" s="225"/>
      <c r="X43" s="437">
        <f t="shared" si="2"/>
        <v>312.5</v>
      </c>
      <c r="Y43" s="225"/>
      <c r="Z43" s="225"/>
      <c r="AA43" s="225"/>
      <c r="AB43" s="203"/>
      <c r="AC43" s="203"/>
      <c r="AD43" s="203"/>
      <c r="AE43" s="203"/>
      <c r="AF43" s="203"/>
    </row>
    <row r="44" spans="1:32" ht="15.75">
      <c r="A44" s="385"/>
      <c r="B44" s="385"/>
      <c r="C44" s="385" t="s">
        <v>798</v>
      </c>
      <c r="D44" s="385"/>
      <c r="E44" s="434">
        <v>44119</v>
      </c>
      <c r="F44" s="385"/>
      <c r="G44" s="385"/>
      <c r="H44" s="385"/>
      <c r="I44" s="385" t="s">
        <v>1076</v>
      </c>
      <c r="J44" s="385"/>
      <c r="K44" s="385" t="s">
        <v>1082</v>
      </c>
      <c r="L44" s="385"/>
      <c r="M44" s="385"/>
      <c r="N44" s="385"/>
      <c r="O44" s="495"/>
      <c r="P44" s="385"/>
      <c r="Q44" s="385" t="s">
        <v>801</v>
      </c>
      <c r="R44" s="385"/>
      <c r="S44" s="386">
        <v>312.5</v>
      </c>
      <c r="T44" s="385"/>
      <c r="U44" s="225"/>
      <c r="V44" s="225"/>
      <c r="W44" s="225"/>
      <c r="X44" s="437">
        <f t="shared" si="2"/>
        <v>312.5</v>
      </c>
      <c r="Y44" s="225"/>
      <c r="Z44" s="225"/>
      <c r="AA44" s="225"/>
      <c r="AB44" s="203"/>
      <c r="AC44" s="203"/>
      <c r="AD44" s="203"/>
      <c r="AE44" s="203"/>
      <c r="AF44" s="203"/>
    </row>
    <row r="45" spans="1:32" ht="15.75">
      <c r="A45" s="385"/>
      <c r="B45" s="385"/>
      <c r="C45" s="385" t="s">
        <v>798</v>
      </c>
      <c r="D45" s="385"/>
      <c r="E45" s="434">
        <v>44119</v>
      </c>
      <c r="F45" s="385"/>
      <c r="G45" s="385"/>
      <c r="H45" s="385"/>
      <c r="I45" s="385" t="s">
        <v>1076</v>
      </c>
      <c r="J45" s="385"/>
      <c r="K45" s="385" t="s">
        <v>1082</v>
      </c>
      <c r="L45" s="385"/>
      <c r="M45" s="385"/>
      <c r="N45" s="385"/>
      <c r="O45" s="495"/>
      <c r="P45" s="385"/>
      <c r="Q45" s="385" t="s">
        <v>801</v>
      </c>
      <c r="R45" s="385"/>
      <c r="S45" s="386">
        <v>312.5</v>
      </c>
      <c r="T45" s="385"/>
      <c r="U45" s="225"/>
      <c r="V45" s="225"/>
      <c r="W45" s="225"/>
      <c r="X45" s="437">
        <f t="shared" si="2"/>
        <v>312.5</v>
      </c>
      <c r="Y45" s="225"/>
      <c r="Z45" s="225"/>
      <c r="AA45" s="225"/>
      <c r="AB45" s="203"/>
      <c r="AC45" s="203"/>
      <c r="AD45" s="203"/>
      <c r="AE45" s="203"/>
      <c r="AF45" s="203"/>
    </row>
    <row r="46" spans="1:32" ht="26.25">
      <c r="A46" s="385"/>
      <c r="B46" s="385"/>
      <c r="C46" s="385" t="s">
        <v>818</v>
      </c>
      <c r="D46" s="385"/>
      <c r="E46" s="434">
        <v>44144</v>
      </c>
      <c r="F46" s="385"/>
      <c r="G46" s="385" t="s">
        <v>1083</v>
      </c>
      <c r="H46" s="385"/>
      <c r="I46" s="385" t="s">
        <v>1084</v>
      </c>
      <c r="J46" s="385"/>
      <c r="K46" s="496" t="s">
        <v>1085</v>
      </c>
      <c r="L46" s="385"/>
      <c r="M46" s="385"/>
      <c r="N46" s="385"/>
      <c r="O46" s="495"/>
      <c r="P46" s="385"/>
      <c r="Q46" s="385" t="s">
        <v>794</v>
      </c>
      <c r="R46" s="385"/>
      <c r="S46" s="386">
        <v>150</v>
      </c>
      <c r="T46" s="385"/>
      <c r="U46" s="437">
        <f>+S46</f>
        <v>150</v>
      </c>
      <c r="V46" s="225"/>
      <c r="W46" s="225"/>
      <c r="X46" s="437"/>
      <c r="Y46" s="225"/>
      <c r="Z46" s="225"/>
      <c r="AA46" s="225"/>
      <c r="AB46" s="203"/>
      <c r="AC46" s="203"/>
      <c r="AD46" s="203"/>
      <c r="AE46" s="203"/>
      <c r="AF46" s="203"/>
    </row>
    <row r="47" spans="1:32" ht="15.75">
      <c r="A47" s="385"/>
      <c r="B47" s="385"/>
      <c r="C47" s="385" t="s">
        <v>798</v>
      </c>
      <c r="D47" s="385"/>
      <c r="E47" s="434">
        <v>43864</v>
      </c>
      <c r="F47" s="385"/>
      <c r="G47" s="385"/>
      <c r="H47" s="385"/>
      <c r="I47" s="385" t="s">
        <v>1086</v>
      </c>
      <c r="J47" s="385"/>
      <c r="K47" s="385" t="s">
        <v>1087</v>
      </c>
      <c r="L47" s="385"/>
      <c r="M47" s="385" t="s">
        <v>793</v>
      </c>
      <c r="N47" s="385"/>
      <c r="O47" s="495"/>
      <c r="P47" s="385"/>
      <c r="Q47" s="385" t="s">
        <v>801</v>
      </c>
      <c r="R47" s="385"/>
      <c r="S47" s="386">
        <v>1803.6</v>
      </c>
      <c r="T47" s="385"/>
      <c r="U47" s="225"/>
      <c r="V47" s="437">
        <f>+S47</f>
        <v>1803.6</v>
      </c>
      <c r="W47" s="225"/>
      <c r="X47" s="437"/>
      <c r="Y47" s="225"/>
      <c r="Z47" s="225"/>
      <c r="AA47" s="225"/>
      <c r="AB47" s="203"/>
      <c r="AC47" s="203"/>
      <c r="AD47" s="203"/>
      <c r="AE47" s="203"/>
      <c r="AF47" s="203"/>
    </row>
    <row r="48" spans="1:32" ht="15.75">
      <c r="A48" s="385"/>
      <c r="B48" s="385"/>
      <c r="C48" s="385" t="s">
        <v>798</v>
      </c>
      <c r="D48" s="385"/>
      <c r="E48" s="434">
        <v>43892</v>
      </c>
      <c r="F48" s="385"/>
      <c r="G48" s="385"/>
      <c r="H48" s="385"/>
      <c r="I48" s="385" t="s">
        <v>1086</v>
      </c>
      <c r="J48" s="385"/>
      <c r="K48" s="385" t="s">
        <v>1088</v>
      </c>
      <c r="L48" s="385"/>
      <c r="M48" s="385" t="s">
        <v>793</v>
      </c>
      <c r="N48" s="385"/>
      <c r="O48" s="495"/>
      <c r="P48" s="385"/>
      <c r="Q48" s="385" t="s">
        <v>801</v>
      </c>
      <c r="R48" s="385"/>
      <c r="S48" s="386">
        <v>1803.6</v>
      </c>
      <c r="T48" s="385"/>
      <c r="U48" s="225"/>
      <c r="V48" s="437">
        <f t="shared" ref="V48:V58" si="3">+S48</f>
        <v>1803.6</v>
      </c>
      <c r="W48" s="225"/>
      <c r="X48" s="225"/>
      <c r="Y48" s="225"/>
      <c r="Z48" s="225"/>
      <c r="AA48" s="225"/>
      <c r="AB48" s="203"/>
      <c r="AC48" s="203"/>
      <c r="AD48" s="203"/>
      <c r="AE48" s="203"/>
      <c r="AF48" s="203"/>
    </row>
    <row r="49" spans="1:32" ht="15.75">
      <c r="A49" s="385"/>
      <c r="B49" s="385"/>
      <c r="C49" s="385" t="s">
        <v>798</v>
      </c>
      <c r="D49" s="385"/>
      <c r="E49" s="434">
        <v>43924</v>
      </c>
      <c r="F49" s="385"/>
      <c r="G49" s="385"/>
      <c r="H49" s="385"/>
      <c r="I49" s="385" t="s">
        <v>1086</v>
      </c>
      <c r="J49" s="385"/>
      <c r="K49" s="385" t="s">
        <v>1089</v>
      </c>
      <c r="L49" s="385"/>
      <c r="M49" s="385" t="s">
        <v>793</v>
      </c>
      <c r="N49" s="385"/>
      <c r="O49" s="495"/>
      <c r="P49" s="385"/>
      <c r="Q49" s="385" t="s">
        <v>801</v>
      </c>
      <c r="R49" s="385"/>
      <c r="S49" s="386">
        <v>1803.6</v>
      </c>
      <c r="T49" s="385"/>
      <c r="U49" s="225"/>
      <c r="V49" s="437">
        <f t="shared" si="3"/>
        <v>1803.6</v>
      </c>
      <c r="W49" s="225"/>
      <c r="X49" s="225"/>
      <c r="Y49" s="225"/>
      <c r="Z49" s="225"/>
      <c r="AA49" s="225"/>
      <c r="AB49" s="203"/>
      <c r="AC49" s="203"/>
      <c r="AD49" s="203"/>
      <c r="AE49" s="203"/>
      <c r="AF49" s="203"/>
    </row>
    <row r="50" spans="1:32" ht="15.75">
      <c r="A50" s="385"/>
      <c r="B50" s="385"/>
      <c r="C50" s="385" t="s">
        <v>798</v>
      </c>
      <c r="D50" s="385"/>
      <c r="E50" s="434">
        <v>43950</v>
      </c>
      <c r="F50" s="385"/>
      <c r="G50" s="385"/>
      <c r="H50" s="385"/>
      <c r="I50" s="385" t="s">
        <v>1086</v>
      </c>
      <c r="J50" s="385"/>
      <c r="K50" s="385" t="s">
        <v>1090</v>
      </c>
      <c r="L50" s="385"/>
      <c r="M50" s="385" t="s">
        <v>793</v>
      </c>
      <c r="N50" s="385"/>
      <c r="O50" s="495"/>
      <c r="P50" s="385"/>
      <c r="Q50" s="385" t="s">
        <v>1079</v>
      </c>
      <c r="R50" s="385"/>
      <c r="S50" s="386">
        <v>1803.6</v>
      </c>
      <c r="T50" s="385"/>
      <c r="U50" s="225"/>
      <c r="V50" s="437">
        <f t="shared" si="3"/>
        <v>1803.6</v>
      </c>
      <c r="W50" s="225"/>
      <c r="X50" s="225"/>
      <c r="Y50" s="225"/>
      <c r="Z50" s="225"/>
      <c r="AA50" s="225"/>
      <c r="AB50" s="203"/>
      <c r="AC50" s="203"/>
      <c r="AD50" s="203"/>
      <c r="AE50" s="203"/>
      <c r="AF50" s="203"/>
    </row>
    <row r="51" spans="1:32" ht="15.75">
      <c r="A51" s="385"/>
      <c r="B51" s="385"/>
      <c r="C51" s="385" t="s">
        <v>798</v>
      </c>
      <c r="D51" s="385"/>
      <c r="E51" s="434">
        <v>43981</v>
      </c>
      <c r="F51" s="385"/>
      <c r="G51" s="385"/>
      <c r="H51" s="385"/>
      <c r="I51" s="385" t="s">
        <v>1086</v>
      </c>
      <c r="J51" s="385"/>
      <c r="K51" s="385" t="s">
        <v>1091</v>
      </c>
      <c r="L51" s="385"/>
      <c r="M51" s="385" t="s">
        <v>793</v>
      </c>
      <c r="N51" s="385"/>
      <c r="O51" s="495"/>
      <c r="P51" s="385"/>
      <c r="Q51" s="385" t="s">
        <v>1079</v>
      </c>
      <c r="R51" s="385"/>
      <c r="S51" s="386">
        <v>3607.2</v>
      </c>
      <c r="T51" s="385"/>
      <c r="U51" s="225"/>
      <c r="V51" s="437">
        <f t="shared" si="3"/>
        <v>3607.2</v>
      </c>
      <c r="W51" s="225"/>
      <c r="X51" s="225"/>
      <c r="Y51" s="225"/>
      <c r="Z51" s="225"/>
      <c r="AA51" s="225"/>
      <c r="AB51" s="203"/>
      <c r="AC51" s="203"/>
      <c r="AD51" s="203"/>
      <c r="AE51" s="203"/>
      <c r="AF51" s="203"/>
    </row>
    <row r="52" spans="1:32" ht="15.75">
      <c r="A52" s="385"/>
      <c r="B52" s="385"/>
      <c r="C52" s="385" t="s">
        <v>798</v>
      </c>
      <c r="D52" s="385"/>
      <c r="E52" s="434">
        <v>44012</v>
      </c>
      <c r="F52" s="385"/>
      <c r="G52" s="385"/>
      <c r="H52" s="385"/>
      <c r="I52" s="385" t="s">
        <v>1086</v>
      </c>
      <c r="J52" s="385"/>
      <c r="K52" s="385" t="s">
        <v>1092</v>
      </c>
      <c r="L52" s="385"/>
      <c r="M52" s="385" t="s">
        <v>793</v>
      </c>
      <c r="N52" s="385"/>
      <c r="O52" s="495"/>
      <c r="P52" s="385"/>
      <c r="Q52" s="385" t="s">
        <v>1079</v>
      </c>
      <c r="R52" s="385"/>
      <c r="S52" s="386">
        <v>2175.0100000000002</v>
      </c>
      <c r="T52" s="385"/>
      <c r="U52" s="225"/>
      <c r="V52" s="437">
        <f t="shared" si="3"/>
        <v>2175.0100000000002</v>
      </c>
      <c r="W52" s="225"/>
      <c r="X52" s="225"/>
      <c r="Y52" s="225"/>
      <c r="Z52" s="225"/>
      <c r="AA52" s="225"/>
      <c r="AB52" s="203"/>
      <c r="AC52" s="203"/>
      <c r="AD52" s="203"/>
      <c r="AE52" s="203"/>
      <c r="AF52" s="203"/>
    </row>
    <row r="53" spans="1:32" ht="15.75">
      <c r="A53" s="385"/>
      <c r="B53" s="385"/>
      <c r="C53" s="385" t="s">
        <v>798</v>
      </c>
      <c r="D53" s="385"/>
      <c r="E53" s="434">
        <v>44012</v>
      </c>
      <c r="F53" s="385"/>
      <c r="G53" s="385"/>
      <c r="H53" s="385"/>
      <c r="I53" s="385" t="s">
        <v>1086</v>
      </c>
      <c r="J53" s="385"/>
      <c r="K53" s="385" t="s">
        <v>1092</v>
      </c>
      <c r="L53" s="385"/>
      <c r="M53" s="385" t="s">
        <v>793</v>
      </c>
      <c r="N53" s="385"/>
      <c r="O53" s="495"/>
      <c r="P53" s="385"/>
      <c r="Q53" s="385" t="s">
        <v>801</v>
      </c>
      <c r="R53" s="385"/>
      <c r="S53" s="386">
        <v>229.79</v>
      </c>
      <c r="T53" s="385"/>
      <c r="U53" s="225"/>
      <c r="V53" s="437">
        <f t="shared" si="3"/>
        <v>229.79</v>
      </c>
      <c r="W53" s="225"/>
      <c r="X53" s="225"/>
      <c r="Y53" s="225"/>
      <c r="Z53" s="225"/>
      <c r="AA53" s="225"/>
      <c r="AB53" s="203"/>
      <c r="AC53" s="203"/>
      <c r="AD53" s="203"/>
      <c r="AE53" s="203"/>
      <c r="AF53" s="203"/>
    </row>
    <row r="54" spans="1:32" ht="15.75">
      <c r="A54" s="385"/>
      <c r="B54" s="385"/>
      <c r="C54" s="385" t="s">
        <v>798</v>
      </c>
      <c r="D54" s="385"/>
      <c r="E54" s="434">
        <v>44046</v>
      </c>
      <c r="F54" s="385"/>
      <c r="G54" s="385"/>
      <c r="H54" s="385"/>
      <c r="I54" s="385" t="s">
        <v>1086</v>
      </c>
      <c r="J54" s="385"/>
      <c r="K54" s="385" t="s">
        <v>1093</v>
      </c>
      <c r="L54" s="385"/>
      <c r="M54" s="385" t="s">
        <v>793</v>
      </c>
      <c r="N54" s="385"/>
      <c r="O54" s="495"/>
      <c r="P54" s="385"/>
      <c r="Q54" s="385" t="s">
        <v>801</v>
      </c>
      <c r="R54" s="385"/>
      <c r="S54" s="386">
        <v>2044.08</v>
      </c>
      <c r="T54" s="385"/>
      <c r="U54" s="225"/>
      <c r="V54" s="437">
        <f t="shared" si="3"/>
        <v>2044.08</v>
      </c>
      <c r="W54" s="225"/>
      <c r="X54" s="225"/>
      <c r="Y54" s="225"/>
      <c r="Z54" s="225"/>
      <c r="AA54" s="225"/>
      <c r="AB54" s="203"/>
      <c r="AC54" s="203"/>
      <c r="AD54" s="203"/>
      <c r="AE54" s="203"/>
      <c r="AF54" s="203"/>
    </row>
    <row r="55" spans="1:32" ht="39">
      <c r="A55" s="385"/>
      <c r="B55" s="385"/>
      <c r="C55" s="385" t="s">
        <v>798</v>
      </c>
      <c r="D55" s="385"/>
      <c r="E55" s="434">
        <v>44075</v>
      </c>
      <c r="F55" s="385"/>
      <c r="G55" s="385"/>
      <c r="H55" s="385"/>
      <c r="I55" s="385" t="s">
        <v>1086</v>
      </c>
      <c r="J55" s="385"/>
      <c r="K55" s="496" t="s">
        <v>1094</v>
      </c>
      <c r="L55" s="385"/>
      <c r="M55" s="385" t="s">
        <v>793</v>
      </c>
      <c r="N55" s="385"/>
      <c r="O55" s="495"/>
      <c r="P55" s="385"/>
      <c r="Q55" s="385" t="s">
        <v>801</v>
      </c>
      <c r="R55" s="385"/>
      <c r="S55" s="386">
        <v>6250.8</v>
      </c>
      <c r="T55" s="385"/>
      <c r="U55" s="225"/>
      <c r="V55" s="437">
        <f t="shared" si="3"/>
        <v>6250.8</v>
      </c>
      <c r="W55" s="225"/>
      <c r="X55" s="225"/>
      <c r="Y55" s="225"/>
      <c r="Z55" s="225"/>
      <c r="AA55" s="225"/>
      <c r="AB55" s="203"/>
      <c r="AC55" s="203"/>
      <c r="AD55" s="203"/>
      <c r="AE55" s="203"/>
      <c r="AF55" s="203"/>
    </row>
    <row r="56" spans="1:32" ht="15.75">
      <c r="A56" s="385"/>
      <c r="B56" s="385"/>
      <c r="C56" s="385" t="s">
        <v>798</v>
      </c>
      <c r="D56" s="385"/>
      <c r="E56" s="434">
        <v>44104</v>
      </c>
      <c r="F56" s="385"/>
      <c r="G56" s="385"/>
      <c r="H56" s="385"/>
      <c r="I56" s="385" t="s">
        <v>1086</v>
      </c>
      <c r="J56" s="385"/>
      <c r="K56" s="385" t="s">
        <v>1095</v>
      </c>
      <c r="L56" s="385"/>
      <c r="M56" s="385" t="s">
        <v>793</v>
      </c>
      <c r="N56" s="385"/>
      <c r="O56" s="495"/>
      <c r="P56" s="385"/>
      <c r="Q56" s="385" t="s">
        <v>801</v>
      </c>
      <c r="R56" s="385"/>
      <c r="S56" s="386">
        <v>3686.8</v>
      </c>
      <c r="T56" s="385"/>
      <c r="U56" s="225"/>
      <c r="V56" s="437">
        <f t="shared" si="3"/>
        <v>3686.8</v>
      </c>
      <c r="W56" s="225"/>
      <c r="X56" s="225"/>
      <c r="Y56" s="225"/>
      <c r="Z56" s="225"/>
      <c r="AA56" s="225"/>
      <c r="AB56" s="203"/>
      <c r="AC56" s="203"/>
      <c r="AD56" s="203"/>
      <c r="AE56" s="203"/>
      <c r="AF56" s="203"/>
    </row>
    <row r="57" spans="1:32" ht="15.75">
      <c r="A57" s="385"/>
      <c r="B57" s="385"/>
      <c r="C57" s="385" t="s">
        <v>798</v>
      </c>
      <c r="D57" s="385"/>
      <c r="E57" s="434">
        <v>44133</v>
      </c>
      <c r="F57" s="385"/>
      <c r="G57" s="385"/>
      <c r="H57" s="385"/>
      <c r="I57" s="385" t="s">
        <v>1086</v>
      </c>
      <c r="J57" s="385"/>
      <c r="K57" s="385" t="s">
        <v>1096</v>
      </c>
      <c r="L57" s="385"/>
      <c r="M57" s="385" t="s">
        <v>793</v>
      </c>
      <c r="N57" s="385"/>
      <c r="O57" s="495"/>
      <c r="P57" s="385"/>
      <c r="Q57" s="385" t="s">
        <v>801</v>
      </c>
      <c r="R57" s="385"/>
      <c r="S57" s="386">
        <v>3686.8</v>
      </c>
      <c r="T57" s="385"/>
      <c r="U57" s="225"/>
      <c r="V57" s="437">
        <f t="shared" si="3"/>
        <v>3686.8</v>
      </c>
      <c r="W57" s="225"/>
      <c r="X57" s="225"/>
      <c r="Y57" s="225"/>
      <c r="Z57" s="225"/>
      <c r="AA57" s="225"/>
      <c r="AB57" s="203"/>
      <c r="AC57" s="203"/>
      <c r="AD57" s="203"/>
      <c r="AE57" s="203"/>
      <c r="AF57" s="203"/>
    </row>
    <row r="58" spans="1:32" ht="15.75">
      <c r="A58" s="385"/>
      <c r="B58" s="385"/>
      <c r="C58" s="385" t="s">
        <v>798</v>
      </c>
      <c r="D58" s="385"/>
      <c r="E58" s="434">
        <v>44168</v>
      </c>
      <c r="F58" s="385"/>
      <c r="G58" s="385"/>
      <c r="H58" s="385"/>
      <c r="I58" s="385" t="s">
        <v>1086</v>
      </c>
      <c r="J58" s="385"/>
      <c r="K58" s="385" t="s">
        <v>1097</v>
      </c>
      <c r="L58" s="385"/>
      <c r="M58" s="385" t="s">
        <v>793</v>
      </c>
      <c r="N58" s="385"/>
      <c r="O58" s="495"/>
      <c r="P58" s="385"/>
      <c r="Q58" s="385" t="s">
        <v>801</v>
      </c>
      <c r="R58" s="385"/>
      <c r="S58" s="386">
        <v>3414.57</v>
      </c>
      <c r="T58" s="385"/>
      <c r="U58" s="225"/>
      <c r="V58" s="437">
        <f t="shared" si="3"/>
        <v>3414.57</v>
      </c>
      <c r="W58" s="225"/>
      <c r="X58" s="225"/>
      <c r="Y58" s="225"/>
      <c r="Z58" s="225"/>
      <c r="AA58" s="225"/>
      <c r="AB58" s="203"/>
      <c r="AC58" s="203"/>
      <c r="AD58" s="203"/>
      <c r="AE58" s="203"/>
      <c r="AF58" s="203"/>
    </row>
    <row r="59" spans="1:32" ht="16.5" thickBot="1">
      <c r="A59" s="385"/>
      <c r="B59" s="385"/>
      <c r="C59" s="385" t="s">
        <v>798</v>
      </c>
      <c r="D59" s="385"/>
      <c r="E59" s="434">
        <v>44013</v>
      </c>
      <c r="F59" s="385"/>
      <c r="G59" s="385"/>
      <c r="H59" s="385"/>
      <c r="I59" s="385" t="s">
        <v>827</v>
      </c>
      <c r="J59" s="385"/>
      <c r="K59" s="385" t="s">
        <v>1098</v>
      </c>
      <c r="L59" s="385"/>
      <c r="M59" s="385"/>
      <c r="N59" s="385"/>
      <c r="O59" s="495"/>
      <c r="P59" s="385"/>
      <c r="Q59" s="385" t="s">
        <v>801</v>
      </c>
      <c r="R59" s="385"/>
      <c r="S59" s="386">
        <v>84.78</v>
      </c>
      <c r="T59" s="385"/>
      <c r="U59" s="497">
        <f>+S59</f>
        <v>84.78</v>
      </c>
      <c r="V59" s="297"/>
      <c r="W59" s="297"/>
      <c r="X59" s="297"/>
      <c r="Y59" s="297"/>
      <c r="Z59" s="225"/>
      <c r="AA59" s="225"/>
      <c r="AB59" s="203"/>
      <c r="AC59" s="203"/>
      <c r="AD59" s="203"/>
      <c r="AE59" s="203"/>
      <c r="AF59" s="203"/>
    </row>
    <row r="60" spans="1:32" ht="16.5" thickBot="1">
      <c r="A60" s="385"/>
      <c r="B60" s="385" t="s">
        <v>1099</v>
      </c>
      <c r="C60" s="385"/>
      <c r="D60" s="385"/>
      <c r="E60" s="434"/>
      <c r="F60" s="385"/>
      <c r="G60" s="385"/>
      <c r="H60" s="385"/>
      <c r="I60" s="385"/>
      <c r="J60" s="385"/>
      <c r="K60" s="385"/>
      <c r="L60" s="385"/>
      <c r="M60" s="385"/>
      <c r="N60" s="385"/>
      <c r="O60" s="385"/>
      <c r="P60" s="385"/>
      <c r="Q60" s="385"/>
      <c r="R60" s="385"/>
      <c r="S60" s="435">
        <f>ROUND(SUM(S2:S59),5)</f>
        <v>38788.879999999997</v>
      </c>
      <c r="T60" s="385"/>
      <c r="U60" s="437">
        <f>SUM(U3:U59)</f>
        <v>1086.67</v>
      </c>
      <c r="V60" s="437">
        <f t="shared" ref="V60:Y60" si="4">SUM(V3:V59)</f>
        <v>30676.739999999998</v>
      </c>
      <c r="W60" s="437">
        <f t="shared" si="4"/>
        <v>1571</v>
      </c>
      <c r="X60" s="437">
        <f t="shared" si="4"/>
        <v>5312.5</v>
      </c>
      <c r="Y60" s="437">
        <f t="shared" si="4"/>
        <v>141.97</v>
      </c>
      <c r="Z60" s="437">
        <f>SUM(U60:Y60)</f>
        <v>38788.879999999997</v>
      </c>
      <c r="AA60" s="225"/>
      <c r="AB60" s="203"/>
      <c r="AC60" s="203"/>
      <c r="AD60" s="203"/>
      <c r="AE60" s="203"/>
      <c r="AF60" s="203"/>
    </row>
    <row r="61" spans="1:32" ht="16.5" thickBot="1">
      <c r="A61" s="374" t="s">
        <v>142</v>
      </c>
      <c r="B61" s="374"/>
      <c r="C61" s="374"/>
      <c r="D61" s="374"/>
      <c r="E61" s="433"/>
      <c r="F61" s="374"/>
      <c r="G61" s="374"/>
      <c r="H61" s="374"/>
      <c r="I61" s="374"/>
      <c r="J61" s="374"/>
      <c r="K61" s="374"/>
      <c r="L61" s="374"/>
      <c r="M61" s="374"/>
      <c r="N61" s="374"/>
      <c r="O61" s="374"/>
      <c r="P61" s="374"/>
      <c r="Q61" s="374"/>
      <c r="R61" s="374"/>
      <c r="S61" s="389">
        <f>S60</f>
        <v>38788.879999999997</v>
      </c>
      <c r="T61" s="374"/>
      <c r="U61" s="390"/>
      <c r="V61" s="390"/>
      <c r="W61" s="390"/>
      <c r="X61" s="390"/>
      <c r="Y61" s="390"/>
      <c r="Z61" s="390"/>
      <c r="AA61" s="225"/>
      <c r="AB61" s="203"/>
      <c r="AC61" s="203"/>
      <c r="AD61" s="203"/>
      <c r="AE61" s="203"/>
      <c r="AF61" s="203"/>
    </row>
    <row r="62" spans="1:32" ht="16.5" thickTop="1">
      <c r="A62" s="225"/>
      <c r="B62" s="225"/>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03"/>
      <c r="AC62" s="203"/>
      <c r="AD62" s="203"/>
      <c r="AE62" s="203"/>
      <c r="AF62" s="203"/>
    </row>
    <row r="63" spans="1:32" ht="15.75">
      <c r="A63" s="225"/>
      <c r="B63" s="225"/>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03"/>
      <c r="AC63" s="203"/>
      <c r="AD63" s="203"/>
      <c r="AE63" s="203"/>
      <c r="AF63" s="203"/>
    </row>
    <row r="64" spans="1:32" ht="15.75">
      <c r="A64" s="225"/>
      <c r="B64" s="225"/>
      <c r="C64" s="225"/>
      <c r="D64" s="225"/>
      <c r="E64" s="225"/>
      <c r="F64" s="225"/>
      <c r="G64" s="225"/>
      <c r="H64" s="225"/>
      <c r="I64" s="225" t="s">
        <v>1100</v>
      </c>
      <c r="J64" s="225"/>
      <c r="K64" s="225"/>
      <c r="L64" s="225"/>
      <c r="M64" s="225"/>
      <c r="N64" s="225"/>
      <c r="O64" s="225"/>
      <c r="P64" s="225"/>
      <c r="Q64" s="225"/>
      <c r="R64" s="225"/>
      <c r="S64" s="225"/>
      <c r="T64" s="225"/>
      <c r="U64" s="225"/>
      <c r="V64" s="224"/>
      <c r="W64" s="225"/>
      <c r="X64" s="225"/>
      <c r="Y64" s="225"/>
      <c r="Z64" s="225"/>
      <c r="AA64" s="225"/>
      <c r="AB64" s="203"/>
      <c r="AC64" s="203"/>
      <c r="AD64" s="203"/>
      <c r="AE64" s="203"/>
      <c r="AF64" s="203"/>
    </row>
    <row r="65" spans="1:32" ht="15.75">
      <c r="A65" s="225"/>
      <c r="B65" s="225"/>
      <c r="C65" s="225"/>
      <c r="D65" s="225"/>
      <c r="E65" s="225"/>
      <c r="F65" s="225"/>
      <c r="G65" s="225"/>
      <c r="H65" s="225"/>
      <c r="I65" s="225" t="s">
        <v>1101</v>
      </c>
      <c r="J65" s="225"/>
      <c r="K65" s="225"/>
      <c r="L65" s="225"/>
      <c r="M65" s="225"/>
      <c r="N65" s="225"/>
      <c r="O65" s="225"/>
      <c r="P65" s="225"/>
      <c r="Q65" s="225"/>
      <c r="R65" s="225"/>
      <c r="S65" s="225"/>
      <c r="T65" s="225"/>
      <c r="U65" s="225"/>
      <c r="V65" s="224">
        <v>3819.47</v>
      </c>
      <c r="W65" s="225"/>
      <c r="X65" s="225"/>
      <c r="Y65" s="225"/>
      <c r="Z65" s="225"/>
      <c r="AA65" s="225"/>
      <c r="AB65" s="203"/>
      <c r="AC65" s="203"/>
      <c r="AD65" s="203"/>
      <c r="AE65" s="203"/>
      <c r="AF65" s="203"/>
    </row>
    <row r="66" spans="1:32" ht="15.75">
      <c r="A66" s="225"/>
      <c r="B66" s="225"/>
      <c r="C66" s="225"/>
      <c r="D66" s="225"/>
      <c r="E66" s="225"/>
      <c r="F66" s="225"/>
      <c r="G66" s="225"/>
      <c r="H66" s="225"/>
      <c r="I66" s="225" t="s">
        <v>1102</v>
      </c>
      <c r="J66" s="225"/>
      <c r="K66" s="225"/>
      <c r="L66" s="225"/>
      <c r="M66" s="225"/>
      <c r="N66" s="225"/>
      <c r="O66" s="225"/>
      <c r="P66" s="225"/>
      <c r="Q66" s="225"/>
      <c r="R66" s="225"/>
      <c r="S66" s="225"/>
      <c r="T66" s="225"/>
      <c r="U66" s="225"/>
      <c r="V66" s="224">
        <f>4113.46*11</f>
        <v>45248.06</v>
      </c>
      <c r="W66" s="225"/>
      <c r="X66" s="225"/>
      <c r="Y66" s="225"/>
      <c r="Z66" s="225"/>
      <c r="AA66" s="225"/>
      <c r="AB66" s="203"/>
      <c r="AC66" s="203"/>
      <c r="AD66" s="203"/>
      <c r="AE66" s="203"/>
      <c r="AF66" s="203"/>
    </row>
    <row r="67" spans="1:32" ht="31.5">
      <c r="A67" s="225"/>
      <c r="B67" s="225"/>
      <c r="C67" s="225"/>
      <c r="D67" s="225"/>
      <c r="E67" s="225"/>
      <c r="F67" s="225"/>
      <c r="G67" s="225"/>
      <c r="H67" s="225"/>
      <c r="I67" s="370" t="s">
        <v>1103</v>
      </c>
      <c r="J67" s="225"/>
      <c r="K67" s="225"/>
      <c r="L67" s="225"/>
      <c r="M67" s="225"/>
      <c r="N67" s="225"/>
      <c r="O67" s="225"/>
      <c r="P67" s="225"/>
      <c r="Q67" s="225"/>
      <c r="R67" s="225"/>
      <c r="S67" s="225"/>
      <c r="T67" s="225"/>
      <c r="U67" s="225"/>
      <c r="V67" s="322">
        <f>-2862.34-4872.92</f>
        <v>-7735.26</v>
      </c>
      <c r="W67" s="225"/>
      <c r="X67" s="225"/>
      <c r="Y67" s="225"/>
      <c r="Z67" s="225"/>
      <c r="AA67" s="225"/>
      <c r="AB67" s="203"/>
      <c r="AC67" s="203"/>
      <c r="AD67" s="203"/>
      <c r="AE67" s="203"/>
      <c r="AF67" s="203"/>
    </row>
    <row r="68" spans="1:32" ht="15.75">
      <c r="A68" s="225"/>
      <c r="B68" s="225"/>
      <c r="C68" s="225"/>
      <c r="D68" s="225"/>
      <c r="E68" s="225"/>
      <c r="F68" s="225"/>
      <c r="G68" s="225"/>
      <c r="H68" s="225"/>
      <c r="I68" s="225" t="s">
        <v>1104</v>
      </c>
      <c r="J68" s="225"/>
      <c r="K68" s="225"/>
      <c r="L68" s="225"/>
      <c r="M68" s="225"/>
      <c r="N68" s="225"/>
      <c r="O68" s="225"/>
      <c r="P68" s="225"/>
      <c r="Q68" s="225"/>
      <c r="R68" s="225"/>
      <c r="S68" s="225"/>
      <c r="T68" s="225"/>
      <c r="U68" s="225"/>
      <c r="V68" s="224">
        <f>SUM(V64:V67)</f>
        <v>41332.269999999997</v>
      </c>
      <c r="W68" s="225"/>
      <c r="X68" s="225"/>
      <c r="Y68" s="225"/>
      <c r="Z68" s="225"/>
      <c r="AA68" s="225"/>
      <c r="AB68" s="203"/>
      <c r="AC68" s="203"/>
      <c r="AD68" s="203"/>
      <c r="AE68" s="203"/>
      <c r="AF68" s="203"/>
    </row>
    <row r="69" spans="1:32" ht="15.75">
      <c r="A69" s="225"/>
      <c r="B69" s="225"/>
      <c r="C69" s="225"/>
      <c r="D69" s="225"/>
      <c r="E69" s="225"/>
      <c r="F69" s="225"/>
      <c r="G69" s="225"/>
      <c r="H69" s="225"/>
      <c r="I69" s="225"/>
      <c r="J69" s="225"/>
      <c r="K69" s="225"/>
      <c r="L69" s="225"/>
      <c r="M69" s="225"/>
      <c r="N69" s="225"/>
      <c r="O69" s="225"/>
      <c r="P69" s="225"/>
      <c r="Q69" s="225"/>
      <c r="R69" s="225"/>
      <c r="S69" s="225"/>
      <c r="T69" s="225"/>
      <c r="U69" s="225"/>
      <c r="V69" s="224"/>
      <c r="W69" s="225"/>
      <c r="X69" s="225"/>
      <c r="Y69" s="225"/>
      <c r="Z69" s="225"/>
      <c r="AA69" s="225"/>
      <c r="AB69" s="203"/>
      <c r="AC69" s="203"/>
      <c r="AD69" s="203"/>
      <c r="AE69" s="203"/>
      <c r="AF69" s="203"/>
    </row>
    <row r="70" spans="1:32" ht="15.75">
      <c r="A70" s="225"/>
      <c r="B70" s="225"/>
      <c r="C70" s="225"/>
      <c r="D70" s="225"/>
      <c r="E70" s="225"/>
      <c r="F70" s="225"/>
      <c r="G70" s="225"/>
      <c r="H70" s="225"/>
      <c r="I70" s="225" t="s">
        <v>265</v>
      </c>
      <c r="J70" s="225"/>
      <c r="K70" s="225"/>
      <c r="L70" s="225"/>
      <c r="M70" s="225"/>
      <c r="N70" s="225"/>
      <c r="O70" s="225"/>
      <c r="P70" s="225"/>
      <c r="Q70" s="225"/>
      <c r="R70" s="225"/>
      <c r="S70" s="225"/>
      <c r="T70" s="225"/>
      <c r="U70" s="225"/>
      <c r="V70" s="498">
        <f>+V68-V60</f>
        <v>10655.529999999999</v>
      </c>
      <c r="W70" s="225"/>
      <c r="X70" s="225"/>
      <c r="Y70" s="225"/>
      <c r="Z70" s="225"/>
      <c r="AA70" s="225"/>
      <c r="AB70" s="203"/>
      <c r="AC70" s="203"/>
      <c r="AD70" s="203"/>
      <c r="AE70" s="203"/>
      <c r="AF70" s="203"/>
    </row>
    <row r="71" spans="1:32" ht="15.75">
      <c r="A71" s="225"/>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03"/>
      <c r="AC71" s="203"/>
      <c r="AD71" s="203"/>
      <c r="AE71" s="203"/>
      <c r="AF71" s="203"/>
    </row>
    <row r="72" spans="1:32">
      <c r="A72" s="203"/>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row>
    <row r="73" spans="1:32">
      <c r="A73" s="203"/>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row>
    <row r="74" spans="1:32">
      <c r="A74" s="203"/>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row>
    <row r="75" spans="1:32">
      <c r="A75" s="203"/>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row>
    <row r="76" spans="1:32">
      <c r="A76" s="203"/>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row>
    <row r="77" spans="1:32">
      <c r="A77" s="203"/>
      <c r="B77" s="203"/>
      <c r="C77" s="203"/>
      <c r="D77" s="203"/>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row>
    <row r="78" spans="1:32">
      <c r="A78" s="203"/>
      <c r="B78" s="203"/>
      <c r="C78" s="203"/>
      <c r="D78" s="203"/>
      <c r="E78" s="203"/>
      <c r="F78" s="203"/>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row>
    <row r="79" spans="1:32">
      <c r="A79" s="203"/>
      <c r="B79" s="203"/>
      <c r="C79" s="203"/>
      <c r="D79" s="203"/>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row>
    <row r="80" spans="1:32">
      <c r="A80" s="203"/>
      <c r="B80" s="203"/>
      <c r="C80" s="203"/>
      <c r="D80" s="203"/>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row>
    <row r="81" spans="1:32">
      <c r="A81" s="203"/>
      <c r="B81" s="203"/>
      <c r="C81" s="203"/>
      <c r="D81" s="203"/>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row>
    <row r="82" spans="1:32">
      <c r="A82" s="203"/>
      <c r="B82" s="203"/>
      <c r="C82" s="203"/>
      <c r="D82" s="203"/>
      <c r="E82" s="203"/>
      <c r="F82" s="203"/>
      <c r="G82" s="203"/>
      <c r="H82" s="203"/>
      <c r="I82" s="203"/>
      <c r="J82" s="203"/>
      <c r="K82" s="203"/>
      <c r="L82" s="203"/>
      <c r="M82" s="203"/>
      <c r="N82" s="203"/>
      <c r="O82" s="203"/>
      <c r="P82" s="203"/>
      <c r="Q82" s="203"/>
      <c r="R82" s="203"/>
      <c r="S82" s="203"/>
      <c r="T82" s="203"/>
      <c r="U82" s="203"/>
      <c r="V82" s="203"/>
      <c r="W82" s="203"/>
      <c r="X82" s="203"/>
      <c r="Y82" s="203"/>
      <c r="Z82" s="203"/>
      <c r="AA82" s="203"/>
      <c r="AB82" s="203"/>
      <c r="AC82" s="203"/>
      <c r="AD82" s="203"/>
      <c r="AE82" s="203"/>
      <c r="AF82" s="203"/>
    </row>
    <row r="83" spans="1:32">
      <c r="A83" s="203"/>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row>
    <row r="84" spans="1:32">
      <c r="A84" s="203"/>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row>
    <row r="85" spans="1:32">
      <c r="A85" s="203"/>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row>
    <row r="86" spans="1:32">
      <c r="A86" s="203"/>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row>
    <row r="87" spans="1:32">
      <c r="A87" s="203"/>
      <c r="B87" s="203"/>
      <c r="C87" s="203"/>
      <c r="D87" s="203"/>
      <c r="E87" s="203"/>
      <c r="F87" s="203"/>
      <c r="G87" s="203"/>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row>
    <row r="88" spans="1:32">
      <c r="A88" s="203"/>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3"/>
      <c r="AD88" s="203"/>
      <c r="AE88" s="203"/>
      <c r="AF88" s="203"/>
    </row>
    <row r="89" spans="1:32">
      <c r="A89" s="203"/>
      <c r="B89" s="203"/>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row>
    <row r="90" spans="1:32">
      <c r="A90" s="203"/>
      <c r="B90" s="203"/>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row>
    <row r="91" spans="1:32">
      <c r="A91" s="203"/>
      <c r="B91" s="203"/>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row>
    <row r="92" spans="1:32">
      <c r="A92" s="203"/>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row>
    <row r="93" spans="1:32">
      <c r="A93" s="203"/>
      <c r="B93" s="203"/>
      <c r="C93" s="203"/>
      <c r="D93" s="203"/>
      <c r="E93" s="203"/>
      <c r="F93" s="203"/>
      <c r="G93" s="203"/>
      <c r="H93" s="203"/>
      <c r="I93" s="203"/>
      <c r="J93" s="203"/>
      <c r="K93" s="203"/>
      <c r="L93" s="203"/>
      <c r="M93" s="203"/>
      <c r="N93" s="203"/>
      <c r="O93" s="203"/>
      <c r="P93" s="203"/>
      <c r="Q93" s="203"/>
      <c r="R93" s="203"/>
      <c r="S93" s="203"/>
      <c r="T93" s="203"/>
      <c r="U93" s="203"/>
      <c r="V93" s="203"/>
      <c r="W93" s="203"/>
      <c r="X93" s="203"/>
      <c r="Y93" s="203"/>
      <c r="Z93" s="203"/>
      <c r="AA93" s="203"/>
      <c r="AB93" s="203"/>
      <c r="AC93" s="203"/>
      <c r="AD93" s="203"/>
      <c r="AE93" s="203"/>
      <c r="AF93" s="203"/>
    </row>
    <row r="94" spans="1:32">
      <c r="A94" s="203"/>
      <c r="B94" s="203"/>
      <c r="C94" s="203"/>
      <c r="D94" s="203"/>
      <c r="E94" s="203"/>
      <c r="F94" s="203"/>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row>
    <row r="95" spans="1:32">
      <c r="A95" s="203"/>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row>
    <row r="96" spans="1:32">
      <c r="A96" s="203"/>
      <c r="B96" s="203"/>
      <c r="C96" s="203"/>
      <c r="D96" s="203"/>
      <c r="E96" s="203"/>
      <c r="F96" s="203"/>
      <c r="G96" s="203"/>
      <c r="H96" s="203"/>
      <c r="I96" s="203"/>
      <c r="J96" s="203"/>
      <c r="K96" s="203"/>
      <c r="L96" s="203"/>
      <c r="M96" s="203"/>
      <c r="N96" s="203"/>
      <c r="O96" s="203"/>
      <c r="P96" s="203"/>
      <c r="Q96" s="203"/>
      <c r="R96" s="203"/>
      <c r="S96" s="203"/>
      <c r="T96" s="203"/>
      <c r="U96" s="203"/>
      <c r="V96" s="203"/>
      <c r="W96" s="203"/>
      <c r="X96" s="203"/>
      <c r="Y96" s="203"/>
      <c r="Z96" s="203"/>
      <c r="AA96" s="203"/>
      <c r="AB96" s="203"/>
      <c r="AC96" s="203"/>
      <c r="AD96" s="203"/>
      <c r="AE96" s="203"/>
      <c r="AF96" s="203"/>
    </row>
    <row r="97" spans="1:32">
      <c r="A97" s="203"/>
      <c r="B97" s="203"/>
      <c r="C97" s="203"/>
      <c r="D97" s="203"/>
      <c r="E97" s="203"/>
      <c r="F97" s="203"/>
      <c r="G97" s="203"/>
      <c r="H97" s="203"/>
      <c r="I97" s="203"/>
      <c r="J97" s="203"/>
      <c r="K97" s="203"/>
      <c r="L97" s="203"/>
      <c r="M97" s="203"/>
      <c r="N97" s="203"/>
      <c r="O97" s="203"/>
      <c r="P97" s="203"/>
      <c r="Q97" s="203"/>
      <c r="R97" s="203"/>
      <c r="S97" s="203"/>
      <c r="T97" s="203"/>
      <c r="U97" s="203"/>
      <c r="V97" s="203"/>
      <c r="W97" s="203"/>
      <c r="X97" s="203"/>
      <c r="Y97" s="203"/>
      <c r="Z97" s="203"/>
      <c r="AA97" s="203"/>
      <c r="AB97" s="203"/>
      <c r="AC97" s="203"/>
      <c r="AD97" s="203"/>
      <c r="AE97" s="203"/>
      <c r="AF97" s="203"/>
    </row>
    <row r="98" spans="1:32">
      <c r="A98" s="203"/>
      <c r="B98" s="203"/>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E98" s="203"/>
      <c r="AF98" s="203"/>
    </row>
    <row r="99" spans="1:32">
      <c r="A99" s="203"/>
      <c r="B99" s="203"/>
      <c r="C99" s="203"/>
      <c r="D99" s="203"/>
      <c r="E99" s="203"/>
      <c r="F99" s="203"/>
      <c r="G99" s="203"/>
      <c r="H99" s="203"/>
      <c r="I99" s="203"/>
      <c r="J99" s="203"/>
      <c r="K99" s="203"/>
      <c r="L99" s="203"/>
      <c r="M99" s="203"/>
      <c r="N99" s="203"/>
      <c r="O99" s="203"/>
      <c r="P99" s="203"/>
      <c r="Q99" s="203"/>
      <c r="R99" s="203"/>
      <c r="S99" s="203"/>
      <c r="T99" s="203"/>
      <c r="U99" s="203"/>
      <c r="V99" s="203"/>
      <c r="W99" s="203"/>
      <c r="X99" s="203"/>
      <c r="Y99" s="203"/>
      <c r="Z99" s="203"/>
      <c r="AA99" s="203"/>
      <c r="AB99" s="203"/>
      <c r="AC99" s="203"/>
      <c r="AD99" s="203"/>
      <c r="AE99" s="203"/>
      <c r="AF99" s="203"/>
    </row>
    <row r="100" spans="1:32">
      <c r="A100" s="203"/>
      <c r="B100" s="203"/>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row>
    <row r="101" spans="1:32">
      <c r="A101" s="203"/>
      <c r="B101" s="203"/>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c r="AA101" s="203"/>
      <c r="AB101" s="203"/>
      <c r="AC101" s="203"/>
      <c r="AD101" s="203"/>
      <c r="AE101" s="203"/>
      <c r="AF101" s="203"/>
    </row>
    <row r="102" spans="1:32">
      <c r="A102" s="203"/>
      <c r="B102" s="203"/>
      <c r="C102" s="203"/>
      <c r="D102" s="203"/>
      <c r="E102" s="203"/>
      <c r="F102" s="203"/>
      <c r="G102" s="203"/>
      <c r="H102" s="203"/>
      <c r="I102" s="203"/>
      <c r="J102" s="203"/>
      <c r="K102" s="203"/>
      <c r="L102" s="203"/>
      <c r="M102" s="203"/>
      <c r="N102" s="203"/>
      <c r="O102" s="203"/>
      <c r="P102" s="203"/>
      <c r="Q102" s="203"/>
      <c r="R102" s="203"/>
      <c r="S102" s="203"/>
      <c r="T102" s="203"/>
      <c r="U102" s="203"/>
      <c r="V102" s="203"/>
      <c r="W102" s="203"/>
      <c r="X102" s="203"/>
      <c r="Y102" s="203"/>
      <c r="Z102" s="203"/>
      <c r="AA102" s="203"/>
      <c r="AB102" s="203"/>
      <c r="AC102" s="203"/>
      <c r="AD102" s="203"/>
      <c r="AE102" s="203"/>
      <c r="AF102" s="20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68FF2-4A7B-4AD3-9554-F23769D6E43D}">
  <sheetPr>
    <pageSetUpPr fitToPage="1"/>
  </sheetPr>
  <dimension ref="A1:Q109"/>
  <sheetViews>
    <sheetView workbookViewId="0">
      <selection activeCell="A6" sqref="A6:J55"/>
    </sheetView>
  </sheetViews>
  <sheetFormatPr defaultRowHeight="15"/>
  <cols>
    <col min="1" max="1" width="26" customWidth="1"/>
    <col min="2" max="10" width="11.77734375" customWidth="1"/>
  </cols>
  <sheetData>
    <row r="1" spans="1:17" ht="15.75">
      <c r="A1" s="222" t="s">
        <v>128</v>
      </c>
      <c r="B1" s="223"/>
      <c r="C1" s="223"/>
      <c r="D1" s="223"/>
      <c r="E1" s="223"/>
      <c r="F1" s="223"/>
      <c r="G1" s="223"/>
      <c r="H1" s="223"/>
      <c r="I1" s="223"/>
      <c r="J1" s="223"/>
      <c r="K1" s="224"/>
      <c r="L1" s="203"/>
      <c r="M1" s="203"/>
      <c r="N1" s="203"/>
      <c r="O1" s="203"/>
      <c r="P1" s="203"/>
      <c r="Q1" s="203"/>
    </row>
    <row r="2" spans="1:17" ht="15.75">
      <c r="A2" s="222" t="s">
        <v>129</v>
      </c>
      <c r="B2" s="223"/>
      <c r="C2" s="223"/>
      <c r="D2" s="223"/>
      <c r="E2" s="223"/>
      <c r="F2" s="223"/>
      <c r="G2" s="223"/>
      <c r="H2" s="223"/>
      <c r="I2" s="223"/>
      <c r="J2" s="223"/>
      <c r="K2" s="224"/>
      <c r="L2" s="203"/>
      <c r="M2" s="203"/>
      <c r="N2" s="203"/>
      <c r="O2" s="203"/>
      <c r="P2" s="203"/>
      <c r="Q2" s="203"/>
    </row>
    <row r="3" spans="1:17" ht="15.75">
      <c r="A3" s="222" t="s">
        <v>206</v>
      </c>
      <c r="B3" s="223"/>
      <c r="C3" s="223"/>
      <c r="D3" s="223"/>
      <c r="E3" s="223"/>
      <c r="F3" s="223"/>
      <c r="G3" s="223"/>
      <c r="H3" s="223"/>
      <c r="I3" s="223"/>
      <c r="J3" s="223"/>
      <c r="K3" s="224"/>
      <c r="L3" s="203"/>
      <c r="M3" s="203"/>
      <c r="N3" s="203"/>
      <c r="O3" s="203"/>
      <c r="P3" s="203"/>
      <c r="Q3" s="203"/>
    </row>
    <row r="4" spans="1:17" ht="15.75">
      <c r="A4" s="225"/>
      <c r="B4" s="226" t="s">
        <v>207</v>
      </c>
      <c r="C4" s="226" t="s">
        <v>208</v>
      </c>
      <c r="D4" s="226" t="s">
        <v>207</v>
      </c>
      <c r="E4" s="226" t="s">
        <v>13</v>
      </c>
      <c r="F4" s="226" t="s">
        <v>209</v>
      </c>
      <c r="G4" s="226" t="s">
        <v>210</v>
      </c>
      <c r="H4" s="226" t="s">
        <v>211</v>
      </c>
      <c r="I4" s="226" t="s">
        <v>212</v>
      </c>
      <c r="J4" s="226" t="s">
        <v>13</v>
      </c>
      <c r="K4" s="224"/>
      <c r="L4" s="203"/>
      <c r="M4" s="203"/>
      <c r="N4" s="203"/>
      <c r="O4" s="203"/>
      <c r="P4" s="203"/>
      <c r="Q4" s="203"/>
    </row>
    <row r="5" spans="1:17" ht="15.75">
      <c r="A5" s="225"/>
      <c r="B5" s="226"/>
      <c r="C5" s="226" t="s">
        <v>213</v>
      </c>
      <c r="D5" s="226" t="s">
        <v>214</v>
      </c>
      <c r="E5" s="226" t="s">
        <v>213</v>
      </c>
      <c r="F5" s="226" t="s">
        <v>215</v>
      </c>
      <c r="G5" s="226" t="s">
        <v>216</v>
      </c>
      <c r="H5" s="226" t="s">
        <v>217</v>
      </c>
      <c r="I5" s="226" t="s">
        <v>218</v>
      </c>
      <c r="J5" s="226" t="s">
        <v>219</v>
      </c>
      <c r="K5" s="224"/>
      <c r="L5" s="203"/>
      <c r="M5" s="203"/>
      <c r="N5" s="203"/>
      <c r="O5" s="203"/>
      <c r="P5" s="203"/>
      <c r="Q5" s="203"/>
    </row>
    <row r="6" spans="1:17" ht="15.75">
      <c r="A6" s="227" t="s">
        <v>12</v>
      </c>
      <c r="B6" s="228"/>
      <c r="C6" s="228"/>
      <c r="D6" s="228"/>
      <c r="E6" s="228"/>
      <c r="F6" s="228"/>
      <c r="G6" s="228"/>
      <c r="H6" s="228"/>
      <c r="I6" s="228"/>
      <c r="J6" s="228"/>
      <c r="K6" s="224"/>
      <c r="L6" s="203"/>
      <c r="M6" s="203"/>
      <c r="N6" s="203"/>
      <c r="O6" s="203"/>
      <c r="P6" s="203"/>
      <c r="Q6" s="203"/>
    </row>
    <row r="7" spans="1:17" ht="15.75">
      <c r="A7" s="225" t="s">
        <v>220</v>
      </c>
      <c r="B7" s="229">
        <f>+'[1]Monthly P&amp;L'!Q8+'[1]Monthly P&amp;L'!Q14+'[1]Monthly P&amp;L'!Q15</f>
        <v>911773.58</v>
      </c>
      <c r="C7" s="229"/>
      <c r="D7" s="229">
        <f>+SUM(B7:C7)</f>
        <v>911773.58</v>
      </c>
      <c r="E7" s="229"/>
      <c r="F7" s="229">
        <f>SUM(D7:E7)</f>
        <v>911773.58</v>
      </c>
      <c r="G7" s="229">
        <f>+'[1]Allocation Matrix'!C7</f>
        <v>0</v>
      </c>
      <c r="H7" s="229">
        <f>+F7-G7</f>
        <v>911773.58</v>
      </c>
      <c r="I7" s="229">
        <f>+'Price Out'!P22+'Price Out'!P55</f>
        <v>149693.20520000017</v>
      </c>
      <c r="J7" s="229">
        <f t="shared" ref="J7:J9" si="0">+I7+H7</f>
        <v>1061466.7852</v>
      </c>
      <c r="K7" s="224"/>
      <c r="L7" s="203"/>
      <c r="M7" s="203"/>
      <c r="N7" s="203"/>
      <c r="O7" s="203"/>
      <c r="P7" s="203"/>
      <c r="Q7" s="203"/>
    </row>
    <row r="8" spans="1:17" ht="15.75">
      <c r="A8" s="225" t="s">
        <v>221</v>
      </c>
      <c r="B8" s="229">
        <f>+'[1]Monthly P&amp;L'!Q10+'[1]Monthly P&amp;L'!Q16+'[1]Monthly P&amp;L'!Q17</f>
        <v>320508.28999999998</v>
      </c>
      <c r="C8" s="229"/>
      <c r="D8" s="229">
        <f t="shared" ref="D8:D13" si="1">+SUM(B8:C8)</f>
        <v>320508.28999999998</v>
      </c>
      <c r="E8" s="229"/>
      <c r="F8" s="229">
        <f t="shared" ref="F8:F13" si="2">SUM(D8:E8)</f>
        <v>320508.28999999998</v>
      </c>
      <c r="G8" s="229">
        <f>+'[1]Allocation Matrix'!C8</f>
        <v>0</v>
      </c>
      <c r="H8" s="229">
        <f t="shared" ref="H8:H10" si="3">+F8-G8</f>
        <v>320508.28999999998</v>
      </c>
      <c r="I8" s="229">
        <f>+'Price Out'!P42+'Price Out'!P72</f>
        <v>50458.914000000063</v>
      </c>
      <c r="J8" s="229">
        <f t="shared" si="0"/>
        <v>370967.20400000003</v>
      </c>
      <c r="K8" s="224"/>
      <c r="L8" s="203"/>
      <c r="M8" s="203"/>
      <c r="N8" s="203"/>
      <c r="O8" s="203"/>
      <c r="P8" s="203"/>
      <c r="Q8" s="203"/>
    </row>
    <row r="9" spans="1:17" ht="15.75">
      <c r="A9" s="225" t="s">
        <v>222</v>
      </c>
      <c r="B9" s="229">
        <f>+'[1]Monthly P&amp;L'!Q12</f>
        <v>48474.81</v>
      </c>
      <c r="C9" s="229"/>
      <c r="D9" s="229">
        <f t="shared" si="1"/>
        <v>48474.81</v>
      </c>
      <c r="E9" s="229"/>
      <c r="F9" s="229">
        <f t="shared" si="2"/>
        <v>48474.81</v>
      </c>
      <c r="G9" s="229">
        <f>+'[1]Allocation Matrix'!C9</f>
        <v>0</v>
      </c>
      <c r="H9" s="229">
        <f t="shared" si="3"/>
        <v>48474.81</v>
      </c>
      <c r="I9" s="229">
        <f>+'Price Out'!P81</f>
        <v>12203</v>
      </c>
      <c r="J9" s="229">
        <f t="shared" si="0"/>
        <v>60677.81</v>
      </c>
      <c r="K9" s="224"/>
      <c r="L9" s="203"/>
      <c r="M9" s="203"/>
      <c r="N9" s="203"/>
      <c r="O9" s="203"/>
      <c r="P9" s="203"/>
      <c r="Q9" s="203"/>
    </row>
    <row r="10" spans="1:17" ht="15.75">
      <c r="A10" s="225" t="s">
        <v>223</v>
      </c>
      <c r="B10" s="229">
        <f>+'[1]Monthly P&amp;L'!Q13</f>
        <v>46621.96</v>
      </c>
      <c r="C10" s="229"/>
      <c r="D10" s="229">
        <f t="shared" si="1"/>
        <v>46621.96</v>
      </c>
      <c r="E10" s="229"/>
      <c r="F10" s="229">
        <f t="shared" si="2"/>
        <v>46621.96</v>
      </c>
      <c r="G10" s="229">
        <f>+'[1]Allocation Matrix'!C10</f>
        <v>0</v>
      </c>
      <c r="H10" s="229">
        <f t="shared" si="3"/>
        <v>46621.96</v>
      </c>
      <c r="I10" s="229">
        <v>0</v>
      </c>
      <c r="J10" s="229">
        <f>+I10+H10</f>
        <v>46621.96</v>
      </c>
      <c r="K10" s="224"/>
      <c r="L10" s="203"/>
      <c r="M10" s="203"/>
      <c r="N10" s="203"/>
      <c r="O10" s="203"/>
      <c r="P10" s="203"/>
      <c r="Q10" s="203"/>
    </row>
    <row r="11" spans="1:17" ht="15.75">
      <c r="A11" s="225" t="s">
        <v>224</v>
      </c>
      <c r="B11" s="229">
        <f>+'[1]Monthly P&amp;L'!Q7</f>
        <v>114558.11</v>
      </c>
      <c r="C11" s="229"/>
      <c r="D11" s="229">
        <f t="shared" si="1"/>
        <v>114558.11</v>
      </c>
      <c r="E11" s="229"/>
      <c r="F11" s="229">
        <f t="shared" si="2"/>
        <v>114558.11</v>
      </c>
      <c r="G11" s="229">
        <f>+'[1]Allocation Matrix'!C11</f>
        <v>114558.11</v>
      </c>
      <c r="H11" s="229"/>
      <c r="I11" s="229"/>
      <c r="J11" s="229"/>
      <c r="K11" s="224"/>
      <c r="L11" s="203"/>
      <c r="M11" s="203"/>
      <c r="N11" s="203"/>
      <c r="O11" s="203"/>
      <c r="P11" s="203"/>
      <c r="Q11" s="203"/>
    </row>
    <row r="12" spans="1:17" ht="15.75">
      <c r="A12" s="225" t="s">
        <v>225</v>
      </c>
      <c r="B12" s="229">
        <f>+'[1]Monthly P&amp;L'!Q9</f>
        <v>73661.240000000005</v>
      </c>
      <c r="C12" s="229"/>
      <c r="D12" s="229">
        <f t="shared" si="1"/>
        <v>73661.240000000005</v>
      </c>
      <c r="E12" s="229"/>
      <c r="F12" s="229">
        <f t="shared" si="2"/>
        <v>73661.240000000005</v>
      </c>
      <c r="G12" s="229">
        <f>+'[1]Allocation Matrix'!C12</f>
        <v>73661.240000000005</v>
      </c>
      <c r="H12" s="229"/>
      <c r="I12" s="229"/>
      <c r="J12" s="229"/>
      <c r="K12" s="224"/>
      <c r="L12" s="203"/>
      <c r="M12" s="203"/>
      <c r="N12" s="203"/>
      <c r="O12" s="203"/>
      <c r="P12" s="203"/>
      <c r="Q12" s="203"/>
    </row>
    <row r="13" spans="1:17" ht="15.75">
      <c r="A13" s="225" t="s">
        <v>226</v>
      </c>
      <c r="B13" s="230">
        <f>+'[1]Monthly P&amp;L'!Q18+'[1]Monthly P&amp;L'!Q11</f>
        <v>15861.29</v>
      </c>
      <c r="C13" s="230"/>
      <c r="D13" s="230">
        <f t="shared" si="1"/>
        <v>15861.29</v>
      </c>
      <c r="E13" s="230"/>
      <c r="F13" s="230">
        <f t="shared" si="2"/>
        <v>15861.29</v>
      </c>
      <c r="G13" s="230">
        <f>+'[1]Allocation Matrix'!C13</f>
        <v>15861.29</v>
      </c>
      <c r="H13" s="230"/>
      <c r="I13" s="230"/>
      <c r="J13" s="230"/>
      <c r="K13" s="224"/>
      <c r="L13" s="203"/>
      <c r="M13" s="203"/>
      <c r="N13" s="203"/>
      <c r="O13" s="203"/>
      <c r="P13" s="203"/>
      <c r="Q13" s="203"/>
    </row>
    <row r="14" spans="1:17" ht="15.75">
      <c r="A14" s="225" t="s">
        <v>103</v>
      </c>
      <c r="B14" s="229">
        <f>SUM(B7:B13)</f>
        <v>1531459.28</v>
      </c>
      <c r="C14" s="229"/>
      <c r="D14" s="229">
        <f>SUM(D7:D13)</f>
        <v>1531459.28</v>
      </c>
      <c r="E14" s="229">
        <f t="shared" ref="E14:J14" si="4">SUM(E7:E13)</f>
        <v>0</v>
      </c>
      <c r="F14" s="229">
        <f t="shared" si="4"/>
        <v>1531459.28</v>
      </c>
      <c r="G14" s="229">
        <f t="shared" si="4"/>
        <v>204080.64000000001</v>
      </c>
      <c r="H14" s="229">
        <f t="shared" si="4"/>
        <v>1327378.6399999999</v>
      </c>
      <c r="I14" s="229">
        <f t="shared" si="4"/>
        <v>212355.11920000025</v>
      </c>
      <c r="J14" s="229">
        <f t="shared" si="4"/>
        <v>1539733.7592000002</v>
      </c>
      <c r="K14" s="224"/>
      <c r="L14" s="203"/>
      <c r="M14" s="203"/>
      <c r="N14" s="203"/>
      <c r="O14" s="203"/>
      <c r="P14" s="203"/>
      <c r="Q14" s="203"/>
    </row>
    <row r="15" spans="1:17" ht="15.75">
      <c r="A15" s="225"/>
      <c r="B15" s="229"/>
      <c r="C15" s="229"/>
      <c r="D15" s="229"/>
      <c r="E15" s="229"/>
      <c r="F15" s="229"/>
      <c r="G15" s="229"/>
      <c r="H15" s="229"/>
      <c r="I15" s="229"/>
      <c r="J15" s="229"/>
      <c r="K15" s="224"/>
      <c r="L15" s="203"/>
      <c r="M15" s="203"/>
      <c r="N15" s="203"/>
      <c r="O15" s="203"/>
      <c r="P15" s="203"/>
      <c r="Q15" s="203"/>
    </row>
    <row r="16" spans="1:17" ht="15.75">
      <c r="A16" s="227" t="s">
        <v>227</v>
      </c>
      <c r="B16" s="229"/>
      <c r="C16" s="229"/>
      <c r="D16" s="229"/>
      <c r="E16" s="229"/>
      <c r="F16" s="229"/>
      <c r="G16" s="229"/>
      <c r="H16" s="229"/>
      <c r="I16" s="229"/>
      <c r="J16" s="229"/>
      <c r="K16" s="224"/>
      <c r="L16" s="203"/>
      <c r="M16" s="203"/>
      <c r="N16" s="203"/>
      <c r="O16" s="203"/>
      <c r="P16" s="203"/>
      <c r="Q16" s="203"/>
    </row>
    <row r="17" spans="1:17" ht="15.75">
      <c r="A17" s="225" t="s">
        <v>228</v>
      </c>
      <c r="B17" s="229">
        <f>+'[1]Monthly P&amp;L'!Q33</f>
        <v>46984.19</v>
      </c>
      <c r="C17" s="229"/>
      <c r="D17" s="229">
        <f t="shared" ref="D17:D51" si="5">+SUM(B17:C17)</f>
        <v>46984.19</v>
      </c>
      <c r="E17" s="229"/>
      <c r="F17" s="229">
        <f t="shared" ref="F17:F51" si="6">SUM(D17:E17)</f>
        <v>46984.19</v>
      </c>
      <c r="G17" s="229">
        <f>+'[1]Allocation Matrix'!C17</f>
        <v>6212.7854545454547</v>
      </c>
      <c r="H17" s="229">
        <f t="shared" ref="H17:H51" si="7">+F17-G17</f>
        <v>40771.404545454548</v>
      </c>
      <c r="I17" s="229"/>
      <c r="J17" s="229">
        <f t="shared" ref="J17:J51" si="8">+I17+H17</f>
        <v>40771.404545454548</v>
      </c>
      <c r="K17" s="224"/>
      <c r="L17" s="203"/>
      <c r="M17" s="203"/>
      <c r="N17" s="203"/>
      <c r="O17" s="203"/>
      <c r="P17" s="203"/>
      <c r="Q17" s="203"/>
    </row>
    <row r="18" spans="1:17" ht="15.75">
      <c r="A18" s="225" t="s">
        <v>229</v>
      </c>
      <c r="B18" s="229">
        <f>+'[1]Monthly P&amp;L'!Q34</f>
        <v>13115.05</v>
      </c>
      <c r="C18" s="229"/>
      <c r="D18" s="229">
        <f t="shared" si="5"/>
        <v>13115.05</v>
      </c>
      <c r="E18" s="229"/>
      <c r="F18" s="229">
        <f t="shared" si="6"/>
        <v>13115.05</v>
      </c>
      <c r="G18" s="229">
        <f>+'[1]Allocation Matrix'!C18</f>
        <v>1851.6283856235102</v>
      </c>
      <c r="H18" s="229">
        <f t="shared" si="7"/>
        <v>11263.42161437649</v>
      </c>
      <c r="I18" s="229"/>
      <c r="J18" s="229">
        <f t="shared" si="8"/>
        <v>11263.42161437649</v>
      </c>
      <c r="K18" s="224"/>
      <c r="L18" s="203"/>
      <c r="M18" s="203"/>
      <c r="N18" s="203"/>
      <c r="O18" s="203"/>
      <c r="P18" s="203"/>
      <c r="Q18" s="203"/>
    </row>
    <row r="19" spans="1:17" ht="15.75">
      <c r="A19" s="225" t="s">
        <v>230</v>
      </c>
      <c r="B19" s="229">
        <f>+'[1]Monthly P&amp;L'!Q35</f>
        <v>23850.19</v>
      </c>
      <c r="C19" s="229"/>
      <c r="D19" s="229">
        <f t="shared" si="5"/>
        <v>23850.19</v>
      </c>
      <c r="E19" s="229"/>
      <c r="F19" s="229">
        <f t="shared" si="6"/>
        <v>23850.19</v>
      </c>
      <c r="G19" s="229">
        <f>+'[1]Allocation Matrix'!C19</f>
        <v>3153.7441322314048</v>
      </c>
      <c r="H19" s="229">
        <f t="shared" si="7"/>
        <v>20696.445867768594</v>
      </c>
      <c r="I19" s="229"/>
      <c r="J19" s="229">
        <f t="shared" si="8"/>
        <v>20696.445867768594</v>
      </c>
      <c r="K19" s="224"/>
      <c r="L19" s="203"/>
      <c r="M19" s="203"/>
      <c r="N19" s="203"/>
      <c r="O19" s="203"/>
      <c r="P19" s="203"/>
      <c r="Q19" s="203"/>
    </row>
    <row r="20" spans="1:17" ht="15.75">
      <c r="A20" s="225" t="s">
        <v>231</v>
      </c>
      <c r="B20" s="229">
        <f>+'[1]Monthly P&amp;L'!Q36</f>
        <v>39275.160000000003</v>
      </c>
      <c r="C20" s="229">
        <f>+'[1]Restating Adjustments'!K15</f>
        <v>-8379.2999999999993</v>
      </c>
      <c r="D20" s="229">
        <f t="shared" si="5"/>
        <v>30895.860000000004</v>
      </c>
      <c r="E20" s="229"/>
      <c r="F20" s="229">
        <f t="shared" si="6"/>
        <v>30895.860000000004</v>
      </c>
      <c r="G20" s="229">
        <f>+'[1]Allocation Matrix'!C20</f>
        <v>4085.4029752066122</v>
      </c>
      <c r="H20" s="229">
        <f t="shared" si="7"/>
        <v>26810.457024793392</v>
      </c>
      <c r="I20" s="229"/>
      <c r="J20" s="229">
        <f t="shared" si="8"/>
        <v>26810.457024793392</v>
      </c>
      <c r="K20" s="224"/>
      <c r="L20" s="203"/>
      <c r="M20" s="203"/>
      <c r="N20" s="203"/>
      <c r="O20" s="203"/>
      <c r="P20" s="203"/>
      <c r="Q20" s="203"/>
    </row>
    <row r="21" spans="1:17" ht="15.75">
      <c r="A21" s="225" t="s">
        <v>232</v>
      </c>
      <c r="B21" s="229">
        <f>+'[1]Monthly P&amp;L'!Q37</f>
        <v>3231.64</v>
      </c>
      <c r="C21" s="229"/>
      <c r="D21" s="229">
        <f t="shared" si="5"/>
        <v>3231.64</v>
      </c>
      <c r="E21" s="229"/>
      <c r="F21" s="229">
        <f t="shared" si="6"/>
        <v>3231.64</v>
      </c>
      <c r="G21" s="229">
        <f>+'[1]Allocation Matrix'!C21</f>
        <v>456.2541779189832</v>
      </c>
      <c r="H21" s="229">
        <f t="shared" si="7"/>
        <v>2775.3858220810166</v>
      </c>
      <c r="I21" s="229"/>
      <c r="J21" s="229">
        <f t="shared" si="8"/>
        <v>2775.3858220810166</v>
      </c>
      <c r="K21" s="224"/>
      <c r="L21" s="203"/>
      <c r="M21" s="203"/>
      <c r="N21" s="203"/>
      <c r="O21" s="203"/>
      <c r="P21" s="203"/>
      <c r="Q21" s="203"/>
    </row>
    <row r="22" spans="1:17" ht="15.75">
      <c r="A22" s="225" t="s">
        <v>233</v>
      </c>
      <c r="B22" s="229">
        <f>+'[1]Monthly P&amp;L'!Q71</f>
        <v>8777.41</v>
      </c>
      <c r="C22" s="229"/>
      <c r="D22" s="229">
        <f t="shared" si="5"/>
        <v>8777.41</v>
      </c>
      <c r="E22" s="229"/>
      <c r="F22" s="229">
        <f t="shared" si="6"/>
        <v>8777.41</v>
      </c>
      <c r="G22" s="229">
        <f>+'[1]Allocation Matrix'!C22</f>
        <v>1239.225279984114</v>
      </c>
      <c r="H22" s="229">
        <f t="shared" si="7"/>
        <v>7538.1847200158863</v>
      </c>
      <c r="I22" s="229"/>
      <c r="J22" s="229">
        <f t="shared" si="8"/>
        <v>7538.1847200158863</v>
      </c>
      <c r="K22" s="224"/>
      <c r="L22" s="203"/>
      <c r="M22" s="203"/>
      <c r="N22" s="203"/>
      <c r="O22" s="203"/>
      <c r="P22" s="203"/>
      <c r="Q22" s="203"/>
    </row>
    <row r="23" spans="1:17" ht="15.75">
      <c r="A23" s="225" t="s">
        <v>234</v>
      </c>
      <c r="B23" s="229">
        <f>+'[1]Monthly P&amp;L'!Q38</f>
        <v>57612.99</v>
      </c>
      <c r="C23" s="229">
        <f>+'[1]Restating Adjustments'!K37</f>
        <v>9151.2599999999875</v>
      </c>
      <c r="D23" s="229">
        <f t="shared" si="5"/>
        <v>66764.249999999985</v>
      </c>
      <c r="E23" s="229"/>
      <c r="F23" s="229">
        <f t="shared" si="6"/>
        <v>66764.249999999985</v>
      </c>
      <c r="G23" s="229">
        <f>+'[1]Allocation Matrix'!C23</f>
        <v>8828.3305785123957</v>
      </c>
      <c r="H23" s="229">
        <f t="shared" si="7"/>
        <v>57935.91942148759</v>
      </c>
      <c r="I23" s="229"/>
      <c r="J23" s="229">
        <f t="shared" si="8"/>
        <v>57935.91942148759</v>
      </c>
      <c r="K23" s="224"/>
      <c r="L23" s="203"/>
      <c r="M23" s="203"/>
      <c r="N23" s="203"/>
      <c r="O23" s="203"/>
      <c r="P23" s="203"/>
      <c r="Q23" s="203"/>
    </row>
    <row r="24" spans="1:17" ht="15.75">
      <c r="A24" s="225" t="s">
        <v>235</v>
      </c>
      <c r="B24" s="229">
        <f>+'[1]Monthly P&amp;L'!Q39</f>
        <v>385304.38</v>
      </c>
      <c r="C24" s="231">
        <f>+'[1]Restating Adjustments'!K18</f>
        <v>-46622</v>
      </c>
      <c r="D24" s="229">
        <f t="shared" si="5"/>
        <v>338682.38</v>
      </c>
      <c r="E24" s="229"/>
      <c r="F24" s="229">
        <f t="shared" si="6"/>
        <v>338682.38</v>
      </c>
      <c r="G24" s="229">
        <f>+'[1]Allocation Matrix'!C24</f>
        <v>33837.529408533585</v>
      </c>
      <c r="H24" s="229">
        <f t="shared" si="7"/>
        <v>304844.85059146641</v>
      </c>
      <c r="I24" s="229"/>
      <c r="J24" s="229">
        <f t="shared" si="8"/>
        <v>304844.85059146641</v>
      </c>
      <c r="K24" s="224"/>
      <c r="L24" s="203"/>
      <c r="M24" s="203"/>
      <c r="N24" s="203"/>
      <c r="O24" s="203"/>
      <c r="P24" s="203"/>
      <c r="Q24" s="203"/>
    </row>
    <row r="25" spans="1:17" ht="15.75">
      <c r="A25" s="225" t="s">
        <v>236</v>
      </c>
      <c r="B25" s="229"/>
      <c r="C25" s="229">
        <f>+'[1]Restating Adjustments'!K19</f>
        <v>46622</v>
      </c>
      <c r="D25" s="229">
        <f>+SUM(B25:C25)</f>
        <v>46622</v>
      </c>
      <c r="E25" s="229"/>
      <c r="F25" s="229">
        <f t="shared" si="6"/>
        <v>46622</v>
      </c>
      <c r="G25" s="229">
        <f>+'[1]Allocation Matrix'!C25</f>
        <v>0</v>
      </c>
      <c r="H25" s="229">
        <f t="shared" si="7"/>
        <v>46622</v>
      </c>
      <c r="I25" s="229"/>
      <c r="J25" s="229">
        <f t="shared" si="8"/>
        <v>46622</v>
      </c>
      <c r="K25" s="224"/>
      <c r="L25" s="203"/>
      <c r="M25" s="203"/>
      <c r="N25" s="203"/>
      <c r="O25" s="203"/>
      <c r="P25" s="203"/>
      <c r="Q25" s="203"/>
    </row>
    <row r="26" spans="1:17" ht="15.75">
      <c r="A26" s="225" t="s">
        <v>237</v>
      </c>
      <c r="B26" s="229">
        <f>+'[1]Monthly P&amp;L'!Q40</f>
        <v>24566.639999999999</v>
      </c>
      <c r="C26" s="229">
        <f>+'[1]Restating Adjustments'!K23</f>
        <v>-17915.900000000001</v>
      </c>
      <c r="D26" s="229">
        <f t="shared" si="5"/>
        <v>6650.739999999998</v>
      </c>
      <c r="E26" s="229"/>
      <c r="F26" s="229">
        <f t="shared" si="6"/>
        <v>6650.739999999998</v>
      </c>
      <c r="G26" s="229">
        <f>+'[1]Allocation Matrix'!C26</f>
        <v>938.97461080222342</v>
      </c>
      <c r="H26" s="229">
        <f t="shared" si="7"/>
        <v>5711.7653891977743</v>
      </c>
      <c r="I26" s="229"/>
      <c r="J26" s="229">
        <f t="shared" si="8"/>
        <v>5711.7653891977743</v>
      </c>
      <c r="K26" s="224"/>
      <c r="L26" s="203"/>
      <c r="M26" s="203"/>
      <c r="N26" s="203"/>
      <c r="O26" s="203"/>
      <c r="P26" s="203"/>
      <c r="Q26" s="203"/>
    </row>
    <row r="27" spans="1:17" ht="15.75">
      <c r="A27" s="225" t="s">
        <v>238</v>
      </c>
      <c r="B27" s="229">
        <f>+'[1]Monthly P&amp;L'!Q41</f>
        <v>4282.78</v>
      </c>
      <c r="C27" s="229">
        <f>+'[1]Restating Adjustments'!K28</f>
        <v>-4282.78</v>
      </c>
      <c r="D27" s="229">
        <f t="shared" si="5"/>
        <v>0</v>
      </c>
      <c r="E27" s="229"/>
      <c r="F27" s="229">
        <f t="shared" si="6"/>
        <v>0</v>
      </c>
      <c r="G27" s="229">
        <f>+'[1]Allocation Matrix'!C27</f>
        <v>0</v>
      </c>
      <c r="H27" s="229">
        <f t="shared" si="7"/>
        <v>0</v>
      </c>
      <c r="I27" s="229"/>
      <c r="J27" s="229">
        <f t="shared" si="8"/>
        <v>0</v>
      </c>
      <c r="K27" s="224"/>
      <c r="L27" s="203"/>
      <c r="M27" s="203"/>
      <c r="N27" s="203"/>
      <c r="O27" s="203"/>
      <c r="P27" s="203"/>
      <c r="Q27" s="203"/>
    </row>
    <row r="28" spans="1:17" ht="15.75">
      <c r="A28" s="225" t="s">
        <v>239</v>
      </c>
      <c r="B28" s="229">
        <f>+'[1]Monthly P&amp;L'!Q42+'[1]Monthly P&amp;L'!Q43</f>
        <v>36188.68</v>
      </c>
      <c r="C28" s="229"/>
      <c r="D28" s="229">
        <f t="shared" si="5"/>
        <v>36188.68</v>
      </c>
      <c r="E28" s="229"/>
      <c r="F28" s="229">
        <f t="shared" si="6"/>
        <v>36188.68</v>
      </c>
      <c r="G28" s="229">
        <f>+'[1]Allocation Matrix'!C28</f>
        <v>4947.2618705321674</v>
      </c>
      <c r="H28" s="229">
        <f t="shared" si="7"/>
        <v>31241.418129467835</v>
      </c>
      <c r="I28" s="229"/>
      <c r="J28" s="229">
        <f t="shared" si="8"/>
        <v>31241.418129467835</v>
      </c>
      <c r="K28" s="224"/>
      <c r="L28" s="203"/>
      <c r="M28" s="203"/>
      <c r="N28" s="203"/>
      <c r="O28" s="203"/>
      <c r="P28" s="203"/>
      <c r="Q28" s="203"/>
    </row>
    <row r="29" spans="1:17" ht="15.75">
      <c r="A29" s="225" t="s">
        <v>240</v>
      </c>
      <c r="B29" s="229">
        <f>+'[1]Monthly P&amp;L'!Q44</f>
        <v>31751.37</v>
      </c>
      <c r="C29" s="229"/>
      <c r="D29" s="229">
        <f t="shared" si="5"/>
        <v>31751.37</v>
      </c>
      <c r="E29" s="229"/>
      <c r="F29" s="229">
        <f t="shared" si="6"/>
        <v>31751.37</v>
      </c>
      <c r="G29" s="229">
        <f>+'[1]Allocation Matrix'!C29</f>
        <v>4482.7688780778381</v>
      </c>
      <c r="H29" s="229">
        <f t="shared" si="7"/>
        <v>27268.601121922162</v>
      </c>
      <c r="I29" s="229"/>
      <c r="J29" s="229">
        <f t="shared" si="8"/>
        <v>27268.601121922162</v>
      </c>
      <c r="K29" s="224"/>
      <c r="L29" s="203"/>
      <c r="M29" s="203"/>
      <c r="N29" s="203"/>
      <c r="O29" s="203"/>
      <c r="P29" s="203"/>
      <c r="Q29" s="203"/>
    </row>
    <row r="30" spans="1:17" ht="15.75">
      <c r="A30" s="225" t="s">
        <v>241</v>
      </c>
      <c r="B30" s="229">
        <f>+'[1]Monthly P&amp;L'!Q45</f>
        <v>4680</v>
      </c>
      <c r="C30" s="229">
        <f>+'[1]Restating Adjustments'!K29</f>
        <v>-544.28399999999999</v>
      </c>
      <c r="D30" s="229">
        <f t="shared" si="5"/>
        <v>4135.7160000000003</v>
      </c>
      <c r="E30" s="229"/>
      <c r="F30" s="229">
        <f t="shared" si="6"/>
        <v>4135.7160000000003</v>
      </c>
      <c r="G30" s="229">
        <f>+'[1]Allocation Matrix'!C30</f>
        <v>0</v>
      </c>
      <c r="H30" s="229">
        <f t="shared" si="7"/>
        <v>4135.7160000000003</v>
      </c>
      <c r="I30" s="229"/>
      <c r="J30" s="229">
        <f t="shared" si="8"/>
        <v>4135.7160000000003</v>
      </c>
      <c r="K30" s="224"/>
      <c r="L30" s="203"/>
      <c r="M30" s="203"/>
      <c r="N30" s="203"/>
      <c r="O30" s="203"/>
      <c r="P30" s="203"/>
      <c r="Q30" s="203"/>
    </row>
    <row r="31" spans="1:17" ht="15.75">
      <c r="A31" s="225" t="s">
        <v>242</v>
      </c>
      <c r="B31" s="229">
        <f>+'[1]Monthly P&amp;L'!Q46</f>
        <v>6010</v>
      </c>
      <c r="C31" s="229"/>
      <c r="D31" s="229">
        <f t="shared" si="5"/>
        <v>6010</v>
      </c>
      <c r="E31" s="229"/>
      <c r="F31" s="229">
        <f t="shared" si="6"/>
        <v>6010</v>
      </c>
      <c r="G31" s="229">
        <f>+'[1]Allocation Matrix'!C31</f>
        <v>821.61172615023065</v>
      </c>
      <c r="H31" s="229">
        <f t="shared" si="7"/>
        <v>5188.3882738497696</v>
      </c>
      <c r="I31" s="229"/>
      <c r="J31" s="229">
        <f t="shared" si="8"/>
        <v>5188.3882738497696</v>
      </c>
      <c r="K31" s="224"/>
      <c r="L31" s="203"/>
      <c r="M31" s="203"/>
      <c r="N31" s="203"/>
      <c r="O31" s="203"/>
      <c r="P31" s="203"/>
      <c r="Q31" s="203"/>
    </row>
    <row r="32" spans="1:17" ht="15.75">
      <c r="A32" s="225" t="s">
        <v>243</v>
      </c>
      <c r="B32" s="229">
        <f>+'[1]Monthly P&amp;L'!Q47</f>
        <v>4662.3500000000004</v>
      </c>
      <c r="C32" s="229"/>
      <c r="D32" s="229">
        <f t="shared" si="5"/>
        <v>4662.3500000000004</v>
      </c>
      <c r="E32" s="229"/>
      <c r="F32" s="229">
        <f t="shared" si="6"/>
        <v>4662.3500000000004</v>
      </c>
      <c r="G32" s="229">
        <f>+'[1]Allocation Matrix'!C32</f>
        <v>637.37794199942232</v>
      </c>
      <c r="H32" s="229">
        <f t="shared" si="7"/>
        <v>4024.9720580005778</v>
      </c>
      <c r="I32" s="229"/>
      <c r="J32" s="229">
        <f t="shared" si="8"/>
        <v>4024.9720580005778</v>
      </c>
      <c r="K32" s="224"/>
      <c r="L32" s="203"/>
      <c r="M32" s="203"/>
      <c r="N32" s="203"/>
      <c r="O32" s="203"/>
      <c r="P32" s="203"/>
      <c r="Q32" s="203"/>
    </row>
    <row r="33" spans="1:17" ht="15.75">
      <c r="A33" s="225" t="s">
        <v>244</v>
      </c>
      <c r="B33" s="229">
        <f>+'[1]Monthly P&amp;L'!Q48</f>
        <v>987.5</v>
      </c>
      <c r="C33" s="229"/>
      <c r="D33" s="229">
        <f t="shared" si="5"/>
        <v>987.5</v>
      </c>
      <c r="E33" s="229"/>
      <c r="F33" s="229">
        <f t="shared" si="6"/>
        <v>987.5</v>
      </c>
      <c r="G33" s="229">
        <f>+'[1]Allocation Matrix'!C33</f>
        <v>134.99859893067435</v>
      </c>
      <c r="H33" s="229">
        <f t="shared" si="7"/>
        <v>852.50140106932565</v>
      </c>
      <c r="I33" s="229"/>
      <c r="J33" s="229">
        <f t="shared" si="8"/>
        <v>852.50140106932565</v>
      </c>
      <c r="K33" s="224"/>
      <c r="L33" s="203"/>
      <c r="M33" s="203"/>
      <c r="N33" s="203"/>
      <c r="O33" s="203"/>
      <c r="P33" s="203"/>
      <c r="Q33" s="203"/>
    </row>
    <row r="34" spans="1:17" ht="15.75">
      <c r="A34" s="225" t="s">
        <v>245</v>
      </c>
      <c r="B34" s="229">
        <f>+'[1]Monthly P&amp;L'!Q49</f>
        <v>38788.879999999997</v>
      </c>
      <c r="C34" s="229"/>
      <c r="D34" s="229">
        <f t="shared" si="5"/>
        <v>38788.879999999997</v>
      </c>
      <c r="E34" s="229">
        <f>+'[1]Pro Forma Adjustments'!K24</f>
        <v>10655.529999999999</v>
      </c>
      <c r="F34" s="229">
        <f t="shared" si="6"/>
        <v>49444.409999999996</v>
      </c>
      <c r="G34" s="229">
        <f>+'[1]Allocation Matrix'!C34</f>
        <v>6538.1038016528919</v>
      </c>
      <c r="H34" s="229">
        <f t="shared" si="7"/>
        <v>42906.306198347105</v>
      </c>
      <c r="I34" s="229"/>
      <c r="J34" s="229">
        <f t="shared" si="8"/>
        <v>42906.306198347105</v>
      </c>
      <c r="K34" s="224"/>
      <c r="L34" s="203"/>
      <c r="M34" s="203"/>
      <c r="N34" s="203"/>
      <c r="O34" s="203"/>
      <c r="P34" s="203"/>
      <c r="Q34" s="203"/>
    </row>
    <row r="35" spans="1:17" ht="15.75">
      <c r="A35" s="225" t="s">
        <v>246</v>
      </c>
      <c r="B35" s="229">
        <f>+'[1]Monthly P&amp;L'!Q53</f>
        <v>8910.74</v>
      </c>
      <c r="C35" s="229">
        <f>+'[1]Restating Adjustments'!K30</f>
        <v>-8910.74</v>
      </c>
      <c r="D35" s="229">
        <f t="shared" si="5"/>
        <v>0</v>
      </c>
      <c r="E35" s="229"/>
      <c r="F35" s="229">
        <f t="shared" si="6"/>
        <v>0</v>
      </c>
      <c r="G35" s="229">
        <f>+'[1]Allocation Matrix'!C35</f>
        <v>0</v>
      </c>
      <c r="H35" s="229">
        <f t="shared" si="7"/>
        <v>0</v>
      </c>
      <c r="I35" s="229"/>
      <c r="J35" s="229">
        <f t="shared" si="8"/>
        <v>0</v>
      </c>
      <c r="K35" s="224"/>
      <c r="L35" s="203"/>
      <c r="M35" s="203"/>
      <c r="N35" s="203"/>
      <c r="O35" s="203"/>
      <c r="P35" s="203"/>
      <c r="Q35" s="203"/>
    </row>
    <row r="36" spans="1:17" ht="15.75">
      <c r="A36" s="225" t="s">
        <v>247</v>
      </c>
      <c r="B36" s="229">
        <f>+'[1]Monthly P&amp;L'!Q54</f>
        <v>67.13</v>
      </c>
      <c r="C36" s="229">
        <f>+'[1]Restating Adjustments'!K31</f>
        <v>-67.13</v>
      </c>
      <c r="D36" s="229">
        <f t="shared" si="5"/>
        <v>0</v>
      </c>
      <c r="E36" s="229"/>
      <c r="F36" s="229">
        <f t="shared" si="6"/>
        <v>0</v>
      </c>
      <c r="G36" s="229">
        <f>+'[1]Allocation Matrix'!C36</f>
        <v>0</v>
      </c>
      <c r="H36" s="229">
        <f t="shared" si="7"/>
        <v>0</v>
      </c>
      <c r="I36" s="229"/>
      <c r="J36" s="229">
        <f t="shared" si="8"/>
        <v>0</v>
      </c>
      <c r="K36" s="224"/>
      <c r="L36" s="203"/>
      <c r="M36" s="203"/>
      <c r="N36" s="203"/>
      <c r="O36" s="203"/>
      <c r="P36" s="203"/>
      <c r="Q36" s="203"/>
    </row>
    <row r="37" spans="1:17" ht="15.75">
      <c r="A37" s="225" t="s">
        <v>248</v>
      </c>
      <c r="B37" s="229">
        <f>+'[1]Monthly P&amp;L'!Q55</f>
        <v>1112.8599999999999</v>
      </c>
      <c r="C37" s="229"/>
      <c r="D37" s="229">
        <f t="shared" si="5"/>
        <v>1112.8599999999999</v>
      </c>
      <c r="E37" s="229"/>
      <c r="F37" s="229">
        <f t="shared" si="6"/>
        <v>1112.8599999999999</v>
      </c>
      <c r="G37" s="229">
        <f>+'[1]Allocation Matrix'!C37</f>
        <v>152.13624385416733</v>
      </c>
      <c r="H37" s="229">
        <f t="shared" si="7"/>
        <v>960.72375614583257</v>
      </c>
      <c r="I37" s="229"/>
      <c r="J37" s="229">
        <f t="shared" si="8"/>
        <v>960.72375614583257</v>
      </c>
      <c r="K37" s="224"/>
      <c r="L37" s="203"/>
      <c r="M37" s="203"/>
      <c r="N37" s="203"/>
      <c r="O37" s="203"/>
      <c r="P37" s="203"/>
      <c r="Q37" s="203"/>
    </row>
    <row r="38" spans="1:17" ht="15.75">
      <c r="A38" s="225" t="s">
        <v>249</v>
      </c>
      <c r="B38" s="229">
        <f>+'[1]Monthly P&amp;L'!Q56</f>
        <v>7003.49</v>
      </c>
      <c r="C38" s="229"/>
      <c r="D38" s="229">
        <f t="shared" si="5"/>
        <v>7003.49</v>
      </c>
      <c r="E38" s="229"/>
      <c r="F38" s="229">
        <f t="shared" si="6"/>
        <v>7003.49</v>
      </c>
      <c r="G38" s="229">
        <f>+'[1]Allocation Matrix'!C38</f>
        <v>926.08132231404954</v>
      </c>
      <c r="H38" s="229">
        <f t="shared" si="7"/>
        <v>6077.4086776859504</v>
      </c>
      <c r="I38" s="229"/>
      <c r="J38" s="229">
        <f t="shared" si="8"/>
        <v>6077.4086776859504</v>
      </c>
      <c r="K38" s="224"/>
      <c r="L38" s="203"/>
      <c r="M38" s="203"/>
      <c r="N38" s="203"/>
      <c r="O38" s="203"/>
      <c r="P38" s="203"/>
      <c r="Q38" s="203"/>
    </row>
    <row r="39" spans="1:17" ht="15.75">
      <c r="A39" s="225" t="s">
        <v>250</v>
      </c>
      <c r="B39" s="229">
        <f>+'[1]Monthly P&amp;L'!Q57</f>
        <v>6120.05</v>
      </c>
      <c r="C39" s="229">
        <f>+'[2]Restating Adjustments'!K44</f>
        <v>512.47450000000026</v>
      </c>
      <c r="D39" s="229">
        <f t="shared" si="5"/>
        <v>6632.5245000000004</v>
      </c>
      <c r="E39" s="229"/>
      <c r="F39" s="229">
        <f t="shared" si="6"/>
        <v>6632.5245000000004</v>
      </c>
      <c r="G39" s="229">
        <f>+'[1]Allocation Matrix'!C39</f>
        <v>0</v>
      </c>
      <c r="H39" s="229">
        <f t="shared" si="7"/>
        <v>6632.5245000000004</v>
      </c>
      <c r="I39" s="229">
        <f>+I14*0.0051</f>
        <v>1083.0111079200015</v>
      </c>
      <c r="J39" s="229">
        <f t="shared" si="8"/>
        <v>7715.5356079200019</v>
      </c>
      <c r="K39" s="224"/>
      <c r="L39" s="203"/>
      <c r="M39" s="203"/>
      <c r="N39" s="203"/>
      <c r="O39" s="203"/>
      <c r="P39" s="203"/>
      <c r="Q39" s="203"/>
    </row>
    <row r="40" spans="1:17" ht="15.75">
      <c r="A40" s="225" t="s">
        <v>251</v>
      </c>
      <c r="B40" s="229">
        <f>+'[1]Monthly P&amp;L'!Q58</f>
        <v>171.61</v>
      </c>
      <c r="C40" s="229"/>
      <c r="D40" s="229">
        <f t="shared" si="5"/>
        <v>171.61</v>
      </c>
      <c r="E40" s="229"/>
      <c r="F40" s="229">
        <f t="shared" si="6"/>
        <v>171.61</v>
      </c>
      <c r="G40" s="229">
        <f>+'[1]Allocation Matrix'!C40</f>
        <v>23.460364113916988</v>
      </c>
      <c r="H40" s="229">
        <f t="shared" si="7"/>
        <v>148.14963588608302</v>
      </c>
      <c r="I40" s="229"/>
      <c r="J40" s="229">
        <f t="shared" si="8"/>
        <v>148.14963588608302</v>
      </c>
      <c r="K40" s="224"/>
      <c r="L40" s="203"/>
      <c r="M40" s="203"/>
      <c r="N40" s="203"/>
      <c r="O40" s="203"/>
      <c r="P40" s="203"/>
      <c r="Q40" s="203"/>
    </row>
    <row r="41" spans="1:17" ht="15.75">
      <c r="A41" s="225" t="s">
        <v>252</v>
      </c>
      <c r="B41" s="229">
        <f>+'[1]Monthly P&amp;L'!Q59</f>
        <v>30</v>
      </c>
      <c r="C41" s="229"/>
      <c r="D41" s="229">
        <f t="shared" si="5"/>
        <v>30</v>
      </c>
      <c r="E41" s="229"/>
      <c r="F41" s="229">
        <f t="shared" si="6"/>
        <v>30</v>
      </c>
      <c r="G41" s="229">
        <f>+'[1]Allocation Matrix'!C41</f>
        <v>4.1012232586533974</v>
      </c>
      <c r="H41" s="229">
        <f t="shared" si="7"/>
        <v>25.898776741346602</v>
      </c>
      <c r="I41" s="229"/>
      <c r="J41" s="229">
        <f t="shared" si="8"/>
        <v>25.898776741346602</v>
      </c>
      <c r="K41" s="224"/>
      <c r="L41" s="203"/>
      <c r="M41" s="203"/>
      <c r="N41" s="203"/>
      <c r="O41" s="203"/>
      <c r="P41" s="203"/>
      <c r="Q41" s="203"/>
    </row>
    <row r="42" spans="1:17" ht="15.75">
      <c r="A42" s="225" t="s">
        <v>253</v>
      </c>
      <c r="B42" s="229">
        <f>+'[1]Monthly P&amp;L'!Q60+'[1]Monthly P&amp;L'!Q61</f>
        <v>4785.37</v>
      </c>
      <c r="C42" s="229"/>
      <c r="D42" s="229">
        <f t="shared" si="5"/>
        <v>4785.37</v>
      </c>
      <c r="E42" s="229"/>
      <c r="F42" s="229">
        <f t="shared" si="6"/>
        <v>4785.37</v>
      </c>
      <c r="G42" s="229">
        <f>+'[1]Allocation Matrix'!C42</f>
        <v>654.19569150874031</v>
      </c>
      <c r="H42" s="229">
        <f t="shared" si="7"/>
        <v>4131.1743084912596</v>
      </c>
      <c r="I42" s="229"/>
      <c r="J42" s="229">
        <f t="shared" si="8"/>
        <v>4131.1743084912596</v>
      </c>
      <c r="K42" s="224"/>
      <c r="L42" s="203"/>
      <c r="M42" s="203"/>
      <c r="N42" s="203"/>
      <c r="O42" s="203"/>
      <c r="P42" s="203"/>
      <c r="Q42" s="203"/>
    </row>
    <row r="43" spans="1:17" ht="15.75">
      <c r="A43" s="225" t="s">
        <v>254</v>
      </c>
      <c r="B43" s="229">
        <f>+'[1]Monthly P&amp;L'!Q62+'[1]Monthly P&amp;L'!Q23</f>
        <v>31139.64</v>
      </c>
      <c r="C43" s="229"/>
      <c r="D43" s="229">
        <f t="shared" si="5"/>
        <v>31139.64</v>
      </c>
      <c r="E43" s="229"/>
      <c r="F43" s="229">
        <f t="shared" si="6"/>
        <v>31139.64</v>
      </c>
      <c r="G43" s="229">
        <f>+'[1]Allocation Matrix'!C43</f>
        <v>4149.6354121603545</v>
      </c>
      <c r="H43" s="229">
        <f t="shared" si="7"/>
        <v>26990.004587839645</v>
      </c>
      <c r="I43" s="229">
        <f>+I14*0.0175</f>
        <v>3716.2145860000046</v>
      </c>
      <c r="J43" s="229">
        <f t="shared" si="8"/>
        <v>30706.21917383965</v>
      </c>
      <c r="K43" s="224"/>
      <c r="L43" s="203"/>
      <c r="M43" s="203"/>
      <c r="N43" s="203"/>
      <c r="O43" s="203"/>
      <c r="P43" s="203"/>
      <c r="Q43" s="203"/>
    </row>
    <row r="44" spans="1:17" ht="15.75">
      <c r="A44" s="225" t="s">
        <v>255</v>
      </c>
      <c r="B44" s="229">
        <f>+'[1]Monthly P&amp;L'!Q63</f>
        <v>302.89999999999998</v>
      </c>
      <c r="C44" s="229"/>
      <c r="D44" s="229">
        <f t="shared" si="5"/>
        <v>302.89999999999998</v>
      </c>
      <c r="E44" s="229"/>
      <c r="F44" s="229">
        <f t="shared" si="6"/>
        <v>302.89999999999998</v>
      </c>
      <c r="G44" s="229">
        <f>+'[1]Allocation Matrix'!C44</f>
        <v>40.364132865485004</v>
      </c>
      <c r="H44" s="229">
        <f t="shared" si="7"/>
        <v>262.535867134515</v>
      </c>
      <c r="I44" s="229"/>
      <c r="J44" s="229">
        <f t="shared" si="8"/>
        <v>262.535867134515</v>
      </c>
      <c r="K44" s="224"/>
      <c r="L44" s="203"/>
      <c r="M44" s="203"/>
      <c r="N44" s="203"/>
      <c r="O44" s="203"/>
      <c r="P44" s="203"/>
      <c r="Q44" s="203"/>
    </row>
    <row r="45" spans="1:17" ht="15.75">
      <c r="A45" s="225" t="s">
        <v>256</v>
      </c>
      <c r="B45" s="229">
        <f>+'[1]Monthly P&amp;L'!Q64</f>
        <v>552613.11</v>
      </c>
      <c r="C45" s="229">
        <f>+'[1]Restating Adjustments'!K12+'[1]Restating Adjustments'!K46</f>
        <v>-84145.46</v>
      </c>
      <c r="D45" s="229">
        <f t="shared" si="5"/>
        <v>468467.64999999997</v>
      </c>
      <c r="E45" s="229">
        <f>+'[1]Pro Forma Adjustments'!K9+'[1]Pro Forma Adjustments'!K14</f>
        <v>28384.563999999998</v>
      </c>
      <c r="F45" s="229">
        <f t="shared" si="6"/>
        <v>496852.21399999998</v>
      </c>
      <c r="G45" s="229">
        <f>+'[1]Allocation Matrix'!C45</f>
        <v>67923.395205674504</v>
      </c>
      <c r="H45" s="229">
        <f t="shared" si="7"/>
        <v>428928.81879432546</v>
      </c>
      <c r="I45" s="229"/>
      <c r="J45" s="229">
        <f t="shared" si="8"/>
        <v>428928.81879432546</v>
      </c>
      <c r="K45" s="224"/>
      <c r="L45" s="203"/>
      <c r="M45" s="203"/>
      <c r="N45" s="203"/>
      <c r="O45" s="203"/>
      <c r="P45" s="203"/>
      <c r="Q45" s="203"/>
    </row>
    <row r="46" spans="1:17" ht="15.75">
      <c r="A46" s="225" t="s">
        <v>257</v>
      </c>
      <c r="B46" s="229"/>
      <c r="C46" s="229">
        <f>+'[1]Restating Adjustments'!K45</f>
        <v>66673.88</v>
      </c>
      <c r="D46" s="229">
        <f t="shared" ref="D46" si="9">+SUM(B46:C46)</f>
        <v>66673.88</v>
      </c>
      <c r="E46" s="229">
        <f>+'[1]Pro Forma Adjustments'!K19</f>
        <v>2014.8294500000002</v>
      </c>
      <c r="F46" s="229">
        <f t="shared" ref="F46" si="10">SUM(D46:E46)</f>
        <v>68688.709450000009</v>
      </c>
      <c r="G46" s="229">
        <f>+'[1]Allocation Matrix'!C46</f>
        <v>9390.2577601075154</v>
      </c>
      <c r="H46" s="229">
        <f t="shared" si="7"/>
        <v>59298.451689892492</v>
      </c>
      <c r="I46" s="229"/>
      <c r="J46" s="229">
        <f t="shared" si="8"/>
        <v>59298.451689892492</v>
      </c>
      <c r="K46" s="224"/>
      <c r="L46" s="203"/>
      <c r="M46" s="203"/>
      <c r="N46" s="203"/>
      <c r="O46" s="203"/>
      <c r="P46" s="203"/>
      <c r="Q46" s="203"/>
    </row>
    <row r="47" spans="1:17" ht="15.75">
      <c r="A47" s="225" t="s">
        <v>258</v>
      </c>
      <c r="B47" s="229">
        <f>+'[1]Monthly P&amp;L'!Q65</f>
        <v>-1864.37</v>
      </c>
      <c r="C47" s="229"/>
      <c r="D47" s="229">
        <f t="shared" si="5"/>
        <v>-1864.37</v>
      </c>
      <c r="E47" s="229"/>
      <c r="F47" s="229">
        <f t="shared" si="6"/>
        <v>-1864.37</v>
      </c>
      <c r="G47" s="229">
        <f>+'[1]Allocation Matrix'!C47</f>
        <v>-254.87325355785447</v>
      </c>
      <c r="H47" s="229">
        <f t="shared" si="7"/>
        <v>-1609.4967464421454</v>
      </c>
      <c r="I47" s="229"/>
      <c r="J47" s="229">
        <f t="shared" si="8"/>
        <v>-1609.4967464421454</v>
      </c>
      <c r="K47" s="224"/>
      <c r="L47" s="203"/>
      <c r="M47" s="203"/>
      <c r="N47" s="203"/>
      <c r="O47" s="203"/>
      <c r="P47" s="203"/>
      <c r="Q47" s="203"/>
    </row>
    <row r="48" spans="1:17" ht="15.75">
      <c r="A48" s="225" t="s">
        <v>259</v>
      </c>
      <c r="B48" s="229">
        <f>+'[1]Monthly P&amp;L'!Q32</f>
        <v>20895.810000000001</v>
      </c>
      <c r="C48" s="229"/>
      <c r="D48" s="229">
        <f t="shared" si="5"/>
        <v>20895.810000000001</v>
      </c>
      <c r="E48" s="229"/>
      <c r="F48" s="229">
        <f t="shared" si="6"/>
        <v>20895.810000000001</v>
      </c>
      <c r="G48" s="229">
        <f>+'[1]Allocation Matrix'!C48</f>
        <v>2950.1431513105636</v>
      </c>
      <c r="H48" s="229">
        <f t="shared" si="7"/>
        <v>17945.666848689438</v>
      </c>
      <c r="I48" s="229"/>
      <c r="J48" s="229">
        <f t="shared" si="8"/>
        <v>17945.666848689438</v>
      </c>
      <c r="K48" s="224"/>
      <c r="L48" s="203"/>
      <c r="M48" s="203"/>
      <c r="N48" s="203"/>
      <c r="O48" s="203"/>
      <c r="P48" s="203"/>
      <c r="Q48" s="203"/>
    </row>
    <row r="49" spans="1:17" ht="15.75">
      <c r="A49" s="225" t="s">
        <v>35</v>
      </c>
      <c r="B49" s="229">
        <f>+'[1]Monthly P&amp;L'!Q66</f>
        <v>47928.19</v>
      </c>
      <c r="C49" s="229">
        <f>+'[1]Restating Adjustments'!K32</f>
        <v>-47928.19</v>
      </c>
      <c r="D49" s="229">
        <f t="shared" si="5"/>
        <v>0</v>
      </c>
      <c r="E49" s="229"/>
      <c r="F49" s="229">
        <f t="shared" si="6"/>
        <v>0</v>
      </c>
      <c r="G49" s="229">
        <f>+'[1]Allocation Matrix'!C49</f>
        <v>0</v>
      </c>
      <c r="H49" s="229">
        <f t="shared" si="7"/>
        <v>0</v>
      </c>
      <c r="I49" s="229"/>
      <c r="J49" s="229">
        <f t="shared" si="8"/>
        <v>0</v>
      </c>
      <c r="K49" s="224"/>
      <c r="L49" s="203"/>
      <c r="M49" s="203"/>
      <c r="N49" s="203"/>
      <c r="O49" s="203"/>
      <c r="P49" s="203"/>
      <c r="Q49" s="203"/>
    </row>
    <row r="50" spans="1:17" ht="15.75">
      <c r="A50" s="225" t="s">
        <v>260</v>
      </c>
      <c r="B50" s="229">
        <f>+'[1]Monthly P&amp;L'!Q21</f>
        <v>135479.88</v>
      </c>
      <c r="C50" s="229">
        <f>+'[1]Restating Adjustments'!K9</f>
        <v>140752.26695238042</v>
      </c>
      <c r="D50" s="229">
        <f t="shared" si="5"/>
        <v>276232.14695238043</v>
      </c>
      <c r="E50" s="229"/>
      <c r="F50" s="229">
        <f t="shared" si="6"/>
        <v>276232.14695238043</v>
      </c>
      <c r="G50" s="229">
        <f>+'[1]Allocation Matrix'!C50</f>
        <v>36526.56488626518</v>
      </c>
      <c r="H50" s="229">
        <f t="shared" si="7"/>
        <v>239705.58206611525</v>
      </c>
      <c r="I50" s="229"/>
      <c r="J50" s="229">
        <f t="shared" si="8"/>
        <v>239705.58206611525</v>
      </c>
      <c r="K50" s="224"/>
      <c r="L50" s="203"/>
      <c r="M50" s="203"/>
      <c r="N50" s="203"/>
      <c r="O50" s="203"/>
      <c r="P50" s="203"/>
      <c r="Q50" s="203"/>
    </row>
    <row r="51" spans="1:17" ht="15.75">
      <c r="A51" s="225" t="s">
        <v>161</v>
      </c>
      <c r="B51" s="230">
        <f>+'[1]Monthly P&amp;L'!Q30</f>
        <v>19565.349999999999</v>
      </c>
      <c r="C51" s="230"/>
      <c r="D51" s="229">
        <f t="shared" si="5"/>
        <v>19565.349999999999</v>
      </c>
      <c r="E51" s="230"/>
      <c r="F51" s="229">
        <f t="shared" si="6"/>
        <v>19565.349999999999</v>
      </c>
      <c r="G51" s="229">
        <f>+'[1]Allocation Matrix'!C51</f>
        <v>2674.7289494564748</v>
      </c>
      <c r="H51" s="229">
        <f t="shared" si="7"/>
        <v>16890.621050543523</v>
      </c>
      <c r="I51" s="230"/>
      <c r="J51" s="229">
        <f t="shared" si="8"/>
        <v>16890.621050543523</v>
      </c>
      <c r="K51" s="224"/>
      <c r="L51" s="203"/>
      <c r="M51" s="203"/>
      <c r="N51" s="203"/>
      <c r="O51" s="203"/>
      <c r="P51" s="203"/>
      <c r="Q51" s="203"/>
    </row>
    <row r="52" spans="1:17" ht="15.75">
      <c r="A52" s="225" t="s">
        <v>261</v>
      </c>
      <c r="B52" s="232">
        <f>SUM(B17:B51)</f>
        <v>1564330.9700000002</v>
      </c>
      <c r="C52" s="232">
        <f t="shared" ref="C52:J52" si="11">SUM(C17:C51)</f>
        <v>44916.097452380403</v>
      </c>
      <c r="D52" s="232">
        <f t="shared" si="11"/>
        <v>1609247.0674523804</v>
      </c>
      <c r="E52" s="232">
        <f t="shared" si="11"/>
        <v>41054.923449999995</v>
      </c>
      <c r="F52" s="232">
        <f t="shared" si="11"/>
        <v>1650301.9909023806</v>
      </c>
      <c r="G52" s="232">
        <f t="shared" si="11"/>
        <v>203326.18891003326</v>
      </c>
      <c r="H52" s="232">
        <f t="shared" si="11"/>
        <v>1446975.8019923475</v>
      </c>
      <c r="I52" s="232">
        <f t="shared" si="11"/>
        <v>4799.2256939200061</v>
      </c>
      <c r="J52" s="232">
        <f t="shared" si="11"/>
        <v>1451775.0276862674</v>
      </c>
      <c r="K52" s="224"/>
      <c r="L52" s="203"/>
      <c r="M52" s="203"/>
      <c r="N52" s="203"/>
      <c r="O52" s="203"/>
      <c r="P52" s="203"/>
      <c r="Q52" s="203"/>
    </row>
    <row r="53" spans="1:17" ht="15.75">
      <c r="A53" s="225" t="s">
        <v>38</v>
      </c>
      <c r="B53" s="229">
        <f>+B14-B52</f>
        <v>-32871.690000000177</v>
      </c>
      <c r="C53" s="229">
        <f t="shared" ref="C53:J53" si="12">+C14-C52</f>
        <v>-44916.097452380403</v>
      </c>
      <c r="D53" s="229">
        <f t="shared" si="12"/>
        <v>-77787.787452380406</v>
      </c>
      <c r="E53" s="229">
        <f t="shared" si="12"/>
        <v>-41054.923449999995</v>
      </c>
      <c r="F53" s="229">
        <f t="shared" si="12"/>
        <v>-118842.71090238052</v>
      </c>
      <c r="G53" s="229">
        <f t="shared" si="12"/>
        <v>754.45108996675117</v>
      </c>
      <c r="H53" s="229">
        <f t="shared" si="12"/>
        <v>-119597.16199234757</v>
      </c>
      <c r="I53" s="229">
        <f t="shared" si="12"/>
        <v>207555.89350608023</v>
      </c>
      <c r="J53" s="229">
        <f t="shared" si="12"/>
        <v>87958.731513732811</v>
      </c>
      <c r="K53" s="224"/>
      <c r="L53" s="203"/>
      <c r="M53" s="203"/>
      <c r="N53" s="203"/>
      <c r="O53" s="203"/>
      <c r="P53" s="203"/>
      <c r="Q53" s="203"/>
    </row>
    <row r="54" spans="1:17" ht="15.75">
      <c r="A54" s="225"/>
      <c r="B54" s="229"/>
      <c r="C54" s="229"/>
      <c r="D54" s="229"/>
      <c r="E54" s="229"/>
      <c r="F54" s="229"/>
      <c r="G54" s="229"/>
      <c r="H54" s="229"/>
      <c r="I54" s="229"/>
      <c r="J54" s="229"/>
      <c r="K54" s="224"/>
      <c r="L54" s="203"/>
      <c r="M54" s="203"/>
      <c r="N54" s="203"/>
      <c r="O54" s="203"/>
      <c r="P54" s="203"/>
      <c r="Q54" s="203"/>
    </row>
    <row r="55" spans="1:17" ht="15.75">
      <c r="A55" s="225" t="s">
        <v>31</v>
      </c>
      <c r="B55" s="234">
        <f>+B52/B14</f>
        <v>1.0214642925406414</v>
      </c>
      <c r="C55" s="235"/>
      <c r="D55" s="235"/>
      <c r="E55" s="235"/>
      <c r="F55" s="234">
        <f>+F52/F14</f>
        <v>1.077600960374461</v>
      </c>
      <c r="G55" s="234">
        <f>+G52/G14</f>
        <v>0.99630317167778992</v>
      </c>
      <c r="H55" s="234">
        <f>+H52/H14</f>
        <v>1.0901002610621695</v>
      </c>
      <c r="I55" s="235"/>
      <c r="J55" s="234">
        <f>+J52/J14</f>
        <v>0.94287406443602717</v>
      </c>
      <c r="K55" s="228"/>
      <c r="L55" s="203"/>
      <c r="M55" s="203"/>
      <c r="N55" s="203"/>
      <c r="O55" s="203"/>
      <c r="P55" s="203"/>
      <c r="Q55" s="203"/>
    </row>
    <row r="56" spans="1:17">
      <c r="A56" s="228"/>
      <c r="B56" s="231"/>
      <c r="C56" s="231"/>
      <c r="D56" s="231"/>
      <c r="E56" s="231"/>
      <c r="F56" s="231"/>
      <c r="G56" s="231"/>
      <c r="H56" s="231"/>
      <c r="I56" s="231"/>
      <c r="J56" s="231"/>
      <c r="K56" s="228"/>
      <c r="L56" s="203"/>
      <c r="M56" s="203"/>
      <c r="N56" s="203"/>
      <c r="O56" s="203"/>
      <c r="P56" s="203"/>
      <c r="Q56" s="203"/>
    </row>
    <row r="57" spans="1:17">
      <c r="A57" s="228"/>
      <c r="B57" s="231"/>
      <c r="C57" s="231"/>
      <c r="D57" s="231"/>
      <c r="E57" s="231"/>
      <c r="F57" s="231"/>
      <c r="G57" s="231"/>
      <c r="H57" s="231"/>
      <c r="I57" s="231"/>
      <c r="J57" s="231"/>
      <c r="K57" s="228"/>
      <c r="L57" s="203"/>
      <c r="M57" s="203"/>
      <c r="N57" s="203"/>
      <c r="O57" s="203"/>
      <c r="P57" s="203"/>
      <c r="Q57" s="203"/>
    </row>
    <row r="58" spans="1:17">
      <c r="A58" s="228"/>
      <c r="B58" s="231"/>
      <c r="C58" s="231"/>
      <c r="D58" s="231"/>
      <c r="E58" s="231"/>
      <c r="F58" s="231"/>
      <c r="G58" s="231"/>
      <c r="H58" s="231"/>
      <c r="I58" s="231"/>
      <c r="J58" s="231"/>
      <c r="K58" s="228"/>
      <c r="L58" s="203"/>
      <c r="M58" s="203"/>
      <c r="N58" s="203"/>
      <c r="O58" s="203"/>
      <c r="P58" s="203"/>
      <c r="Q58" s="203"/>
    </row>
    <row r="59" spans="1:17">
      <c r="A59" s="203"/>
      <c r="B59" s="203"/>
      <c r="C59" s="203"/>
      <c r="D59" s="203"/>
      <c r="E59" s="203"/>
      <c r="F59" s="203"/>
      <c r="G59" s="203"/>
      <c r="H59" s="203"/>
      <c r="I59" s="203"/>
      <c r="J59" s="203"/>
      <c r="K59" s="203"/>
      <c r="L59" s="203"/>
      <c r="M59" s="203"/>
      <c r="N59" s="203"/>
      <c r="O59" s="203"/>
      <c r="P59" s="203"/>
      <c r="Q59" s="203"/>
    </row>
    <row r="60" spans="1:17">
      <c r="A60" s="203"/>
      <c r="B60" s="203"/>
      <c r="C60" s="203"/>
      <c r="D60" s="203"/>
      <c r="E60" s="203"/>
      <c r="F60" s="203"/>
      <c r="G60" s="203"/>
      <c r="H60" s="203"/>
      <c r="I60" s="203"/>
      <c r="J60" s="203"/>
      <c r="K60" s="203"/>
      <c r="L60" s="203"/>
      <c r="M60" s="203"/>
      <c r="N60" s="203"/>
      <c r="O60" s="203"/>
      <c r="P60" s="203"/>
      <c r="Q60" s="203"/>
    </row>
    <row r="61" spans="1:17">
      <c r="A61" s="203"/>
      <c r="B61" s="203"/>
      <c r="C61" s="203"/>
      <c r="D61" s="203"/>
      <c r="E61" s="203"/>
      <c r="F61" s="203"/>
      <c r="G61" s="203"/>
      <c r="H61" s="203"/>
      <c r="I61" s="203"/>
      <c r="J61" s="203"/>
      <c r="K61" s="203"/>
      <c r="L61" s="203"/>
      <c r="M61" s="203"/>
      <c r="N61" s="203"/>
      <c r="O61" s="203"/>
      <c r="P61" s="203"/>
      <c r="Q61" s="203"/>
    </row>
    <row r="62" spans="1:17">
      <c r="A62" s="203"/>
      <c r="B62" s="203"/>
      <c r="C62" s="203"/>
      <c r="D62" s="203"/>
      <c r="E62" s="203"/>
      <c r="F62" s="203"/>
      <c r="G62" s="203"/>
      <c r="H62" s="203"/>
      <c r="I62" s="203"/>
      <c r="J62" s="203"/>
      <c r="K62" s="203"/>
      <c r="L62" s="203"/>
      <c r="M62" s="203"/>
      <c r="N62" s="203"/>
      <c r="O62" s="203"/>
      <c r="P62" s="203"/>
      <c r="Q62" s="203"/>
    </row>
    <row r="63" spans="1:17">
      <c r="A63" s="203"/>
      <c r="B63" s="203"/>
      <c r="C63" s="203"/>
      <c r="D63" s="203"/>
      <c r="E63" s="203"/>
      <c r="F63" s="203"/>
      <c r="G63" s="203"/>
      <c r="H63" s="203"/>
      <c r="I63" s="203"/>
      <c r="J63" s="203"/>
      <c r="K63" s="203"/>
      <c r="L63" s="203"/>
      <c r="M63" s="203"/>
      <c r="N63" s="203"/>
      <c r="O63" s="203"/>
      <c r="P63" s="203"/>
      <c r="Q63" s="203"/>
    </row>
    <row r="64" spans="1:17">
      <c r="A64" s="203"/>
      <c r="B64" s="203"/>
      <c r="C64" s="203"/>
      <c r="D64" s="203"/>
      <c r="E64" s="203"/>
      <c r="F64" s="203"/>
      <c r="G64" s="203"/>
      <c r="H64" s="203"/>
      <c r="I64" s="203"/>
      <c r="J64" s="203"/>
      <c r="K64" s="203"/>
      <c r="L64" s="203"/>
      <c r="M64" s="203"/>
      <c r="N64" s="203"/>
      <c r="O64" s="203"/>
      <c r="P64" s="203"/>
      <c r="Q64" s="203"/>
    </row>
    <row r="65" spans="1:17">
      <c r="A65" s="203"/>
      <c r="B65" s="203"/>
      <c r="C65" s="203"/>
      <c r="D65" s="203"/>
      <c r="E65" s="203"/>
      <c r="F65" s="203"/>
      <c r="G65" s="203"/>
      <c r="H65" s="203"/>
      <c r="I65" s="203"/>
      <c r="J65" s="203"/>
      <c r="K65" s="203"/>
      <c r="L65" s="203"/>
      <c r="M65" s="203"/>
      <c r="N65" s="203"/>
      <c r="O65" s="203"/>
      <c r="P65" s="203"/>
      <c r="Q65" s="203"/>
    </row>
    <row r="66" spans="1:17">
      <c r="A66" s="203"/>
      <c r="B66" s="203"/>
      <c r="C66" s="203"/>
      <c r="D66" s="203"/>
      <c r="E66" s="203"/>
      <c r="F66" s="203"/>
      <c r="G66" s="203"/>
      <c r="H66" s="203"/>
      <c r="I66" s="203"/>
      <c r="J66" s="203"/>
      <c r="K66" s="203"/>
      <c r="L66" s="203"/>
      <c r="M66" s="203"/>
      <c r="N66" s="203"/>
      <c r="O66" s="203"/>
      <c r="P66" s="203"/>
      <c r="Q66" s="203"/>
    </row>
    <row r="67" spans="1:17">
      <c r="A67" s="203"/>
      <c r="B67" s="203"/>
      <c r="C67" s="203"/>
      <c r="D67" s="203"/>
      <c r="E67" s="203"/>
      <c r="F67" s="203"/>
      <c r="G67" s="203"/>
      <c r="H67" s="203"/>
      <c r="I67" s="203"/>
      <c r="J67" s="203"/>
      <c r="K67" s="203"/>
      <c r="L67" s="203"/>
      <c r="M67" s="203"/>
      <c r="N67" s="203"/>
      <c r="O67" s="203"/>
      <c r="P67" s="203"/>
      <c r="Q67" s="203"/>
    </row>
    <row r="68" spans="1:17">
      <c r="A68" s="203"/>
      <c r="B68" s="203"/>
      <c r="C68" s="203"/>
      <c r="D68" s="203"/>
      <c r="E68" s="203"/>
      <c r="F68" s="203"/>
      <c r="G68" s="203"/>
      <c r="H68" s="203"/>
      <c r="I68" s="203"/>
      <c r="J68" s="203"/>
      <c r="K68" s="203"/>
      <c r="L68" s="203"/>
      <c r="M68" s="203"/>
      <c r="N68" s="203"/>
      <c r="O68" s="203"/>
      <c r="P68" s="203"/>
      <c r="Q68" s="203"/>
    </row>
    <row r="69" spans="1:17">
      <c r="A69" s="203"/>
      <c r="B69" s="203"/>
      <c r="C69" s="203"/>
      <c r="D69" s="203"/>
      <c r="E69" s="203"/>
      <c r="F69" s="203"/>
      <c r="G69" s="203"/>
      <c r="H69" s="203"/>
      <c r="I69" s="203"/>
      <c r="J69" s="203"/>
      <c r="K69" s="203"/>
      <c r="L69" s="203"/>
      <c r="M69" s="203"/>
      <c r="N69" s="203"/>
      <c r="O69" s="203"/>
      <c r="P69" s="203"/>
      <c r="Q69" s="203"/>
    </row>
    <row r="70" spans="1:17">
      <c r="A70" s="203"/>
      <c r="B70" s="203"/>
      <c r="C70" s="203"/>
      <c r="D70" s="203"/>
      <c r="E70" s="203"/>
      <c r="F70" s="203"/>
      <c r="G70" s="203"/>
      <c r="H70" s="203"/>
      <c r="I70" s="203"/>
      <c r="J70" s="203"/>
      <c r="K70" s="203"/>
      <c r="L70" s="203"/>
      <c r="M70" s="203"/>
      <c r="N70" s="203"/>
      <c r="O70" s="203"/>
      <c r="P70" s="203"/>
      <c r="Q70" s="203"/>
    </row>
    <row r="71" spans="1:17">
      <c r="A71" s="203"/>
      <c r="B71" s="203"/>
      <c r="C71" s="203"/>
      <c r="D71" s="203"/>
      <c r="E71" s="203"/>
      <c r="F71" s="203"/>
      <c r="G71" s="203"/>
      <c r="H71" s="203"/>
      <c r="I71" s="203"/>
      <c r="J71" s="203"/>
      <c r="K71" s="203"/>
      <c r="L71" s="203"/>
      <c r="M71" s="203"/>
      <c r="N71" s="203"/>
      <c r="O71" s="203"/>
      <c r="P71" s="203"/>
      <c r="Q71" s="203"/>
    </row>
    <row r="72" spans="1:17">
      <c r="A72" s="203"/>
      <c r="B72" s="203"/>
      <c r="C72" s="203"/>
      <c r="D72" s="203"/>
      <c r="E72" s="203"/>
      <c r="F72" s="203"/>
      <c r="G72" s="203"/>
      <c r="H72" s="203"/>
      <c r="I72" s="203"/>
      <c r="J72" s="203"/>
      <c r="K72" s="203"/>
      <c r="L72" s="203"/>
      <c r="M72" s="203"/>
      <c r="N72" s="203"/>
      <c r="O72" s="203"/>
      <c r="P72" s="203"/>
      <c r="Q72" s="203"/>
    </row>
    <row r="73" spans="1:17">
      <c r="A73" s="203"/>
      <c r="B73" s="203"/>
      <c r="C73" s="203"/>
      <c r="D73" s="203"/>
      <c r="E73" s="203"/>
      <c r="F73" s="203"/>
      <c r="G73" s="203"/>
      <c r="H73" s="203"/>
      <c r="I73" s="203"/>
      <c r="J73" s="203"/>
      <c r="K73" s="203"/>
      <c r="L73" s="203"/>
      <c r="M73" s="203"/>
      <c r="N73" s="203"/>
      <c r="O73" s="203"/>
      <c r="P73" s="203"/>
      <c r="Q73" s="203"/>
    </row>
    <row r="74" spans="1:17">
      <c r="A74" s="203"/>
      <c r="B74" s="203"/>
      <c r="C74" s="203"/>
      <c r="D74" s="203"/>
      <c r="E74" s="203"/>
      <c r="F74" s="203"/>
      <c r="G74" s="203"/>
      <c r="H74" s="203"/>
      <c r="I74" s="203"/>
      <c r="J74" s="203"/>
      <c r="K74" s="203"/>
      <c r="L74" s="203"/>
      <c r="M74" s="203"/>
      <c r="N74" s="203"/>
      <c r="O74" s="203"/>
      <c r="P74" s="203"/>
      <c r="Q74" s="203"/>
    </row>
    <row r="75" spans="1:17">
      <c r="A75" s="203"/>
      <c r="B75" s="203"/>
      <c r="C75" s="203"/>
      <c r="D75" s="203"/>
      <c r="E75" s="203"/>
      <c r="F75" s="203"/>
      <c r="G75" s="203"/>
      <c r="H75" s="203"/>
      <c r="I75" s="203"/>
      <c r="J75" s="203"/>
      <c r="K75" s="203"/>
      <c r="L75" s="203"/>
      <c r="M75" s="203"/>
      <c r="N75" s="203"/>
      <c r="O75" s="203"/>
      <c r="P75" s="203"/>
      <c r="Q75" s="203"/>
    </row>
    <row r="76" spans="1:17">
      <c r="A76" s="203"/>
      <c r="B76" s="203"/>
      <c r="C76" s="203"/>
      <c r="D76" s="203"/>
      <c r="E76" s="203"/>
      <c r="F76" s="203"/>
      <c r="G76" s="203"/>
      <c r="H76" s="203"/>
      <c r="I76" s="203"/>
      <c r="J76" s="203"/>
      <c r="K76" s="203"/>
      <c r="L76" s="203"/>
      <c r="M76" s="203"/>
      <c r="N76" s="203"/>
      <c r="O76" s="203"/>
      <c r="P76" s="203"/>
      <c r="Q76" s="203"/>
    </row>
    <row r="77" spans="1:17">
      <c r="A77" s="203"/>
      <c r="B77" s="203"/>
      <c r="C77" s="203"/>
      <c r="D77" s="203"/>
      <c r="E77" s="203"/>
      <c r="F77" s="203"/>
      <c r="G77" s="203"/>
      <c r="H77" s="203"/>
      <c r="I77" s="203"/>
      <c r="J77" s="203"/>
      <c r="K77" s="203"/>
      <c r="L77" s="203"/>
      <c r="M77" s="203"/>
      <c r="N77" s="203"/>
      <c r="O77" s="203"/>
      <c r="P77" s="203"/>
      <c r="Q77" s="203"/>
    </row>
    <row r="78" spans="1:17">
      <c r="A78" s="203"/>
      <c r="B78" s="203"/>
      <c r="C78" s="203"/>
      <c r="D78" s="203"/>
      <c r="E78" s="203"/>
      <c r="F78" s="203"/>
      <c r="G78" s="203"/>
      <c r="H78" s="203"/>
      <c r="I78" s="203"/>
      <c r="J78" s="203"/>
      <c r="K78" s="203"/>
      <c r="L78" s="203"/>
      <c r="M78" s="203"/>
      <c r="N78" s="203"/>
      <c r="O78" s="203"/>
      <c r="P78" s="203"/>
      <c r="Q78" s="203"/>
    </row>
    <row r="79" spans="1:17">
      <c r="A79" s="203"/>
      <c r="B79" s="203"/>
      <c r="C79" s="203"/>
      <c r="D79" s="203"/>
      <c r="E79" s="203"/>
      <c r="F79" s="203"/>
      <c r="G79" s="203"/>
      <c r="H79" s="203"/>
      <c r="I79" s="203"/>
      <c r="J79" s="203"/>
      <c r="K79" s="203"/>
      <c r="L79" s="203"/>
      <c r="M79" s="203"/>
      <c r="N79" s="203"/>
      <c r="O79" s="203"/>
      <c r="P79" s="203"/>
      <c r="Q79" s="203"/>
    </row>
    <row r="80" spans="1:17">
      <c r="A80" s="203"/>
      <c r="B80" s="203"/>
      <c r="C80" s="203"/>
      <c r="D80" s="203"/>
      <c r="E80" s="203"/>
      <c r="F80" s="203"/>
      <c r="G80" s="203"/>
      <c r="H80" s="203"/>
      <c r="I80" s="203"/>
      <c r="J80" s="203"/>
      <c r="K80" s="203"/>
      <c r="L80" s="203"/>
      <c r="M80" s="203"/>
      <c r="N80" s="203"/>
      <c r="O80" s="203"/>
      <c r="P80" s="203"/>
      <c r="Q80" s="203"/>
    </row>
    <row r="81" spans="1:17">
      <c r="A81" s="203"/>
      <c r="B81" s="203"/>
      <c r="C81" s="203"/>
      <c r="D81" s="203"/>
      <c r="E81" s="203"/>
      <c r="F81" s="203"/>
      <c r="G81" s="203"/>
      <c r="H81" s="203"/>
      <c r="I81" s="203"/>
      <c r="J81" s="203"/>
      <c r="K81" s="203"/>
      <c r="L81" s="203"/>
      <c r="M81" s="203"/>
      <c r="N81" s="203"/>
      <c r="O81" s="203"/>
      <c r="P81" s="203"/>
      <c r="Q81" s="203"/>
    </row>
    <row r="82" spans="1:17">
      <c r="A82" s="203"/>
      <c r="B82" s="203"/>
      <c r="C82" s="203"/>
      <c r="D82" s="203"/>
      <c r="E82" s="203"/>
      <c r="F82" s="203"/>
      <c r="G82" s="203"/>
      <c r="H82" s="203"/>
      <c r="I82" s="203"/>
      <c r="J82" s="203"/>
      <c r="K82" s="203"/>
      <c r="L82" s="203"/>
      <c r="M82" s="203"/>
      <c r="N82" s="203"/>
      <c r="O82" s="203"/>
      <c r="P82" s="203"/>
      <c r="Q82" s="203"/>
    </row>
    <row r="83" spans="1:17">
      <c r="A83" s="203"/>
      <c r="B83" s="203"/>
      <c r="C83" s="203"/>
      <c r="D83" s="203"/>
      <c r="E83" s="203"/>
      <c r="F83" s="203"/>
      <c r="G83" s="203"/>
      <c r="H83" s="203"/>
      <c r="I83" s="203"/>
      <c r="J83" s="203"/>
      <c r="K83" s="203"/>
      <c r="L83" s="203"/>
      <c r="M83" s="203"/>
      <c r="N83" s="203"/>
      <c r="O83" s="203"/>
      <c r="P83" s="203"/>
      <c r="Q83" s="203"/>
    </row>
    <row r="84" spans="1:17">
      <c r="A84" s="203"/>
      <c r="B84" s="203"/>
      <c r="C84" s="203"/>
      <c r="D84" s="203"/>
      <c r="E84" s="203"/>
      <c r="F84" s="203"/>
      <c r="G84" s="203"/>
      <c r="H84" s="203"/>
      <c r="I84" s="203"/>
      <c r="J84" s="203"/>
      <c r="K84" s="203"/>
      <c r="L84" s="203"/>
      <c r="M84" s="203"/>
      <c r="N84" s="203"/>
      <c r="O84" s="203"/>
      <c r="P84" s="203"/>
      <c r="Q84" s="203"/>
    </row>
    <row r="85" spans="1:17">
      <c r="A85" s="203"/>
      <c r="B85" s="203"/>
      <c r="C85" s="203"/>
      <c r="D85" s="203"/>
      <c r="E85" s="203"/>
      <c r="F85" s="203"/>
      <c r="G85" s="203"/>
      <c r="H85" s="203"/>
      <c r="I85" s="203"/>
      <c r="J85" s="203"/>
      <c r="K85" s="203"/>
      <c r="L85" s="203"/>
      <c r="M85" s="203"/>
      <c r="N85" s="203"/>
      <c r="O85" s="203"/>
      <c r="P85" s="203"/>
      <c r="Q85" s="203"/>
    </row>
    <row r="86" spans="1:17">
      <c r="A86" s="203"/>
      <c r="B86" s="203"/>
      <c r="C86" s="203"/>
      <c r="D86" s="203"/>
      <c r="E86" s="203"/>
      <c r="F86" s="203"/>
      <c r="G86" s="203"/>
      <c r="H86" s="203"/>
      <c r="I86" s="203"/>
      <c r="J86" s="203"/>
      <c r="K86" s="203"/>
      <c r="L86" s="203"/>
      <c r="M86" s="203"/>
      <c r="N86" s="203"/>
      <c r="O86" s="203"/>
      <c r="P86" s="203"/>
      <c r="Q86" s="203"/>
    </row>
    <row r="87" spans="1:17">
      <c r="A87" s="203"/>
      <c r="B87" s="203"/>
      <c r="C87" s="203"/>
      <c r="D87" s="203"/>
      <c r="E87" s="203"/>
      <c r="F87" s="203"/>
      <c r="G87" s="203"/>
      <c r="H87" s="203"/>
      <c r="I87" s="203"/>
      <c r="J87" s="203"/>
      <c r="K87" s="203"/>
      <c r="L87" s="203"/>
      <c r="M87" s="203"/>
      <c r="N87" s="203"/>
      <c r="O87" s="203"/>
      <c r="P87" s="203"/>
      <c r="Q87" s="203"/>
    </row>
    <row r="88" spans="1:17">
      <c r="A88" s="203"/>
      <c r="B88" s="203"/>
      <c r="C88" s="203"/>
      <c r="D88" s="203"/>
      <c r="E88" s="203"/>
      <c r="F88" s="203"/>
      <c r="G88" s="203"/>
      <c r="H88" s="203"/>
      <c r="I88" s="203"/>
      <c r="J88" s="203"/>
      <c r="K88" s="203"/>
      <c r="L88" s="203"/>
      <c r="M88" s="203"/>
      <c r="N88" s="203"/>
      <c r="O88" s="203"/>
      <c r="P88" s="203"/>
      <c r="Q88" s="203"/>
    </row>
    <row r="89" spans="1:17">
      <c r="A89" s="203"/>
      <c r="B89" s="203"/>
      <c r="C89" s="203"/>
      <c r="D89" s="203"/>
      <c r="E89" s="203"/>
      <c r="F89" s="203"/>
      <c r="G89" s="203"/>
      <c r="H89" s="203"/>
      <c r="I89" s="203"/>
      <c r="J89" s="203"/>
      <c r="K89" s="203"/>
      <c r="L89" s="203"/>
      <c r="M89" s="203"/>
      <c r="N89" s="203"/>
      <c r="O89" s="203"/>
      <c r="P89" s="203"/>
      <c r="Q89" s="203"/>
    </row>
    <row r="90" spans="1:17">
      <c r="A90" s="203"/>
      <c r="B90" s="203"/>
      <c r="C90" s="203"/>
      <c r="D90" s="203"/>
      <c r="E90" s="203"/>
      <c r="F90" s="203"/>
      <c r="G90" s="203"/>
      <c r="H90" s="203"/>
      <c r="I90" s="203"/>
      <c r="J90" s="203"/>
      <c r="K90" s="203"/>
      <c r="L90" s="203"/>
      <c r="M90" s="203"/>
      <c r="N90" s="203"/>
      <c r="O90" s="203"/>
      <c r="P90" s="203"/>
      <c r="Q90" s="203"/>
    </row>
    <row r="91" spans="1:17">
      <c r="A91" s="203"/>
      <c r="B91" s="203"/>
      <c r="C91" s="203"/>
      <c r="D91" s="203"/>
      <c r="E91" s="203"/>
      <c r="F91" s="203"/>
      <c r="G91" s="203"/>
      <c r="H91" s="203"/>
      <c r="I91" s="203"/>
      <c r="J91" s="203"/>
      <c r="K91" s="203"/>
      <c r="L91" s="203"/>
      <c r="M91" s="203"/>
      <c r="N91" s="203"/>
      <c r="O91" s="203"/>
      <c r="P91" s="203"/>
      <c r="Q91" s="203"/>
    </row>
    <row r="92" spans="1:17">
      <c r="A92" s="203"/>
      <c r="B92" s="203"/>
      <c r="C92" s="203"/>
      <c r="D92" s="203"/>
      <c r="E92" s="203"/>
      <c r="F92" s="203"/>
      <c r="G92" s="203"/>
      <c r="H92" s="203"/>
      <c r="I92" s="203"/>
      <c r="J92" s="203"/>
      <c r="K92" s="203"/>
      <c r="L92" s="203"/>
      <c r="M92" s="203"/>
      <c r="N92" s="203"/>
      <c r="O92" s="203"/>
      <c r="P92" s="203"/>
      <c r="Q92" s="203"/>
    </row>
    <row r="93" spans="1:17">
      <c r="A93" s="203"/>
      <c r="B93" s="203"/>
      <c r="C93" s="203"/>
      <c r="D93" s="203"/>
      <c r="E93" s="203"/>
      <c r="F93" s="203"/>
      <c r="G93" s="203"/>
      <c r="H93" s="203"/>
      <c r="I93" s="203"/>
      <c r="J93" s="203"/>
      <c r="K93" s="203"/>
      <c r="L93" s="203"/>
      <c r="M93" s="203"/>
      <c r="N93" s="203"/>
      <c r="O93" s="203"/>
      <c r="P93" s="203"/>
      <c r="Q93" s="203"/>
    </row>
    <row r="94" spans="1:17">
      <c r="A94" s="203"/>
      <c r="B94" s="203"/>
      <c r="C94" s="203"/>
      <c r="D94" s="203"/>
      <c r="E94" s="203"/>
      <c r="F94" s="203"/>
      <c r="G94" s="203"/>
      <c r="H94" s="203"/>
      <c r="I94" s="203"/>
      <c r="J94" s="203"/>
      <c r="K94" s="203"/>
      <c r="L94" s="203"/>
      <c r="M94" s="203"/>
      <c r="N94" s="203"/>
      <c r="O94" s="203"/>
      <c r="P94" s="203"/>
      <c r="Q94" s="203"/>
    </row>
    <row r="95" spans="1:17">
      <c r="A95" s="203"/>
      <c r="B95" s="203"/>
      <c r="C95" s="203"/>
      <c r="D95" s="203"/>
      <c r="E95" s="203"/>
      <c r="F95" s="203"/>
      <c r="G95" s="203"/>
      <c r="H95" s="203"/>
      <c r="I95" s="203"/>
      <c r="J95" s="203"/>
      <c r="K95" s="203"/>
      <c r="L95" s="203"/>
      <c r="M95" s="203"/>
      <c r="N95" s="203"/>
      <c r="O95" s="203"/>
      <c r="P95" s="203"/>
      <c r="Q95" s="203"/>
    </row>
    <row r="96" spans="1:17">
      <c r="A96" s="203"/>
      <c r="B96" s="203"/>
      <c r="C96" s="203"/>
      <c r="D96" s="203"/>
      <c r="E96" s="203"/>
      <c r="F96" s="203"/>
      <c r="G96" s="203"/>
      <c r="H96" s="203"/>
      <c r="I96" s="203"/>
      <c r="J96" s="203"/>
      <c r="K96" s="203"/>
      <c r="L96" s="203"/>
      <c r="M96" s="203"/>
      <c r="N96" s="203"/>
      <c r="O96" s="203"/>
      <c r="P96" s="203"/>
      <c r="Q96" s="203"/>
    </row>
    <row r="97" spans="1:17">
      <c r="A97" s="203"/>
      <c r="B97" s="203"/>
      <c r="C97" s="203"/>
      <c r="D97" s="203"/>
      <c r="E97" s="203"/>
      <c r="F97" s="203"/>
      <c r="G97" s="203"/>
      <c r="H97" s="203"/>
      <c r="I97" s="203"/>
      <c r="J97" s="203"/>
      <c r="K97" s="203"/>
      <c r="L97" s="203"/>
      <c r="M97" s="203"/>
      <c r="N97" s="203"/>
      <c r="O97" s="203"/>
      <c r="P97" s="203"/>
      <c r="Q97" s="203"/>
    </row>
    <row r="98" spans="1:17">
      <c r="A98" s="203"/>
      <c r="B98" s="203"/>
      <c r="C98" s="203"/>
      <c r="D98" s="203"/>
      <c r="E98" s="203"/>
      <c r="F98" s="203"/>
      <c r="G98" s="203"/>
      <c r="H98" s="203"/>
      <c r="I98" s="203"/>
      <c r="J98" s="203"/>
      <c r="K98" s="203"/>
      <c r="L98" s="203"/>
      <c r="M98" s="203"/>
      <c r="N98" s="203"/>
      <c r="O98" s="203"/>
      <c r="P98" s="203"/>
      <c r="Q98" s="203"/>
    </row>
    <row r="99" spans="1:17">
      <c r="A99" s="203"/>
      <c r="B99" s="203"/>
      <c r="C99" s="203"/>
      <c r="D99" s="203"/>
      <c r="E99" s="203"/>
      <c r="F99" s="203"/>
      <c r="G99" s="203"/>
      <c r="H99" s="203"/>
      <c r="I99" s="203"/>
      <c r="J99" s="203"/>
      <c r="K99" s="203"/>
      <c r="L99" s="203"/>
      <c r="M99" s="203"/>
      <c r="N99" s="203"/>
      <c r="O99" s="203"/>
      <c r="P99" s="203"/>
      <c r="Q99" s="203"/>
    </row>
    <row r="100" spans="1:17">
      <c r="A100" s="203"/>
      <c r="B100" s="203"/>
      <c r="C100" s="203"/>
      <c r="D100" s="203"/>
      <c r="E100" s="203"/>
      <c r="F100" s="203"/>
      <c r="G100" s="203"/>
      <c r="H100" s="203"/>
      <c r="I100" s="203"/>
      <c r="J100" s="203"/>
      <c r="K100" s="203"/>
      <c r="L100" s="203"/>
      <c r="M100" s="203"/>
      <c r="N100" s="203"/>
      <c r="O100" s="203"/>
      <c r="P100" s="203"/>
      <c r="Q100" s="203"/>
    </row>
    <row r="101" spans="1:17">
      <c r="A101" s="203"/>
      <c r="B101" s="203"/>
      <c r="C101" s="203"/>
      <c r="D101" s="203"/>
      <c r="E101" s="203"/>
      <c r="F101" s="203"/>
      <c r="G101" s="203"/>
      <c r="H101" s="203"/>
      <c r="I101" s="203"/>
      <c r="J101" s="203"/>
      <c r="K101" s="203"/>
      <c r="L101" s="203"/>
      <c r="M101" s="203"/>
      <c r="N101" s="203"/>
      <c r="O101" s="203"/>
      <c r="P101" s="203"/>
      <c r="Q101" s="203"/>
    </row>
    <row r="102" spans="1:17">
      <c r="A102" s="203"/>
      <c r="B102" s="203"/>
      <c r="C102" s="203"/>
      <c r="D102" s="203"/>
      <c r="E102" s="203"/>
      <c r="F102" s="203"/>
      <c r="G102" s="203"/>
      <c r="H102" s="203"/>
      <c r="I102" s="203"/>
      <c r="J102" s="203"/>
      <c r="K102" s="203"/>
      <c r="L102" s="203"/>
      <c r="M102" s="203"/>
      <c r="N102" s="203"/>
      <c r="O102" s="203"/>
      <c r="P102" s="203"/>
      <c r="Q102" s="203"/>
    </row>
    <row r="103" spans="1:17">
      <c r="A103" s="203"/>
      <c r="B103" s="203"/>
      <c r="C103" s="203"/>
      <c r="D103" s="203"/>
      <c r="E103" s="203"/>
      <c r="F103" s="203"/>
      <c r="G103" s="203"/>
      <c r="H103" s="203"/>
      <c r="I103" s="203"/>
      <c r="J103" s="203"/>
      <c r="K103" s="203"/>
      <c r="L103" s="203"/>
      <c r="M103" s="203"/>
      <c r="N103" s="203"/>
      <c r="O103" s="203"/>
      <c r="P103" s="203"/>
      <c r="Q103" s="203"/>
    </row>
    <row r="104" spans="1:17">
      <c r="A104" s="203"/>
      <c r="B104" s="203"/>
      <c r="C104" s="203"/>
      <c r="D104" s="203"/>
      <c r="E104" s="203"/>
      <c r="F104" s="203"/>
      <c r="G104" s="203"/>
      <c r="H104" s="203"/>
      <c r="I104" s="203"/>
      <c r="J104" s="203"/>
      <c r="K104" s="203"/>
      <c r="L104" s="203"/>
      <c r="M104" s="203"/>
      <c r="N104" s="203"/>
      <c r="O104" s="203"/>
      <c r="P104" s="203"/>
      <c r="Q104" s="203"/>
    </row>
    <row r="105" spans="1:17">
      <c r="A105" s="203"/>
      <c r="B105" s="203"/>
      <c r="C105" s="203"/>
      <c r="D105" s="203"/>
      <c r="E105" s="203"/>
      <c r="F105" s="203"/>
      <c r="G105" s="203"/>
      <c r="H105" s="203"/>
      <c r="I105" s="203"/>
      <c r="J105" s="203"/>
      <c r="K105" s="203"/>
      <c r="L105" s="203"/>
      <c r="M105" s="203"/>
      <c r="N105" s="203"/>
      <c r="O105" s="203"/>
      <c r="P105" s="203"/>
      <c r="Q105" s="203"/>
    </row>
    <row r="106" spans="1:17">
      <c r="A106" s="203"/>
      <c r="B106" s="203"/>
      <c r="C106" s="203"/>
      <c r="D106" s="203"/>
      <c r="E106" s="203"/>
      <c r="F106" s="203"/>
      <c r="G106" s="203"/>
      <c r="H106" s="203"/>
      <c r="I106" s="203"/>
      <c r="J106" s="203"/>
      <c r="K106" s="203"/>
      <c r="L106" s="203"/>
      <c r="M106" s="203"/>
      <c r="N106" s="203"/>
      <c r="O106" s="203"/>
      <c r="P106" s="203"/>
      <c r="Q106" s="203"/>
    </row>
    <row r="107" spans="1:17">
      <c r="A107" s="203"/>
      <c r="B107" s="203"/>
      <c r="C107" s="203"/>
      <c r="D107" s="203"/>
      <c r="E107" s="203"/>
      <c r="F107" s="203"/>
      <c r="G107" s="203"/>
      <c r="H107" s="203"/>
      <c r="I107" s="203"/>
      <c r="J107" s="203"/>
      <c r="K107" s="203"/>
      <c r="L107" s="203"/>
      <c r="M107" s="203"/>
      <c r="N107" s="203"/>
      <c r="O107" s="203"/>
      <c r="P107" s="203"/>
      <c r="Q107" s="203"/>
    </row>
    <row r="108" spans="1:17">
      <c r="A108" s="203"/>
      <c r="B108" s="203"/>
      <c r="C108" s="203"/>
      <c r="D108" s="203"/>
      <c r="E108" s="203"/>
      <c r="F108" s="203"/>
      <c r="G108" s="203"/>
      <c r="H108" s="203"/>
      <c r="I108" s="203"/>
      <c r="J108" s="203"/>
      <c r="K108" s="203"/>
      <c r="L108" s="203"/>
      <c r="M108" s="203"/>
      <c r="N108" s="203"/>
      <c r="O108" s="203"/>
      <c r="P108" s="203"/>
      <c r="Q108" s="203"/>
    </row>
    <row r="109" spans="1:17">
      <c r="A109" s="203"/>
      <c r="B109" s="203"/>
      <c r="C109" s="203"/>
      <c r="D109" s="203"/>
      <c r="E109" s="203"/>
      <c r="F109" s="203"/>
      <c r="G109" s="203"/>
      <c r="H109" s="203"/>
      <c r="I109" s="203"/>
      <c r="J109" s="203"/>
      <c r="K109" s="203"/>
      <c r="L109" s="203"/>
      <c r="M109" s="203"/>
      <c r="N109" s="203"/>
      <c r="O109" s="203"/>
      <c r="P109" s="203"/>
      <c r="Q109" s="203"/>
    </row>
  </sheetData>
  <pageMargins left="0.25" right="0.25" top="0.75" bottom="0.75" header="0.3" footer="0.3"/>
  <pageSetup scale="85" fitToHeight="0" orientation="landscape" r:id="rId1"/>
  <headerFooter>
    <oddFooter>&amp;C&amp;F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BCCE-DBB9-4D16-8C85-D0A22ACE4965}">
  <dimension ref="A1:M49"/>
  <sheetViews>
    <sheetView workbookViewId="0">
      <selection activeCell="F43" sqref="F43"/>
    </sheetView>
  </sheetViews>
  <sheetFormatPr defaultRowHeight="15"/>
  <sheetData>
    <row r="1" spans="1:13" ht="15.75">
      <c r="A1" s="222" t="s">
        <v>262</v>
      </c>
      <c r="B1" s="236"/>
      <c r="C1" s="236"/>
      <c r="D1" s="236"/>
      <c r="E1" s="236"/>
      <c r="F1" s="236"/>
      <c r="G1" s="236"/>
      <c r="H1" s="236"/>
      <c r="I1" s="236"/>
      <c r="J1" s="236"/>
      <c r="K1" s="236"/>
      <c r="L1" s="228"/>
      <c r="M1" s="228"/>
    </row>
    <row r="2" spans="1:13" ht="15.75">
      <c r="A2" s="222" t="s">
        <v>129</v>
      </c>
      <c r="B2" s="236"/>
      <c r="C2" s="236"/>
      <c r="D2" s="236"/>
      <c r="E2" s="236"/>
      <c r="F2" s="236"/>
      <c r="G2" s="236"/>
      <c r="H2" s="236"/>
      <c r="I2" s="236"/>
      <c r="J2" s="236"/>
      <c r="K2" s="236"/>
      <c r="L2" s="228"/>
      <c r="M2" s="228"/>
    </row>
    <row r="3" spans="1:13" ht="15.75">
      <c r="A3" s="222" t="s">
        <v>263</v>
      </c>
      <c r="B3" s="236"/>
      <c r="C3" s="236"/>
      <c r="D3" s="236"/>
      <c r="E3" s="236"/>
      <c r="F3" s="236"/>
      <c r="G3" s="236"/>
      <c r="H3" s="236"/>
      <c r="I3" s="236"/>
      <c r="J3" s="236"/>
      <c r="K3" s="236"/>
      <c r="L3" s="228"/>
      <c r="M3" s="228"/>
    </row>
    <row r="4" spans="1:13">
      <c r="A4" s="228"/>
      <c r="B4" s="228"/>
      <c r="C4" s="228"/>
      <c r="D4" s="228"/>
      <c r="E4" s="228"/>
      <c r="F4" s="228"/>
      <c r="G4" s="228"/>
      <c r="H4" s="228"/>
      <c r="I4" s="228"/>
      <c r="J4" s="228"/>
      <c r="K4" s="228"/>
      <c r="L4" s="228"/>
      <c r="M4" s="228"/>
    </row>
    <row r="5" spans="1:13">
      <c r="A5" s="228"/>
      <c r="B5" s="228"/>
      <c r="C5" s="228"/>
      <c r="D5" s="228"/>
      <c r="E5" s="228"/>
      <c r="F5" s="228"/>
      <c r="G5" s="228"/>
      <c r="H5" s="228"/>
      <c r="I5" s="228"/>
      <c r="J5" s="228"/>
      <c r="K5" s="228"/>
      <c r="L5" s="228"/>
      <c r="M5" s="228"/>
    </row>
    <row r="6" spans="1:13" ht="15.75">
      <c r="A6" s="227"/>
      <c r="B6" s="228"/>
      <c r="C6" s="228"/>
      <c r="D6" s="228"/>
      <c r="E6" s="228"/>
      <c r="F6" s="228"/>
      <c r="G6" s="228"/>
      <c r="H6" s="228"/>
      <c r="I6" s="228"/>
      <c r="J6" s="225" t="s">
        <v>264</v>
      </c>
      <c r="K6" s="225" t="s">
        <v>265</v>
      </c>
      <c r="L6" s="228"/>
      <c r="M6" s="228"/>
    </row>
    <row r="7" spans="1:13" ht="15.75">
      <c r="A7" s="225"/>
      <c r="B7" s="228"/>
      <c r="C7" s="228"/>
      <c r="D7" s="228"/>
      <c r="E7" s="228"/>
      <c r="F7" s="228"/>
      <c r="G7" s="228"/>
      <c r="H7" s="228"/>
      <c r="I7" s="228"/>
      <c r="J7" s="225" t="s">
        <v>266</v>
      </c>
      <c r="K7" s="225" t="s">
        <v>267</v>
      </c>
      <c r="L7" s="228"/>
      <c r="M7" s="228"/>
    </row>
    <row r="8" spans="1:13" ht="15.75">
      <c r="A8" s="225"/>
      <c r="B8" s="237" t="s">
        <v>268</v>
      </c>
      <c r="C8" s="237"/>
      <c r="D8" s="237"/>
      <c r="E8" s="237"/>
      <c r="F8" s="237"/>
      <c r="G8" s="237"/>
      <c r="H8" s="237"/>
      <c r="I8" s="228"/>
      <c r="J8" s="231"/>
      <c r="K8" s="231"/>
      <c r="L8" s="228"/>
      <c r="M8" s="228"/>
    </row>
    <row r="9" spans="1:13" ht="15.75">
      <c r="A9" s="225"/>
      <c r="B9" s="229" t="s">
        <v>269</v>
      </c>
      <c r="C9" s="229"/>
      <c r="D9" s="229"/>
      <c r="E9" s="229"/>
      <c r="F9" s="229"/>
      <c r="G9" s="229"/>
      <c r="H9" s="229"/>
      <c r="I9" s="229"/>
      <c r="J9" s="229"/>
      <c r="K9" s="229">
        <f>+'[1]Regulatory Depreciation'!O298-'[1]Pro Forma'!B50</f>
        <v>140752.26695238042</v>
      </c>
      <c r="L9" s="228"/>
      <c r="M9" s="228"/>
    </row>
    <row r="10" spans="1:13" ht="15.75">
      <c r="A10" s="225"/>
      <c r="B10" s="229"/>
      <c r="C10" s="229"/>
      <c r="D10" s="229"/>
      <c r="E10" s="229"/>
      <c r="F10" s="229"/>
      <c r="G10" s="229"/>
      <c r="H10" s="229"/>
      <c r="I10" s="229"/>
      <c r="J10" s="229"/>
      <c r="K10" s="229"/>
      <c r="L10" s="228"/>
      <c r="M10" s="228"/>
    </row>
    <row r="11" spans="1:13" ht="15.75">
      <c r="A11" s="225"/>
      <c r="B11" s="237" t="s">
        <v>270</v>
      </c>
      <c r="C11" s="237"/>
      <c r="D11" s="237"/>
      <c r="E11" s="237"/>
      <c r="F11" s="237"/>
      <c r="G11" s="237"/>
      <c r="H11" s="237"/>
      <c r="I11" s="229"/>
      <c r="J11" s="229"/>
      <c r="K11" s="229"/>
      <c r="L11" s="228"/>
      <c r="M11" s="228"/>
    </row>
    <row r="12" spans="1:13" ht="15.75">
      <c r="A12" s="225"/>
      <c r="B12" s="228" t="s">
        <v>256</v>
      </c>
      <c r="C12" s="229"/>
      <c r="D12" s="229"/>
      <c r="E12" s="229"/>
      <c r="F12" s="229"/>
      <c r="G12" s="229"/>
      <c r="H12" s="229"/>
      <c r="I12" s="229"/>
      <c r="J12" s="229"/>
      <c r="K12" s="229">
        <f>+[1]Payroll!AF19</f>
        <v>-17471.579999999998</v>
      </c>
      <c r="L12" s="228"/>
      <c r="M12" s="228"/>
    </row>
    <row r="13" spans="1:13" ht="15.75">
      <c r="A13" s="225"/>
      <c r="B13" s="229" t="s">
        <v>271</v>
      </c>
      <c r="C13" s="229"/>
      <c r="D13" s="229"/>
      <c r="E13" s="229"/>
      <c r="F13" s="229"/>
      <c r="G13" s="229"/>
      <c r="H13" s="229"/>
      <c r="I13" s="229"/>
      <c r="J13" s="229"/>
      <c r="K13" s="229"/>
      <c r="L13" s="228"/>
      <c r="M13" s="228"/>
    </row>
    <row r="14" spans="1:13" ht="15.75">
      <c r="A14" s="225"/>
      <c r="B14" s="237" t="s">
        <v>272</v>
      </c>
      <c r="C14" s="237"/>
      <c r="D14" s="237"/>
      <c r="E14" s="237"/>
      <c r="F14" s="237"/>
      <c r="G14" s="237"/>
      <c r="H14" s="237"/>
      <c r="I14" s="229"/>
      <c r="J14" s="229"/>
      <c r="K14" s="229"/>
      <c r="L14" s="228"/>
      <c r="M14" s="228"/>
    </row>
    <row r="15" spans="1:13" ht="15.75">
      <c r="A15" s="225"/>
      <c r="B15" s="229" t="s">
        <v>273</v>
      </c>
      <c r="C15" s="229"/>
      <c r="D15" s="229"/>
      <c r="E15" s="229"/>
      <c r="F15" s="229"/>
      <c r="G15" s="229"/>
      <c r="H15" s="229"/>
      <c r="I15" s="229"/>
      <c r="J15" s="229"/>
      <c r="K15" s="229">
        <f>+'[1]Maintenance Supplies'!Q75</f>
        <v>-8379.2999999999993</v>
      </c>
      <c r="L15" s="228"/>
      <c r="M15" s="228"/>
    </row>
    <row r="16" spans="1:13" ht="15.75">
      <c r="A16" s="227"/>
      <c r="B16" s="229"/>
      <c r="C16" s="229"/>
      <c r="D16" s="229"/>
      <c r="E16" s="229"/>
      <c r="F16" s="229"/>
      <c r="G16" s="229"/>
      <c r="H16" s="229"/>
      <c r="I16" s="229"/>
      <c r="J16" s="229"/>
      <c r="K16" s="229"/>
      <c r="L16" s="228"/>
      <c r="M16" s="228"/>
    </row>
    <row r="17" spans="1:13" ht="15.75">
      <c r="A17" s="225"/>
      <c r="B17" s="237" t="s">
        <v>274</v>
      </c>
      <c r="C17" s="237"/>
      <c r="D17" s="237"/>
      <c r="E17" s="237"/>
      <c r="F17" s="237"/>
      <c r="G17" s="237"/>
      <c r="H17" s="237"/>
      <c r="I17" s="229"/>
      <c r="J17" s="229"/>
      <c r="K17" s="229"/>
      <c r="L17" s="228"/>
      <c r="M17" s="228"/>
    </row>
    <row r="18" spans="1:13" ht="15.75">
      <c r="A18" s="225"/>
      <c r="B18" s="229" t="s">
        <v>235</v>
      </c>
      <c r="C18" s="229"/>
      <c r="D18" s="229"/>
      <c r="E18" s="229"/>
      <c r="F18" s="229"/>
      <c r="G18" s="229"/>
      <c r="H18" s="229"/>
      <c r="I18" s="229"/>
      <c r="J18" s="229"/>
      <c r="K18" s="229">
        <v>-46622</v>
      </c>
      <c r="L18" s="228"/>
      <c r="M18" s="228"/>
    </row>
    <row r="19" spans="1:13" ht="15.75">
      <c r="A19" s="225"/>
      <c r="B19" s="229" t="s">
        <v>275</v>
      </c>
      <c r="C19" s="229"/>
      <c r="D19" s="229"/>
      <c r="E19" s="229"/>
      <c r="F19" s="229"/>
      <c r="G19" s="229"/>
      <c r="H19" s="229"/>
      <c r="I19" s="229"/>
      <c r="J19" s="229"/>
      <c r="K19" s="229">
        <v>46622</v>
      </c>
      <c r="L19" s="228"/>
      <c r="M19" s="228"/>
    </row>
    <row r="20" spans="1:13" ht="15.75">
      <c r="A20" s="225"/>
      <c r="B20" s="229" t="s">
        <v>276</v>
      </c>
      <c r="C20" s="229"/>
      <c r="D20" s="229"/>
      <c r="E20" s="229"/>
      <c r="F20" s="229"/>
      <c r="G20" s="229"/>
      <c r="H20" s="229"/>
      <c r="I20" s="229"/>
      <c r="J20" s="229"/>
      <c r="K20" s="229"/>
      <c r="L20" s="228"/>
      <c r="M20" s="228"/>
    </row>
    <row r="21" spans="1:13" ht="15.75">
      <c r="A21" s="225"/>
      <c r="B21" s="229"/>
      <c r="C21" s="229"/>
      <c r="D21" s="229"/>
      <c r="E21" s="229"/>
      <c r="F21" s="229"/>
      <c r="G21" s="229"/>
      <c r="H21" s="229"/>
      <c r="I21" s="229"/>
      <c r="J21" s="229"/>
      <c r="K21" s="229"/>
      <c r="L21" s="228"/>
      <c r="M21" s="228"/>
    </row>
    <row r="22" spans="1:13" ht="15.75">
      <c r="A22" s="225"/>
      <c r="B22" s="237" t="s">
        <v>277</v>
      </c>
      <c r="C22" s="238"/>
      <c r="D22" s="238"/>
      <c r="E22" s="238"/>
      <c r="F22" s="238"/>
      <c r="G22" s="238"/>
      <c r="H22" s="238"/>
      <c r="I22" s="229"/>
      <c r="J22" s="229"/>
      <c r="K22" s="229"/>
      <c r="L22" s="228"/>
      <c r="M22" s="228"/>
    </row>
    <row r="23" spans="1:13" ht="15.75">
      <c r="A23" s="225"/>
      <c r="B23" s="229" t="s">
        <v>237</v>
      </c>
      <c r="C23" s="229"/>
      <c r="D23" s="229"/>
      <c r="E23" s="229"/>
      <c r="F23" s="229"/>
      <c r="G23" s="229"/>
      <c r="H23" s="229"/>
      <c r="I23" s="229"/>
      <c r="J23" s="229"/>
      <c r="K23" s="229">
        <f>-'[1]Advertising '!S46</f>
        <v>-17915.900000000001</v>
      </c>
      <c r="L23" s="228"/>
      <c r="M23" s="228"/>
    </row>
    <row r="24" spans="1:13" ht="15.75">
      <c r="A24" s="225"/>
      <c r="B24" s="229" t="s">
        <v>278</v>
      </c>
      <c r="C24" s="229"/>
      <c r="D24" s="229"/>
      <c r="E24" s="229"/>
      <c r="F24" s="229"/>
      <c r="G24" s="229"/>
      <c r="H24" s="229"/>
      <c r="I24" s="229"/>
      <c r="J24" s="229"/>
      <c r="K24" s="229"/>
      <c r="L24" s="228"/>
      <c r="M24" s="228"/>
    </row>
    <row r="25" spans="1:13" ht="15.75">
      <c r="A25" s="225"/>
      <c r="B25" s="229" t="s">
        <v>279</v>
      </c>
      <c r="C25" s="229"/>
      <c r="D25" s="229"/>
      <c r="E25" s="229"/>
      <c r="F25" s="229"/>
      <c r="G25" s="229"/>
      <c r="H25" s="229"/>
      <c r="I25" s="229"/>
      <c r="J25" s="229"/>
      <c r="K25" s="229"/>
      <c r="L25" s="228"/>
      <c r="M25" s="228"/>
    </row>
    <row r="26" spans="1:13" ht="15.75">
      <c r="A26" s="225"/>
      <c r="B26" s="229"/>
      <c r="C26" s="229"/>
      <c r="D26" s="229"/>
      <c r="E26" s="229"/>
      <c r="F26" s="229"/>
      <c r="G26" s="229"/>
      <c r="H26" s="229"/>
      <c r="I26" s="229"/>
      <c r="J26" s="229"/>
      <c r="K26" s="229"/>
      <c r="L26" s="228"/>
      <c r="M26" s="228"/>
    </row>
    <row r="27" spans="1:13" ht="15.75">
      <c r="A27" s="225"/>
      <c r="B27" s="237" t="s">
        <v>280</v>
      </c>
      <c r="C27" s="238"/>
      <c r="D27" s="238"/>
      <c r="E27" s="238"/>
      <c r="F27" s="238"/>
      <c r="G27" s="238"/>
      <c r="H27" s="238"/>
      <c r="I27" s="229"/>
      <c r="J27" s="229"/>
      <c r="K27" s="229"/>
      <c r="L27" s="228"/>
      <c r="M27" s="228"/>
    </row>
    <row r="28" spans="1:13" ht="15.75">
      <c r="A28" s="225"/>
      <c r="B28" s="229" t="s">
        <v>238</v>
      </c>
      <c r="C28" s="229"/>
      <c r="D28" s="229"/>
      <c r="E28" s="229"/>
      <c r="F28" s="229"/>
      <c r="G28" s="229"/>
      <c r="H28" s="229"/>
      <c r="I28" s="229"/>
      <c r="J28" s="229"/>
      <c r="K28" s="229">
        <f>-'[1]Pro Forma'!B27</f>
        <v>-4282.78</v>
      </c>
      <c r="L28" s="228"/>
      <c r="M28" s="228"/>
    </row>
    <row r="29" spans="1:13" ht="15.75">
      <c r="A29" s="225"/>
      <c r="B29" s="229" t="s">
        <v>281</v>
      </c>
      <c r="C29" s="229"/>
      <c r="D29" s="229"/>
      <c r="E29" s="229"/>
      <c r="F29" s="229"/>
      <c r="G29" s="229"/>
      <c r="H29" s="229"/>
      <c r="I29" s="229"/>
      <c r="J29" s="229"/>
      <c r="K29" s="229">
        <f>-'[1]Pro Forma'!B30*0.1163</f>
        <v>-544.28399999999999</v>
      </c>
      <c r="L29" s="228"/>
      <c r="M29" s="228"/>
    </row>
    <row r="30" spans="1:13" ht="15.75">
      <c r="A30" s="225"/>
      <c r="B30" s="229" t="s">
        <v>246</v>
      </c>
      <c r="C30" s="229"/>
      <c r="D30" s="229"/>
      <c r="E30" s="229"/>
      <c r="F30" s="229"/>
      <c r="G30" s="229"/>
      <c r="H30" s="229"/>
      <c r="I30" s="229"/>
      <c r="J30" s="229"/>
      <c r="K30" s="229">
        <f>-'[1]Pro Forma'!B35</f>
        <v>-8910.74</v>
      </c>
      <c r="L30" s="228"/>
      <c r="M30" s="228"/>
    </row>
    <row r="31" spans="1:13" ht="15.75">
      <c r="A31" s="225"/>
      <c r="B31" s="229" t="s">
        <v>247</v>
      </c>
      <c r="C31" s="229"/>
      <c r="D31" s="229"/>
      <c r="E31" s="229"/>
      <c r="F31" s="229"/>
      <c r="G31" s="229"/>
      <c r="H31" s="229"/>
      <c r="I31" s="229"/>
      <c r="J31" s="229"/>
      <c r="K31" s="229">
        <f>-'[1]Pro Forma'!B36</f>
        <v>-67.13</v>
      </c>
      <c r="L31" s="228"/>
      <c r="M31" s="228"/>
    </row>
    <row r="32" spans="1:13" ht="15.75">
      <c r="A32" s="225"/>
      <c r="B32" s="229" t="s">
        <v>35</v>
      </c>
      <c r="C32" s="229"/>
      <c r="D32" s="229"/>
      <c r="E32" s="229"/>
      <c r="F32" s="229"/>
      <c r="G32" s="229"/>
      <c r="H32" s="229"/>
      <c r="I32" s="229"/>
      <c r="J32" s="229"/>
      <c r="K32" s="229">
        <f>-'[1]Pro Forma'!B49</f>
        <v>-47928.19</v>
      </c>
      <c r="L32" s="228"/>
      <c r="M32" s="228"/>
    </row>
    <row r="33" spans="1:13" ht="15.75">
      <c r="A33" s="225"/>
      <c r="B33" s="229" t="s">
        <v>282</v>
      </c>
      <c r="C33" s="229"/>
      <c r="D33" s="229"/>
      <c r="E33" s="229"/>
      <c r="F33" s="229"/>
      <c r="G33" s="229"/>
      <c r="H33" s="229"/>
      <c r="I33" s="229"/>
      <c r="J33" s="229"/>
      <c r="K33" s="229"/>
      <c r="L33" s="228"/>
      <c r="M33" s="228"/>
    </row>
    <row r="34" spans="1:13" ht="15.75">
      <c r="A34" s="225"/>
      <c r="B34" s="229" t="s">
        <v>283</v>
      </c>
      <c r="C34" s="229"/>
      <c r="D34" s="229"/>
      <c r="E34" s="229"/>
      <c r="F34" s="229"/>
      <c r="G34" s="229"/>
      <c r="H34" s="229"/>
      <c r="I34" s="229"/>
      <c r="J34" s="229"/>
      <c r="K34" s="229"/>
      <c r="L34" s="228"/>
      <c r="M34" s="228"/>
    </row>
    <row r="35" spans="1:13" ht="15.75">
      <c r="A35" s="225"/>
      <c r="B35" s="229"/>
      <c r="C35" s="229"/>
      <c r="D35" s="229"/>
      <c r="E35" s="229"/>
      <c r="F35" s="229"/>
      <c r="G35" s="229"/>
      <c r="H35" s="229"/>
      <c r="I35" s="229"/>
      <c r="J35" s="229"/>
      <c r="K35" s="229"/>
      <c r="L35" s="228"/>
      <c r="M35" s="228"/>
    </row>
    <row r="36" spans="1:13" ht="15.75">
      <c r="A36" s="225"/>
      <c r="B36" s="237" t="s">
        <v>284</v>
      </c>
      <c r="C36" s="238"/>
      <c r="D36" s="238"/>
      <c r="E36" s="238"/>
      <c r="F36" s="238"/>
      <c r="G36" s="238"/>
      <c r="H36" s="238"/>
      <c r="I36" s="229"/>
      <c r="J36" s="229"/>
      <c r="K36" s="229"/>
      <c r="L36" s="228"/>
      <c r="M36" s="228"/>
    </row>
    <row r="37" spans="1:13" ht="15.75">
      <c r="A37" s="225"/>
      <c r="B37" s="229" t="s">
        <v>285</v>
      </c>
      <c r="C37" s="229"/>
      <c r="D37" s="229"/>
      <c r="E37" s="229"/>
      <c r="F37" s="229"/>
      <c r="G37" s="229"/>
      <c r="H37" s="229"/>
      <c r="I37" s="229"/>
      <c r="J37" s="229"/>
      <c r="K37" s="229">
        <f>+'[1]Fuel Cost '!N36</f>
        <v>9151.2599999999875</v>
      </c>
      <c r="L37" s="228"/>
      <c r="M37" s="228"/>
    </row>
    <row r="38" spans="1:13" ht="15.75">
      <c r="A38" s="225"/>
      <c r="B38" s="229" t="s">
        <v>286</v>
      </c>
      <c r="C38" s="229"/>
      <c r="D38" s="229"/>
      <c r="E38" s="229"/>
      <c r="F38" s="229"/>
      <c r="G38" s="229"/>
      <c r="H38" s="229"/>
      <c r="I38" s="229"/>
      <c r="J38" s="229"/>
      <c r="K38" s="229"/>
      <c r="L38" s="228"/>
      <c r="M38" s="228"/>
    </row>
    <row r="39" spans="1:13" ht="15.75">
      <c r="A39" s="225"/>
      <c r="B39" s="229"/>
      <c r="C39" s="229"/>
      <c r="D39" s="229"/>
      <c r="E39" s="229"/>
      <c r="F39" s="229"/>
      <c r="G39" s="229"/>
      <c r="H39" s="229"/>
      <c r="I39" s="229"/>
      <c r="J39" s="229"/>
      <c r="K39" s="229"/>
      <c r="L39" s="228"/>
      <c r="M39" s="228"/>
    </row>
    <row r="40" spans="1:13" ht="15.75">
      <c r="A40" s="225"/>
      <c r="B40" s="237" t="s">
        <v>287</v>
      </c>
      <c r="C40" s="238"/>
      <c r="D40" s="238"/>
      <c r="E40" s="238"/>
      <c r="F40" s="238"/>
      <c r="G40" s="238"/>
      <c r="H40" s="238"/>
      <c r="I40" s="229"/>
      <c r="J40" s="229"/>
      <c r="K40" s="229"/>
      <c r="L40" s="228"/>
      <c r="M40" s="228"/>
    </row>
    <row r="41" spans="1:13" ht="15.75">
      <c r="A41" s="225"/>
      <c r="B41" s="225" t="str">
        <f>+'[2]Pro Forma'!A39</f>
        <v>UTC Annual Report Fees</v>
      </c>
      <c r="C41" s="225"/>
      <c r="D41" s="225"/>
      <c r="E41" s="225"/>
      <c r="F41" s="225"/>
      <c r="G41" s="225"/>
      <c r="H41" s="225"/>
      <c r="I41" s="225"/>
      <c r="J41" s="229"/>
      <c r="K41" s="229">
        <f>+'[1]UTC Reg Fee'!M38</f>
        <v>512.47450000000026</v>
      </c>
      <c r="L41" s="228"/>
      <c r="M41" s="228"/>
    </row>
    <row r="42" spans="1:13" ht="15.75">
      <c r="A42" s="225"/>
      <c r="B42" s="229" t="s">
        <v>288</v>
      </c>
      <c r="C42" s="225"/>
      <c r="D42" s="225"/>
      <c r="E42" s="225"/>
      <c r="F42" s="225"/>
      <c r="G42" s="225"/>
      <c r="H42" s="225"/>
      <c r="I42" s="225"/>
      <c r="J42" s="229"/>
      <c r="K42" s="229"/>
      <c r="L42" s="228"/>
      <c r="M42" s="228"/>
    </row>
    <row r="43" spans="1:13" ht="15.75">
      <c r="A43" s="225"/>
      <c r="B43" s="225"/>
      <c r="C43" s="225"/>
      <c r="D43" s="225"/>
      <c r="E43" s="225"/>
      <c r="F43" s="225"/>
      <c r="G43" s="225"/>
      <c r="H43" s="225"/>
      <c r="I43" s="225"/>
      <c r="J43" s="229"/>
      <c r="K43" s="229"/>
      <c r="L43" s="228"/>
      <c r="M43" s="228"/>
    </row>
    <row r="44" spans="1:13" ht="15.75">
      <c r="A44" s="225"/>
      <c r="B44" s="237" t="s">
        <v>289</v>
      </c>
      <c r="C44" s="238"/>
      <c r="D44" s="238"/>
      <c r="E44" s="238"/>
      <c r="F44" s="238"/>
      <c r="G44" s="238"/>
      <c r="H44" s="238"/>
      <c r="I44" s="229"/>
      <c r="J44" s="229"/>
      <c r="K44" s="229"/>
      <c r="L44" s="228"/>
      <c r="M44" s="228"/>
    </row>
    <row r="45" spans="1:13" ht="15.75">
      <c r="A45" s="228"/>
      <c r="B45" s="225" t="s">
        <v>257</v>
      </c>
      <c r="C45" s="225"/>
      <c r="D45" s="225"/>
      <c r="E45" s="225"/>
      <c r="F45" s="225"/>
      <c r="G45" s="225"/>
      <c r="H45" s="225"/>
      <c r="I45" s="225"/>
      <c r="J45" s="225"/>
      <c r="K45" s="224">
        <f>-[1]Payroll!AC48</f>
        <v>66673.88</v>
      </c>
      <c r="L45" s="228"/>
      <c r="M45" s="228"/>
    </row>
    <row r="46" spans="1:13" ht="15.75">
      <c r="A46" s="228"/>
      <c r="B46" s="225" t="s">
        <v>256</v>
      </c>
      <c r="C46" s="225"/>
      <c r="D46" s="225"/>
      <c r="E46" s="225"/>
      <c r="F46" s="225"/>
      <c r="G46" s="225"/>
      <c r="H46" s="225"/>
      <c r="I46" s="225"/>
      <c r="J46" s="225"/>
      <c r="K46" s="224">
        <f>+[1]Payroll!AC48</f>
        <v>-66673.88</v>
      </c>
      <c r="L46" s="228"/>
      <c r="M46" s="228"/>
    </row>
    <row r="47" spans="1:13" ht="15.75">
      <c r="A47" s="228"/>
      <c r="B47" s="225" t="s">
        <v>290</v>
      </c>
      <c r="C47" s="225"/>
      <c r="D47" s="225"/>
      <c r="E47" s="225"/>
      <c r="F47" s="225"/>
      <c r="G47" s="225"/>
      <c r="H47" s="225"/>
      <c r="I47" s="225"/>
      <c r="J47" s="225"/>
      <c r="K47" s="225"/>
      <c r="L47" s="228"/>
      <c r="M47" s="228"/>
    </row>
    <row r="48" spans="1:13" ht="15.75">
      <c r="A48" s="228"/>
      <c r="B48" s="225"/>
      <c r="C48" s="225"/>
      <c r="D48" s="225"/>
      <c r="E48" s="225"/>
      <c r="F48" s="225"/>
      <c r="G48" s="225"/>
      <c r="H48" s="225"/>
      <c r="I48" s="225"/>
      <c r="J48" s="225"/>
      <c r="K48" s="229"/>
      <c r="L48" s="228"/>
      <c r="M48" s="228"/>
    </row>
    <row r="49" spans="1:13" ht="15.75">
      <c r="A49" s="228"/>
      <c r="B49" s="225"/>
      <c r="C49" s="225"/>
      <c r="D49" s="225"/>
      <c r="E49" s="225"/>
      <c r="F49" s="225"/>
      <c r="G49" s="225"/>
      <c r="H49" s="225"/>
      <c r="I49" s="225"/>
      <c r="J49" s="225"/>
      <c r="K49" s="225"/>
      <c r="L49" s="228"/>
      <c r="M49" s="2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EABBA-70EF-4656-A51A-CCA7D88AE258}">
  <dimension ref="A1:M36"/>
  <sheetViews>
    <sheetView workbookViewId="0">
      <selection activeCell="E20" sqref="E20"/>
    </sheetView>
  </sheetViews>
  <sheetFormatPr defaultRowHeight="15"/>
  <cols>
    <col min="1" max="1" width="27.33203125" customWidth="1"/>
  </cols>
  <sheetData>
    <row r="1" spans="1:13" ht="15.75">
      <c r="A1" s="225" t="s">
        <v>128</v>
      </c>
      <c r="B1" s="225"/>
      <c r="C1" s="225"/>
      <c r="D1" s="225"/>
      <c r="E1" s="225"/>
      <c r="F1" s="225"/>
      <c r="G1" s="225"/>
      <c r="H1" s="225"/>
      <c r="I1" s="225"/>
      <c r="J1" s="225"/>
      <c r="K1" s="225"/>
      <c r="L1" s="225"/>
      <c r="M1" s="225"/>
    </row>
    <row r="2" spans="1:13" ht="15.75">
      <c r="A2" s="225" t="s">
        <v>129</v>
      </c>
      <c r="B2" s="225"/>
      <c r="C2" s="225"/>
      <c r="D2" s="225"/>
      <c r="E2" s="225"/>
      <c r="F2" s="225"/>
      <c r="G2" s="225"/>
      <c r="H2" s="225"/>
      <c r="I2" s="225"/>
      <c r="J2" s="225"/>
      <c r="K2" s="225"/>
      <c r="L2" s="225"/>
      <c r="M2" s="225"/>
    </row>
    <row r="3" spans="1:13" ht="15.75">
      <c r="A3" s="225" t="s">
        <v>206</v>
      </c>
      <c r="B3" s="225"/>
      <c r="C3" s="225"/>
      <c r="D3" s="225"/>
      <c r="E3" s="225"/>
      <c r="F3" s="225"/>
      <c r="G3" s="225"/>
      <c r="H3" s="225"/>
      <c r="I3" s="225"/>
      <c r="J3" s="225"/>
      <c r="K3" s="225"/>
      <c r="L3" s="225"/>
      <c r="M3" s="225"/>
    </row>
    <row r="4" spans="1:13" ht="15.75">
      <c r="A4" s="225"/>
      <c r="B4" s="225"/>
      <c r="C4" s="225"/>
      <c r="D4" s="225"/>
      <c r="E4" s="225"/>
      <c r="F4" s="225"/>
      <c r="G4" s="225"/>
      <c r="H4" s="225"/>
      <c r="I4" s="225"/>
      <c r="J4" s="225"/>
      <c r="K4" s="225"/>
      <c r="L4" s="225"/>
      <c r="M4" s="225"/>
    </row>
    <row r="5" spans="1:13" ht="15.75">
      <c r="A5" s="225"/>
      <c r="B5" s="225"/>
      <c r="C5" s="225"/>
      <c r="D5" s="225"/>
      <c r="E5" s="225"/>
      <c r="F5" s="225"/>
      <c r="G5" s="225"/>
      <c r="H5" s="225"/>
      <c r="I5" s="225"/>
      <c r="J5" s="225" t="s">
        <v>264</v>
      </c>
      <c r="K5" s="225" t="s">
        <v>265</v>
      </c>
      <c r="L5" s="225"/>
      <c r="M5" s="225"/>
    </row>
    <row r="6" spans="1:13" ht="15.75">
      <c r="A6" s="225"/>
      <c r="B6" s="225"/>
      <c r="C6" s="225"/>
      <c r="D6" s="225"/>
      <c r="E6" s="225"/>
      <c r="F6" s="225"/>
      <c r="G6" s="225"/>
      <c r="H6" s="225"/>
      <c r="I6" s="225"/>
      <c r="J6" s="225" t="s">
        <v>266</v>
      </c>
      <c r="K6" s="225" t="s">
        <v>267</v>
      </c>
      <c r="L6" s="225"/>
      <c r="M6" s="225"/>
    </row>
    <row r="7" spans="1:13" ht="15.75">
      <c r="A7" s="225"/>
      <c r="B7" s="225"/>
      <c r="C7" s="225"/>
      <c r="D7" s="225"/>
      <c r="E7" s="225"/>
      <c r="F7" s="225"/>
      <c r="G7" s="225"/>
      <c r="H7" s="225"/>
      <c r="I7" s="225"/>
      <c r="J7" s="225"/>
      <c r="K7" s="225"/>
      <c r="L7" s="225"/>
      <c r="M7" s="225"/>
    </row>
    <row r="8" spans="1:13" ht="15.75">
      <c r="A8" s="225"/>
      <c r="B8" s="225" t="s">
        <v>268</v>
      </c>
      <c r="C8" s="225"/>
      <c r="D8" s="225"/>
      <c r="E8" s="225"/>
      <c r="F8" s="225"/>
      <c r="G8" s="225"/>
      <c r="H8" s="225"/>
      <c r="I8" s="225"/>
      <c r="J8" s="225"/>
      <c r="K8" s="225"/>
      <c r="L8" s="225"/>
      <c r="M8" s="225"/>
    </row>
    <row r="9" spans="1:13" ht="15.75">
      <c r="A9" s="225"/>
      <c r="B9" s="225" t="s">
        <v>256</v>
      </c>
      <c r="C9" s="225"/>
      <c r="D9" s="225"/>
      <c r="E9" s="225"/>
      <c r="F9" s="225"/>
      <c r="G9" s="225"/>
      <c r="H9" s="225"/>
      <c r="I9" s="225"/>
      <c r="J9" s="225"/>
      <c r="K9" s="229">
        <f>+[1]Payroll!AG19</f>
        <v>25000</v>
      </c>
      <c r="L9" s="225"/>
      <c r="M9" s="225"/>
    </row>
    <row r="10" spans="1:13" ht="15.75">
      <c r="A10" s="225"/>
      <c r="B10" s="225"/>
      <c r="C10" s="225"/>
      <c r="D10" s="225"/>
      <c r="E10" s="225"/>
      <c r="F10" s="225"/>
      <c r="G10" s="225"/>
      <c r="H10" s="225"/>
      <c r="I10" s="225"/>
      <c r="J10" s="225"/>
      <c r="K10" s="229"/>
      <c r="L10" s="225"/>
      <c r="M10" s="225"/>
    </row>
    <row r="11" spans="1:13" ht="15.75">
      <c r="A11" s="225"/>
      <c r="B11" s="225" t="s">
        <v>291</v>
      </c>
      <c r="C11" s="225"/>
      <c r="D11" s="225"/>
      <c r="E11" s="225"/>
      <c r="F11" s="225"/>
      <c r="G11" s="225"/>
      <c r="H11" s="225"/>
      <c r="I11" s="225"/>
      <c r="J11" s="225"/>
      <c r="K11" s="229"/>
      <c r="L11" s="225"/>
      <c r="M11" s="225"/>
    </row>
    <row r="12" spans="1:13" ht="15.75">
      <c r="A12" s="225"/>
      <c r="B12" s="225"/>
      <c r="C12" s="225"/>
      <c r="D12" s="225"/>
      <c r="E12" s="225"/>
      <c r="F12" s="225"/>
      <c r="G12" s="225"/>
      <c r="H12" s="225"/>
      <c r="I12" s="225"/>
      <c r="J12" s="225"/>
      <c r="K12" s="229"/>
      <c r="L12" s="225"/>
      <c r="M12" s="225"/>
    </row>
    <row r="13" spans="1:13" ht="15.75">
      <c r="A13" s="225"/>
      <c r="B13" s="225" t="s">
        <v>270</v>
      </c>
      <c r="C13" s="225"/>
      <c r="D13" s="225"/>
      <c r="E13" s="225"/>
      <c r="F13" s="225"/>
      <c r="G13" s="225"/>
      <c r="H13" s="225"/>
      <c r="I13" s="225"/>
      <c r="J13" s="225"/>
      <c r="K13" s="229"/>
      <c r="L13" s="225"/>
      <c r="M13" s="225"/>
    </row>
    <row r="14" spans="1:13" ht="15.75">
      <c r="A14" s="225"/>
      <c r="B14" s="225" t="s">
        <v>256</v>
      </c>
      <c r="C14" s="225"/>
      <c r="D14" s="225"/>
      <c r="E14" s="225"/>
      <c r="F14" s="225"/>
      <c r="G14" s="225"/>
      <c r="H14" s="225"/>
      <c r="I14" s="225"/>
      <c r="J14" s="225"/>
      <c r="K14" s="229">
        <f>+[1]Payroll!AK19</f>
        <v>3384.5639999999999</v>
      </c>
      <c r="L14" s="225"/>
      <c r="M14" s="225"/>
    </row>
    <row r="15" spans="1:13" ht="15.75">
      <c r="A15" s="225"/>
      <c r="B15" s="225" t="s">
        <v>292</v>
      </c>
      <c r="C15" s="225"/>
      <c r="D15" s="225"/>
      <c r="E15" s="225"/>
      <c r="F15" s="225"/>
      <c r="G15" s="225"/>
      <c r="H15" s="225"/>
      <c r="I15" s="225"/>
      <c r="J15" s="225"/>
      <c r="K15" s="229"/>
      <c r="L15" s="225"/>
      <c r="M15" s="225"/>
    </row>
    <row r="16" spans="1:13" ht="15.75">
      <c r="A16" s="225"/>
      <c r="B16" s="225" t="s">
        <v>293</v>
      </c>
      <c r="C16" s="225"/>
      <c r="D16" s="225"/>
      <c r="E16" s="225"/>
      <c r="F16" s="225"/>
      <c r="G16" s="225"/>
      <c r="H16" s="225"/>
      <c r="I16" s="225"/>
      <c r="J16" s="225"/>
      <c r="K16" s="229"/>
      <c r="L16" s="225"/>
      <c r="M16" s="225"/>
    </row>
    <row r="17" spans="1:13" ht="15.75">
      <c r="A17" s="225"/>
      <c r="B17" s="225"/>
      <c r="C17" s="225"/>
      <c r="D17" s="225"/>
      <c r="E17" s="225"/>
      <c r="F17" s="225"/>
      <c r="G17" s="225"/>
      <c r="H17" s="225"/>
      <c r="I17" s="225"/>
      <c r="J17" s="225"/>
      <c r="K17" s="229"/>
      <c r="L17" s="225"/>
      <c r="M17" s="225"/>
    </row>
    <row r="18" spans="1:13" ht="15.75">
      <c r="A18" s="225"/>
      <c r="B18" s="225" t="s">
        <v>272</v>
      </c>
      <c r="C18" s="225"/>
      <c r="D18" s="225"/>
      <c r="E18" s="225"/>
      <c r="F18" s="225"/>
      <c r="G18" s="225"/>
      <c r="H18" s="225"/>
      <c r="I18" s="225"/>
      <c r="J18" s="225"/>
      <c r="K18" s="229"/>
      <c r="L18" s="225"/>
      <c r="M18" s="225"/>
    </row>
    <row r="19" spans="1:13" ht="15.75">
      <c r="A19" s="225"/>
      <c r="B19" s="225" t="s">
        <v>257</v>
      </c>
      <c r="C19" s="225"/>
      <c r="D19" s="225"/>
      <c r="E19" s="225"/>
      <c r="F19" s="225"/>
      <c r="G19" s="225"/>
      <c r="H19" s="225"/>
      <c r="I19" s="225"/>
      <c r="J19" s="225"/>
      <c r="K19" s="229">
        <f>+'[1]Payroll Tax Summary'!AA23+'[1]Payroll Tax Summary'!O31</f>
        <v>2014.8294500000002</v>
      </c>
      <c r="L19" s="225"/>
      <c r="M19" s="225"/>
    </row>
    <row r="20" spans="1:13" ht="15.75">
      <c r="A20" s="225"/>
      <c r="B20" s="225" t="s">
        <v>294</v>
      </c>
      <c r="C20" s="225"/>
      <c r="D20" s="225"/>
      <c r="E20" s="225"/>
      <c r="F20" s="225"/>
      <c r="G20" s="225"/>
      <c r="H20" s="225"/>
      <c r="I20" s="225"/>
      <c r="J20" s="225"/>
      <c r="K20" s="229"/>
      <c r="L20" s="225"/>
      <c r="M20" s="225"/>
    </row>
    <row r="21" spans="1:13" ht="15.75">
      <c r="A21" s="225"/>
      <c r="B21" s="225" t="s">
        <v>295</v>
      </c>
      <c r="C21" s="225"/>
      <c r="D21" s="225"/>
      <c r="E21" s="225"/>
      <c r="F21" s="225"/>
      <c r="G21" s="225"/>
      <c r="H21" s="225"/>
      <c r="I21" s="225"/>
      <c r="J21" s="225"/>
      <c r="K21" s="229"/>
      <c r="L21" s="225"/>
      <c r="M21" s="225"/>
    </row>
    <row r="22" spans="1:13" ht="15.75">
      <c r="A22" s="225"/>
      <c r="B22" s="225"/>
      <c r="C22" s="225"/>
      <c r="D22" s="225"/>
      <c r="E22" s="225"/>
      <c r="F22" s="225"/>
      <c r="G22" s="225"/>
      <c r="H22" s="225"/>
      <c r="I22" s="225"/>
      <c r="J22" s="225"/>
      <c r="K22" s="229"/>
      <c r="L22" s="225"/>
      <c r="M22" s="225"/>
    </row>
    <row r="23" spans="1:13" ht="15.75">
      <c r="A23" s="225"/>
      <c r="B23" s="225" t="s">
        <v>274</v>
      </c>
      <c r="C23" s="225"/>
      <c r="D23" s="225"/>
      <c r="E23" s="225"/>
      <c r="F23" s="225"/>
      <c r="G23" s="225"/>
      <c r="H23" s="225"/>
      <c r="I23" s="225"/>
      <c r="J23" s="225"/>
      <c r="K23" s="229"/>
      <c r="L23" s="225"/>
      <c r="M23" s="225"/>
    </row>
    <row r="24" spans="1:13" ht="15.75">
      <c r="A24" s="225"/>
      <c r="B24" s="225" t="s">
        <v>245</v>
      </c>
      <c r="C24" s="225"/>
      <c r="D24" s="225"/>
      <c r="E24" s="225"/>
      <c r="F24" s="225"/>
      <c r="G24" s="225"/>
      <c r="H24" s="225"/>
      <c r="I24" s="225"/>
      <c r="J24" s="225"/>
      <c r="K24" s="229">
        <f>+'[1]Employee Benefits'!V70</f>
        <v>10655.529999999999</v>
      </c>
      <c r="L24" s="225"/>
      <c r="M24" s="225"/>
    </row>
    <row r="25" spans="1:13" ht="15.75">
      <c r="A25" s="225"/>
      <c r="B25" s="225" t="s">
        <v>296</v>
      </c>
      <c r="C25" s="225"/>
      <c r="D25" s="225"/>
      <c r="E25" s="225"/>
      <c r="F25" s="225"/>
      <c r="G25" s="225"/>
      <c r="H25" s="225"/>
      <c r="I25" s="225"/>
      <c r="J25" s="225"/>
      <c r="K25" s="229"/>
      <c r="L25" s="225"/>
      <c r="M25" s="225"/>
    </row>
    <row r="26" spans="1:13" ht="15.75">
      <c r="A26" s="225"/>
      <c r="B26" s="225"/>
      <c r="C26" s="225"/>
      <c r="D26" s="225"/>
      <c r="E26" s="225"/>
      <c r="F26" s="225"/>
      <c r="G26" s="225"/>
      <c r="H26" s="225"/>
      <c r="I26" s="225"/>
      <c r="J26" s="225"/>
      <c r="K26" s="229"/>
      <c r="L26" s="225"/>
      <c r="M26" s="225"/>
    </row>
    <row r="27" spans="1:13" ht="15.75">
      <c r="A27" s="225"/>
      <c r="B27" s="225"/>
      <c r="C27" s="225"/>
      <c r="D27" s="225"/>
      <c r="E27" s="225"/>
      <c r="F27" s="225"/>
      <c r="G27" s="225"/>
      <c r="H27" s="225"/>
      <c r="I27" s="225"/>
      <c r="J27" s="225"/>
      <c r="K27" s="225"/>
      <c r="L27" s="225"/>
      <c r="M27" s="225"/>
    </row>
    <row r="28" spans="1:13" ht="15.75">
      <c r="A28" s="225"/>
      <c r="B28" s="225"/>
      <c r="C28" s="225"/>
      <c r="D28" s="225"/>
      <c r="E28" s="225"/>
      <c r="F28" s="225"/>
      <c r="G28" s="225"/>
      <c r="H28" s="225"/>
      <c r="I28" s="225"/>
      <c r="J28" s="225"/>
      <c r="K28" s="225"/>
      <c r="L28" s="225"/>
      <c r="M28" s="225"/>
    </row>
    <row r="29" spans="1:13" ht="15.75">
      <c r="A29" s="225"/>
      <c r="B29" s="225"/>
      <c r="C29" s="225"/>
      <c r="D29" s="225"/>
      <c r="E29" s="225"/>
      <c r="F29" s="225"/>
      <c r="G29" s="225"/>
      <c r="H29" s="225"/>
      <c r="I29" s="225"/>
      <c r="J29" s="225"/>
      <c r="K29" s="225"/>
      <c r="L29" s="225"/>
      <c r="M29" s="225"/>
    </row>
    <row r="30" spans="1:13" ht="15.75">
      <c r="A30" s="225"/>
      <c r="B30" s="225"/>
      <c r="C30" s="225"/>
      <c r="D30" s="225"/>
      <c r="E30" s="225"/>
      <c r="F30" s="225"/>
      <c r="G30" s="225"/>
      <c r="H30" s="225"/>
      <c r="I30" s="225"/>
      <c r="J30" s="225"/>
      <c r="K30" s="225"/>
      <c r="L30" s="225"/>
      <c r="M30" s="225"/>
    </row>
    <row r="31" spans="1:13" ht="15.75">
      <c r="A31" s="225"/>
      <c r="B31" s="225"/>
      <c r="C31" s="225"/>
      <c r="D31" s="225"/>
      <c r="E31" s="225"/>
      <c r="F31" s="225"/>
      <c r="G31" s="225"/>
      <c r="H31" s="225"/>
      <c r="I31" s="225"/>
      <c r="J31" s="225"/>
      <c r="K31" s="225"/>
      <c r="L31" s="225"/>
      <c r="M31" s="225"/>
    </row>
    <row r="32" spans="1:13" ht="15.75">
      <c r="A32" s="225"/>
      <c r="B32" s="225"/>
      <c r="C32" s="225"/>
      <c r="D32" s="225"/>
      <c r="E32" s="225"/>
      <c r="F32" s="225"/>
      <c r="G32" s="225"/>
      <c r="H32" s="225"/>
      <c r="I32" s="225"/>
      <c r="J32" s="225"/>
      <c r="K32" s="225"/>
      <c r="L32" s="225"/>
      <c r="M32" s="225"/>
    </row>
    <row r="33" spans="1:13" ht="15.75">
      <c r="A33" s="225"/>
      <c r="B33" s="225"/>
      <c r="C33" s="225"/>
      <c r="D33" s="225"/>
      <c r="E33" s="225"/>
      <c r="F33" s="225"/>
      <c r="G33" s="225"/>
      <c r="H33" s="225"/>
      <c r="I33" s="225"/>
      <c r="J33" s="225"/>
      <c r="K33" s="225"/>
      <c r="L33" s="225"/>
      <c r="M33" s="225"/>
    </row>
    <row r="34" spans="1:13" ht="15.75">
      <c r="A34" s="225"/>
      <c r="B34" s="225"/>
      <c r="C34" s="225"/>
      <c r="D34" s="225"/>
      <c r="E34" s="225"/>
      <c r="F34" s="225"/>
      <c r="G34" s="225"/>
      <c r="H34" s="225"/>
      <c r="I34" s="225"/>
      <c r="J34" s="225"/>
      <c r="K34" s="225"/>
      <c r="L34" s="225"/>
      <c r="M34" s="225"/>
    </row>
    <row r="35" spans="1:13" ht="15.75">
      <c r="A35" s="225"/>
      <c r="B35" s="225"/>
      <c r="C35" s="225"/>
      <c r="D35" s="225"/>
      <c r="E35" s="225"/>
      <c r="F35" s="225"/>
      <c r="G35" s="225"/>
      <c r="H35" s="225"/>
      <c r="I35" s="225"/>
      <c r="J35" s="225"/>
      <c r="K35" s="225"/>
      <c r="L35" s="225"/>
      <c r="M35" s="225"/>
    </row>
    <row r="36" spans="1:13" ht="15.75">
      <c r="A36" s="225"/>
      <c r="B36" s="225"/>
      <c r="C36" s="225"/>
      <c r="D36" s="225"/>
      <c r="E36" s="225"/>
      <c r="F36" s="225"/>
      <c r="G36" s="225"/>
      <c r="H36" s="225"/>
      <c r="I36" s="225"/>
      <c r="J36" s="225"/>
      <c r="K36" s="225"/>
      <c r="L36" s="225"/>
      <c r="M36" s="2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3019-6D5A-4FDD-8ECA-57B69E851F2C}">
  <dimension ref="A1:M96"/>
  <sheetViews>
    <sheetView topLeftCell="A52" workbookViewId="0">
      <selection sqref="A1:M96"/>
    </sheetView>
  </sheetViews>
  <sheetFormatPr defaultRowHeight="15"/>
  <cols>
    <col min="1" max="1" width="2.109375" customWidth="1"/>
    <col min="2" max="2" width="5.21875" customWidth="1"/>
    <col min="3" max="3" width="55.88671875" customWidth="1"/>
    <col min="4" max="4" width="17.88671875" customWidth="1"/>
    <col min="6" max="6" width="10.77734375" customWidth="1"/>
  </cols>
  <sheetData>
    <row r="1" spans="1:13" ht="15.75" thickBot="1">
      <c r="A1" s="242"/>
      <c r="B1" s="242"/>
      <c r="C1" s="242"/>
      <c r="D1" s="242"/>
      <c r="E1" s="243"/>
      <c r="F1" s="243"/>
      <c r="G1" s="243"/>
      <c r="H1" s="243"/>
      <c r="I1" s="228"/>
      <c r="J1" s="228"/>
      <c r="K1" s="203"/>
      <c r="L1" s="203"/>
      <c r="M1" s="203"/>
    </row>
    <row r="2" spans="1:13" ht="20.25">
      <c r="A2" s="242"/>
      <c r="B2" s="513" t="s">
        <v>297</v>
      </c>
      <c r="C2" s="514"/>
      <c r="D2" s="515"/>
      <c r="E2" s="243"/>
      <c r="F2" s="243"/>
      <c r="G2" s="243"/>
      <c r="H2" s="243"/>
      <c r="I2" s="228"/>
      <c r="J2" s="228"/>
      <c r="K2" s="203"/>
      <c r="L2" s="203"/>
      <c r="M2" s="203"/>
    </row>
    <row r="3" spans="1:13" ht="21" thickBot="1">
      <c r="A3" s="242"/>
      <c r="B3" s="516" t="s">
        <v>298</v>
      </c>
      <c r="C3" s="517"/>
      <c r="D3" s="518"/>
      <c r="E3" s="243"/>
      <c r="F3" s="243"/>
      <c r="G3" s="243"/>
      <c r="H3" s="243"/>
      <c r="I3" s="228"/>
      <c r="J3" s="228"/>
      <c r="K3" s="203"/>
      <c r="L3" s="203"/>
      <c r="M3" s="203"/>
    </row>
    <row r="4" spans="1:13" ht="15.75" thickBot="1">
      <c r="A4" s="228"/>
      <c r="B4" s="519">
        <v>44196</v>
      </c>
      <c r="C4" s="520"/>
      <c r="D4" s="520"/>
      <c r="E4" s="243"/>
      <c r="F4" s="243"/>
      <c r="G4" s="243"/>
      <c r="H4" s="243"/>
      <c r="I4" s="228"/>
      <c r="J4" s="228"/>
      <c r="K4" s="203"/>
      <c r="L4" s="203"/>
      <c r="M4" s="203"/>
    </row>
    <row r="5" spans="1:13">
      <c r="A5" s="242"/>
      <c r="B5" s="521" t="s">
        <v>299</v>
      </c>
      <c r="C5" s="522"/>
      <c r="D5" s="523"/>
      <c r="E5" s="243"/>
      <c r="F5" s="243"/>
      <c r="G5" s="243"/>
      <c r="H5" s="243"/>
      <c r="I5" s="228"/>
      <c r="J5" s="228"/>
      <c r="K5" s="203"/>
      <c r="L5" s="203"/>
      <c r="M5" s="203"/>
    </row>
    <row r="6" spans="1:13" ht="15.75" thickBot="1">
      <c r="A6" s="242"/>
      <c r="B6" s="524" t="s">
        <v>300</v>
      </c>
      <c r="C6" s="525"/>
      <c r="D6" s="526"/>
      <c r="E6" s="243"/>
      <c r="F6" s="243"/>
      <c r="G6" s="243"/>
      <c r="H6" s="243"/>
      <c r="I6" s="228"/>
      <c r="J6" s="228"/>
      <c r="K6" s="203"/>
      <c r="L6" s="203"/>
      <c r="M6" s="203"/>
    </row>
    <row r="7" spans="1:13">
      <c r="A7" s="242"/>
      <c r="B7" s="244" t="s">
        <v>10</v>
      </c>
      <c r="C7" s="245" t="s">
        <v>301</v>
      </c>
      <c r="D7" s="246" t="s">
        <v>302</v>
      </c>
      <c r="E7" s="243"/>
      <c r="F7" s="243"/>
      <c r="G7" s="243"/>
      <c r="H7" s="243"/>
      <c r="I7" s="228"/>
      <c r="J7" s="228"/>
      <c r="K7" s="203"/>
      <c r="L7" s="203"/>
      <c r="M7" s="203"/>
    </row>
    <row r="8" spans="1:13" ht="15.75" thickBot="1">
      <c r="A8" s="242"/>
      <c r="B8" s="247" t="s">
        <v>303</v>
      </c>
      <c r="C8" s="248" t="s">
        <v>2</v>
      </c>
      <c r="D8" s="249" t="s">
        <v>3</v>
      </c>
      <c r="E8" s="243"/>
      <c r="F8" s="243"/>
      <c r="G8" s="243"/>
      <c r="H8" s="243"/>
      <c r="I8" s="228"/>
      <c r="J8" s="228"/>
      <c r="K8" s="203"/>
      <c r="L8" s="203"/>
      <c r="M8" s="203"/>
    </row>
    <row r="9" spans="1:13">
      <c r="A9" s="242"/>
      <c r="B9" s="250"/>
      <c r="C9" s="251" t="s">
        <v>304</v>
      </c>
      <c r="D9" s="252"/>
      <c r="E9" s="243"/>
      <c r="F9" s="243"/>
      <c r="G9" s="243"/>
      <c r="H9" s="243"/>
      <c r="I9" s="228"/>
      <c r="J9" s="228"/>
      <c r="K9" s="203"/>
      <c r="L9" s="203"/>
      <c r="M9" s="203"/>
    </row>
    <row r="10" spans="1:13">
      <c r="A10" s="242"/>
      <c r="B10" s="253">
        <v>1</v>
      </c>
      <c r="C10" s="240" t="s">
        <v>305</v>
      </c>
      <c r="D10" s="254">
        <v>63957</v>
      </c>
      <c r="E10" s="243"/>
      <c r="F10" s="243"/>
      <c r="G10" s="243"/>
      <c r="H10" s="243"/>
      <c r="I10" s="228"/>
      <c r="J10" s="228"/>
      <c r="K10" s="203"/>
      <c r="L10" s="203"/>
      <c r="M10" s="203"/>
    </row>
    <row r="11" spans="1:13">
      <c r="A11" s="242"/>
      <c r="B11" s="253">
        <v>2</v>
      </c>
      <c r="C11" s="240" t="s">
        <v>306</v>
      </c>
      <c r="D11" s="254">
        <v>0</v>
      </c>
      <c r="E11" s="243"/>
      <c r="F11" s="243"/>
      <c r="G11" s="243"/>
      <c r="H11" s="243"/>
      <c r="I11" s="228"/>
      <c r="J11" s="228"/>
      <c r="K11" s="203"/>
      <c r="L11" s="203"/>
      <c r="M11" s="203"/>
    </row>
    <row r="12" spans="1:13">
      <c r="A12" s="242"/>
      <c r="B12" s="253">
        <v>3</v>
      </c>
      <c r="C12" s="240" t="s">
        <v>307</v>
      </c>
      <c r="D12" s="254">
        <v>0</v>
      </c>
      <c r="E12" s="243"/>
      <c r="F12" s="243"/>
      <c r="G12" s="243"/>
      <c r="H12" s="243"/>
      <c r="I12" s="228"/>
      <c r="J12" s="228"/>
      <c r="K12" s="203"/>
      <c r="L12" s="203"/>
      <c r="M12" s="203"/>
    </row>
    <row r="13" spans="1:13">
      <c r="A13" s="242"/>
      <c r="B13" s="253">
        <v>4</v>
      </c>
      <c r="C13" s="240" t="s">
        <v>308</v>
      </c>
      <c r="D13" s="254">
        <v>0</v>
      </c>
      <c r="E13" s="243"/>
      <c r="F13" s="243"/>
      <c r="G13" s="243"/>
      <c r="H13" s="243"/>
      <c r="I13" s="228"/>
      <c r="J13" s="228"/>
      <c r="K13" s="203"/>
      <c r="L13" s="203"/>
      <c r="M13" s="203"/>
    </row>
    <row r="14" spans="1:13">
      <c r="A14" s="242"/>
      <c r="B14" s="253">
        <v>5</v>
      </c>
      <c r="C14" s="240" t="s">
        <v>309</v>
      </c>
      <c r="D14" s="254">
        <v>0</v>
      </c>
      <c r="E14" s="243"/>
      <c r="F14" s="243"/>
      <c r="G14" s="243"/>
      <c r="H14" s="243"/>
      <c r="I14" s="228"/>
      <c r="J14" s="228"/>
      <c r="K14" s="203"/>
      <c r="L14" s="203"/>
      <c r="M14" s="203"/>
    </row>
    <row r="15" spans="1:13">
      <c r="A15" s="242"/>
      <c r="B15" s="253">
        <v>6</v>
      </c>
      <c r="C15" s="240" t="s">
        <v>310</v>
      </c>
      <c r="D15" s="254">
        <v>122721</v>
      </c>
      <c r="E15" s="243"/>
      <c r="F15" s="243"/>
      <c r="G15" s="243"/>
      <c r="H15" s="243"/>
      <c r="I15" s="228"/>
      <c r="J15" s="228"/>
      <c r="K15" s="203"/>
      <c r="L15" s="203"/>
      <c r="M15" s="203"/>
    </row>
    <row r="16" spans="1:13">
      <c r="A16" s="242"/>
      <c r="B16" s="253">
        <v>7</v>
      </c>
      <c r="C16" s="241" t="s">
        <v>311</v>
      </c>
      <c r="D16" s="254">
        <v>0</v>
      </c>
      <c r="E16" s="243"/>
      <c r="F16" s="243"/>
      <c r="G16" s="243"/>
      <c r="H16" s="243"/>
      <c r="I16" s="228"/>
      <c r="J16" s="228"/>
      <c r="K16" s="203"/>
      <c r="L16" s="203"/>
      <c r="M16" s="203"/>
    </row>
    <row r="17" spans="1:13">
      <c r="A17" s="242"/>
      <c r="B17" s="253">
        <v>8</v>
      </c>
      <c r="C17" s="241" t="s">
        <v>312</v>
      </c>
      <c r="D17" s="255">
        <f>IF(OR(D15&lt;&gt;"",D16&lt;&gt;""),IF(D15="",0,D15)-IF(D16="",0,D16),"")</f>
        <v>122721</v>
      </c>
      <c r="E17" s="243"/>
      <c r="F17" s="243"/>
      <c r="G17" s="243"/>
      <c r="H17" s="243"/>
      <c r="I17" s="228"/>
      <c r="J17" s="228"/>
      <c r="K17" s="203"/>
      <c r="L17" s="203"/>
      <c r="M17" s="203"/>
    </row>
    <row r="18" spans="1:13">
      <c r="A18" s="242"/>
      <c r="B18" s="253">
        <v>9</v>
      </c>
      <c r="C18" s="256" t="s">
        <v>313</v>
      </c>
      <c r="D18" s="254">
        <v>0</v>
      </c>
      <c r="E18" s="243"/>
      <c r="F18" s="243"/>
      <c r="G18" s="243"/>
      <c r="H18" s="243"/>
      <c r="I18" s="228"/>
      <c r="J18" s="228"/>
      <c r="K18" s="203"/>
      <c r="L18" s="203"/>
      <c r="M18" s="203"/>
    </row>
    <row r="19" spans="1:13">
      <c r="A19" s="242"/>
      <c r="B19" s="253">
        <v>10</v>
      </c>
      <c r="C19" s="256" t="s">
        <v>314</v>
      </c>
      <c r="D19" s="254">
        <v>0</v>
      </c>
      <c r="E19" s="243"/>
      <c r="F19" s="243"/>
      <c r="G19" s="243"/>
      <c r="H19" s="243"/>
      <c r="I19" s="228"/>
      <c r="J19" s="228"/>
      <c r="K19" s="203"/>
      <c r="L19" s="203"/>
      <c r="M19" s="203"/>
    </row>
    <row r="20" spans="1:13">
      <c r="A20" s="242"/>
      <c r="B20" s="253">
        <v>11</v>
      </c>
      <c r="C20" s="256" t="s">
        <v>315</v>
      </c>
      <c r="D20" s="254">
        <v>0</v>
      </c>
      <c r="E20" s="243"/>
      <c r="F20" s="243"/>
      <c r="G20" s="243"/>
      <c r="H20" s="243"/>
      <c r="I20" s="228"/>
      <c r="J20" s="228"/>
      <c r="K20" s="203"/>
      <c r="L20" s="203"/>
      <c r="M20" s="203"/>
    </row>
    <row r="21" spans="1:13">
      <c r="A21" s="242"/>
      <c r="B21" s="253">
        <v>12</v>
      </c>
      <c r="C21" s="241" t="s">
        <v>316</v>
      </c>
      <c r="D21" s="255">
        <f>IF(SUM(D10:D14,D17:D20)&lt;&gt;0,SUM(D10:D14,D17:D20),"")</f>
        <v>186678</v>
      </c>
      <c r="E21" s="243"/>
      <c r="F21" s="243"/>
      <c r="G21" s="243"/>
      <c r="H21" s="243"/>
      <c r="I21" s="228"/>
      <c r="J21" s="228"/>
      <c r="K21" s="203"/>
      <c r="L21" s="203"/>
      <c r="M21" s="203"/>
    </row>
    <row r="22" spans="1:13">
      <c r="A22" s="242"/>
      <c r="B22" s="253"/>
      <c r="C22" s="257" t="s">
        <v>317</v>
      </c>
      <c r="D22" s="258"/>
      <c r="E22" s="243"/>
      <c r="F22" s="243"/>
      <c r="G22" s="243"/>
      <c r="H22" s="243"/>
      <c r="I22" s="228"/>
      <c r="J22" s="228"/>
      <c r="K22" s="203"/>
      <c r="L22" s="203"/>
      <c r="M22" s="203"/>
    </row>
    <row r="23" spans="1:13">
      <c r="A23" s="242"/>
      <c r="B23" s="253">
        <v>13</v>
      </c>
      <c r="C23" s="240" t="s">
        <v>318</v>
      </c>
      <c r="D23" s="255">
        <v>2921612</v>
      </c>
      <c r="E23" s="243"/>
      <c r="F23" s="243"/>
      <c r="G23" s="243"/>
      <c r="H23" s="243"/>
      <c r="I23" s="228"/>
      <c r="J23" s="228"/>
      <c r="K23" s="203"/>
      <c r="L23" s="203"/>
      <c r="M23" s="203"/>
    </row>
    <row r="24" spans="1:13">
      <c r="A24" s="242"/>
      <c r="B24" s="253">
        <v>14</v>
      </c>
      <c r="C24" s="241" t="s">
        <v>319</v>
      </c>
      <c r="D24" s="255">
        <v>1978174</v>
      </c>
      <c r="E24" s="243"/>
      <c r="F24" s="243"/>
      <c r="G24" s="243"/>
      <c r="H24" s="243"/>
      <c r="I24" s="228"/>
      <c r="J24" s="228"/>
      <c r="K24" s="203"/>
      <c r="L24" s="203"/>
      <c r="M24" s="203"/>
    </row>
    <row r="25" spans="1:13">
      <c r="A25" s="242"/>
      <c r="B25" s="253">
        <v>15</v>
      </c>
      <c r="C25" s="241" t="s">
        <v>320</v>
      </c>
      <c r="D25" s="255">
        <f>IF(OR(D23&lt;&gt;"",D24&lt;&gt;""),IF(D23="",0,D23)-IF(D24="",0,D24),"")</f>
        <v>943438</v>
      </c>
      <c r="E25" s="243"/>
      <c r="F25" s="243"/>
      <c r="G25" s="243"/>
      <c r="H25" s="243"/>
      <c r="I25" s="228"/>
      <c r="J25" s="228"/>
      <c r="K25" s="203"/>
      <c r="L25" s="203"/>
      <c r="M25" s="203"/>
    </row>
    <row r="26" spans="1:13">
      <c r="A26" s="242"/>
      <c r="B26" s="253">
        <v>16</v>
      </c>
      <c r="C26" s="259" t="s">
        <v>321</v>
      </c>
      <c r="D26" s="255">
        <f>IF(D25&lt;&gt;"",D25,"")</f>
        <v>943438</v>
      </c>
      <c r="E26" s="243"/>
      <c r="F26" s="243"/>
      <c r="G26" s="243"/>
      <c r="H26" s="243"/>
      <c r="I26" s="228"/>
      <c r="J26" s="228"/>
      <c r="K26" s="203"/>
      <c r="L26" s="203"/>
      <c r="M26" s="203"/>
    </row>
    <row r="27" spans="1:13">
      <c r="A27" s="242"/>
      <c r="B27" s="253"/>
      <c r="C27" s="257" t="s">
        <v>322</v>
      </c>
      <c r="D27" s="258"/>
      <c r="E27" s="243"/>
      <c r="F27" s="243"/>
      <c r="G27" s="243"/>
      <c r="H27" s="243"/>
      <c r="I27" s="228"/>
      <c r="J27" s="228"/>
      <c r="K27" s="203"/>
      <c r="L27" s="203"/>
      <c r="M27" s="203"/>
    </row>
    <row r="28" spans="1:13">
      <c r="A28" s="242"/>
      <c r="B28" s="253">
        <v>17</v>
      </c>
      <c r="C28" s="240" t="s">
        <v>323</v>
      </c>
      <c r="D28" s="254">
        <v>0</v>
      </c>
      <c r="E28" s="243"/>
      <c r="F28" s="243"/>
      <c r="G28" s="243"/>
      <c r="H28" s="243"/>
      <c r="I28" s="228"/>
      <c r="J28" s="228"/>
      <c r="K28" s="203"/>
      <c r="L28" s="203"/>
      <c r="M28" s="203"/>
    </row>
    <row r="29" spans="1:13">
      <c r="A29" s="242"/>
      <c r="B29" s="253">
        <v>18</v>
      </c>
      <c r="C29" s="260" t="s">
        <v>324</v>
      </c>
      <c r="D29" s="254">
        <v>0</v>
      </c>
      <c r="E29" s="243"/>
      <c r="F29" s="243"/>
      <c r="G29" s="243"/>
      <c r="H29" s="243"/>
      <c r="I29" s="228"/>
      <c r="J29" s="228"/>
      <c r="K29" s="203"/>
      <c r="L29" s="203"/>
      <c r="M29" s="203"/>
    </row>
    <row r="30" spans="1:13">
      <c r="A30" s="242"/>
      <c r="B30" s="253">
        <v>19</v>
      </c>
      <c r="C30" s="240" t="s">
        <v>325</v>
      </c>
      <c r="D30" s="254">
        <v>8347</v>
      </c>
      <c r="E30" s="243"/>
      <c r="F30" s="243"/>
      <c r="G30" s="243"/>
      <c r="H30" s="243"/>
      <c r="I30" s="228"/>
      <c r="J30" s="228"/>
      <c r="K30" s="203"/>
      <c r="L30" s="203"/>
      <c r="M30" s="203"/>
    </row>
    <row r="31" spans="1:13">
      <c r="A31" s="242"/>
      <c r="B31" s="253">
        <v>20</v>
      </c>
      <c r="C31" s="260" t="s">
        <v>324</v>
      </c>
      <c r="D31" s="254">
        <v>2007</v>
      </c>
      <c r="E31" s="243"/>
      <c r="F31" s="243"/>
      <c r="G31" s="243"/>
      <c r="H31" s="243"/>
      <c r="I31" s="228"/>
      <c r="J31" s="228"/>
      <c r="K31" s="203"/>
      <c r="L31" s="203"/>
      <c r="M31" s="203"/>
    </row>
    <row r="32" spans="1:13">
      <c r="A32" s="242"/>
      <c r="B32" s="253">
        <v>21</v>
      </c>
      <c r="C32" s="241" t="s">
        <v>326</v>
      </c>
      <c r="D32" s="255">
        <f>IF(D28+D30-D29-D31&lt;&gt;0,SUM(D28,D30)-SUM(D29,D31),"")</f>
        <v>6340</v>
      </c>
      <c r="E32" s="243"/>
      <c r="F32" s="243"/>
      <c r="G32" s="243"/>
      <c r="H32" s="243"/>
      <c r="I32" s="228"/>
      <c r="J32" s="228"/>
      <c r="K32" s="203"/>
      <c r="L32" s="203"/>
      <c r="M32" s="203"/>
    </row>
    <row r="33" spans="1:13">
      <c r="A33" s="242"/>
      <c r="B33" s="253"/>
      <c r="C33" s="257" t="s">
        <v>327</v>
      </c>
      <c r="D33" s="258"/>
      <c r="E33" s="243"/>
      <c r="F33" s="243"/>
      <c r="G33" s="243"/>
      <c r="H33" s="243"/>
      <c r="I33" s="228"/>
      <c r="J33" s="228"/>
      <c r="K33" s="203"/>
      <c r="L33" s="203"/>
      <c r="M33" s="203"/>
    </row>
    <row r="34" spans="1:13">
      <c r="A34" s="242"/>
      <c r="B34" s="253">
        <v>22</v>
      </c>
      <c r="C34" s="256" t="s">
        <v>328</v>
      </c>
      <c r="D34" s="254">
        <v>0</v>
      </c>
      <c r="E34" s="243"/>
      <c r="F34" s="243"/>
      <c r="G34" s="243"/>
      <c r="H34" s="243"/>
      <c r="I34" s="228"/>
      <c r="J34" s="228"/>
      <c r="K34" s="203"/>
      <c r="L34" s="203"/>
      <c r="M34" s="203"/>
    </row>
    <row r="35" spans="1:13">
      <c r="A35" s="242"/>
      <c r="B35" s="253">
        <v>23</v>
      </c>
      <c r="C35" s="240" t="s">
        <v>329</v>
      </c>
      <c r="D35" s="254">
        <v>0</v>
      </c>
      <c r="E35" s="243"/>
      <c r="F35" s="243"/>
      <c r="G35" s="243"/>
      <c r="H35" s="243"/>
      <c r="I35" s="228"/>
      <c r="J35" s="228"/>
      <c r="K35" s="203"/>
      <c r="L35" s="203"/>
      <c r="M35" s="203"/>
    </row>
    <row r="36" spans="1:13">
      <c r="A36" s="242"/>
      <c r="B36" s="253">
        <v>24</v>
      </c>
      <c r="C36" s="240" t="s">
        <v>330</v>
      </c>
      <c r="D36" s="254">
        <v>0</v>
      </c>
      <c r="E36" s="243"/>
      <c r="F36" s="243"/>
      <c r="G36" s="243"/>
      <c r="H36" s="243"/>
      <c r="I36" s="228"/>
      <c r="J36" s="228"/>
      <c r="K36" s="203"/>
      <c r="L36" s="203"/>
      <c r="M36" s="203"/>
    </row>
    <row r="37" spans="1:13">
      <c r="A37" s="242"/>
      <c r="B37" s="253">
        <v>25</v>
      </c>
      <c r="C37" s="240" t="s">
        <v>331</v>
      </c>
      <c r="D37" s="254">
        <v>0</v>
      </c>
      <c r="E37" s="243"/>
      <c r="F37" s="243"/>
      <c r="G37" s="243"/>
      <c r="H37" s="243"/>
      <c r="I37" s="228"/>
      <c r="J37" s="228"/>
      <c r="K37" s="203"/>
      <c r="L37" s="203"/>
      <c r="M37" s="203"/>
    </row>
    <row r="38" spans="1:13">
      <c r="A38" s="242"/>
      <c r="B38" s="253">
        <v>26</v>
      </c>
      <c r="C38" s="241" t="s">
        <v>332</v>
      </c>
      <c r="D38" s="255">
        <v>0</v>
      </c>
      <c r="E38" s="243"/>
      <c r="F38" s="243"/>
      <c r="G38" s="243"/>
      <c r="H38" s="243"/>
      <c r="I38" s="228"/>
      <c r="J38" s="228"/>
      <c r="K38" s="203"/>
      <c r="L38" s="203"/>
      <c r="M38" s="203"/>
    </row>
    <row r="39" spans="1:13" ht="15.75" thickBot="1">
      <c r="A39" s="242"/>
      <c r="B39" s="261">
        <v>27</v>
      </c>
      <c r="C39" s="262" t="s">
        <v>333</v>
      </c>
      <c r="D39" s="263">
        <f>IF(OR(D21&lt;&gt;"",D26&lt;&gt;"",D32&lt;&gt;"",D38&lt;&gt;""),IF(D21&lt;&gt;"",D21,0)+IF(D26&lt;&gt;"",D26,0)+IF(D32&lt;&gt;"",D32,0)+IF(D38&lt;&gt;"",D38,0),"")</f>
        <v>1136456</v>
      </c>
      <c r="E39" s="243"/>
      <c r="F39" s="243"/>
      <c r="G39" s="243"/>
      <c r="H39" s="243"/>
      <c r="I39" s="228"/>
      <c r="J39" s="228"/>
      <c r="K39" s="203"/>
      <c r="L39" s="203"/>
      <c r="M39" s="203"/>
    </row>
    <row r="40" spans="1:13">
      <c r="A40" s="228"/>
      <c r="B40" s="228"/>
      <c r="C40" s="228"/>
      <c r="D40" s="228"/>
      <c r="E40" s="243"/>
      <c r="F40" s="243"/>
      <c r="G40" s="243"/>
      <c r="H40" s="243"/>
      <c r="I40" s="228"/>
      <c r="J40" s="228"/>
      <c r="K40" s="203"/>
      <c r="L40" s="203"/>
      <c r="M40" s="203"/>
    </row>
    <row r="41" spans="1:13" ht="15.75" thickBot="1">
      <c r="A41" s="228"/>
      <c r="B41" s="228"/>
      <c r="C41" s="228"/>
      <c r="D41" s="228"/>
      <c r="E41" s="243"/>
      <c r="F41" s="243"/>
      <c r="G41" s="243"/>
      <c r="H41" s="243"/>
      <c r="I41" s="228"/>
      <c r="J41" s="228"/>
      <c r="K41" s="203"/>
      <c r="L41" s="203"/>
      <c r="M41" s="203"/>
    </row>
    <row r="42" spans="1:13" ht="20.25">
      <c r="A42" s="228"/>
      <c r="B42" s="510" t="s">
        <v>334</v>
      </c>
      <c r="C42" s="511"/>
      <c r="D42" s="512"/>
      <c r="E42" s="243"/>
      <c r="F42" s="243"/>
      <c r="G42" s="243"/>
      <c r="H42" s="243"/>
      <c r="I42" s="228"/>
      <c r="J42" s="228"/>
      <c r="K42" s="203"/>
      <c r="L42" s="203"/>
      <c r="M42" s="203"/>
    </row>
    <row r="43" spans="1:13" ht="21" thickBot="1">
      <c r="A43" s="228"/>
      <c r="B43" s="530" t="s">
        <v>335</v>
      </c>
      <c r="C43" s="531"/>
      <c r="D43" s="532"/>
      <c r="E43" s="243"/>
      <c r="F43" s="243"/>
      <c r="G43" s="243"/>
      <c r="H43" s="243"/>
      <c r="I43" s="228"/>
      <c r="J43" s="228"/>
      <c r="K43" s="203"/>
      <c r="L43" s="203"/>
      <c r="M43" s="203"/>
    </row>
    <row r="44" spans="1:13" ht="15.75" thickBot="1">
      <c r="A44" s="228"/>
      <c r="B44" s="519">
        <v>44196</v>
      </c>
      <c r="C44" s="520"/>
      <c r="D44" s="520"/>
      <c r="E44" s="243"/>
      <c r="F44" s="243"/>
      <c r="G44" s="243"/>
      <c r="H44" s="243"/>
      <c r="I44" s="228"/>
      <c r="J44" s="228"/>
      <c r="K44" s="203"/>
      <c r="L44" s="203"/>
      <c r="M44" s="203"/>
    </row>
    <row r="45" spans="1:13">
      <c r="A45" s="242"/>
      <c r="B45" s="521" t="s">
        <v>299</v>
      </c>
      <c r="C45" s="522"/>
      <c r="D45" s="522"/>
      <c r="E45" s="243"/>
      <c r="F45" s="243"/>
      <c r="G45" s="243"/>
      <c r="H45" s="243"/>
      <c r="I45" s="228"/>
      <c r="J45" s="228"/>
      <c r="K45" s="203"/>
      <c r="L45" s="203"/>
      <c r="M45" s="203"/>
    </row>
    <row r="46" spans="1:13" ht="15.75" thickBot="1">
      <c r="A46" s="242"/>
      <c r="B46" s="524" t="s">
        <v>336</v>
      </c>
      <c r="C46" s="525"/>
      <c r="D46" s="525"/>
      <c r="E46" s="243"/>
      <c r="F46" s="243"/>
      <c r="G46" s="243"/>
      <c r="H46" s="243"/>
      <c r="I46" s="228"/>
      <c r="J46" s="228"/>
      <c r="K46" s="203"/>
      <c r="L46" s="203"/>
      <c r="M46" s="203"/>
    </row>
    <row r="47" spans="1:13">
      <c r="A47" s="242"/>
      <c r="B47" s="264" t="s">
        <v>10</v>
      </c>
      <c r="C47" s="265" t="s">
        <v>301</v>
      </c>
      <c r="D47" s="266" t="s">
        <v>302</v>
      </c>
      <c r="E47" s="243"/>
      <c r="F47" s="243"/>
      <c r="G47" s="243"/>
      <c r="H47" s="243"/>
      <c r="I47" s="228"/>
      <c r="J47" s="228"/>
      <c r="K47" s="203"/>
      <c r="L47" s="203"/>
      <c r="M47" s="203"/>
    </row>
    <row r="48" spans="1:13" ht="15.75" thickBot="1">
      <c r="A48" s="242"/>
      <c r="B48" s="267" t="s">
        <v>303</v>
      </c>
      <c r="C48" s="268" t="s">
        <v>2</v>
      </c>
      <c r="D48" s="269" t="s">
        <v>3</v>
      </c>
      <c r="E48" s="243"/>
      <c r="F48" s="243"/>
      <c r="G48" s="243"/>
      <c r="H48" s="243"/>
      <c r="I48" s="228"/>
      <c r="J48" s="228"/>
      <c r="K48" s="203"/>
      <c r="L48" s="203"/>
      <c r="M48" s="203"/>
    </row>
    <row r="49" spans="1:13">
      <c r="A49" s="228"/>
      <c r="B49" s="250"/>
      <c r="C49" s="270" t="s">
        <v>337</v>
      </c>
      <c r="D49" s="252"/>
      <c r="E49" s="243"/>
      <c r="F49" s="243"/>
      <c r="G49" s="243"/>
      <c r="H49" s="243"/>
      <c r="I49" s="228"/>
      <c r="J49" s="228"/>
      <c r="K49" s="203"/>
      <c r="L49" s="203"/>
      <c r="M49" s="203"/>
    </row>
    <row r="50" spans="1:13">
      <c r="A50" s="228"/>
      <c r="B50" s="253">
        <v>1</v>
      </c>
      <c r="C50" s="271" t="s">
        <v>338</v>
      </c>
      <c r="D50" s="254">
        <v>0</v>
      </c>
      <c r="E50" s="243"/>
      <c r="F50" s="243"/>
      <c r="G50" s="243"/>
      <c r="H50" s="243"/>
      <c r="I50" s="228"/>
      <c r="J50" s="228"/>
      <c r="K50" s="203"/>
      <c r="L50" s="203"/>
      <c r="M50" s="203"/>
    </row>
    <row r="51" spans="1:13">
      <c r="A51" s="228"/>
      <c r="B51" s="253">
        <v>2</v>
      </c>
      <c r="C51" s="271" t="s">
        <v>339</v>
      </c>
      <c r="D51" s="254">
        <v>0</v>
      </c>
      <c r="E51" s="272"/>
      <c r="F51" s="272"/>
      <c r="G51" s="272"/>
      <c r="H51" s="243"/>
      <c r="I51" s="228"/>
      <c r="J51" s="228"/>
      <c r="K51" s="203"/>
      <c r="L51" s="203"/>
      <c r="M51" s="203"/>
    </row>
    <row r="52" spans="1:13">
      <c r="A52" s="228"/>
      <c r="B52" s="253">
        <v>3</v>
      </c>
      <c r="C52" s="271" t="s">
        <v>340</v>
      </c>
      <c r="D52" s="254">
        <v>17972</v>
      </c>
      <c r="E52" s="272"/>
      <c r="F52" s="272"/>
      <c r="G52" s="272"/>
      <c r="H52" s="243"/>
      <c r="I52" s="228"/>
      <c r="J52" s="228"/>
      <c r="K52" s="203"/>
      <c r="L52" s="203"/>
      <c r="M52" s="203"/>
    </row>
    <row r="53" spans="1:13">
      <c r="A53" s="228"/>
      <c r="B53" s="253">
        <v>4</v>
      </c>
      <c r="C53" s="271" t="s">
        <v>341</v>
      </c>
      <c r="D53" s="254">
        <v>0</v>
      </c>
      <c r="E53" s="272"/>
      <c r="F53" s="272"/>
      <c r="G53" s="272"/>
      <c r="H53" s="243"/>
      <c r="I53" s="228"/>
      <c r="J53" s="228"/>
      <c r="K53" s="203"/>
      <c r="L53" s="203"/>
      <c r="M53" s="203"/>
    </row>
    <row r="54" spans="1:13">
      <c r="A54" s="228"/>
      <c r="B54" s="253">
        <v>5</v>
      </c>
      <c r="C54" s="271" t="s">
        <v>342</v>
      </c>
      <c r="D54" s="254">
        <v>21626</v>
      </c>
      <c r="E54" s="272"/>
      <c r="F54" s="272"/>
      <c r="G54" s="272"/>
      <c r="H54" s="243"/>
      <c r="I54" s="228"/>
      <c r="J54" s="228"/>
      <c r="K54" s="203"/>
      <c r="L54" s="203"/>
      <c r="M54" s="203"/>
    </row>
    <row r="55" spans="1:13">
      <c r="A55" s="228"/>
      <c r="B55" s="253">
        <v>6</v>
      </c>
      <c r="C55" s="271" t="s">
        <v>343</v>
      </c>
      <c r="D55" s="254">
        <v>0</v>
      </c>
      <c r="E55" s="272"/>
      <c r="F55" s="272"/>
      <c r="G55" s="272"/>
      <c r="H55" s="243"/>
      <c r="I55" s="228"/>
      <c r="J55" s="228"/>
      <c r="K55" s="203"/>
      <c r="L55" s="203"/>
      <c r="M55" s="203"/>
    </row>
    <row r="56" spans="1:13">
      <c r="A56" s="228"/>
      <c r="B56" s="253">
        <v>7</v>
      </c>
      <c r="C56" s="273" t="s">
        <v>344</v>
      </c>
      <c r="D56" s="254">
        <v>0</v>
      </c>
      <c r="E56" s="272"/>
      <c r="F56" s="272"/>
      <c r="G56" s="272"/>
      <c r="H56" s="243"/>
      <c r="I56" s="228"/>
      <c r="J56" s="228"/>
      <c r="K56" s="203"/>
      <c r="L56" s="203"/>
      <c r="M56" s="203"/>
    </row>
    <row r="57" spans="1:13">
      <c r="A57" s="228"/>
      <c r="B57" s="253">
        <v>8</v>
      </c>
      <c r="C57" s="274" t="s">
        <v>345</v>
      </c>
      <c r="D57" s="255">
        <f>IF(SUM(D50:D56)=0,"",SUM(D50:D56))</f>
        <v>39598</v>
      </c>
      <c r="E57" s="272"/>
      <c r="F57" s="272">
        <f>+D57</f>
        <v>39598</v>
      </c>
      <c r="G57" s="272"/>
      <c r="H57" s="243"/>
      <c r="I57" s="275"/>
      <c r="J57" s="228"/>
      <c r="K57" s="203"/>
      <c r="L57" s="203"/>
      <c r="M57" s="203"/>
    </row>
    <row r="58" spans="1:13">
      <c r="A58" s="228"/>
      <c r="B58" s="253"/>
      <c r="C58" s="276" t="s">
        <v>346</v>
      </c>
      <c r="D58" s="258"/>
      <c r="E58" s="272"/>
      <c r="F58" s="272"/>
      <c r="G58" s="272"/>
      <c r="H58" s="243"/>
      <c r="I58" s="275"/>
      <c r="J58" s="228"/>
      <c r="K58" s="203"/>
      <c r="L58" s="203"/>
      <c r="M58" s="203"/>
    </row>
    <row r="59" spans="1:13">
      <c r="A59" s="228"/>
      <c r="B59" s="253">
        <v>9</v>
      </c>
      <c r="C59" s="273" t="s">
        <v>347</v>
      </c>
      <c r="D59" s="255">
        <v>547746</v>
      </c>
      <c r="E59" s="272"/>
      <c r="F59" s="272">
        <f>+D59+E59</f>
        <v>547746</v>
      </c>
      <c r="G59" s="272"/>
      <c r="H59" s="243"/>
      <c r="I59" s="277">
        <v>5.0999999999999997E-2</v>
      </c>
      <c r="J59" s="228"/>
      <c r="K59" s="203"/>
      <c r="L59" s="203"/>
      <c r="M59" s="203"/>
    </row>
    <row r="60" spans="1:13">
      <c r="A60" s="228"/>
      <c r="B60" s="253">
        <v>10</v>
      </c>
      <c r="C60" s="273" t="s">
        <v>348</v>
      </c>
      <c r="D60" s="255">
        <v>436771</v>
      </c>
      <c r="E60" s="272">
        <v>-91836</v>
      </c>
      <c r="F60" s="272">
        <f>+D60+E60</f>
        <v>344935</v>
      </c>
      <c r="G60" s="272"/>
      <c r="H60" s="243"/>
      <c r="I60" s="277">
        <v>4.5999999999999999E-2</v>
      </c>
      <c r="J60" s="228"/>
      <c r="K60" s="203"/>
      <c r="L60" s="203"/>
      <c r="M60" s="203"/>
    </row>
    <row r="61" spans="1:13">
      <c r="A61" s="228"/>
      <c r="B61" s="253">
        <v>11</v>
      </c>
      <c r="C61" s="273" t="s">
        <v>349</v>
      </c>
      <c r="D61" s="255">
        <v>0</v>
      </c>
      <c r="E61" s="278"/>
      <c r="F61" s="279"/>
      <c r="G61" s="279"/>
      <c r="H61" s="243"/>
      <c r="I61" s="280"/>
      <c r="J61" s="228"/>
      <c r="K61" s="203"/>
      <c r="L61" s="203"/>
      <c r="M61" s="203"/>
    </row>
    <row r="62" spans="1:13">
      <c r="A62" s="228"/>
      <c r="B62" s="253">
        <v>12</v>
      </c>
      <c r="C62" s="274" t="s">
        <v>350</v>
      </c>
      <c r="D62" s="255">
        <f>IF(SUM(D59:D61)=0,"",SUM(D59:D61))</f>
        <v>984517</v>
      </c>
      <c r="E62" s="272">
        <f>+E60</f>
        <v>-91836</v>
      </c>
      <c r="F62" s="272">
        <f>+D62+E62</f>
        <v>892681</v>
      </c>
      <c r="G62" s="280">
        <f>+F62/F80</f>
        <v>0.78549543493104879</v>
      </c>
      <c r="H62" s="243"/>
      <c r="I62" s="277">
        <f>AVERAGE(I59:I61)</f>
        <v>4.8500000000000001E-2</v>
      </c>
      <c r="J62" s="228"/>
      <c r="K62" s="203"/>
      <c r="L62" s="203"/>
      <c r="M62" s="203"/>
    </row>
    <row r="63" spans="1:13">
      <c r="A63" s="228"/>
      <c r="B63" s="253"/>
      <c r="C63" s="281" t="s">
        <v>351</v>
      </c>
      <c r="D63" s="258"/>
      <c r="E63" s="272"/>
      <c r="F63" s="272"/>
      <c r="G63" s="272"/>
      <c r="H63" s="243"/>
      <c r="I63" s="275"/>
      <c r="J63" s="228"/>
      <c r="K63" s="203"/>
      <c r="L63" s="203"/>
      <c r="M63" s="203"/>
    </row>
    <row r="64" spans="1:13">
      <c r="A64" s="228"/>
      <c r="B64" s="253">
        <v>13</v>
      </c>
      <c r="C64" s="273" t="s">
        <v>352</v>
      </c>
      <c r="D64" s="255">
        <v>0</v>
      </c>
      <c r="E64" s="272"/>
      <c r="F64" s="272"/>
      <c r="G64" s="272"/>
      <c r="H64" s="243"/>
      <c r="I64" s="275"/>
      <c r="J64" s="228"/>
      <c r="K64" s="203"/>
      <c r="L64" s="203"/>
      <c r="M64" s="203"/>
    </row>
    <row r="65" spans="1:13">
      <c r="A65" s="228"/>
      <c r="B65" s="253">
        <v>14</v>
      </c>
      <c r="C65" s="273" t="s">
        <v>353</v>
      </c>
      <c r="D65" s="255">
        <v>0</v>
      </c>
      <c r="E65" s="272"/>
      <c r="F65" s="272"/>
      <c r="G65" s="272"/>
      <c r="H65" s="243"/>
      <c r="I65" s="275"/>
      <c r="J65" s="228"/>
      <c r="K65" s="203"/>
      <c r="L65" s="203"/>
      <c r="M65" s="203"/>
    </row>
    <row r="66" spans="1:13">
      <c r="A66" s="228"/>
      <c r="B66" s="253">
        <v>15</v>
      </c>
      <c r="C66" s="274" t="s">
        <v>354</v>
      </c>
      <c r="D66" s="255">
        <v>0</v>
      </c>
      <c r="E66" s="272"/>
      <c r="F66" s="272"/>
      <c r="G66" s="272"/>
      <c r="H66" s="243"/>
      <c r="I66" s="275"/>
      <c r="J66" s="228"/>
      <c r="K66" s="203"/>
      <c r="L66" s="203"/>
      <c r="M66" s="203"/>
    </row>
    <row r="67" spans="1:13">
      <c r="A67" s="228"/>
      <c r="B67" s="253">
        <v>16</v>
      </c>
      <c r="C67" s="282" t="s">
        <v>355</v>
      </c>
      <c r="D67" s="255">
        <f>D57+D62+D55</f>
        <v>1024115</v>
      </c>
      <c r="E67" s="272"/>
      <c r="F67" s="272"/>
      <c r="G67" s="272"/>
      <c r="H67" s="243"/>
      <c r="I67" s="228"/>
      <c r="J67" s="228"/>
      <c r="K67" s="203"/>
      <c r="L67" s="203"/>
      <c r="M67" s="203"/>
    </row>
    <row r="68" spans="1:13">
      <c r="A68" s="228"/>
      <c r="B68" s="253"/>
      <c r="C68" s="276" t="s">
        <v>356</v>
      </c>
      <c r="D68" s="258"/>
      <c r="E68" s="272"/>
      <c r="F68" s="272"/>
      <c r="G68" s="272"/>
      <c r="H68" s="243"/>
      <c r="I68" s="228"/>
      <c r="J68" s="228"/>
      <c r="K68" s="203"/>
      <c r="L68" s="203"/>
      <c r="M68" s="203"/>
    </row>
    <row r="69" spans="1:13">
      <c r="A69" s="228"/>
      <c r="B69" s="253">
        <v>17</v>
      </c>
      <c r="C69" s="273" t="s">
        <v>357</v>
      </c>
      <c r="D69" s="283"/>
      <c r="E69" s="272"/>
      <c r="F69" s="272"/>
      <c r="G69" s="272"/>
      <c r="H69" s="243"/>
      <c r="I69" s="228"/>
      <c r="J69" s="228"/>
      <c r="K69" s="203"/>
      <c r="L69" s="203"/>
      <c r="M69" s="203"/>
    </row>
    <row r="70" spans="1:13">
      <c r="A70" s="228"/>
      <c r="B70" s="253">
        <v>18</v>
      </c>
      <c r="C70" s="274" t="s">
        <v>357</v>
      </c>
      <c r="D70" s="255">
        <v>5934</v>
      </c>
      <c r="E70" s="272"/>
      <c r="F70" s="272">
        <f>+D70+E70</f>
        <v>5934</v>
      </c>
      <c r="G70" s="272"/>
      <c r="H70" s="243"/>
      <c r="I70" s="228"/>
      <c r="J70" s="228"/>
      <c r="K70" s="203"/>
      <c r="L70" s="203"/>
      <c r="M70" s="203"/>
    </row>
    <row r="71" spans="1:13">
      <c r="A71" s="228"/>
      <c r="B71" s="253">
        <v>19</v>
      </c>
      <c r="C71" s="274" t="s">
        <v>358</v>
      </c>
      <c r="D71" s="255">
        <v>0</v>
      </c>
      <c r="E71" s="272"/>
      <c r="F71" s="272"/>
      <c r="G71" s="272"/>
      <c r="H71" s="243"/>
      <c r="I71" s="228"/>
      <c r="J71" s="228"/>
      <c r="K71" s="203"/>
      <c r="L71" s="203"/>
      <c r="M71" s="203"/>
    </row>
    <row r="72" spans="1:13">
      <c r="A72" s="228"/>
      <c r="B72" s="253">
        <v>20</v>
      </c>
      <c r="C72" s="274" t="s">
        <v>359</v>
      </c>
      <c r="D72" s="255">
        <v>0</v>
      </c>
      <c r="E72" s="272"/>
      <c r="F72" s="272"/>
      <c r="G72" s="272"/>
      <c r="H72" s="243"/>
      <c r="I72" s="228"/>
      <c r="J72" s="228"/>
      <c r="K72" s="203"/>
      <c r="L72" s="203"/>
      <c r="M72" s="203"/>
    </row>
    <row r="73" spans="1:13">
      <c r="A73" s="228"/>
      <c r="B73" s="253">
        <v>21</v>
      </c>
      <c r="C73" s="282" t="s">
        <v>360</v>
      </c>
      <c r="D73" s="255">
        <f>IF(SUM(D70:D72)=0,"",SUMIF(D70:D72,"&lt;&gt;"""))</f>
        <v>5934</v>
      </c>
      <c r="E73" s="272"/>
      <c r="F73" s="272">
        <f>+D73+E73</f>
        <v>5934</v>
      </c>
      <c r="G73" s="272"/>
      <c r="H73" s="243"/>
      <c r="I73" s="228"/>
      <c r="J73" s="228"/>
      <c r="K73" s="203"/>
      <c r="L73" s="203"/>
      <c r="M73" s="203"/>
    </row>
    <row r="74" spans="1:13">
      <c r="A74" s="228"/>
      <c r="B74" s="253">
        <v>22</v>
      </c>
      <c r="C74" s="271" t="s">
        <v>361</v>
      </c>
      <c r="D74" s="258"/>
      <c r="E74" s="272"/>
      <c r="F74" s="272"/>
      <c r="G74" s="272"/>
      <c r="H74" s="243"/>
      <c r="I74" s="228"/>
      <c r="J74" s="228"/>
      <c r="K74" s="203"/>
      <c r="L74" s="203"/>
      <c r="M74" s="203"/>
    </row>
    <row r="75" spans="1:13">
      <c r="A75" s="228"/>
      <c r="B75" s="253">
        <v>23</v>
      </c>
      <c r="C75" s="274" t="s">
        <v>362</v>
      </c>
      <c r="D75" s="255">
        <v>0</v>
      </c>
      <c r="E75" s="272"/>
      <c r="F75" s="272"/>
      <c r="G75" s="272"/>
      <c r="H75" s="243"/>
      <c r="I75" s="228"/>
      <c r="J75" s="228"/>
      <c r="K75" s="203"/>
      <c r="L75" s="203"/>
      <c r="M75" s="203"/>
    </row>
    <row r="76" spans="1:13">
      <c r="A76" s="228"/>
      <c r="B76" s="253">
        <v>24</v>
      </c>
      <c r="C76" s="274" t="s">
        <v>363</v>
      </c>
      <c r="D76" s="255">
        <v>0</v>
      </c>
      <c r="E76" s="272"/>
      <c r="F76" s="272"/>
      <c r="G76" s="272"/>
      <c r="H76" s="243"/>
      <c r="I76" s="228"/>
      <c r="J76" s="228"/>
      <c r="K76" s="203"/>
      <c r="L76" s="203"/>
      <c r="M76" s="203"/>
    </row>
    <row r="77" spans="1:13">
      <c r="A77" s="228"/>
      <c r="B77" s="253">
        <v>25</v>
      </c>
      <c r="C77" s="282" t="s">
        <v>364</v>
      </c>
      <c r="D77" s="255">
        <v>0</v>
      </c>
      <c r="E77" s="272"/>
      <c r="F77" s="272"/>
      <c r="G77" s="272"/>
      <c r="H77" s="243"/>
      <c r="I77" s="228"/>
      <c r="J77" s="228"/>
      <c r="K77" s="203"/>
      <c r="L77" s="203"/>
      <c r="M77" s="203"/>
    </row>
    <row r="78" spans="1:13">
      <c r="A78" s="228"/>
      <c r="B78" s="253">
        <v>26</v>
      </c>
      <c r="C78" s="271" t="s">
        <v>365</v>
      </c>
      <c r="D78" s="255">
        <v>106407</v>
      </c>
      <c r="E78" s="278">
        <f>-E60</f>
        <v>91836</v>
      </c>
      <c r="F78" s="279">
        <f>+D78+E78</f>
        <v>198243</v>
      </c>
      <c r="G78" s="279"/>
      <c r="H78" s="243"/>
      <c r="I78" s="228"/>
      <c r="J78" s="228"/>
      <c r="K78" s="203"/>
      <c r="L78" s="203"/>
      <c r="M78" s="203"/>
    </row>
    <row r="79" spans="1:13">
      <c r="A79" s="228"/>
      <c r="B79" s="253">
        <v>27</v>
      </c>
      <c r="C79" s="274" t="s">
        <v>366</v>
      </c>
      <c r="D79" s="255">
        <f>IF(OR(D78&lt;&gt;"",D77&lt;&gt;"",D73&lt;&gt;""),IF(D73="",0,D73)+IF(D77="",0,D77)+IF(D78&lt;&gt;"",D78,0),"")</f>
        <v>112341</v>
      </c>
      <c r="E79" s="278">
        <f>+E78</f>
        <v>91836</v>
      </c>
      <c r="F79" s="284">
        <f>+D79+E79</f>
        <v>204177</v>
      </c>
      <c r="G79" s="280">
        <f>+F79/F80</f>
        <v>0.17966115714114755</v>
      </c>
      <c r="H79" s="243"/>
      <c r="I79" s="228"/>
      <c r="J79" s="228"/>
      <c r="K79" s="203"/>
      <c r="L79" s="203"/>
      <c r="M79" s="203"/>
    </row>
    <row r="80" spans="1:13" ht="15.75" thickBot="1">
      <c r="A80" s="228"/>
      <c r="B80" s="261">
        <v>28</v>
      </c>
      <c r="C80" s="285" t="s">
        <v>367</v>
      </c>
      <c r="D80" s="263">
        <f>IF(AND(D67="",D79=""),"",SUMIF(D67,"&lt;&gt;""")+SUMIF(D79,"&lt;&gt;"""))</f>
        <v>1136456</v>
      </c>
      <c r="E80" s="272"/>
      <c r="F80" s="272">
        <f>+F79+F62+F57</f>
        <v>1136456</v>
      </c>
      <c r="G80" s="272"/>
      <c r="H80" s="243"/>
      <c r="I80" s="228"/>
      <c r="J80" s="228"/>
      <c r="K80" s="203"/>
      <c r="L80" s="203"/>
      <c r="M80" s="203"/>
    </row>
    <row r="81" spans="1:13" ht="15.75" thickBot="1">
      <c r="A81" s="242"/>
      <c r="B81" s="242"/>
      <c r="C81" s="242"/>
      <c r="D81" s="286"/>
      <c r="E81" s="243"/>
      <c r="F81" s="243"/>
      <c r="G81" s="243"/>
      <c r="H81" s="243"/>
      <c r="I81" s="228"/>
      <c r="J81" s="228"/>
      <c r="K81" s="203"/>
      <c r="L81" s="203"/>
      <c r="M81" s="203"/>
    </row>
    <row r="82" spans="1:13" ht="15.75" thickBot="1">
      <c r="A82" s="228"/>
      <c r="B82" s="533" t="s">
        <v>368</v>
      </c>
      <c r="C82" s="534"/>
      <c r="D82" s="535"/>
      <c r="E82" s="243"/>
      <c r="F82" s="243"/>
      <c r="G82" s="243"/>
      <c r="H82" s="243"/>
      <c r="I82" s="228"/>
      <c r="J82" s="228"/>
      <c r="K82" s="203"/>
      <c r="L82" s="203"/>
      <c r="M82" s="203"/>
    </row>
    <row r="83" spans="1:13">
      <c r="A83" s="228"/>
      <c r="B83" s="536" t="s">
        <v>369</v>
      </c>
      <c r="C83" s="537"/>
      <c r="D83" s="538"/>
      <c r="E83" s="243"/>
      <c r="F83" s="243"/>
      <c r="G83" s="243"/>
      <c r="H83" s="243"/>
      <c r="I83" s="228"/>
      <c r="J83" s="228"/>
      <c r="K83" s="203"/>
      <c r="L83" s="203"/>
      <c r="M83" s="203"/>
    </row>
    <row r="84" spans="1:13">
      <c r="A84" s="228"/>
      <c r="B84" s="539"/>
      <c r="C84" s="540"/>
      <c r="D84" s="541"/>
      <c r="E84" s="243"/>
      <c r="F84" s="243"/>
      <c r="G84" s="243"/>
      <c r="H84" s="243"/>
      <c r="I84" s="228"/>
      <c r="J84" s="228"/>
      <c r="K84" s="203"/>
      <c r="L84" s="203"/>
      <c r="M84" s="203"/>
    </row>
    <row r="85" spans="1:13">
      <c r="A85" s="228"/>
      <c r="B85" s="539" t="s">
        <v>370</v>
      </c>
      <c r="C85" s="540"/>
      <c r="D85" s="541"/>
      <c r="E85" s="243"/>
      <c r="F85" s="243"/>
      <c r="G85" s="243"/>
      <c r="H85" s="243"/>
      <c r="I85" s="228"/>
      <c r="J85" s="228"/>
      <c r="K85" s="203"/>
      <c r="L85" s="203"/>
      <c r="M85" s="203"/>
    </row>
    <row r="86" spans="1:13">
      <c r="A86" s="228"/>
      <c r="B86" s="539" t="s">
        <v>371</v>
      </c>
      <c r="C86" s="540"/>
      <c r="D86" s="541"/>
      <c r="E86" s="243"/>
      <c r="F86" s="243"/>
      <c r="G86" s="243"/>
      <c r="H86" s="243"/>
      <c r="I86" s="228"/>
      <c r="J86" s="228"/>
      <c r="K86" s="203"/>
      <c r="L86" s="203"/>
      <c r="M86" s="203"/>
    </row>
    <row r="87" spans="1:13">
      <c r="A87" s="228"/>
      <c r="B87" s="539"/>
      <c r="C87" s="540"/>
      <c r="D87" s="541"/>
      <c r="E87" s="243"/>
      <c r="F87" s="243"/>
      <c r="G87" s="243"/>
      <c r="H87" s="243"/>
      <c r="I87" s="228"/>
      <c r="J87" s="228"/>
      <c r="K87" s="203"/>
      <c r="L87" s="203"/>
      <c r="M87" s="203"/>
    </row>
    <row r="88" spans="1:13">
      <c r="A88" s="228"/>
      <c r="B88" s="539"/>
      <c r="C88" s="540"/>
      <c r="D88" s="541"/>
      <c r="E88" s="243"/>
      <c r="F88" s="243"/>
      <c r="G88" s="243"/>
      <c r="H88" s="243"/>
      <c r="I88" s="228"/>
      <c r="J88" s="228"/>
      <c r="K88" s="203"/>
      <c r="L88" s="203"/>
      <c r="M88" s="203"/>
    </row>
    <row r="89" spans="1:13" ht="15.75" thickBot="1">
      <c r="A89" s="228"/>
      <c r="B89" s="527"/>
      <c r="C89" s="528"/>
      <c r="D89" s="529"/>
      <c r="E89" s="243"/>
      <c r="F89" s="243"/>
      <c r="G89" s="243"/>
      <c r="H89" s="243"/>
      <c r="I89" s="228"/>
      <c r="J89" s="228"/>
      <c r="K89" s="203"/>
      <c r="L89" s="203"/>
      <c r="M89" s="203"/>
    </row>
    <row r="90" spans="1:13">
      <c r="A90" s="228"/>
      <c r="B90" s="228"/>
      <c r="C90" s="228"/>
      <c r="D90" s="228"/>
      <c r="E90" s="243"/>
      <c r="F90" s="243"/>
      <c r="G90" s="243"/>
      <c r="H90" s="243"/>
      <c r="I90" s="228"/>
      <c r="J90" s="228"/>
      <c r="K90" s="203"/>
      <c r="L90" s="203"/>
      <c r="M90" s="203"/>
    </row>
    <row r="91" spans="1:13">
      <c r="A91" s="228"/>
      <c r="B91" s="228"/>
      <c r="C91" s="228"/>
      <c r="D91" s="228"/>
      <c r="E91" s="228"/>
      <c r="F91" s="228"/>
      <c r="G91" s="228"/>
      <c r="H91" s="228"/>
      <c r="I91" s="228"/>
      <c r="J91" s="228"/>
      <c r="K91" s="203"/>
      <c r="L91" s="203"/>
      <c r="M91" s="203"/>
    </row>
    <row r="92" spans="1:13">
      <c r="A92" s="228"/>
      <c r="B92" s="228"/>
      <c r="C92" s="228"/>
      <c r="D92" s="228"/>
      <c r="E92" s="228"/>
      <c r="F92" s="228"/>
      <c r="G92" s="228"/>
      <c r="H92" s="228"/>
      <c r="I92" s="228"/>
      <c r="J92" s="228"/>
      <c r="K92" s="203"/>
      <c r="L92" s="203"/>
      <c r="M92" s="203"/>
    </row>
    <row r="93" spans="1:13">
      <c r="A93" s="228"/>
      <c r="B93" s="228"/>
      <c r="C93" s="228"/>
      <c r="D93" s="228"/>
      <c r="E93" s="228"/>
      <c r="F93" s="228"/>
      <c r="G93" s="228"/>
      <c r="H93" s="228"/>
      <c r="I93" s="228"/>
      <c r="J93" s="228"/>
      <c r="K93" s="203"/>
      <c r="L93" s="203"/>
      <c r="M93" s="203"/>
    </row>
    <row r="94" spans="1:13">
      <c r="A94" s="228"/>
      <c r="B94" s="228"/>
      <c r="C94" s="228"/>
      <c r="D94" s="228"/>
      <c r="E94" s="228"/>
      <c r="F94" s="228"/>
      <c r="G94" s="228"/>
      <c r="H94" s="228"/>
      <c r="I94" s="228"/>
      <c r="J94" s="228"/>
      <c r="K94" s="203"/>
      <c r="L94" s="203"/>
      <c r="M94" s="203"/>
    </row>
    <row r="95" spans="1:13">
      <c r="A95" s="203"/>
      <c r="B95" s="203"/>
      <c r="C95" s="203"/>
      <c r="D95" s="203"/>
      <c r="E95" s="203"/>
      <c r="F95" s="203"/>
      <c r="G95" s="203"/>
      <c r="H95" s="203"/>
      <c r="I95" s="203"/>
      <c r="J95" s="203"/>
      <c r="K95" s="203"/>
      <c r="L95" s="203"/>
      <c r="M95" s="203"/>
    </row>
    <row r="96" spans="1:13">
      <c r="A96" s="203"/>
      <c r="B96" s="203"/>
      <c r="C96" s="203"/>
      <c r="D96" s="203"/>
      <c r="E96" s="203"/>
      <c r="F96" s="203"/>
      <c r="G96" s="203"/>
      <c r="H96" s="203"/>
      <c r="I96" s="203"/>
      <c r="J96" s="203"/>
      <c r="K96" s="203"/>
      <c r="L96" s="203"/>
      <c r="M96" s="203"/>
    </row>
  </sheetData>
  <mergeCells count="18">
    <mergeCell ref="B89:D89"/>
    <mergeCell ref="B43:D43"/>
    <mergeCell ref="B44:D44"/>
    <mergeCell ref="B45:D45"/>
    <mergeCell ref="B46:D46"/>
    <mergeCell ref="B82:D82"/>
    <mergeCell ref="B83:D83"/>
    <mergeCell ref="B84:D84"/>
    <mergeCell ref="B85:D85"/>
    <mergeCell ref="B86:D86"/>
    <mergeCell ref="B87:D87"/>
    <mergeCell ref="B88:D88"/>
    <mergeCell ref="B42:D42"/>
    <mergeCell ref="B2:D2"/>
    <mergeCell ref="B3:D3"/>
    <mergeCell ref="B4:D4"/>
    <mergeCell ref="B5:D5"/>
    <mergeCell ref="B6:D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27C9D-5347-4ECD-8BE4-1AF48D557AB3}">
  <dimension ref="A1:M88"/>
  <sheetViews>
    <sheetView workbookViewId="0">
      <selection activeCell="G20" sqref="G20"/>
    </sheetView>
  </sheetViews>
  <sheetFormatPr defaultRowHeight="15"/>
  <cols>
    <col min="1" max="1" width="25.6640625" customWidth="1"/>
    <col min="2" max="2" width="11" customWidth="1"/>
    <col min="3" max="4" width="10.33203125" customWidth="1"/>
    <col min="7" max="7" width="12.33203125" bestFit="1" customWidth="1"/>
    <col min="8" max="8" width="10" customWidth="1"/>
    <col min="9" max="9" width="11.5546875" bestFit="1" customWidth="1"/>
  </cols>
  <sheetData>
    <row r="1" spans="1:13" ht="15.75">
      <c r="A1" s="225" t="s">
        <v>128</v>
      </c>
      <c r="B1" s="287"/>
      <c r="C1" s="287"/>
      <c r="D1" s="287"/>
      <c r="E1" s="287"/>
      <c r="F1" s="287"/>
      <c r="G1" s="287"/>
      <c r="H1" s="287"/>
      <c r="I1" s="287"/>
      <c r="J1" s="287"/>
      <c r="K1" s="287"/>
      <c r="L1" s="228"/>
      <c r="M1" s="228"/>
    </row>
    <row r="2" spans="1:13" ht="15.75">
      <c r="A2" s="225" t="s">
        <v>129</v>
      </c>
      <c r="B2" s="287"/>
      <c r="C2" s="287"/>
      <c r="D2" s="287"/>
      <c r="E2" s="287"/>
      <c r="F2" s="287"/>
      <c r="G2" s="287"/>
      <c r="H2" s="287"/>
      <c r="I2" s="287"/>
      <c r="J2" s="287"/>
      <c r="K2" s="287"/>
      <c r="L2" s="228"/>
      <c r="M2" s="228"/>
    </row>
    <row r="3" spans="1:13" ht="15.75">
      <c r="A3" s="287"/>
      <c r="B3" s="287"/>
      <c r="C3" s="287"/>
      <c r="D3" s="287"/>
      <c r="E3" s="287"/>
      <c r="F3" s="287"/>
      <c r="G3" s="287"/>
      <c r="H3" s="287"/>
      <c r="I3" s="287"/>
      <c r="J3" s="287"/>
      <c r="K3" s="287"/>
      <c r="L3" s="228"/>
      <c r="M3" s="228"/>
    </row>
    <row r="4" spans="1:13" ht="15.75">
      <c r="A4" s="287"/>
      <c r="B4" s="287"/>
      <c r="C4" s="287"/>
      <c r="D4" s="287"/>
      <c r="E4" s="287"/>
      <c r="F4" s="287"/>
      <c r="G4" s="287"/>
      <c r="H4" s="287"/>
      <c r="I4" s="287"/>
      <c r="J4" s="287"/>
      <c r="K4" s="287"/>
      <c r="L4" s="228"/>
      <c r="M4" s="228"/>
    </row>
    <row r="5" spans="1:13" ht="15.75">
      <c r="A5" s="287"/>
      <c r="B5" s="287"/>
      <c r="C5" s="287"/>
      <c r="D5" s="287"/>
      <c r="E5" s="287"/>
      <c r="F5" s="287"/>
      <c r="G5" s="287"/>
      <c r="H5" s="287"/>
      <c r="I5" s="287"/>
      <c r="J5" s="287"/>
      <c r="K5" s="287"/>
      <c r="L5" s="228"/>
      <c r="M5" s="228"/>
    </row>
    <row r="6" spans="1:13" ht="31.5">
      <c r="A6" s="227" t="s">
        <v>12</v>
      </c>
      <c r="B6" s="287" t="s">
        <v>372</v>
      </c>
      <c r="C6" s="288" t="s">
        <v>373</v>
      </c>
      <c r="D6" s="289" t="s">
        <v>374</v>
      </c>
      <c r="E6" s="287"/>
      <c r="F6" s="287"/>
      <c r="G6" s="287"/>
      <c r="H6" s="287"/>
      <c r="I6" s="287"/>
      <c r="J6" s="287"/>
      <c r="K6" s="287"/>
      <c r="L6" s="228"/>
      <c r="M6" s="228"/>
    </row>
    <row r="7" spans="1:13" ht="15.75">
      <c r="A7" s="225" t="s">
        <v>220</v>
      </c>
      <c r="B7" s="290">
        <f>+'[1]Pro Forma'!F7</f>
        <v>911773.58</v>
      </c>
      <c r="C7" s="290"/>
      <c r="D7" s="290">
        <f>+B7</f>
        <v>911773.58</v>
      </c>
      <c r="E7" s="290"/>
      <c r="F7" s="290"/>
      <c r="G7" s="287"/>
      <c r="H7" s="291" t="s">
        <v>211</v>
      </c>
      <c r="I7" s="287" t="s">
        <v>210</v>
      </c>
      <c r="J7" s="287"/>
      <c r="K7" s="287"/>
      <c r="L7" s="228"/>
      <c r="M7" s="228"/>
    </row>
    <row r="8" spans="1:13" ht="15.75">
      <c r="A8" s="225" t="s">
        <v>221</v>
      </c>
      <c r="B8" s="290">
        <f>+'[1]Pro Forma'!F8</f>
        <v>320508.28999999998</v>
      </c>
      <c r="C8" s="290"/>
      <c r="D8" s="290">
        <f t="shared" ref="D8:D10" si="0">+B8</f>
        <v>320508.28999999998</v>
      </c>
      <c r="E8" s="290"/>
      <c r="F8" s="290"/>
      <c r="G8" s="287" t="s">
        <v>375</v>
      </c>
      <c r="H8" s="292">
        <f>4325/5036</f>
        <v>0.85881652104845119</v>
      </c>
      <c r="I8" s="292">
        <f>1-H8</f>
        <v>0.14118347895154881</v>
      </c>
      <c r="J8" s="292">
        <f>SUM(H8:I8)</f>
        <v>1</v>
      </c>
      <c r="K8" s="287"/>
      <c r="L8" s="228"/>
      <c r="M8" s="228"/>
    </row>
    <row r="9" spans="1:13" ht="15.75">
      <c r="A9" s="225" t="s">
        <v>222</v>
      </c>
      <c r="B9" s="290">
        <f>+'[1]Pro Forma'!F9</f>
        <v>48474.81</v>
      </c>
      <c r="C9" s="290"/>
      <c r="D9" s="290">
        <f t="shared" si="0"/>
        <v>48474.81</v>
      </c>
      <c r="E9" s="290"/>
      <c r="F9" s="290"/>
      <c r="G9" s="287" t="s">
        <v>376</v>
      </c>
      <c r="H9" s="292">
        <f>+'[2]Truck Hours'!I25+'[2]Truck Hours'!K25</f>
        <v>0.86776859504132231</v>
      </c>
      <c r="I9" s="292">
        <f>+'[2]Truck Hours'!J25</f>
        <v>0.13223140495867769</v>
      </c>
      <c r="J9" s="292">
        <f>SUM(H9:I9)</f>
        <v>1</v>
      </c>
      <c r="K9" s="287"/>
      <c r="L9" s="228"/>
      <c r="M9" s="228"/>
    </row>
    <row r="10" spans="1:13" ht="15.75">
      <c r="A10" s="225" t="s">
        <v>223</v>
      </c>
      <c r="B10" s="290">
        <f>+'[1]Pro Forma'!F10</f>
        <v>46621.96</v>
      </c>
      <c r="C10" s="290"/>
      <c r="D10" s="290">
        <f t="shared" si="0"/>
        <v>46621.96</v>
      </c>
      <c r="E10" s="290"/>
      <c r="F10" s="290"/>
      <c r="G10" s="287" t="s">
        <v>377</v>
      </c>
      <c r="H10" s="292">
        <f>AVERAGE(H8:H9)</f>
        <v>0.86329255804488669</v>
      </c>
      <c r="I10" s="292">
        <f>AVERAGE(I8:I9)</f>
        <v>0.13670744195511325</v>
      </c>
      <c r="J10" s="292">
        <f>AVERAGE(J8:J9)</f>
        <v>1</v>
      </c>
      <c r="K10" s="287"/>
      <c r="L10" s="228"/>
      <c r="M10" s="228"/>
    </row>
    <row r="11" spans="1:13" ht="15.75">
      <c r="A11" s="225" t="s">
        <v>224</v>
      </c>
      <c r="B11" s="290">
        <f>+'[1]Pro Forma'!F11</f>
        <v>114558.11</v>
      </c>
      <c r="C11" s="290">
        <f>+B11</f>
        <v>114558.11</v>
      </c>
      <c r="D11" s="290"/>
      <c r="E11" s="290"/>
      <c r="F11" s="290"/>
      <c r="G11" s="287" t="s">
        <v>378</v>
      </c>
      <c r="H11" s="292">
        <f>+'[2]Disposal Cost'!D25+'[2]Disposal Cost'!F25+'[2]Disposal Cost'!H25</f>
        <v>0.90009067076789273</v>
      </c>
      <c r="I11" s="292">
        <f>+'[2]Disposal Cost'!L25</f>
        <v>9.9909329232107047E-2</v>
      </c>
      <c r="J11" s="292">
        <f>SUM(H11:I11)</f>
        <v>0.99999999999999978</v>
      </c>
      <c r="K11" s="287"/>
      <c r="L11" s="228"/>
      <c r="M11" s="228"/>
    </row>
    <row r="12" spans="1:13" ht="15.75">
      <c r="A12" s="225" t="s">
        <v>225</v>
      </c>
      <c r="B12" s="290">
        <f>+'[1]Pro Forma'!F12</f>
        <v>73661.240000000005</v>
      </c>
      <c r="C12" s="290">
        <f>+B12</f>
        <v>73661.240000000005</v>
      </c>
      <c r="D12" s="290"/>
      <c r="E12" s="290"/>
      <c r="F12" s="290"/>
      <c r="G12" s="287"/>
      <c r="H12" s="287"/>
      <c r="I12" s="287"/>
      <c r="J12" s="287"/>
      <c r="K12" s="287"/>
      <c r="L12" s="228"/>
      <c r="M12" s="228"/>
    </row>
    <row r="13" spans="1:13" ht="15.75">
      <c r="A13" s="225" t="s">
        <v>226</v>
      </c>
      <c r="B13" s="293">
        <f>+'[1]Pro Forma'!F13</f>
        <v>15861.29</v>
      </c>
      <c r="C13" s="293">
        <f>+B13</f>
        <v>15861.29</v>
      </c>
      <c r="D13" s="293"/>
      <c r="E13" s="290"/>
      <c r="F13" s="290"/>
      <c r="G13" s="287"/>
      <c r="H13" s="287"/>
      <c r="I13" s="287"/>
      <c r="J13" s="287"/>
      <c r="K13" s="287"/>
      <c r="L13" s="228"/>
      <c r="M13" s="228"/>
    </row>
    <row r="14" spans="1:13" ht="15.75">
      <c r="A14" s="225" t="s">
        <v>103</v>
      </c>
      <c r="B14" s="290">
        <f>SUM(B7:B13)</f>
        <v>1531459.28</v>
      </c>
      <c r="C14" s="290">
        <f t="shared" ref="C14:D14" si="1">SUM(C7:C13)</f>
        <v>204080.64000000001</v>
      </c>
      <c r="D14" s="290">
        <f t="shared" si="1"/>
        <v>1327378.6399999999</v>
      </c>
      <c r="E14" s="290"/>
      <c r="F14" s="290"/>
      <c r="G14" s="287"/>
      <c r="H14" s="287"/>
      <c r="I14" s="287"/>
      <c r="J14" s="287"/>
      <c r="K14" s="287"/>
      <c r="L14" s="228"/>
      <c r="M14" s="228"/>
    </row>
    <row r="15" spans="1:13" ht="15.75">
      <c r="A15" s="225"/>
      <c r="B15" s="290"/>
      <c r="C15" s="290"/>
      <c r="D15" s="290"/>
      <c r="E15" s="290"/>
      <c r="F15" s="290"/>
      <c r="G15" s="287"/>
      <c r="H15" s="287"/>
      <c r="I15" s="287"/>
      <c r="J15" s="287"/>
      <c r="K15" s="287"/>
      <c r="L15" s="228"/>
      <c r="M15" s="228"/>
    </row>
    <row r="16" spans="1:13" ht="15.75">
      <c r="A16" s="227" t="s">
        <v>227</v>
      </c>
      <c r="B16" s="290"/>
      <c r="C16" s="290"/>
      <c r="D16" s="290"/>
      <c r="E16" s="290"/>
      <c r="F16" s="290"/>
      <c r="G16" s="287"/>
      <c r="H16" s="287"/>
      <c r="I16" s="287"/>
      <c r="J16" s="287"/>
      <c r="K16" s="287"/>
      <c r="L16" s="228"/>
      <c r="M16" s="228"/>
    </row>
    <row r="17" spans="1:13" ht="15.75">
      <c r="A17" s="225" t="s">
        <v>228</v>
      </c>
      <c r="B17" s="290">
        <f>+'[1]Pro Forma'!F17</f>
        <v>46984.19</v>
      </c>
      <c r="C17" s="290">
        <f>+B17*$I$9</f>
        <v>6212.7854545454547</v>
      </c>
      <c r="D17" s="290">
        <f>+B17-C17</f>
        <v>40771.404545454548</v>
      </c>
      <c r="E17" s="290" t="s">
        <v>376</v>
      </c>
      <c r="F17" s="290"/>
      <c r="G17" s="287"/>
      <c r="H17" s="287"/>
      <c r="I17" s="287"/>
      <c r="J17" s="287"/>
      <c r="K17" s="287"/>
      <c r="L17" s="228"/>
      <c r="M17" s="228"/>
    </row>
    <row r="18" spans="1:13" ht="15.75">
      <c r="A18" s="225" t="s">
        <v>229</v>
      </c>
      <c r="B18" s="290">
        <f>+'[1]Pro Forma'!F18</f>
        <v>13115.05</v>
      </c>
      <c r="C18" s="290">
        <f>+B18*$I$8</f>
        <v>1851.6283856235102</v>
      </c>
      <c r="D18" s="290">
        <f t="shared" ref="D18:D51" si="2">+B18-C18</f>
        <v>11263.42161437649</v>
      </c>
      <c r="E18" s="290" t="s">
        <v>379</v>
      </c>
      <c r="F18" s="290"/>
      <c r="G18" s="287"/>
      <c r="H18" s="287"/>
      <c r="I18" s="287"/>
      <c r="J18" s="287"/>
      <c r="K18" s="287"/>
      <c r="L18" s="228"/>
      <c r="M18" s="228"/>
    </row>
    <row r="19" spans="1:13" ht="15.75">
      <c r="A19" s="225" t="s">
        <v>230</v>
      </c>
      <c r="B19" s="290">
        <f>+'[1]Pro Forma'!F19</f>
        <v>23850.19</v>
      </c>
      <c r="C19" s="290">
        <f t="shared" ref="C19:C20" si="3">+B19*$I$9</f>
        <v>3153.7441322314048</v>
      </c>
      <c r="D19" s="290">
        <f t="shared" si="2"/>
        <v>20696.445867768594</v>
      </c>
      <c r="E19" s="290" t="s">
        <v>376</v>
      </c>
      <c r="F19" s="290"/>
      <c r="G19" s="287"/>
      <c r="H19" s="287"/>
      <c r="I19" s="287"/>
      <c r="J19" s="287"/>
      <c r="K19" s="287"/>
      <c r="L19" s="228"/>
      <c r="M19" s="228"/>
    </row>
    <row r="20" spans="1:13" ht="15.75">
      <c r="A20" s="225" t="s">
        <v>231</v>
      </c>
      <c r="B20" s="290">
        <f>+'[1]Pro Forma'!F20</f>
        <v>30895.860000000004</v>
      </c>
      <c r="C20" s="290">
        <f t="shared" si="3"/>
        <v>4085.4029752066122</v>
      </c>
      <c r="D20" s="290">
        <f t="shared" si="2"/>
        <v>26810.457024793392</v>
      </c>
      <c r="E20" s="290" t="s">
        <v>376</v>
      </c>
      <c r="F20" s="290"/>
      <c r="G20" s="287"/>
      <c r="H20" s="287"/>
      <c r="I20" s="287"/>
      <c r="J20" s="287"/>
      <c r="K20" s="287"/>
      <c r="L20" s="228"/>
      <c r="M20" s="228"/>
    </row>
    <row r="21" spans="1:13" ht="15.75">
      <c r="A21" s="225" t="s">
        <v>232</v>
      </c>
      <c r="B21" s="290">
        <f>+'[1]Pro Forma'!F21</f>
        <v>3231.64</v>
      </c>
      <c r="C21" s="290">
        <f t="shared" ref="C21:C22" si="4">+B21*$I$8</f>
        <v>456.2541779189832</v>
      </c>
      <c r="D21" s="290">
        <f t="shared" si="2"/>
        <v>2775.3858220810166</v>
      </c>
      <c r="E21" s="290" t="s">
        <v>379</v>
      </c>
      <c r="F21" s="290"/>
      <c r="G21" s="287"/>
      <c r="H21" s="287"/>
      <c r="I21" s="287"/>
      <c r="J21" s="287"/>
      <c r="K21" s="287"/>
      <c r="L21" s="228"/>
      <c r="M21" s="228"/>
    </row>
    <row r="22" spans="1:13" ht="15.75">
      <c r="A22" s="225" t="s">
        <v>233</v>
      </c>
      <c r="B22" s="290">
        <f>+'[1]Pro Forma'!F22</f>
        <v>8777.41</v>
      </c>
      <c r="C22" s="290">
        <f t="shared" si="4"/>
        <v>1239.225279984114</v>
      </c>
      <c r="D22" s="290">
        <f t="shared" si="2"/>
        <v>7538.1847200158863</v>
      </c>
      <c r="E22" s="290" t="s">
        <v>379</v>
      </c>
      <c r="F22" s="290"/>
      <c r="G22" s="287"/>
      <c r="H22" s="287"/>
      <c r="I22" s="287"/>
      <c r="J22" s="287"/>
      <c r="K22" s="287"/>
      <c r="L22" s="228"/>
      <c r="M22" s="228"/>
    </row>
    <row r="23" spans="1:13" ht="15.75">
      <c r="A23" s="225" t="s">
        <v>234</v>
      </c>
      <c r="B23" s="290">
        <f>+'[1]Pro Forma'!F23</f>
        <v>66764.249999999985</v>
      </c>
      <c r="C23" s="290">
        <f>+B23*$I$9</f>
        <v>8828.3305785123957</v>
      </c>
      <c r="D23" s="290">
        <f t="shared" si="2"/>
        <v>57935.91942148759</v>
      </c>
      <c r="E23" s="290" t="s">
        <v>376</v>
      </c>
      <c r="F23" s="290"/>
      <c r="G23" s="287"/>
      <c r="H23" s="287"/>
      <c r="I23" s="287"/>
      <c r="J23" s="287"/>
      <c r="K23" s="287"/>
      <c r="L23" s="228"/>
      <c r="M23" s="228"/>
    </row>
    <row r="24" spans="1:13" ht="15.75">
      <c r="A24" s="225" t="s">
        <v>235</v>
      </c>
      <c r="B24" s="290">
        <f>+'[1]Pro Forma'!F24</f>
        <v>338682.38</v>
      </c>
      <c r="C24" s="290">
        <f>+B24*I11</f>
        <v>33837.529408533585</v>
      </c>
      <c r="D24" s="290">
        <f t="shared" si="2"/>
        <v>304844.85059146641</v>
      </c>
      <c r="E24" s="290" t="s">
        <v>378</v>
      </c>
      <c r="F24" s="290"/>
      <c r="G24" s="287"/>
      <c r="H24" s="287"/>
      <c r="I24" s="287"/>
      <c r="J24" s="287"/>
      <c r="K24" s="287"/>
      <c r="L24" s="228"/>
      <c r="M24" s="228"/>
    </row>
    <row r="25" spans="1:13" ht="15.75">
      <c r="A25" s="225" t="s">
        <v>236</v>
      </c>
      <c r="B25" s="290">
        <f>+'[1]Pro Forma'!F25</f>
        <v>46622</v>
      </c>
      <c r="C25" s="290"/>
      <c r="D25" s="290">
        <f t="shared" si="2"/>
        <v>46622</v>
      </c>
      <c r="E25" s="290" t="s">
        <v>380</v>
      </c>
      <c r="F25" s="290"/>
      <c r="G25" s="287"/>
      <c r="H25" s="287"/>
      <c r="I25" s="287"/>
      <c r="J25" s="287"/>
      <c r="K25" s="287"/>
      <c r="L25" s="228"/>
      <c r="M25" s="228"/>
    </row>
    <row r="26" spans="1:13" ht="15.75">
      <c r="A26" s="225" t="s">
        <v>237</v>
      </c>
      <c r="B26" s="290">
        <f>+'[1]Pro Forma'!F26</f>
        <v>6650.739999999998</v>
      </c>
      <c r="C26" s="290">
        <f>+B26*$I$8</f>
        <v>938.97461080222342</v>
      </c>
      <c r="D26" s="290">
        <f t="shared" si="2"/>
        <v>5711.7653891977743</v>
      </c>
      <c r="E26" s="290" t="s">
        <v>379</v>
      </c>
      <c r="F26" s="290"/>
      <c r="G26" s="287"/>
      <c r="H26" s="287"/>
      <c r="I26" s="287"/>
      <c r="J26" s="287"/>
      <c r="K26" s="287"/>
      <c r="L26" s="228"/>
      <c r="M26" s="228"/>
    </row>
    <row r="27" spans="1:13" ht="15.75">
      <c r="A27" s="225" t="s">
        <v>238</v>
      </c>
      <c r="B27" s="290">
        <f>+'[1]Pro Forma'!F27</f>
        <v>0</v>
      </c>
      <c r="C27" s="290"/>
      <c r="D27" s="290">
        <f t="shared" si="2"/>
        <v>0</v>
      </c>
      <c r="E27" s="290"/>
      <c r="F27" s="290"/>
      <c r="G27" s="287"/>
      <c r="H27" s="287"/>
      <c r="I27" s="287"/>
      <c r="J27" s="287"/>
      <c r="K27" s="287"/>
      <c r="L27" s="228"/>
      <c r="M27" s="228"/>
    </row>
    <row r="28" spans="1:13" ht="15.75">
      <c r="A28" s="225" t="s">
        <v>239</v>
      </c>
      <c r="B28" s="290">
        <f>+'[1]Pro Forma'!F28</f>
        <v>36188.68</v>
      </c>
      <c r="C28" s="290">
        <f>+B28*$I$10</f>
        <v>4947.2618705321674</v>
      </c>
      <c r="D28" s="290">
        <f t="shared" si="2"/>
        <v>31241.418129467835</v>
      </c>
      <c r="E28" s="290" t="s">
        <v>377</v>
      </c>
      <c r="F28" s="290"/>
      <c r="G28" s="287"/>
      <c r="H28" s="287"/>
      <c r="I28" s="287"/>
      <c r="J28" s="287"/>
      <c r="K28" s="287"/>
      <c r="L28" s="228"/>
      <c r="M28" s="228"/>
    </row>
    <row r="29" spans="1:13" ht="15.75">
      <c r="A29" s="225" t="s">
        <v>240</v>
      </c>
      <c r="B29" s="290">
        <f>+'[1]Pro Forma'!F29</f>
        <v>31751.37</v>
      </c>
      <c r="C29" s="290">
        <f t="shared" ref="C29" si="5">+B29*$I$8</f>
        <v>4482.7688780778381</v>
      </c>
      <c r="D29" s="290">
        <f t="shared" si="2"/>
        <v>27268.601121922162</v>
      </c>
      <c r="E29" s="290" t="s">
        <v>379</v>
      </c>
      <c r="F29" s="290"/>
      <c r="G29" s="287"/>
      <c r="H29" s="287"/>
      <c r="I29" s="287"/>
      <c r="J29" s="287"/>
      <c r="K29" s="287"/>
      <c r="L29" s="228"/>
      <c r="M29" s="228"/>
    </row>
    <row r="30" spans="1:13" ht="15.75">
      <c r="A30" s="225" t="s">
        <v>241</v>
      </c>
      <c r="B30" s="290">
        <f>+'[1]Pro Forma'!F30</f>
        <v>4135.7160000000003</v>
      </c>
      <c r="C30" s="290"/>
      <c r="D30" s="290">
        <f t="shared" si="2"/>
        <v>4135.7160000000003</v>
      </c>
      <c r="E30" s="290" t="s">
        <v>380</v>
      </c>
      <c r="F30" s="290"/>
      <c r="G30" s="287"/>
      <c r="H30" s="287"/>
      <c r="I30" s="287"/>
      <c r="J30" s="287"/>
      <c r="K30" s="287"/>
      <c r="L30" s="228"/>
      <c r="M30" s="228"/>
    </row>
    <row r="31" spans="1:13" ht="15.75">
      <c r="A31" s="225" t="s">
        <v>242</v>
      </c>
      <c r="B31" s="290">
        <f>+'[1]Pro Forma'!F31</f>
        <v>6010</v>
      </c>
      <c r="C31" s="290">
        <f t="shared" ref="C31:C33" si="6">+B31*$I$10</f>
        <v>821.61172615023065</v>
      </c>
      <c r="D31" s="290">
        <f t="shared" si="2"/>
        <v>5188.3882738497696</v>
      </c>
      <c r="E31" s="290" t="s">
        <v>377</v>
      </c>
      <c r="F31" s="290"/>
      <c r="G31" s="287"/>
      <c r="H31" s="287"/>
      <c r="I31" s="287"/>
      <c r="J31" s="287"/>
      <c r="K31" s="287"/>
      <c r="L31" s="228"/>
      <c r="M31" s="228"/>
    </row>
    <row r="32" spans="1:13" ht="15.75">
      <c r="A32" s="225" t="s">
        <v>243</v>
      </c>
      <c r="B32" s="290">
        <f>+'[1]Pro Forma'!F32</f>
        <v>4662.3500000000004</v>
      </c>
      <c r="C32" s="290">
        <f t="shared" si="6"/>
        <v>637.37794199942232</v>
      </c>
      <c r="D32" s="290">
        <f t="shared" si="2"/>
        <v>4024.9720580005778</v>
      </c>
      <c r="E32" s="290" t="s">
        <v>377</v>
      </c>
      <c r="F32" s="290"/>
      <c r="G32" s="287"/>
      <c r="H32" s="287"/>
      <c r="I32" s="287"/>
      <c r="J32" s="287"/>
      <c r="K32" s="287"/>
      <c r="L32" s="228"/>
      <c r="M32" s="228"/>
    </row>
    <row r="33" spans="1:13" ht="15.75">
      <c r="A33" s="225" t="s">
        <v>244</v>
      </c>
      <c r="B33" s="290">
        <f>+'[1]Pro Forma'!F33</f>
        <v>987.5</v>
      </c>
      <c r="C33" s="290">
        <f t="shared" si="6"/>
        <v>134.99859893067435</v>
      </c>
      <c r="D33" s="290">
        <f t="shared" si="2"/>
        <v>852.50140106932565</v>
      </c>
      <c r="E33" s="290" t="s">
        <v>377</v>
      </c>
      <c r="F33" s="290"/>
      <c r="G33" s="287"/>
      <c r="H33" s="287"/>
      <c r="I33" s="287"/>
      <c r="J33" s="287"/>
      <c r="K33" s="287"/>
      <c r="L33" s="228"/>
      <c r="M33" s="228"/>
    </row>
    <row r="34" spans="1:13" ht="15.75">
      <c r="A34" s="225" t="s">
        <v>245</v>
      </c>
      <c r="B34" s="290">
        <f>+'[1]Pro Forma'!F34</f>
        <v>49444.409999999996</v>
      </c>
      <c r="C34" s="290">
        <f>+B34*$I$9</f>
        <v>6538.1038016528919</v>
      </c>
      <c r="D34" s="290">
        <f t="shared" si="2"/>
        <v>42906.306198347105</v>
      </c>
      <c r="E34" s="290" t="s">
        <v>376</v>
      </c>
      <c r="F34" s="290"/>
      <c r="G34" s="287"/>
      <c r="H34" s="287"/>
      <c r="I34" s="287"/>
      <c r="J34" s="287"/>
      <c r="K34" s="287"/>
      <c r="L34" s="228"/>
      <c r="M34" s="228"/>
    </row>
    <row r="35" spans="1:13" ht="15.75">
      <c r="A35" s="225" t="s">
        <v>246</v>
      </c>
      <c r="B35" s="290">
        <f>+'[1]Pro Forma'!F35</f>
        <v>0</v>
      </c>
      <c r="C35" s="290"/>
      <c r="D35" s="290">
        <f t="shared" si="2"/>
        <v>0</v>
      </c>
      <c r="E35" s="290"/>
      <c r="F35" s="290"/>
      <c r="G35" s="287"/>
      <c r="H35" s="287"/>
      <c r="I35" s="287"/>
      <c r="J35" s="287"/>
      <c r="K35" s="287"/>
      <c r="L35" s="228"/>
      <c r="M35" s="228"/>
    </row>
    <row r="36" spans="1:13" ht="15.75">
      <c r="A36" s="225" t="s">
        <v>247</v>
      </c>
      <c r="B36" s="290">
        <f>+'[1]Pro Forma'!F36</f>
        <v>0</v>
      </c>
      <c r="C36" s="290"/>
      <c r="D36" s="290">
        <f t="shared" si="2"/>
        <v>0</v>
      </c>
      <c r="E36" s="290"/>
      <c r="F36" s="290"/>
      <c r="G36" s="287"/>
      <c r="H36" s="287"/>
      <c r="I36" s="287"/>
      <c r="J36" s="287"/>
      <c r="K36" s="287"/>
      <c r="L36" s="228"/>
      <c r="M36" s="228"/>
    </row>
    <row r="37" spans="1:13" ht="15.75">
      <c r="A37" s="225" t="s">
        <v>248</v>
      </c>
      <c r="B37" s="290">
        <f>+'[1]Pro Forma'!F37</f>
        <v>1112.8599999999999</v>
      </c>
      <c r="C37" s="290">
        <f t="shared" ref="C37" si="7">+B37*$I$10</f>
        <v>152.13624385416733</v>
      </c>
      <c r="D37" s="290">
        <f t="shared" si="2"/>
        <v>960.72375614583257</v>
      </c>
      <c r="E37" s="290" t="s">
        <v>377</v>
      </c>
      <c r="F37" s="290"/>
      <c r="G37" s="287"/>
      <c r="H37" s="287"/>
      <c r="I37" s="287"/>
      <c r="J37" s="287"/>
      <c r="K37" s="287"/>
      <c r="L37" s="228"/>
      <c r="M37" s="228"/>
    </row>
    <row r="38" spans="1:13" ht="15.75">
      <c r="A38" s="225" t="s">
        <v>249</v>
      </c>
      <c r="B38" s="290">
        <f>+'[1]Pro Forma'!F38</f>
        <v>7003.49</v>
      </c>
      <c r="C38" s="290">
        <f>+B38*$I$9</f>
        <v>926.08132231404954</v>
      </c>
      <c r="D38" s="290">
        <f t="shared" si="2"/>
        <v>6077.4086776859504</v>
      </c>
      <c r="E38" s="290" t="s">
        <v>381</v>
      </c>
      <c r="F38" s="290"/>
      <c r="G38" s="287"/>
      <c r="H38" s="287"/>
      <c r="I38" s="287"/>
      <c r="J38" s="287"/>
      <c r="K38" s="287"/>
      <c r="L38" s="228"/>
      <c r="M38" s="228"/>
    </row>
    <row r="39" spans="1:13" ht="15.75">
      <c r="A39" s="225" t="s">
        <v>250</v>
      </c>
      <c r="B39" s="290">
        <f>+'[1]Pro Forma'!F39</f>
        <v>6632.5245000000004</v>
      </c>
      <c r="C39" s="290"/>
      <c r="D39" s="290">
        <f t="shared" si="2"/>
        <v>6632.5245000000004</v>
      </c>
      <c r="E39" s="290" t="s">
        <v>380</v>
      </c>
      <c r="F39" s="290"/>
      <c r="G39" s="287"/>
      <c r="H39" s="287"/>
      <c r="I39" s="287"/>
      <c r="J39" s="287"/>
      <c r="K39" s="287"/>
      <c r="L39" s="228"/>
      <c r="M39" s="228"/>
    </row>
    <row r="40" spans="1:13" ht="15.75">
      <c r="A40" s="225" t="s">
        <v>251</v>
      </c>
      <c r="B40" s="290">
        <f>+'[1]Pro Forma'!F40</f>
        <v>171.61</v>
      </c>
      <c r="C40" s="290">
        <f t="shared" ref="C40:C42" si="8">+B40*$I$10</f>
        <v>23.460364113916988</v>
      </c>
      <c r="D40" s="290">
        <f t="shared" si="2"/>
        <v>148.14963588608302</v>
      </c>
      <c r="E40" s="290" t="s">
        <v>377</v>
      </c>
      <c r="F40" s="290"/>
      <c r="G40" s="287"/>
      <c r="H40" s="287"/>
      <c r="I40" s="287"/>
      <c r="J40" s="287"/>
      <c r="K40" s="287"/>
      <c r="L40" s="228"/>
      <c r="M40" s="228"/>
    </row>
    <row r="41" spans="1:13" ht="15.75">
      <c r="A41" s="225" t="s">
        <v>252</v>
      </c>
      <c r="B41" s="290">
        <f>+'[1]Pro Forma'!F41</f>
        <v>30</v>
      </c>
      <c r="C41" s="290">
        <f t="shared" si="8"/>
        <v>4.1012232586533974</v>
      </c>
      <c r="D41" s="290">
        <f t="shared" si="2"/>
        <v>25.898776741346602</v>
      </c>
      <c r="E41" s="290" t="s">
        <v>377</v>
      </c>
      <c r="F41" s="290"/>
      <c r="G41" s="287"/>
      <c r="H41" s="287"/>
      <c r="I41" s="287"/>
      <c r="J41" s="287"/>
      <c r="K41" s="287"/>
      <c r="L41" s="228"/>
      <c r="M41" s="228"/>
    </row>
    <row r="42" spans="1:13" ht="15.75">
      <c r="A42" s="225" t="s">
        <v>253</v>
      </c>
      <c r="B42" s="290">
        <f>+'[1]Pro Forma'!F42</f>
        <v>4785.37</v>
      </c>
      <c r="C42" s="290">
        <f t="shared" si="8"/>
        <v>654.19569150874031</v>
      </c>
      <c r="D42" s="290">
        <f t="shared" si="2"/>
        <v>4131.1743084912596</v>
      </c>
      <c r="E42" s="290" t="s">
        <v>377</v>
      </c>
      <c r="F42" s="290"/>
      <c r="G42" s="287"/>
      <c r="H42" s="287"/>
      <c r="I42" s="287"/>
      <c r="J42" s="287"/>
      <c r="K42" s="287"/>
      <c r="L42" s="228"/>
      <c r="M42" s="228"/>
    </row>
    <row r="43" spans="1:13" ht="15.75">
      <c r="A43" s="225" t="s">
        <v>254</v>
      </c>
      <c r="B43" s="290">
        <f>+'[1]Pro Forma'!F43</f>
        <v>31139.64</v>
      </c>
      <c r="C43" s="290">
        <f>+(C14/B14)*B43</f>
        <v>4149.6354121603545</v>
      </c>
      <c r="D43" s="290">
        <f t="shared" si="2"/>
        <v>26990.004587839645</v>
      </c>
      <c r="E43" s="290" t="s">
        <v>12</v>
      </c>
      <c r="F43" s="290"/>
      <c r="G43" s="287"/>
      <c r="H43" s="287"/>
      <c r="I43" s="287"/>
      <c r="J43" s="287"/>
      <c r="K43" s="287"/>
      <c r="L43" s="228"/>
      <c r="M43" s="228"/>
    </row>
    <row r="44" spans="1:13" ht="15.75">
      <c r="A44" s="225" t="s">
        <v>255</v>
      </c>
      <c r="B44" s="290">
        <f>+'[1]Pro Forma'!F44</f>
        <v>302.89999999999998</v>
      </c>
      <c r="C44" s="290">
        <f>+(C14/B14)*B44</f>
        <v>40.364132865485004</v>
      </c>
      <c r="D44" s="290">
        <f t="shared" si="2"/>
        <v>262.535867134515</v>
      </c>
      <c r="E44" s="290" t="s">
        <v>12</v>
      </c>
      <c r="F44" s="290"/>
      <c r="G44" s="287"/>
      <c r="H44" s="287"/>
      <c r="I44" s="287"/>
      <c r="J44" s="287"/>
      <c r="K44" s="287"/>
      <c r="L44" s="228"/>
      <c r="M44" s="228"/>
    </row>
    <row r="45" spans="1:13" ht="15.75">
      <c r="A45" s="225" t="s">
        <v>256</v>
      </c>
      <c r="B45" s="290">
        <f>+'[1]Pro Forma'!F45</f>
        <v>496852.21399999998</v>
      </c>
      <c r="C45" s="290">
        <f t="shared" ref="C45:C47" si="9">+B45*$I$10</f>
        <v>67923.395205674504</v>
      </c>
      <c r="D45" s="290">
        <f t="shared" si="2"/>
        <v>428928.81879432546</v>
      </c>
      <c r="E45" s="290" t="s">
        <v>377</v>
      </c>
      <c r="F45" s="290"/>
      <c r="G45" s="287"/>
      <c r="H45" s="287"/>
      <c r="I45" s="287"/>
      <c r="J45" s="287"/>
      <c r="K45" s="287"/>
      <c r="L45" s="228"/>
      <c r="M45" s="228"/>
    </row>
    <row r="46" spans="1:13" ht="15.75">
      <c r="A46" s="225" t="s">
        <v>257</v>
      </c>
      <c r="B46" s="290">
        <f>+'[1]Pro Forma'!F46</f>
        <v>68688.709450000009</v>
      </c>
      <c r="C46" s="290">
        <f t="shared" si="9"/>
        <v>9390.2577601075154</v>
      </c>
      <c r="D46" s="290">
        <f t="shared" si="2"/>
        <v>59298.451689892492</v>
      </c>
      <c r="E46" s="290" t="s">
        <v>377</v>
      </c>
      <c r="F46" s="290"/>
      <c r="G46" s="287"/>
      <c r="H46" s="287"/>
      <c r="I46" s="287"/>
      <c r="J46" s="287"/>
      <c r="K46" s="287"/>
      <c r="L46" s="228"/>
      <c r="M46" s="228"/>
    </row>
    <row r="47" spans="1:13" ht="15.75">
      <c r="A47" s="225" t="s">
        <v>258</v>
      </c>
      <c r="B47" s="290">
        <f>+'[1]Pro Forma'!F47</f>
        <v>-1864.37</v>
      </c>
      <c r="C47" s="290">
        <f t="shared" si="9"/>
        <v>-254.87325355785447</v>
      </c>
      <c r="D47" s="290">
        <f t="shared" si="2"/>
        <v>-1609.4967464421454</v>
      </c>
      <c r="E47" s="290" t="s">
        <v>377</v>
      </c>
      <c r="F47" s="290"/>
      <c r="G47" s="287"/>
      <c r="H47" s="287"/>
      <c r="I47" s="287"/>
      <c r="J47" s="287"/>
      <c r="K47" s="287"/>
      <c r="L47" s="228"/>
      <c r="M47" s="228"/>
    </row>
    <row r="48" spans="1:13" ht="15.75">
      <c r="A48" s="225" t="s">
        <v>259</v>
      </c>
      <c r="B48" s="290">
        <f>+'[1]Pro Forma'!F48</f>
        <v>20895.810000000001</v>
      </c>
      <c r="C48" s="290">
        <f>+B48*$I$8</f>
        <v>2950.1431513105636</v>
      </c>
      <c r="D48" s="290">
        <f t="shared" si="2"/>
        <v>17945.666848689438</v>
      </c>
      <c r="E48" s="290" t="s">
        <v>379</v>
      </c>
      <c r="F48" s="290"/>
      <c r="G48" s="287"/>
      <c r="H48" s="287"/>
      <c r="I48" s="287"/>
      <c r="J48" s="287"/>
      <c r="K48" s="287"/>
      <c r="L48" s="228"/>
      <c r="M48" s="228"/>
    </row>
    <row r="49" spans="1:13" ht="15.75">
      <c r="A49" s="225" t="s">
        <v>35</v>
      </c>
      <c r="B49" s="290">
        <f>+'[1]Pro Forma'!F49</f>
        <v>0</v>
      </c>
      <c r="C49" s="290"/>
      <c r="D49" s="290">
        <f t="shared" si="2"/>
        <v>0</v>
      </c>
      <c r="E49" s="290"/>
      <c r="F49" s="290"/>
      <c r="G49" s="287"/>
      <c r="H49" s="287"/>
      <c r="I49" s="287"/>
      <c r="J49" s="287"/>
      <c r="K49" s="287"/>
      <c r="L49" s="228"/>
      <c r="M49" s="228"/>
    </row>
    <row r="50" spans="1:13" ht="15.75">
      <c r="A50" s="225" t="s">
        <v>260</v>
      </c>
      <c r="B50" s="290">
        <f>+'[1]Pro Forma'!F50</f>
        <v>276232.14695238043</v>
      </c>
      <c r="C50" s="290">
        <f>+B50*$I$9</f>
        <v>36526.56488626518</v>
      </c>
      <c r="D50" s="290">
        <f t="shared" si="2"/>
        <v>239705.58206611525</v>
      </c>
      <c r="E50" s="290" t="s">
        <v>376</v>
      </c>
      <c r="F50" s="290"/>
      <c r="G50" s="287"/>
      <c r="H50" s="287"/>
      <c r="I50" s="287"/>
      <c r="J50" s="287"/>
      <c r="K50" s="287"/>
      <c r="L50" s="228"/>
      <c r="M50" s="228"/>
    </row>
    <row r="51" spans="1:13" ht="15.75">
      <c r="A51" s="225" t="s">
        <v>161</v>
      </c>
      <c r="B51" s="293">
        <f>+'[1]Pro Forma'!F51</f>
        <v>19565.349999999999</v>
      </c>
      <c r="C51" s="293">
        <f t="shared" ref="C51" si="10">+B51*$I$10</f>
        <v>2674.7289494564748</v>
      </c>
      <c r="D51" s="293">
        <f t="shared" si="2"/>
        <v>16890.621050543523</v>
      </c>
      <c r="E51" s="290" t="s">
        <v>382</v>
      </c>
      <c r="F51" s="290"/>
      <c r="G51" s="287"/>
      <c r="H51" s="287"/>
      <c r="I51" s="287"/>
      <c r="J51" s="287"/>
      <c r="K51" s="287"/>
      <c r="L51" s="228"/>
      <c r="M51" s="228"/>
    </row>
    <row r="52" spans="1:13" ht="15.75">
      <c r="A52" s="225" t="s">
        <v>261</v>
      </c>
      <c r="B52" s="294">
        <f>SUM(B17:B51)</f>
        <v>1650301.9909023806</v>
      </c>
      <c r="C52" s="294">
        <f t="shared" ref="C52:D52" si="11">SUM(C17:C51)</f>
        <v>203326.18891003326</v>
      </c>
      <c r="D52" s="294">
        <f t="shared" si="11"/>
        <v>1446975.8019923475</v>
      </c>
      <c r="E52" s="290"/>
      <c r="F52" s="290"/>
      <c r="G52" s="287"/>
      <c r="H52" s="287"/>
      <c r="I52" s="287"/>
      <c r="J52" s="287"/>
      <c r="K52" s="287"/>
      <c r="L52" s="228"/>
      <c r="M52" s="228"/>
    </row>
    <row r="53" spans="1:13" ht="15.75">
      <c r="A53" s="225" t="s">
        <v>38</v>
      </c>
      <c r="B53" s="290">
        <f>+B14-B52</f>
        <v>-118842.71090238052</v>
      </c>
      <c r="C53" s="290">
        <f t="shared" ref="C53:D53" si="12">+C14-C52</f>
        <v>754.45108996675117</v>
      </c>
      <c r="D53" s="290">
        <f t="shared" si="12"/>
        <v>-119597.16199234757</v>
      </c>
      <c r="E53" s="290"/>
      <c r="F53" s="290"/>
      <c r="G53" s="287"/>
      <c r="H53" s="287"/>
      <c r="I53" s="287"/>
      <c r="J53" s="287"/>
      <c r="K53" s="287"/>
      <c r="L53" s="228"/>
      <c r="M53" s="228"/>
    </row>
    <row r="54" spans="1:13" ht="15.75">
      <c r="A54" s="287"/>
      <c r="B54" s="290"/>
      <c r="C54" s="290"/>
      <c r="D54" s="290"/>
      <c r="E54" s="290"/>
      <c r="F54" s="290"/>
      <c r="G54" s="287"/>
      <c r="H54" s="287"/>
      <c r="I54" s="287"/>
      <c r="J54" s="287"/>
      <c r="K54" s="287"/>
      <c r="L54" s="228"/>
      <c r="M54" s="228"/>
    </row>
    <row r="55" spans="1:13">
      <c r="A55" s="228"/>
      <c r="B55" s="228"/>
      <c r="C55" s="228"/>
      <c r="D55" s="228"/>
      <c r="E55" s="228"/>
      <c r="F55" s="228"/>
      <c r="G55" s="228"/>
      <c r="H55" s="228"/>
      <c r="I55" s="228"/>
      <c r="J55" s="228"/>
      <c r="K55" s="228"/>
      <c r="L55" s="228"/>
      <c r="M55" s="228"/>
    </row>
    <row r="56" spans="1:13">
      <c r="A56" s="228"/>
      <c r="B56" s="228"/>
      <c r="C56" s="228"/>
      <c r="D56" s="228"/>
      <c r="E56" s="228"/>
      <c r="F56" s="228"/>
      <c r="G56" s="228"/>
      <c r="H56" s="228"/>
      <c r="I56" s="228"/>
      <c r="J56" s="228"/>
      <c r="K56" s="228"/>
      <c r="L56" s="228"/>
      <c r="M56" s="228"/>
    </row>
    <row r="57" spans="1:13">
      <c r="A57" s="228"/>
      <c r="B57" s="228"/>
      <c r="C57" s="228"/>
      <c r="D57" s="228"/>
      <c r="E57" s="228"/>
      <c r="F57" s="228"/>
      <c r="G57" s="228"/>
      <c r="H57" s="228"/>
      <c r="I57" s="228"/>
      <c r="J57" s="228"/>
      <c r="K57" s="228"/>
      <c r="L57" s="228"/>
      <c r="M57" s="228"/>
    </row>
    <row r="58" spans="1:13">
      <c r="A58" s="228"/>
      <c r="B58" s="228"/>
      <c r="C58" s="228"/>
      <c r="D58" s="228"/>
      <c r="E58" s="228"/>
      <c r="F58" s="228"/>
      <c r="G58" s="228"/>
      <c r="H58" s="228"/>
      <c r="I58" s="228"/>
      <c r="J58" s="228"/>
      <c r="K58" s="228"/>
      <c r="L58" s="228"/>
      <c r="M58" s="228"/>
    </row>
    <row r="59" spans="1:13">
      <c r="A59" s="228"/>
      <c r="B59" s="228"/>
      <c r="C59" s="228"/>
      <c r="D59" s="228"/>
      <c r="E59" s="228"/>
      <c r="F59" s="228"/>
      <c r="G59" s="228"/>
      <c r="H59" s="228"/>
      <c r="I59" s="228"/>
      <c r="J59" s="228"/>
      <c r="K59" s="228"/>
      <c r="L59" s="228"/>
      <c r="M59" s="228"/>
    </row>
    <row r="60" spans="1:13">
      <c r="A60" s="228"/>
      <c r="B60" s="228"/>
      <c r="C60" s="228"/>
      <c r="D60" s="228"/>
      <c r="E60" s="228"/>
      <c r="F60" s="228"/>
      <c r="G60" s="228"/>
      <c r="H60" s="228"/>
      <c r="I60" s="228"/>
      <c r="J60" s="228"/>
      <c r="K60" s="228"/>
      <c r="L60" s="228"/>
      <c r="M60" s="228"/>
    </row>
    <row r="61" spans="1:13">
      <c r="A61" s="228"/>
      <c r="B61" s="228"/>
      <c r="C61" s="228"/>
      <c r="D61" s="228"/>
      <c r="E61" s="228"/>
      <c r="F61" s="228"/>
      <c r="G61" s="228"/>
      <c r="H61" s="228"/>
      <c r="I61" s="228"/>
      <c r="J61" s="228"/>
      <c r="K61" s="228"/>
      <c r="L61" s="228"/>
      <c r="M61" s="228"/>
    </row>
    <row r="62" spans="1:13">
      <c r="A62" s="228"/>
      <c r="B62" s="228"/>
      <c r="C62" s="228"/>
      <c r="D62" s="228"/>
      <c r="E62" s="228"/>
      <c r="F62" s="228"/>
      <c r="G62" s="228"/>
      <c r="H62" s="228"/>
      <c r="I62" s="228"/>
      <c r="J62" s="228"/>
      <c r="K62" s="228"/>
      <c r="L62" s="228"/>
      <c r="M62" s="228"/>
    </row>
    <row r="63" spans="1:13">
      <c r="A63" s="228"/>
      <c r="B63" s="228"/>
      <c r="C63" s="228"/>
      <c r="D63" s="228"/>
      <c r="E63" s="228"/>
      <c r="F63" s="228"/>
      <c r="G63" s="228"/>
      <c r="H63" s="228"/>
      <c r="I63" s="228"/>
      <c r="J63" s="228"/>
      <c r="K63" s="228"/>
      <c r="L63" s="228"/>
      <c r="M63" s="228"/>
    </row>
    <row r="64" spans="1:13">
      <c r="A64" s="228"/>
      <c r="B64" s="228"/>
      <c r="C64" s="228"/>
      <c r="D64" s="228"/>
      <c r="E64" s="228"/>
      <c r="F64" s="228"/>
      <c r="G64" s="228"/>
      <c r="H64" s="228"/>
      <c r="I64" s="228"/>
      <c r="J64" s="228"/>
      <c r="K64" s="228"/>
      <c r="L64" s="228"/>
      <c r="M64" s="228"/>
    </row>
    <row r="65" spans="1:13">
      <c r="A65" s="228"/>
      <c r="B65" s="228"/>
      <c r="C65" s="228"/>
      <c r="D65" s="228"/>
      <c r="E65" s="228"/>
      <c r="F65" s="228"/>
      <c r="G65" s="228"/>
      <c r="H65" s="228"/>
      <c r="I65" s="228"/>
      <c r="J65" s="228"/>
      <c r="K65" s="228"/>
      <c r="L65" s="228"/>
      <c r="M65" s="228"/>
    </row>
    <row r="66" spans="1:13">
      <c r="A66" s="228"/>
      <c r="B66" s="228"/>
      <c r="C66" s="228"/>
      <c r="D66" s="228"/>
      <c r="E66" s="228"/>
      <c r="F66" s="228"/>
      <c r="G66" s="228"/>
      <c r="H66" s="228"/>
      <c r="I66" s="228"/>
      <c r="J66" s="228"/>
      <c r="K66" s="228"/>
      <c r="L66" s="228"/>
      <c r="M66" s="228"/>
    </row>
    <row r="67" spans="1:13">
      <c r="A67" s="228"/>
      <c r="B67" s="228"/>
      <c r="C67" s="228"/>
      <c r="D67" s="228"/>
      <c r="E67" s="228"/>
      <c r="F67" s="228"/>
      <c r="G67" s="228"/>
      <c r="H67" s="228"/>
      <c r="I67" s="228"/>
      <c r="J67" s="228"/>
      <c r="K67" s="228"/>
      <c r="L67" s="228"/>
      <c r="M67" s="228"/>
    </row>
    <row r="68" spans="1:13">
      <c r="A68" s="228"/>
      <c r="B68" s="228"/>
      <c r="C68" s="228"/>
      <c r="D68" s="228"/>
      <c r="E68" s="228"/>
      <c r="F68" s="228"/>
      <c r="G68" s="228"/>
      <c r="H68" s="228"/>
      <c r="I68" s="228"/>
      <c r="J68" s="228"/>
      <c r="K68" s="228"/>
      <c r="L68" s="228"/>
      <c r="M68" s="228"/>
    </row>
    <row r="69" spans="1:13">
      <c r="A69" s="228"/>
      <c r="B69" s="228"/>
      <c r="C69" s="228"/>
      <c r="D69" s="228"/>
      <c r="E69" s="228"/>
      <c r="F69" s="228"/>
      <c r="G69" s="228"/>
      <c r="H69" s="228"/>
      <c r="I69" s="228"/>
      <c r="J69" s="228"/>
      <c r="K69" s="228"/>
      <c r="L69" s="228"/>
      <c r="M69" s="228"/>
    </row>
    <row r="70" spans="1:13">
      <c r="A70" s="228"/>
      <c r="B70" s="228"/>
      <c r="C70" s="228"/>
      <c r="D70" s="228"/>
      <c r="E70" s="228"/>
      <c r="F70" s="228"/>
      <c r="G70" s="228"/>
      <c r="H70" s="228"/>
      <c r="I70" s="228"/>
      <c r="J70" s="228"/>
      <c r="K70" s="228"/>
      <c r="L70" s="228"/>
      <c r="M70" s="228"/>
    </row>
    <row r="71" spans="1:13">
      <c r="A71" s="228"/>
      <c r="B71" s="228"/>
      <c r="C71" s="228"/>
      <c r="D71" s="228"/>
      <c r="E71" s="228"/>
      <c r="F71" s="228"/>
      <c r="G71" s="228"/>
      <c r="H71" s="228"/>
      <c r="I71" s="228"/>
      <c r="J71" s="228"/>
      <c r="K71" s="228"/>
      <c r="L71" s="228"/>
      <c r="M71" s="228"/>
    </row>
    <row r="72" spans="1:13">
      <c r="A72" s="228"/>
      <c r="B72" s="228"/>
      <c r="C72" s="228"/>
      <c r="D72" s="228"/>
      <c r="E72" s="228"/>
      <c r="F72" s="228"/>
      <c r="G72" s="228"/>
      <c r="H72" s="228"/>
      <c r="I72" s="228"/>
      <c r="J72" s="228"/>
      <c r="K72" s="228"/>
      <c r="L72" s="228"/>
      <c r="M72" s="228"/>
    </row>
    <row r="73" spans="1:13">
      <c r="A73" s="228"/>
      <c r="B73" s="228"/>
      <c r="C73" s="228"/>
      <c r="D73" s="228"/>
      <c r="E73" s="228"/>
      <c r="F73" s="228"/>
      <c r="G73" s="228"/>
      <c r="H73" s="228"/>
      <c r="I73" s="228"/>
      <c r="J73" s="228"/>
      <c r="K73" s="228"/>
      <c r="L73" s="228"/>
      <c r="M73" s="228"/>
    </row>
    <row r="74" spans="1:13">
      <c r="A74" s="228"/>
      <c r="B74" s="228"/>
      <c r="C74" s="228"/>
      <c r="D74" s="228"/>
      <c r="E74" s="228"/>
      <c r="F74" s="228"/>
      <c r="G74" s="228"/>
      <c r="H74" s="228"/>
      <c r="I74" s="228"/>
      <c r="J74" s="228"/>
      <c r="K74" s="228"/>
      <c r="L74" s="228"/>
      <c r="M74" s="228"/>
    </row>
    <row r="75" spans="1:13">
      <c r="A75" s="228"/>
      <c r="B75" s="228"/>
      <c r="C75" s="228"/>
      <c r="D75" s="228"/>
      <c r="E75" s="228"/>
      <c r="F75" s="228"/>
      <c r="G75" s="228"/>
      <c r="H75" s="228"/>
      <c r="I75" s="228"/>
      <c r="J75" s="228"/>
      <c r="K75" s="228"/>
      <c r="L75" s="228"/>
      <c r="M75" s="228"/>
    </row>
    <row r="76" spans="1:13">
      <c r="A76" s="228"/>
      <c r="B76" s="228"/>
      <c r="C76" s="228"/>
      <c r="D76" s="228"/>
      <c r="E76" s="228"/>
      <c r="F76" s="228"/>
      <c r="G76" s="228"/>
      <c r="H76" s="228"/>
      <c r="I76" s="228"/>
      <c r="J76" s="228"/>
      <c r="K76" s="228"/>
      <c r="L76" s="228"/>
      <c r="M76" s="228"/>
    </row>
    <row r="77" spans="1:13">
      <c r="A77" s="228"/>
      <c r="B77" s="228"/>
      <c r="C77" s="228"/>
      <c r="D77" s="228"/>
      <c r="E77" s="228"/>
      <c r="F77" s="228"/>
      <c r="G77" s="228"/>
      <c r="H77" s="228"/>
      <c r="I77" s="228"/>
      <c r="J77" s="228"/>
      <c r="K77" s="228"/>
      <c r="L77" s="228"/>
      <c r="M77" s="228"/>
    </row>
    <row r="78" spans="1:13">
      <c r="A78" s="228"/>
      <c r="B78" s="228"/>
      <c r="C78" s="228"/>
      <c r="D78" s="228"/>
      <c r="E78" s="228"/>
      <c r="F78" s="228"/>
      <c r="G78" s="228"/>
      <c r="H78" s="228"/>
      <c r="I78" s="228"/>
      <c r="J78" s="228"/>
      <c r="K78" s="228"/>
      <c r="L78" s="228"/>
      <c r="M78" s="228"/>
    </row>
    <row r="79" spans="1:13">
      <c r="A79" s="228"/>
      <c r="B79" s="228"/>
      <c r="C79" s="228"/>
      <c r="D79" s="228"/>
      <c r="E79" s="228"/>
      <c r="F79" s="228"/>
      <c r="G79" s="228"/>
      <c r="H79" s="228"/>
      <c r="I79" s="228"/>
      <c r="J79" s="228"/>
      <c r="K79" s="228"/>
      <c r="L79" s="228"/>
      <c r="M79" s="228"/>
    </row>
    <row r="80" spans="1:13">
      <c r="A80" s="228"/>
      <c r="B80" s="228"/>
      <c r="C80" s="228"/>
      <c r="D80" s="228"/>
      <c r="E80" s="228"/>
      <c r="F80" s="228"/>
      <c r="G80" s="228"/>
      <c r="H80" s="228"/>
      <c r="I80" s="228"/>
      <c r="J80" s="228"/>
      <c r="K80" s="228"/>
      <c r="L80" s="228"/>
      <c r="M80" s="228"/>
    </row>
    <row r="81" spans="1:13">
      <c r="A81" s="228"/>
      <c r="B81" s="228"/>
      <c r="C81" s="228"/>
      <c r="D81" s="228"/>
      <c r="E81" s="228"/>
      <c r="F81" s="228"/>
      <c r="G81" s="228"/>
      <c r="H81" s="228"/>
      <c r="I81" s="228"/>
      <c r="J81" s="228"/>
      <c r="K81" s="228"/>
      <c r="L81" s="228"/>
      <c r="M81" s="228"/>
    </row>
    <row r="82" spans="1:13">
      <c r="A82" s="228"/>
      <c r="B82" s="228"/>
      <c r="C82" s="228"/>
      <c r="D82" s="228"/>
      <c r="E82" s="228"/>
      <c r="F82" s="228"/>
      <c r="G82" s="228"/>
      <c r="H82" s="228"/>
      <c r="I82" s="228"/>
      <c r="J82" s="228"/>
      <c r="K82" s="228"/>
      <c r="L82" s="228"/>
      <c r="M82" s="228"/>
    </row>
    <row r="83" spans="1:13">
      <c r="A83" s="228"/>
      <c r="B83" s="228"/>
      <c r="C83" s="228"/>
      <c r="D83" s="228"/>
      <c r="E83" s="228"/>
      <c r="F83" s="228"/>
      <c r="G83" s="228"/>
      <c r="H83" s="228"/>
      <c r="I83" s="228"/>
      <c r="J83" s="228"/>
      <c r="K83" s="228"/>
      <c r="L83" s="228"/>
      <c r="M83" s="228"/>
    </row>
    <row r="84" spans="1:13">
      <c r="A84" s="228"/>
      <c r="B84" s="228"/>
      <c r="C84" s="228"/>
      <c r="D84" s="228"/>
      <c r="E84" s="228"/>
      <c r="F84" s="228"/>
      <c r="G84" s="228"/>
      <c r="H84" s="228"/>
      <c r="I84" s="228"/>
      <c r="J84" s="228"/>
      <c r="K84" s="228"/>
      <c r="L84" s="228"/>
      <c r="M84" s="228"/>
    </row>
    <row r="85" spans="1:13">
      <c r="A85" s="228"/>
      <c r="B85" s="228"/>
      <c r="C85" s="228"/>
      <c r="D85" s="228"/>
      <c r="E85" s="228"/>
      <c r="F85" s="228"/>
      <c r="G85" s="228"/>
      <c r="H85" s="228"/>
      <c r="I85" s="228"/>
      <c r="J85" s="228"/>
      <c r="K85" s="228"/>
      <c r="L85" s="228"/>
      <c r="M85" s="228"/>
    </row>
    <row r="86" spans="1:13">
      <c r="A86" s="228"/>
      <c r="B86" s="228"/>
      <c r="C86" s="228"/>
      <c r="D86" s="228"/>
      <c r="E86" s="228"/>
      <c r="F86" s="228"/>
      <c r="G86" s="228"/>
      <c r="H86" s="228"/>
      <c r="I86" s="228"/>
      <c r="J86" s="228"/>
      <c r="K86" s="228"/>
      <c r="L86" s="228"/>
      <c r="M86" s="228"/>
    </row>
    <row r="87" spans="1:13">
      <c r="A87" s="228"/>
      <c r="B87" s="228"/>
      <c r="C87" s="228"/>
      <c r="D87" s="228"/>
      <c r="E87" s="228"/>
      <c r="F87" s="228"/>
      <c r="G87" s="228"/>
      <c r="H87" s="228"/>
      <c r="I87" s="228"/>
      <c r="J87" s="228"/>
      <c r="K87" s="228"/>
      <c r="L87" s="228"/>
      <c r="M87" s="228"/>
    </row>
    <row r="88" spans="1:13">
      <c r="A88" s="228"/>
      <c r="B88" s="228"/>
      <c r="C88" s="228"/>
      <c r="D88" s="228"/>
      <c r="E88" s="228"/>
      <c r="F88" s="228"/>
      <c r="G88" s="228"/>
      <c r="H88" s="228"/>
      <c r="I88" s="228"/>
      <c r="J88" s="228"/>
      <c r="K88" s="228"/>
      <c r="L88" s="228"/>
      <c r="M88" s="22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15698-4BFC-4CBA-8B8B-96612026E417}">
  <dimension ref="A1:T89"/>
  <sheetViews>
    <sheetView workbookViewId="0">
      <selection sqref="A1:T89"/>
    </sheetView>
  </sheetViews>
  <sheetFormatPr defaultRowHeight="15"/>
  <cols>
    <col min="8" max="8" width="19" bestFit="1" customWidth="1"/>
    <col min="9" max="9" width="10.88671875" bestFit="1" customWidth="1"/>
    <col min="10" max="10" width="11.6640625" bestFit="1" customWidth="1"/>
    <col min="11" max="11" width="12.109375" bestFit="1" customWidth="1"/>
    <col min="12" max="12" width="9.77734375" bestFit="1" customWidth="1"/>
  </cols>
  <sheetData>
    <row r="1" spans="1:20" ht="15.75">
      <c r="A1" s="295" t="s">
        <v>383</v>
      </c>
      <c r="B1" s="225"/>
      <c r="C1" s="225"/>
      <c r="D1" s="225"/>
      <c r="E1" s="225"/>
      <c r="F1" s="225"/>
      <c r="G1" s="225"/>
      <c r="H1" s="225"/>
      <c r="I1" s="225"/>
      <c r="J1" s="225"/>
      <c r="K1" s="225"/>
      <c r="L1" s="225"/>
      <c r="M1" s="225"/>
      <c r="N1" s="225"/>
      <c r="O1" s="225"/>
      <c r="P1" s="225"/>
      <c r="Q1" s="225"/>
      <c r="R1" s="225"/>
      <c r="S1" s="225"/>
      <c r="T1" s="225"/>
    </row>
    <row r="2" spans="1:20" ht="15.75">
      <c r="A2" s="295"/>
      <c r="B2" s="225"/>
      <c r="C2" s="225"/>
      <c r="D2" s="225"/>
      <c r="E2" s="225"/>
      <c r="F2" s="225"/>
      <c r="G2" s="225"/>
      <c r="H2" s="225"/>
      <c r="I2" s="225"/>
      <c r="J2" s="225"/>
      <c r="K2" s="225"/>
      <c r="L2" s="225"/>
      <c r="M2" s="225"/>
      <c r="N2" s="225"/>
      <c r="O2" s="225"/>
      <c r="P2" s="225"/>
      <c r="Q2" s="225"/>
      <c r="R2" s="225"/>
      <c r="S2" s="225"/>
      <c r="T2" s="225"/>
    </row>
    <row r="3" spans="1:20" ht="15.75">
      <c r="A3" s="295" t="s">
        <v>384</v>
      </c>
      <c r="B3" s="225"/>
      <c r="C3" s="225"/>
      <c r="D3" s="225"/>
      <c r="E3" s="225"/>
      <c r="F3" s="225"/>
      <c r="G3" s="225"/>
      <c r="H3" s="225"/>
      <c r="I3" s="225"/>
      <c r="J3" s="225"/>
      <c r="K3" s="225"/>
      <c r="L3" s="225"/>
      <c r="M3" s="225"/>
      <c r="N3" s="225"/>
      <c r="O3" s="225"/>
      <c r="P3" s="225"/>
      <c r="Q3" s="225"/>
      <c r="R3" s="225"/>
      <c r="S3" s="225"/>
      <c r="T3" s="225"/>
    </row>
    <row r="4" spans="1:20" ht="15.75">
      <c r="A4" s="296" t="s">
        <v>385</v>
      </c>
      <c r="B4" s="225"/>
      <c r="C4" s="225"/>
      <c r="D4" s="225"/>
      <c r="E4" s="225"/>
      <c r="F4" s="225"/>
      <c r="G4" s="225"/>
      <c r="H4" s="225"/>
      <c r="I4" s="225"/>
      <c r="J4" s="225"/>
      <c r="K4" s="225"/>
      <c r="L4" s="225"/>
      <c r="M4" s="225"/>
      <c r="N4" s="225"/>
      <c r="O4" s="225"/>
      <c r="P4" s="225"/>
      <c r="Q4" s="225"/>
      <c r="R4" s="225"/>
      <c r="S4" s="225"/>
      <c r="T4" s="225"/>
    </row>
    <row r="5" spans="1:20" ht="15.75">
      <c r="A5" s="296"/>
      <c r="B5" s="225" t="s">
        <v>386</v>
      </c>
      <c r="C5" s="225"/>
      <c r="D5" s="225"/>
      <c r="E5" s="225"/>
      <c r="F5" s="225"/>
      <c r="G5" s="225"/>
      <c r="H5" s="297" t="s">
        <v>376</v>
      </c>
      <c r="I5" s="297" t="s">
        <v>387</v>
      </c>
      <c r="J5" s="297" t="s">
        <v>388</v>
      </c>
      <c r="K5" s="225" t="s">
        <v>389</v>
      </c>
      <c r="L5" s="225"/>
      <c r="M5" s="225"/>
      <c r="N5" s="225"/>
      <c r="O5" s="225"/>
      <c r="P5" s="225"/>
      <c r="Q5" s="225"/>
      <c r="R5" s="225"/>
      <c r="S5" s="225"/>
      <c r="T5" s="225"/>
    </row>
    <row r="6" spans="1:20" ht="15.75">
      <c r="A6" s="296" t="s">
        <v>390</v>
      </c>
      <c r="B6" s="225"/>
      <c r="C6" s="225"/>
      <c r="D6" s="225"/>
      <c r="E6" s="225"/>
      <c r="F6" s="225"/>
      <c r="G6" s="225"/>
      <c r="H6" s="225" t="s">
        <v>384</v>
      </c>
      <c r="I6" s="225">
        <v>18</v>
      </c>
      <c r="J6" s="225">
        <v>8</v>
      </c>
      <c r="K6" s="298">
        <v>0</v>
      </c>
      <c r="L6" s="225">
        <f t="shared" ref="L6:L11" si="0">SUM(I6:K6)</f>
        <v>26</v>
      </c>
      <c r="M6" s="225"/>
      <c r="N6" s="225"/>
      <c r="O6" s="225"/>
      <c r="P6" s="225"/>
      <c r="Q6" s="225"/>
      <c r="R6" s="225"/>
      <c r="S6" s="225"/>
      <c r="T6" s="225"/>
    </row>
    <row r="7" spans="1:20" ht="15.75">
      <c r="A7" s="296"/>
      <c r="B7" s="225" t="s">
        <v>391</v>
      </c>
      <c r="C7" s="225"/>
      <c r="D7" s="225"/>
      <c r="E7" s="225"/>
      <c r="F7" s="225"/>
      <c r="G7" s="225"/>
      <c r="H7" s="225" t="s">
        <v>392</v>
      </c>
      <c r="I7" s="225">
        <v>22</v>
      </c>
      <c r="J7" s="225">
        <v>0</v>
      </c>
      <c r="K7" s="225">
        <v>4</v>
      </c>
      <c r="L7" s="225">
        <f t="shared" si="0"/>
        <v>26</v>
      </c>
      <c r="M7" s="225"/>
      <c r="N7" s="225"/>
      <c r="O7" s="225"/>
      <c r="P7" s="225"/>
      <c r="Q7" s="225"/>
      <c r="R7" s="225"/>
      <c r="S7" s="225"/>
      <c r="T7" s="225"/>
    </row>
    <row r="8" spans="1:20" ht="15.75">
      <c r="A8" s="296" t="s">
        <v>393</v>
      </c>
      <c r="B8" s="225"/>
      <c r="C8" s="225"/>
      <c r="D8" s="225"/>
      <c r="E8" s="225"/>
      <c r="F8" s="225"/>
      <c r="G8" s="225"/>
      <c r="H8" s="225" t="s">
        <v>394</v>
      </c>
      <c r="I8" s="225">
        <v>16</v>
      </c>
      <c r="J8" s="225">
        <v>0</v>
      </c>
      <c r="K8" s="225">
        <v>8</v>
      </c>
      <c r="L8" s="225">
        <f t="shared" si="0"/>
        <v>24</v>
      </c>
      <c r="M8" s="225"/>
      <c r="N8" s="225"/>
      <c r="O8" s="225"/>
      <c r="P8" s="225"/>
      <c r="Q8" s="225"/>
      <c r="R8" s="225"/>
      <c r="S8" s="225"/>
      <c r="T8" s="225"/>
    </row>
    <row r="9" spans="1:20" ht="15.75">
      <c r="A9" s="296"/>
      <c r="B9" s="225" t="s">
        <v>395</v>
      </c>
      <c r="C9" s="225"/>
      <c r="D9" s="225"/>
      <c r="E9" s="225"/>
      <c r="F9" s="225"/>
      <c r="G9" s="225"/>
      <c r="H9" s="225" t="s">
        <v>396</v>
      </c>
      <c r="I9" s="225">
        <v>21</v>
      </c>
      <c r="J9" s="225">
        <v>8</v>
      </c>
      <c r="K9" s="225">
        <v>0</v>
      </c>
      <c r="L9" s="225">
        <f t="shared" si="0"/>
        <v>29</v>
      </c>
      <c r="M9" s="225"/>
      <c r="N9" s="225"/>
      <c r="O9" s="225"/>
      <c r="P9" s="225"/>
      <c r="Q9" s="225"/>
      <c r="R9" s="225"/>
      <c r="S9" s="225"/>
      <c r="T9" s="225"/>
    </row>
    <row r="10" spans="1:20" ht="15.75">
      <c r="A10" s="296" t="s">
        <v>397</v>
      </c>
      <c r="B10" s="225"/>
      <c r="C10" s="225"/>
      <c r="D10" s="225"/>
      <c r="E10" s="225"/>
      <c r="F10" s="225"/>
      <c r="G10" s="225"/>
      <c r="H10" s="225" t="s">
        <v>398</v>
      </c>
      <c r="I10" s="297">
        <f>8+8</f>
        <v>16</v>
      </c>
      <c r="J10" s="297">
        <v>0</v>
      </c>
      <c r="K10" s="225">
        <v>0</v>
      </c>
      <c r="L10" s="225">
        <f t="shared" si="0"/>
        <v>16</v>
      </c>
      <c r="M10" s="225"/>
      <c r="N10" s="225"/>
      <c r="O10" s="225"/>
      <c r="P10" s="225"/>
      <c r="Q10" s="225"/>
      <c r="R10" s="225"/>
      <c r="S10" s="225"/>
      <c r="T10" s="225"/>
    </row>
    <row r="11" spans="1:20" ht="15.75">
      <c r="A11" s="296"/>
      <c r="B11" s="225" t="s">
        <v>399</v>
      </c>
      <c r="C11" s="225"/>
      <c r="D11" s="225"/>
      <c r="E11" s="225"/>
      <c r="F11" s="225"/>
      <c r="G11" s="225"/>
      <c r="H11" s="225"/>
      <c r="I11" s="299">
        <f>SUM(I6:I10)</f>
        <v>93</v>
      </c>
      <c r="J11" s="299">
        <f>SUM(J6:J10)</f>
        <v>16</v>
      </c>
      <c r="K11" s="299">
        <f>SUM(K6:K10)</f>
        <v>12</v>
      </c>
      <c r="L11" s="300">
        <f t="shared" si="0"/>
        <v>121</v>
      </c>
      <c r="M11" s="225" t="s">
        <v>400</v>
      </c>
      <c r="N11" s="225"/>
      <c r="O11" s="225"/>
      <c r="P11" s="225"/>
      <c r="Q11" s="225"/>
      <c r="R11" s="225"/>
      <c r="S11" s="225"/>
      <c r="T11" s="225"/>
    </row>
    <row r="12" spans="1:20" ht="15.75">
      <c r="A12" s="296"/>
      <c r="B12" s="225"/>
      <c r="C12" s="225"/>
      <c r="D12" s="225"/>
      <c r="E12" s="225"/>
      <c r="F12" s="225"/>
      <c r="G12" s="225"/>
      <c r="H12" s="225" t="s">
        <v>401</v>
      </c>
      <c r="I12" s="301">
        <f>I11/L11</f>
        <v>0.76859504132231404</v>
      </c>
      <c r="J12" s="301">
        <f>J11/L11</f>
        <v>0.13223140495867769</v>
      </c>
      <c r="K12" s="301">
        <f>K11/L11</f>
        <v>9.9173553719008267E-2</v>
      </c>
      <c r="L12" s="301">
        <f>I12+J12+K12</f>
        <v>1</v>
      </c>
      <c r="M12" s="225"/>
      <c r="N12" s="225"/>
      <c r="O12" s="225"/>
      <c r="P12" s="225"/>
      <c r="Q12" s="225"/>
      <c r="R12" s="225"/>
      <c r="S12" s="225"/>
      <c r="T12" s="225"/>
    </row>
    <row r="13" spans="1:20" ht="15.75">
      <c r="A13" s="295" t="s">
        <v>392</v>
      </c>
      <c r="B13" s="225"/>
      <c r="C13" s="225"/>
      <c r="D13" s="225"/>
      <c r="E13" s="225"/>
      <c r="F13" s="225"/>
      <c r="G13" s="225"/>
      <c r="H13" s="225"/>
      <c r="I13" s="301"/>
      <c r="J13" s="301"/>
      <c r="K13" s="301"/>
      <c r="L13" s="301"/>
      <c r="M13" s="225"/>
      <c r="N13" s="225"/>
      <c r="O13" s="225"/>
      <c r="P13" s="225"/>
      <c r="Q13" s="225"/>
      <c r="R13" s="225"/>
      <c r="S13" s="225"/>
      <c r="T13" s="225"/>
    </row>
    <row r="14" spans="1:20" ht="15.75">
      <c r="A14" s="296" t="s">
        <v>402</v>
      </c>
      <c r="B14" s="225"/>
      <c r="C14" s="225"/>
      <c r="D14" s="225"/>
      <c r="E14" s="225"/>
      <c r="F14" s="225"/>
      <c r="G14" s="225"/>
      <c r="H14" s="225"/>
      <c r="I14" s="301"/>
      <c r="J14" s="301"/>
      <c r="K14" s="301"/>
      <c r="L14" s="301"/>
      <c r="M14" s="225"/>
      <c r="N14" s="225"/>
      <c r="O14" s="225"/>
      <c r="P14" s="225"/>
      <c r="Q14" s="225"/>
      <c r="R14" s="225"/>
      <c r="S14" s="225"/>
      <c r="T14" s="225"/>
    </row>
    <row r="15" spans="1:20" ht="15.75">
      <c r="A15" s="296"/>
      <c r="B15" s="225" t="s">
        <v>399</v>
      </c>
      <c r="C15" s="225"/>
      <c r="D15" s="225"/>
      <c r="E15" s="225"/>
      <c r="F15" s="225"/>
      <c r="G15" s="225"/>
      <c r="H15" s="225"/>
      <c r="I15" s="301"/>
      <c r="J15" s="301"/>
      <c r="K15" s="301"/>
      <c r="L15" s="301"/>
      <c r="M15" s="225"/>
      <c r="N15" s="225"/>
      <c r="O15" s="225"/>
      <c r="P15" s="225"/>
      <c r="Q15" s="225"/>
      <c r="R15" s="225"/>
      <c r="S15" s="225"/>
      <c r="T15" s="225"/>
    </row>
    <row r="16" spans="1:20" ht="15.75">
      <c r="A16" s="296" t="s">
        <v>390</v>
      </c>
      <c r="B16" s="225"/>
      <c r="C16" s="225"/>
      <c r="D16" s="225"/>
      <c r="E16" s="225"/>
      <c r="F16" s="225"/>
      <c r="G16" s="225"/>
      <c r="H16" s="225"/>
      <c r="I16" s="225" t="s">
        <v>211</v>
      </c>
      <c r="J16" s="225" t="s">
        <v>210</v>
      </c>
      <c r="K16" s="225" t="s">
        <v>211</v>
      </c>
      <c r="L16" s="225"/>
      <c r="M16" s="225"/>
      <c r="N16" s="225"/>
      <c r="O16" s="225"/>
      <c r="P16" s="225"/>
      <c r="Q16" s="225"/>
      <c r="R16" s="225"/>
      <c r="S16" s="225"/>
      <c r="T16" s="225"/>
    </row>
    <row r="17" spans="1:20" ht="15.75">
      <c r="A17" s="296"/>
      <c r="B17" s="225" t="s">
        <v>391</v>
      </c>
      <c r="C17" s="225"/>
      <c r="D17" s="225"/>
      <c r="E17" s="225"/>
      <c r="F17" s="225"/>
      <c r="G17" s="225"/>
      <c r="H17" s="225"/>
      <c r="I17" s="225" t="s">
        <v>403</v>
      </c>
      <c r="J17" s="225" t="s">
        <v>388</v>
      </c>
      <c r="K17" s="225" t="s">
        <v>389</v>
      </c>
      <c r="L17" s="225" t="s">
        <v>404</v>
      </c>
      <c r="M17" s="225"/>
      <c r="N17" s="225"/>
      <c r="O17" s="225"/>
      <c r="P17" s="225"/>
      <c r="Q17" s="225"/>
      <c r="R17" s="225"/>
      <c r="S17" s="225"/>
      <c r="T17" s="225"/>
    </row>
    <row r="18" spans="1:20" ht="15.75">
      <c r="A18" s="296" t="s">
        <v>393</v>
      </c>
      <c r="B18" s="225"/>
      <c r="C18" s="225"/>
      <c r="D18" s="225"/>
      <c r="E18" s="225"/>
      <c r="F18" s="225"/>
      <c r="G18" s="225"/>
      <c r="H18" s="302" t="s">
        <v>405</v>
      </c>
      <c r="I18" s="225">
        <f>2</f>
        <v>2</v>
      </c>
      <c r="J18" s="225">
        <f>8+8</f>
        <v>16</v>
      </c>
      <c r="K18" s="303">
        <v>0</v>
      </c>
      <c r="L18" s="301">
        <f>I18/J18</f>
        <v>0.125</v>
      </c>
      <c r="M18" s="225"/>
      <c r="N18" s="225"/>
      <c r="O18" s="225"/>
      <c r="P18" s="225"/>
      <c r="Q18" s="225"/>
      <c r="R18" s="225"/>
      <c r="S18" s="225"/>
      <c r="T18" s="225"/>
    </row>
    <row r="19" spans="1:20" ht="15.75">
      <c r="A19" s="296"/>
      <c r="B19" s="225" t="s">
        <v>395</v>
      </c>
      <c r="C19" s="225"/>
      <c r="D19" s="225"/>
      <c r="E19" s="225"/>
      <c r="F19" s="225"/>
      <c r="G19" s="225"/>
      <c r="H19" s="302" t="s">
        <v>406</v>
      </c>
      <c r="I19" s="225">
        <f>8+8+8+8+8</f>
        <v>40</v>
      </c>
      <c r="J19" s="225">
        <v>0</v>
      </c>
      <c r="K19" s="303">
        <v>0</v>
      </c>
      <c r="L19" s="301">
        <v>1</v>
      </c>
      <c r="M19" s="225"/>
      <c r="N19" s="225"/>
      <c r="O19" s="225"/>
      <c r="P19" s="225"/>
      <c r="Q19" s="225"/>
      <c r="R19" s="225"/>
      <c r="S19" s="225"/>
      <c r="T19" s="225"/>
    </row>
    <row r="20" spans="1:20" ht="15.75">
      <c r="A20" s="296" t="s">
        <v>407</v>
      </c>
      <c r="B20" s="225"/>
      <c r="C20" s="225"/>
      <c r="D20" s="225"/>
      <c r="E20" s="225"/>
      <c r="F20" s="225"/>
      <c r="G20" s="225"/>
      <c r="H20" s="302" t="s">
        <v>408</v>
      </c>
      <c r="I20" s="225">
        <v>8</v>
      </c>
      <c r="J20" s="225">
        <v>0</v>
      </c>
      <c r="K20" s="303">
        <v>0</v>
      </c>
      <c r="L20" s="301">
        <v>1</v>
      </c>
      <c r="M20" s="225"/>
      <c r="N20" s="225"/>
      <c r="O20" s="225"/>
      <c r="P20" s="225"/>
      <c r="Q20" s="225"/>
      <c r="R20" s="225"/>
      <c r="S20" s="225"/>
      <c r="T20" s="225"/>
    </row>
    <row r="21" spans="1:20" ht="15.75">
      <c r="A21" s="295"/>
      <c r="B21" s="225"/>
      <c r="C21" s="225"/>
      <c r="D21" s="304"/>
      <c r="E21" s="304" t="s">
        <v>409</v>
      </c>
      <c r="F21" s="225"/>
      <c r="G21" s="225"/>
      <c r="H21" s="302" t="s">
        <v>410</v>
      </c>
      <c r="I21" s="225">
        <v>37</v>
      </c>
      <c r="J21" s="225">
        <v>0</v>
      </c>
      <c r="K21" s="303">
        <v>0</v>
      </c>
      <c r="L21" s="301">
        <v>1</v>
      </c>
      <c r="M21" s="225"/>
      <c r="N21" s="225"/>
      <c r="O21" s="225"/>
      <c r="P21" s="225"/>
      <c r="Q21" s="225"/>
      <c r="R21" s="225"/>
      <c r="S21" s="225"/>
      <c r="T21" s="225"/>
    </row>
    <row r="22" spans="1:20" ht="15.75">
      <c r="A22" s="295"/>
      <c r="B22" s="225" t="s">
        <v>386</v>
      </c>
      <c r="C22" s="225"/>
      <c r="D22" s="304"/>
      <c r="E22" s="304"/>
      <c r="F22" s="225"/>
      <c r="G22" s="225"/>
      <c r="H22" s="302" t="s">
        <v>411</v>
      </c>
      <c r="I22" s="225">
        <v>0</v>
      </c>
      <c r="J22" s="225">
        <v>0</v>
      </c>
      <c r="K22" s="303">
        <v>0</v>
      </c>
      <c r="L22" s="301"/>
      <c r="M22" s="225"/>
      <c r="N22" s="225"/>
      <c r="O22" s="225"/>
      <c r="P22" s="225"/>
      <c r="Q22" s="225"/>
      <c r="R22" s="225"/>
      <c r="S22" s="225"/>
      <c r="T22" s="225"/>
    </row>
    <row r="23" spans="1:20" ht="15.75">
      <c r="A23" s="295" t="s">
        <v>394</v>
      </c>
      <c r="B23" s="225"/>
      <c r="C23" s="225"/>
      <c r="D23" s="225"/>
      <c r="E23" s="225"/>
      <c r="F23" s="225"/>
      <c r="G23" s="225"/>
      <c r="H23" s="302" t="s">
        <v>412</v>
      </c>
      <c r="I23" s="297">
        <v>6</v>
      </c>
      <c r="J23" s="297">
        <v>0</v>
      </c>
      <c r="K23" s="305">
        <v>12</v>
      </c>
      <c r="L23" s="301">
        <v>1</v>
      </c>
      <c r="M23" s="225"/>
      <c r="N23" s="225"/>
      <c r="O23" s="225"/>
      <c r="P23" s="225"/>
      <c r="Q23" s="225"/>
      <c r="R23" s="225"/>
      <c r="S23" s="225"/>
      <c r="T23" s="225"/>
    </row>
    <row r="24" spans="1:20" ht="15.75">
      <c r="A24" s="296" t="s">
        <v>413</v>
      </c>
      <c r="B24" s="225"/>
      <c r="C24" s="225"/>
      <c r="D24" s="225"/>
      <c r="E24" s="225"/>
      <c r="F24" s="225"/>
      <c r="G24" s="225"/>
      <c r="H24" s="225"/>
      <c r="I24" s="225">
        <f>SUM(I18:I23)</f>
        <v>93</v>
      </c>
      <c r="J24" s="225">
        <f>SUM(J18:J23)</f>
        <v>16</v>
      </c>
      <c r="K24" s="303">
        <f>SUM(K18:K23)</f>
        <v>12</v>
      </c>
      <c r="L24" s="225">
        <f>SUM(I24:K24)</f>
        <v>121</v>
      </c>
      <c r="M24" s="225"/>
      <c r="N24" s="225"/>
      <c r="O24" s="225"/>
      <c r="P24" s="225"/>
      <c r="Q24" s="225"/>
      <c r="R24" s="225"/>
      <c r="S24" s="225"/>
      <c r="T24" s="225"/>
    </row>
    <row r="25" spans="1:20" ht="15.75">
      <c r="A25" s="306" t="s">
        <v>414</v>
      </c>
      <c r="B25" s="307"/>
      <c r="C25" s="307"/>
      <c r="D25" s="307"/>
      <c r="E25" s="307"/>
      <c r="F25" s="307"/>
      <c r="G25" s="225"/>
      <c r="H25" s="225"/>
      <c r="I25" s="308">
        <f>+I24/L24</f>
        <v>0.76859504132231404</v>
      </c>
      <c r="J25" s="308">
        <f>+J24/L24</f>
        <v>0.13223140495867769</v>
      </c>
      <c r="K25" s="308">
        <f>+K24/L24</f>
        <v>9.9173553719008267E-2</v>
      </c>
      <c r="L25" s="308">
        <f>SUM(I25:K25)</f>
        <v>1</v>
      </c>
      <c r="M25" s="225"/>
      <c r="N25" s="225"/>
      <c r="O25" s="225"/>
      <c r="P25" s="225"/>
      <c r="Q25" s="225"/>
      <c r="R25" s="225"/>
      <c r="S25" s="225"/>
      <c r="T25" s="225"/>
    </row>
    <row r="26" spans="1:20" ht="15.75">
      <c r="A26" s="306"/>
      <c r="B26" s="307" t="s">
        <v>391</v>
      </c>
      <c r="C26" s="307"/>
      <c r="D26" s="307"/>
      <c r="E26" s="307"/>
      <c r="F26" s="307"/>
      <c r="G26" s="225"/>
      <c r="H26" s="225"/>
      <c r="I26" s="225"/>
      <c r="J26" s="225"/>
      <c r="K26" s="225"/>
      <c r="L26" s="225"/>
      <c r="M26" s="225"/>
      <c r="N26" s="225"/>
      <c r="O26" s="225"/>
      <c r="P26" s="225"/>
      <c r="Q26" s="225"/>
      <c r="R26" s="225"/>
      <c r="S26" s="225"/>
      <c r="T26" s="225"/>
    </row>
    <row r="27" spans="1:20" ht="15.75">
      <c r="A27" s="306" t="s">
        <v>415</v>
      </c>
      <c r="B27" s="307"/>
      <c r="C27" s="307"/>
      <c r="D27" s="307"/>
      <c r="E27" s="307"/>
      <c r="F27" s="307"/>
      <c r="G27" s="225"/>
      <c r="H27" s="225"/>
      <c r="I27" s="225"/>
      <c r="J27" s="225"/>
      <c r="K27" s="225"/>
      <c r="L27" s="225"/>
      <c r="M27" s="225"/>
      <c r="N27" s="225"/>
      <c r="O27" s="225"/>
      <c r="P27" s="225"/>
      <c r="Q27" s="225"/>
      <c r="R27" s="225"/>
      <c r="S27" s="225"/>
      <c r="T27" s="225"/>
    </row>
    <row r="28" spans="1:20" ht="15.75">
      <c r="A28" s="306"/>
      <c r="B28" s="307" t="s">
        <v>395</v>
      </c>
      <c r="C28" s="307"/>
      <c r="D28" s="307"/>
      <c r="E28" s="307"/>
      <c r="F28" s="307"/>
      <c r="G28" s="225"/>
      <c r="H28" s="225"/>
      <c r="I28" s="225"/>
      <c r="J28" s="225"/>
      <c r="K28" s="225"/>
      <c r="L28" s="225"/>
      <c r="M28" s="225"/>
      <c r="N28" s="225"/>
      <c r="O28" s="225"/>
      <c r="P28" s="225"/>
      <c r="Q28" s="225"/>
      <c r="R28" s="225"/>
      <c r="S28" s="225"/>
      <c r="T28" s="225"/>
    </row>
    <row r="29" spans="1:20" ht="15.75">
      <c r="A29" s="306" t="s">
        <v>416</v>
      </c>
      <c r="B29" s="307"/>
      <c r="C29" s="307"/>
      <c r="D29" s="307"/>
      <c r="E29" s="307"/>
      <c r="F29" s="307"/>
      <c r="G29" s="225"/>
      <c r="H29" s="225"/>
      <c r="I29" s="225"/>
      <c r="J29" s="225"/>
      <c r="K29" s="225"/>
      <c r="L29" s="225"/>
      <c r="M29" s="225"/>
      <c r="N29" s="225"/>
      <c r="O29" s="225"/>
      <c r="P29" s="225"/>
      <c r="Q29" s="225"/>
      <c r="R29" s="225"/>
      <c r="S29" s="225"/>
      <c r="T29" s="225"/>
    </row>
    <row r="30" spans="1:20" ht="15.75">
      <c r="A30" s="295"/>
      <c r="B30" s="225" t="s">
        <v>386</v>
      </c>
      <c r="C30" s="225"/>
      <c r="D30" s="225"/>
      <c r="E30" s="225"/>
      <c r="F30" s="225"/>
      <c r="G30" s="225"/>
      <c r="H30" s="225"/>
      <c r="I30" s="225"/>
      <c r="J30" s="225"/>
      <c r="K30" s="225"/>
      <c r="L30" s="225"/>
      <c r="M30" s="225"/>
      <c r="N30" s="225"/>
      <c r="O30" s="225"/>
      <c r="P30" s="225"/>
      <c r="Q30" s="225"/>
      <c r="R30" s="225"/>
      <c r="S30" s="225"/>
      <c r="T30" s="225"/>
    </row>
    <row r="31" spans="1:20" ht="15.75">
      <c r="A31" s="295" t="s">
        <v>396</v>
      </c>
      <c r="B31" s="225"/>
      <c r="C31" s="225"/>
      <c r="D31" s="225"/>
      <c r="E31" s="225"/>
      <c r="F31" s="225"/>
      <c r="G31" s="225"/>
      <c r="H31" s="225"/>
      <c r="I31" s="225"/>
      <c r="J31" s="225"/>
      <c r="K31" s="225"/>
      <c r="L31" s="225"/>
      <c r="M31" s="225"/>
      <c r="N31" s="225"/>
      <c r="O31" s="225"/>
      <c r="P31" s="225"/>
      <c r="Q31" s="225"/>
      <c r="R31" s="225"/>
      <c r="S31" s="225"/>
      <c r="T31" s="225"/>
    </row>
    <row r="32" spans="1:20" ht="15.75">
      <c r="A32" s="296" t="s">
        <v>385</v>
      </c>
      <c r="B32" s="225"/>
      <c r="C32" s="225"/>
      <c r="D32" s="225"/>
      <c r="E32" s="225"/>
      <c r="F32" s="225"/>
      <c r="G32" s="225"/>
      <c r="H32" s="225"/>
      <c r="I32" s="225"/>
      <c r="J32" s="225"/>
      <c r="K32" s="225"/>
      <c r="L32" s="225"/>
      <c r="M32" s="225"/>
      <c r="N32" s="225"/>
      <c r="O32" s="225"/>
      <c r="P32" s="225"/>
      <c r="Q32" s="225"/>
      <c r="R32" s="225"/>
      <c r="S32" s="225"/>
      <c r="T32" s="225"/>
    </row>
    <row r="33" spans="1:20" ht="15.75">
      <c r="A33" s="296"/>
      <c r="B33" s="225" t="s">
        <v>386</v>
      </c>
      <c r="C33" s="225"/>
      <c r="D33" s="225"/>
      <c r="E33" s="225"/>
      <c r="F33" s="225"/>
      <c r="G33" s="225"/>
      <c r="H33" s="225"/>
      <c r="I33" s="225"/>
      <c r="J33" s="225"/>
      <c r="K33" s="225"/>
      <c r="L33" s="225"/>
      <c r="M33" s="225"/>
      <c r="N33" s="225"/>
      <c r="O33" s="225"/>
      <c r="P33" s="225"/>
      <c r="Q33" s="225"/>
      <c r="R33" s="225"/>
      <c r="S33" s="225"/>
      <c r="T33" s="225"/>
    </row>
    <row r="34" spans="1:20" ht="15.75">
      <c r="A34" s="296" t="s">
        <v>390</v>
      </c>
      <c r="B34" s="225"/>
      <c r="C34" s="225"/>
      <c r="D34" s="225"/>
      <c r="E34" s="225"/>
      <c r="F34" s="225"/>
      <c r="G34" s="225"/>
      <c r="H34" s="225"/>
      <c r="I34" s="225"/>
      <c r="J34" s="225"/>
      <c r="K34" s="225"/>
      <c r="L34" s="225"/>
      <c r="M34" s="225"/>
      <c r="N34" s="225"/>
      <c r="O34" s="225"/>
      <c r="P34" s="225"/>
      <c r="Q34" s="225"/>
      <c r="R34" s="225"/>
      <c r="S34" s="225"/>
      <c r="T34" s="225"/>
    </row>
    <row r="35" spans="1:20" ht="15.75">
      <c r="A35" s="296"/>
      <c r="B35" s="225" t="s">
        <v>391</v>
      </c>
      <c r="C35" s="225"/>
      <c r="D35" s="225"/>
      <c r="E35" s="225"/>
      <c r="F35" s="225"/>
      <c r="G35" s="225"/>
      <c r="H35" s="225"/>
      <c r="I35" s="225"/>
      <c r="J35" s="225"/>
      <c r="K35" s="225"/>
      <c r="L35" s="225"/>
      <c r="M35" s="225"/>
      <c r="N35" s="225"/>
      <c r="O35" s="225"/>
      <c r="P35" s="225"/>
      <c r="Q35" s="225"/>
      <c r="R35" s="225"/>
      <c r="S35" s="225"/>
      <c r="T35" s="225"/>
    </row>
    <row r="36" spans="1:20" ht="15.75">
      <c r="A36" s="296" t="s">
        <v>417</v>
      </c>
      <c r="B36" s="225"/>
      <c r="C36" s="225"/>
      <c r="D36" s="225"/>
      <c r="E36" s="225"/>
      <c r="F36" s="225"/>
      <c r="G36" s="225"/>
      <c r="H36" s="225"/>
      <c r="I36" s="225"/>
      <c r="J36" s="225"/>
      <c r="K36" s="225"/>
      <c r="L36" s="225"/>
      <c r="M36" s="225"/>
      <c r="N36" s="225"/>
      <c r="O36" s="225"/>
      <c r="P36" s="225"/>
      <c r="Q36" s="225"/>
      <c r="R36" s="225"/>
      <c r="S36" s="225"/>
      <c r="T36" s="225"/>
    </row>
    <row r="37" spans="1:20" ht="15.75">
      <c r="A37" s="296"/>
      <c r="B37" s="225" t="s">
        <v>395</v>
      </c>
      <c r="C37" s="225"/>
      <c r="D37" s="225"/>
      <c r="E37" s="225"/>
      <c r="F37" s="225"/>
      <c r="G37" s="225"/>
      <c r="H37" s="225"/>
      <c r="I37" s="225"/>
      <c r="J37" s="225"/>
      <c r="K37" s="225"/>
      <c r="L37" s="225"/>
      <c r="M37" s="225"/>
      <c r="N37" s="225"/>
      <c r="O37" s="225"/>
      <c r="P37" s="225"/>
      <c r="Q37" s="225"/>
      <c r="R37" s="225"/>
      <c r="S37" s="225"/>
      <c r="T37" s="225"/>
    </row>
    <row r="38" spans="1:20" ht="15.75">
      <c r="A38" s="296" t="s">
        <v>418</v>
      </c>
      <c r="B38" s="225"/>
      <c r="C38" s="225"/>
      <c r="D38" s="225"/>
      <c r="E38" s="225"/>
      <c r="F38" s="225"/>
      <c r="G38" s="225"/>
      <c r="H38" s="225"/>
      <c r="I38" s="225"/>
      <c r="J38" s="225"/>
      <c r="K38" s="225"/>
      <c r="L38" s="225"/>
      <c r="M38" s="225"/>
      <c r="N38" s="225"/>
      <c r="O38" s="225"/>
      <c r="P38" s="225"/>
      <c r="Q38" s="225"/>
      <c r="R38" s="225"/>
      <c r="S38" s="225"/>
      <c r="T38" s="225"/>
    </row>
    <row r="39" spans="1:20" ht="15.75">
      <c r="A39" s="296" t="s">
        <v>419</v>
      </c>
      <c r="B39" s="225"/>
      <c r="C39" s="225"/>
      <c r="D39" s="225"/>
      <c r="E39" s="225"/>
      <c r="F39" s="225"/>
      <c r="G39" s="225"/>
      <c r="H39" s="225"/>
      <c r="I39" s="225"/>
      <c r="J39" s="225"/>
      <c r="K39" s="225"/>
      <c r="L39" s="225"/>
      <c r="M39" s="225"/>
      <c r="N39" s="225"/>
      <c r="O39" s="225"/>
      <c r="P39" s="225"/>
      <c r="Q39" s="225"/>
      <c r="R39" s="225"/>
      <c r="S39" s="225"/>
      <c r="T39" s="225"/>
    </row>
    <row r="40" spans="1:20" ht="15.75">
      <c r="A40" s="302"/>
      <c r="B40" s="225" t="s">
        <v>420</v>
      </c>
      <c r="C40" s="225"/>
      <c r="D40" s="225"/>
      <c r="E40" s="225"/>
      <c r="F40" s="225"/>
      <c r="G40" s="225"/>
      <c r="H40" s="225"/>
      <c r="I40" s="225"/>
      <c r="J40" s="225"/>
      <c r="K40" s="225"/>
      <c r="L40" s="225"/>
      <c r="M40" s="225"/>
      <c r="N40" s="225"/>
      <c r="O40" s="225"/>
      <c r="P40" s="225"/>
      <c r="Q40" s="225"/>
      <c r="R40" s="225"/>
      <c r="S40" s="225"/>
      <c r="T40" s="225"/>
    </row>
    <row r="41" spans="1:20" ht="15.75">
      <c r="A41" s="295" t="s">
        <v>398</v>
      </c>
      <c r="B41" s="225"/>
      <c r="C41" s="225"/>
      <c r="D41" s="225"/>
      <c r="E41" s="225"/>
      <c r="F41" s="225"/>
      <c r="G41" s="225"/>
      <c r="H41" s="225"/>
      <c r="I41" s="225"/>
      <c r="J41" s="225"/>
      <c r="K41" s="225"/>
      <c r="L41" s="225"/>
      <c r="M41" s="225"/>
      <c r="N41" s="225"/>
      <c r="O41" s="225"/>
      <c r="P41" s="225"/>
      <c r="Q41" s="225"/>
      <c r="R41" s="225"/>
      <c r="S41" s="225"/>
      <c r="T41" s="225"/>
    </row>
    <row r="42" spans="1:20" ht="15.75">
      <c r="A42" s="296" t="s">
        <v>421</v>
      </c>
      <c r="B42" s="225"/>
      <c r="C42" s="225"/>
      <c r="D42" s="225"/>
      <c r="E42" s="225"/>
      <c r="F42" s="225"/>
      <c r="G42" s="225"/>
      <c r="H42" s="225"/>
      <c r="I42" s="225"/>
      <c r="J42" s="225"/>
      <c r="K42" s="225"/>
      <c r="L42" s="225"/>
      <c r="M42" s="225"/>
      <c r="N42" s="225"/>
      <c r="O42" s="225"/>
      <c r="P42" s="225"/>
      <c r="Q42" s="225"/>
      <c r="R42" s="225"/>
      <c r="S42" s="225"/>
      <c r="T42" s="225"/>
    </row>
    <row r="43" spans="1:20" ht="15.75">
      <c r="A43" s="296" t="s">
        <v>390</v>
      </c>
      <c r="B43" s="225"/>
      <c r="C43" s="225"/>
      <c r="D43" s="225"/>
      <c r="E43" s="225"/>
      <c r="F43" s="225"/>
      <c r="G43" s="225"/>
      <c r="H43" s="225"/>
      <c r="I43" s="225"/>
      <c r="J43" s="225"/>
      <c r="K43" s="225"/>
      <c r="L43" s="225"/>
      <c r="M43" s="225"/>
      <c r="N43" s="225"/>
      <c r="O43" s="225"/>
      <c r="P43" s="225"/>
      <c r="Q43" s="225"/>
      <c r="R43" s="225"/>
      <c r="S43" s="225"/>
      <c r="T43" s="225"/>
    </row>
    <row r="44" spans="1:20" ht="15.75">
      <c r="A44" s="296"/>
      <c r="B44" s="225" t="s">
        <v>395</v>
      </c>
      <c r="C44" s="225"/>
      <c r="D44" s="225"/>
      <c r="E44" s="225"/>
      <c r="F44" s="225"/>
      <c r="G44" s="225"/>
      <c r="H44" s="225"/>
      <c r="I44" s="225"/>
      <c r="J44" s="225"/>
      <c r="K44" s="225"/>
      <c r="L44" s="225"/>
      <c r="M44" s="225"/>
      <c r="N44" s="225"/>
      <c r="O44" s="225"/>
      <c r="P44" s="225"/>
      <c r="Q44" s="225"/>
      <c r="R44" s="225"/>
      <c r="S44" s="225"/>
      <c r="T44" s="225"/>
    </row>
    <row r="45" spans="1:20" ht="15.75">
      <c r="A45" s="296" t="s">
        <v>422</v>
      </c>
      <c r="B45" s="225"/>
      <c r="C45" s="225"/>
      <c r="D45" s="225"/>
      <c r="E45" s="225"/>
      <c r="F45" s="225"/>
      <c r="G45" s="225"/>
      <c r="H45" s="225"/>
      <c r="I45" s="225"/>
      <c r="J45" s="225"/>
      <c r="K45" s="225"/>
      <c r="L45" s="225"/>
      <c r="M45" s="225"/>
      <c r="N45" s="225"/>
      <c r="O45" s="225"/>
      <c r="P45" s="225"/>
      <c r="Q45" s="225"/>
      <c r="R45" s="225"/>
      <c r="S45" s="225"/>
      <c r="T45" s="225"/>
    </row>
    <row r="46" spans="1:20" ht="15.75">
      <c r="A46" s="296"/>
      <c r="B46" s="225" t="s">
        <v>395</v>
      </c>
      <c r="C46" s="225"/>
      <c r="D46" s="225"/>
      <c r="E46" s="225"/>
      <c r="F46" s="225"/>
      <c r="G46" s="225"/>
      <c r="H46" s="225"/>
      <c r="I46" s="225"/>
      <c r="J46" s="225"/>
      <c r="K46" s="225"/>
      <c r="L46" s="225"/>
      <c r="M46" s="225"/>
      <c r="N46" s="225"/>
      <c r="O46" s="225"/>
      <c r="P46" s="225"/>
      <c r="Q46" s="225"/>
      <c r="R46" s="225"/>
      <c r="S46" s="225"/>
      <c r="T46" s="225"/>
    </row>
    <row r="47" spans="1:20" ht="15.75">
      <c r="A47" s="296" t="s">
        <v>423</v>
      </c>
      <c r="B47" s="225"/>
      <c r="C47" s="225"/>
      <c r="D47" s="225"/>
      <c r="E47" s="225"/>
      <c r="F47" s="225"/>
      <c r="G47" s="225"/>
      <c r="H47" s="225"/>
      <c r="I47" s="225"/>
      <c r="J47" s="225"/>
      <c r="K47" s="225"/>
      <c r="L47" s="225"/>
      <c r="M47" s="225"/>
      <c r="N47" s="225"/>
      <c r="O47" s="225"/>
      <c r="P47" s="225"/>
      <c r="Q47" s="225"/>
      <c r="R47" s="225"/>
      <c r="S47" s="225"/>
      <c r="T47" s="225"/>
    </row>
    <row r="48" spans="1:20" ht="15.75">
      <c r="A48" s="295"/>
      <c r="B48" s="225"/>
      <c r="C48" s="225"/>
      <c r="D48" s="225"/>
      <c r="E48" s="225"/>
      <c r="F48" s="225"/>
      <c r="G48" s="225"/>
      <c r="H48" s="225"/>
      <c r="I48" s="225"/>
      <c r="J48" s="225"/>
      <c r="K48" s="225"/>
      <c r="L48" s="225"/>
      <c r="M48" s="225"/>
      <c r="N48" s="225"/>
      <c r="O48" s="225"/>
      <c r="P48" s="225"/>
      <c r="Q48" s="225"/>
      <c r="R48" s="225"/>
      <c r="S48" s="225"/>
      <c r="T48" s="225"/>
    </row>
    <row r="49" spans="1:20" ht="15.75">
      <c r="A49" s="295" t="s">
        <v>424</v>
      </c>
      <c r="B49" s="225"/>
      <c r="C49" s="225"/>
      <c r="D49" s="225"/>
      <c r="E49" s="225"/>
      <c r="F49" s="225"/>
      <c r="G49" s="225"/>
      <c r="H49" s="225"/>
      <c r="I49" s="225"/>
      <c r="J49" s="225"/>
      <c r="K49" s="225"/>
      <c r="L49" s="225"/>
      <c r="M49" s="225"/>
      <c r="N49" s="225"/>
      <c r="O49" s="225"/>
      <c r="P49" s="225"/>
      <c r="Q49" s="225"/>
      <c r="R49" s="225"/>
      <c r="S49" s="225"/>
      <c r="T49" s="225"/>
    </row>
    <row r="50" spans="1:20" ht="15.75">
      <c r="A50" s="542" t="s">
        <v>425</v>
      </c>
      <c r="B50" s="542"/>
      <c r="C50" s="542"/>
      <c r="D50" s="542"/>
      <c r="E50" s="542"/>
      <c r="F50" s="542"/>
      <c r="G50" s="225"/>
      <c r="H50" s="225"/>
      <c r="I50" s="225"/>
      <c r="J50" s="225"/>
      <c r="K50" s="225"/>
      <c r="L50" s="225"/>
      <c r="M50" s="225"/>
      <c r="N50" s="225"/>
      <c r="O50" s="225"/>
      <c r="P50" s="225"/>
      <c r="Q50" s="225"/>
      <c r="R50" s="225"/>
      <c r="S50" s="225"/>
      <c r="T50" s="225"/>
    </row>
    <row r="51" spans="1:20" ht="15.75">
      <c r="A51" s="309"/>
      <c r="B51" s="309"/>
      <c r="C51" s="309"/>
      <c r="D51" s="309"/>
      <c r="E51" s="309"/>
      <c r="F51" s="309"/>
      <c r="G51" s="225"/>
      <c r="H51" s="225"/>
      <c r="I51" s="225"/>
      <c r="J51" s="225"/>
      <c r="K51" s="225"/>
      <c r="L51" s="225"/>
      <c r="M51" s="225"/>
      <c r="N51" s="225"/>
      <c r="O51" s="225"/>
      <c r="P51" s="225"/>
      <c r="Q51" s="225"/>
      <c r="R51" s="225"/>
      <c r="S51" s="225"/>
      <c r="T51" s="225"/>
    </row>
    <row r="52" spans="1:20" ht="15.75">
      <c r="A52" s="295" t="s">
        <v>426</v>
      </c>
      <c r="B52" s="225"/>
      <c r="C52" s="225"/>
      <c r="D52" s="225"/>
      <c r="E52" s="225"/>
      <c r="F52" s="225"/>
      <c r="G52" s="225"/>
      <c r="H52" s="225"/>
      <c r="I52" s="225"/>
      <c r="J52" s="225"/>
      <c r="K52" s="225"/>
      <c r="L52" s="225"/>
      <c r="M52" s="225"/>
      <c r="N52" s="225"/>
      <c r="O52" s="225"/>
      <c r="P52" s="225"/>
      <c r="Q52" s="225"/>
      <c r="R52" s="225"/>
      <c r="S52" s="225"/>
      <c r="T52" s="225"/>
    </row>
    <row r="53" spans="1:20" ht="15.75">
      <c r="A53" s="296" t="s">
        <v>427</v>
      </c>
      <c r="B53" s="225"/>
      <c r="C53" s="225"/>
      <c r="D53" s="225"/>
      <c r="E53" s="225"/>
      <c r="F53" s="225"/>
      <c r="G53" s="225"/>
      <c r="H53" s="225"/>
      <c r="I53" s="225"/>
      <c r="J53" s="225"/>
      <c r="K53" s="225"/>
      <c r="L53" s="225"/>
      <c r="M53" s="225"/>
      <c r="N53" s="225"/>
      <c r="O53" s="225"/>
      <c r="P53" s="225"/>
      <c r="Q53" s="225"/>
      <c r="R53" s="225"/>
      <c r="S53" s="225"/>
      <c r="T53" s="225"/>
    </row>
    <row r="54" spans="1:20" ht="15.75">
      <c r="A54" s="296" t="s">
        <v>428</v>
      </c>
      <c r="B54" s="225"/>
      <c r="C54" s="225"/>
      <c r="D54" s="225"/>
      <c r="E54" s="225"/>
      <c r="F54" s="225"/>
      <c r="G54" s="225"/>
      <c r="H54" s="225"/>
      <c r="I54" s="225"/>
      <c r="J54" s="225"/>
      <c r="K54" s="225"/>
      <c r="L54" s="225"/>
      <c r="M54" s="225"/>
      <c r="N54" s="225"/>
      <c r="O54" s="225"/>
      <c r="P54" s="225"/>
      <c r="Q54" s="225"/>
      <c r="R54" s="225"/>
      <c r="S54" s="225"/>
      <c r="T54" s="225"/>
    </row>
    <row r="55" spans="1:20" ht="15.75">
      <c r="A55" s="225"/>
      <c r="B55" s="225"/>
      <c r="C55" s="225"/>
      <c r="D55" s="225"/>
      <c r="E55" s="225"/>
      <c r="F55" s="225"/>
      <c r="G55" s="225"/>
      <c r="H55" s="225"/>
      <c r="I55" s="225"/>
      <c r="J55" s="225"/>
      <c r="K55" s="225"/>
      <c r="L55" s="225"/>
      <c r="M55" s="225"/>
      <c r="N55" s="225"/>
      <c r="O55" s="225"/>
      <c r="P55" s="225"/>
      <c r="Q55" s="225"/>
      <c r="R55" s="225"/>
      <c r="S55" s="225"/>
      <c r="T55" s="225"/>
    </row>
    <row r="56" spans="1:20" ht="15.75">
      <c r="A56" s="225"/>
      <c r="B56" s="225"/>
      <c r="C56" s="225"/>
      <c r="D56" s="225"/>
      <c r="E56" s="225"/>
      <c r="F56" s="225"/>
      <c r="G56" s="225"/>
      <c r="H56" s="225"/>
      <c r="I56" s="225"/>
      <c r="J56" s="225"/>
      <c r="K56" s="225"/>
      <c r="L56" s="225"/>
      <c r="M56" s="225"/>
      <c r="N56" s="225"/>
      <c r="O56" s="225"/>
      <c r="P56" s="225"/>
      <c r="Q56" s="225"/>
      <c r="R56" s="225"/>
      <c r="S56" s="225"/>
      <c r="T56" s="225"/>
    </row>
    <row r="57" spans="1:20" ht="15.75">
      <c r="A57" s="225"/>
      <c r="B57" s="225"/>
      <c r="C57" s="225"/>
      <c r="D57" s="225"/>
      <c r="E57" s="225"/>
      <c r="F57" s="225"/>
      <c r="G57" s="225"/>
      <c r="H57" s="225"/>
      <c r="I57" s="225"/>
      <c r="J57" s="225"/>
      <c r="K57" s="225"/>
      <c r="L57" s="225"/>
      <c r="M57" s="225"/>
      <c r="N57" s="225"/>
      <c r="O57" s="225"/>
      <c r="P57" s="225"/>
      <c r="Q57" s="225"/>
      <c r="R57" s="225"/>
      <c r="S57" s="225"/>
      <c r="T57" s="225"/>
    </row>
    <row r="58" spans="1:20" ht="15.75">
      <c r="A58" s="225"/>
      <c r="B58" s="225"/>
      <c r="C58" s="225"/>
      <c r="D58" s="225"/>
      <c r="E58" s="225"/>
      <c r="F58" s="225"/>
      <c r="G58" s="225"/>
      <c r="H58" s="225"/>
      <c r="I58" s="225"/>
      <c r="J58" s="225"/>
      <c r="K58" s="225"/>
      <c r="L58" s="225"/>
      <c r="M58" s="225"/>
      <c r="N58" s="225"/>
      <c r="O58" s="225"/>
      <c r="P58" s="225"/>
      <c r="Q58" s="225"/>
      <c r="R58" s="225"/>
      <c r="S58" s="225"/>
      <c r="T58" s="225"/>
    </row>
    <row r="59" spans="1:20" ht="15.75">
      <c r="A59" s="225"/>
      <c r="B59" s="225"/>
      <c r="C59" s="225"/>
      <c r="D59" s="225"/>
      <c r="E59" s="225"/>
      <c r="F59" s="225"/>
      <c r="G59" s="225"/>
      <c r="H59" s="225"/>
      <c r="I59" s="225"/>
      <c r="J59" s="225"/>
      <c r="K59" s="225"/>
      <c r="L59" s="225"/>
      <c r="M59" s="225"/>
      <c r="N59" s="225"/>
      <c r="O59" s="225"/>
      <c r="P59" s="225"/>
      <c r="Q59" s="225"/>
      <c r="R59" s="225"/>
      <c r="S59" s="225"/>
      <c r="T59" s="225"/>
    </row>
    <row r="60" spans="1:20" ht="15.75">
      <c r="A60" s="225"/>
      <c r="B60" s="225"/>
      <c r="C60" s="225"/>
      <c r="D60" s="225"/>
      <c r="E60" s="225"/>
      <c r="F60" s="225"/>
      <c r="G60" s="225"/>
      <c r="H60" s="225"/>
      <c r="I60" s="225"/>
      <c r="J60" s="225"/>
      <c r="K60" s="225"/>
      <c r="L60" s="225"/>
      <c r="M60" s="225"/>
      <c r="N60" s="225"/>
      <c r="O60" s="225"/>
      <c r="P60" s="225"/>
      <c r="Q60" s="225"/>
      <c r="R60" s="225"/>
      <c r="S60" s="225"/>
      <c r="T60" s="225"/>
    </row>
    <row r="61" spans="1:20" ht="15.75">
      <c r="A61" s="225"/>
      <c r="B61" s="225"/>
      <c r="C61" s="225"/>
      <c r="D61" s="225"/>
      <c r="E61" s="225"/>
      <c r="F61" s="225"/>
      <c r="G61" s="225"/>
      <c r="H61" s="225"/>
      <c r="I61" s="225"/>
      <c r="J61" s="225"/>
      <c r="K61" s="225"/>
      <c r="L61" s="225"/>
      <c r="M61" s="225"/>
      <c r="N61" s="225"/>
      <c r="O61" s="225"/>
      <c r="P61" s="225"/>
      <c r="Q61" s="225"/>
      <c r="R61" s="225"/>
      <c r="S61" s="225"/>
      <c r="T61" s="225"/>
    </row>
    <row r="62" spans="1:20" ht="15.75">
      <c r="A62" s="225"/>
      <c r="B62" s="225"/>
      <c r="C62" s="225"/>
      <c r="D62" s="225"/>
      <c r="E62" s="225"/>
      <c r="F62" s="225"/>
      <c r="G62" s="225"/>
      <c r="H62" s="225"/>
      <c r="I62" s="225"/>
      <c r="J62" s="225"/>
      <c r="K62" s="225"/>
      <c r="L62" s="225"/>
      <c r="M62" s="225"/>
      <c r="N62" s="225"/>
      <c r="O62" s="225"/>
      <c r="P62" s="225"/>
      <c r="Q62" s="225"/>
      <c r="R62" s="225"/>
      <c r="S62" s="225"/>
      <c r="T62" s="225"/>
    </row>
    <row r="63" spans="1:20" ht="15.75">
      <c r="A63" s="225"/>
      <c r="B63" s="225"/>
      <c r="C63" s="225"/>
      <c r="D63" s="225"/>
      <c r="E63" s="225"/>
      <c r="F63" s="225"/>
      <c r="G63" s="225"/>
      <c r="H63" s="225"/>
      <c r="I63" s="225"/>
      <c r="J63" s="225"/>
      <c r="K63" s="225"/>
      <c r="L63" s="225"/>
      <c r="M63" s="225"/>
      <c r="N63" s="225"/>
      <c r="O63" s="225"/>
      <c r="P63" s="225"/>
      <c r="Q63" s="225"/>
      <c r="R63" s="225"/>
      <c r="S63" s="225"/>
      <c r="T63" s="225"/>
    </row>
    <row r="64" spans="1:20" ht="15.75">
      <c r="A64" s="225"/>
      <c r="B64" s="225"/>
      <c r="C64" s="225"/>
      <c r="D64" s="225"/>
      <c r="E64" s="225"/>
      <c r="F64" s="225"/>
      <c r="G64" s="225"/>
      <c r="H64" s="225"/>
      <c r="I64" s="225"/>
      <c r="J64" s="225"/>
      <c r="K64" s="225"/>
      <c r="L64" s="225"/>
      <c r="M64" s="225"/>
      <c r="N64" s="225"/>
      <c r="O64" s="225"/>
      <c r="P64" s="225"/>
      <c r="Q64" s="225"/>
      <c r="R64" s="225"/>
      <c r="S64" s="225"/>
      <c r="T64" s="225"/>
    </row>
    <row r="65" spans="1:20" ht="15.75">
      <c r="A65" s="225"/>
      <c r="B65" s="225"/>
      <c r="C65" s="225"/>
      <c r="D65" s="225"/>
      <c r="E65" s="225"/>
      <c r="F65" s="225"/>
      <c r="G65" s="225"/>
      <c r="H65" s="225"/>
      <c r="I65" s="225"/>
      <c r="J65" s="225"/>
      <c r="K65" s="225"/>
      <c r="L65" s="225"/>
      <c r="M65" s="225"/>
      <c r="N65" s="225"/>
      <c r="O65" s="225"/>
      <c r="P65" s="225"/>
      <c r="Q65" s="225"/>
      <c r="R65" s="225"/>
      <c r="S65" s="225"/>
      <c r="T65" s="225"/>
    </row>
    <row r="66" spans="1:20" ht="15.75">
      <c r="A66" s="225"/>
      <c r="B66" s="225"/>
      <c r="C66" s="225"/>
      <c r="D66" s="225"/>
      <c r="E66" s="225"/>
      <c r="F66" s="225"/>
      <c r="G66" s="225"/>
      <c r="H66" s="225"/>
      <c r="I66" s="225"/>
      <c r="J66" s="225"/>
      <c r="K66" s="225"/>
      <c r="L66" s="225"/>
      <c r="M66" s="225"/>
      <c r="N66" s="225"/>
      <c r="O66" s="225"/>
      <c r="P66" s="225"/>
      <c r="Q66" s="225"/>
      <c r="R66" s="225"/>
      <c r="S66" s="225"/>
      <c r="T66" s="225"/>
    </row>
    <row r="67" spans="1:20" ht="15.75">
      <c r="A67" s="225"/>
      <c r="B67" s="225"/>
      <c r="C67" s="225"/>
      <c r="D67" s="225"/>
      <c r="E67" s="225"/>
      <c r="F67" s="225"/>
      <c r="G67" s="225"/>
      <c r="H67" s="225"/>
      <c r="I67" s="225"/>
      <c r="J67" s="225"/>
      <c r="K67" s="225"/>
      <c r="L67" s="225"/>
      <c r="M67" s="225"/>
      <c r="N67" s="225"/>
      <c r="O67" s="225"/>
      <c r="P67" s="225"/>
      <c r="Q67" s="225"/>
      <c r="R67" s="225"/>
      <c r="S67" s="225"/>
      <c r="T67" s="225"/>
    </row>
    <row r="68" spans="1:20" ht="15.75">
      <c r="A68" s="225"/>
      <c r="B68" s="225"/>
      <c r="C68" s="225"/>
      <c r="D68" s="225"/>
      <c r="E68" s="225"/>
      <c r="F68" s="225"/>
      <c r="G68" s="225"/>
      <c r="H68" s="225"/>
      <c r="I68" s="225"/>
      <c r="J68" s="225"/>
      <c r="K68" s="225"/>
      <c r="L68" s="225"/>
      <c r="M68" s="225"/>
      <c r="N68" s="225"/>
      <c r="O68" s="225"/>
      <c r="P68" s="225"/>
      <c r="Q68" s="225"/>
      <c r="R68" s="225"/>
      <c r="S68" s="225"/>
      <c r="T68" s="225"/>
    </row>
    <row r="69" spans="1:20" ht="15.75">
      <c r="A69" s="225"/>
      <c r="B69" s="225"/>
      <c r="C69" s="225"/>
      <c r="D69" s="225"/>
      <c r="E69" s="225"/>
      <c r="F69" s="225"/>
      <c r="G69" s="225"/>
      <c r="H69" s="225"/>
      <c r="I69" s="225"/>
      <c r="J69" s="225"/>
      <c r="K69" s="225"/>
      <c r="L69" s="225"/>
      <c r="M69" s="225"/>
      <c r="N69" s="225"/>
      <c r="O69" s="225"/>
      <c r="P69" s="225"/>
      <c r="Q69" s="225"/>
      <c r="R69" s="225"/>
      <c r="S69" s="225"/>
      <c r="T69" s="225"/>
    </row>
    <row r="70" spans="1:20" ht="15.75">
      <c r="A70" s="225"/>
      <c r="B70" s="225"/>
      <c r="C70" s="225"/>
      <c r="D70" s="225"/>
      <c r="E70" s="225"/>
      <c r="F70" s="225"/>
      <c r="G70" s="225"/>
      <c r="H70" s="225"/>
      <c r="I70" s="225"/>
      <c r="J70" s="225"/>
      <c r="K70" s="225"/>
      <c r="L70" s="225"/>
      <c r="M70" s="225"/>
      <c r="N70" s="225"/>
      <c r="O70" s="225"/>
      <c r="P70" s="225"/>
      <c r="Q70" s="225"/>
      <c r="R70" s="225"/>
      <c r="S70" s="225"/>
      <c r="T70" s="225"/>
    </row>
    <row r="71" spans="1:20" ht="15.75">
      <c r="A71" s="225"/>
      <c r="B71" s="225"/>
      <c r="C71" s="225"/>
      <c r="D71" s="225"/>
      <c r="E71" s="225"/>
      <c r="F71" s="225"/>
      <c r="G71" s="225"/>
      <c r="H71" s="225"/>
      <c r="I71" s="225"/>
      <c r="J71" s="225"/>
      <c r="K71" s="225"/>
      <c r="L71" s="225"/>
      <c r="M71" s="225"/>
      <c r="N71" s="225"/>
      <c r="O71" s="225"/>
      <c r="P71" s="225"/>
      <c r="Q71" s="225"/>
      <c r="R71" s="225"/>
      <c r="S71" s="225"/>
      <c r="T71" s="225"/>
    </row>
    <row r="72" spans="1:20" ht="15.75">
      <c r="A72" s="225"/>
      <c r="B72" s="225"/>
      <c r="C72" s="225"/>
      <c r="D72" s="225"/>
      <c r="E72" s="225"/>
      <c r="F72" s="225"/>
      <c r="G72" s="225"/>
      <c r="H72" s="225"/>
      <c r="I72" s="225"/>
      <c r="J72" s="225"/>
      <c r="K72" s="225"/>
      <c r="L72" s="225"/>
      <c r="M72" s="225"/>
      <c r="N72" s="225"/>
      <c r="O72" s="225"/>
      <c r="P72" s="225"/>
      <c r="Q72" s="225"/>
      <c r="R72" s="225"/>
      <c r="S72" s="225"/>
      <c r="T72" s="225"/>
    </row>
    <row r="73" spans="1:20" ht="15.75">
      <c r="A73" s="225"/>
      <c r="B73" s="225"/>
      <c r="C73" s="225"/>
      <c r="D73" s="225"/>
      <c r="E73" s="225"/>
      <c r="F73" s="225"/>
      <c r="G73" s="225"/>
      <c r="H73" s="225"/>
      <c r="I73" s="225"/>
      <c r="J73" s="225"/>
      <c r="K73" s="225"/>
      <c r="L73" s="225"/>
      <c r="M73" s="225"/>
      <c r="N73" s="225"/>
      <c r="O73" s="225"/>
      <c r="P73" s="225"/>
      <c r="Q73" s="225"/>
      <c r="R73" s="225"/>
      <c r="S73" s="225"/>
      <c r="T73" s="225"/>
    </row>
    <row r="74" spans="1:20" ht="15.75">
      <c r="A74" s="225"/>
      <c r="B74" s="225"/>
      <c r="C74" s="225"/>
      <c r="D74" s="225"/>
      <c r="E74" s="225"/>
      <c r="F74" s="225"/>
      <c r="G74" s="225"/>
      <c r="H74" s="225"/>
      <c r="I74" s="225"/>
      <c r="J74" s="225"/>
      <c r="K74" s="225"/>
      <c r="L74" s="225"/>
      <c r="M74" s="225"/>
      <c r="N74" s="225"/>
      <c r="O74" s="225"/>
      <c r="P74" s="225"/>
      <c r="Q74" s="225"/>
      <c r="R74" s="225"/>
      <c r="S74" s="225"/>
      <c r="T74" s="225"/>
    </row>
    <row r="75" spans="1:20" ht="15.75">
      <c r="A75" s="225"/>
      <c r="B75" s="225"/>
      <c r="C75" s="225"/>
      <c r="D75" s="225"/>
      <c r="E75" s="225"/>
      <c r="F75" s="225"/>
      <c r="G75" s="225"/>
      <c r="H75" s="225"/>
      <c r="I75" s="225"/>
      <c r="J75" s="225"/>
      <c r="K75" s="225"/>
      <c r="L75" s="225"/>
      <c r="M75" s="225"/>
      <c r="N75" s="225"/>
      <c r="O75" s="225"/>
      <c r="P75" s="225"/>
      <c r="Q75" s="225"/>
      <c r="R75" s="225"/>
      <c r="S75" s="225"/>
      <c r="T75" s="225"/>
    </row>
    <row r="76" spans="1:20" ht="15.75">
      <c r="A76" s="225"/>
      <c r="B76" s="225"/>
      <c r="C76" s="225"/>
      <c r="D76" s="225"/>
      <c r="E76" s="225"/>
      <c r="F76" s="225"/>
      <c r="G76" s="225"/>
      <c r="H76" s="225"/>
      <c r="I76" s="225"/>
      <c r="J76" s="225"/>
      <c r="K76" s="225"/>
      <c r="L76" s="225"/>
      <c r="M76" s="225"/>
      <c r="N76" s="225"/>
      <c r="O76" s="225"/>
      <c r="P76" s="225"/>
      <c r="Q76" s="225"/>
      <c r="R76" s="225"/>
      <c r="S76" s="225"/>
      <c r="T76" s="225"/>
    </row>
    <row r="77" spans="1:20" ht="15.75">
      <c r="A77" s="225"/>
      <c r="B77" s="225"/>
      <c r="C77" s="225"/>
      <c r="D77" s="225"/>
      <c r="E77" s="225"/>
      <c r="F77" s="225"/>
      <c r="G77" s="225"/>
      <c r="H77" s="225"/>
      <c r="I77" s="225"/>
      <c r="J77" s="225"/>
      <c r="K77" s="225"/>
      <c r="L77" s="225"/>
      <c r="M77" s="225"/>
      <c r="N77" s="225"/>
      <c r="O77" s="225"/>
      <c r="P77" s="225"/>
      <c r="Q77" s="225"/>
      <c r="R77" s="225"/>
      <c r="S77" s="225"/>
      <c r="T77" s="225"/>
    </row>
    <row r="78" spans="1:20" ht="15.75">
      <c r="A78" s="225"/>
      <c r="B78" s="225"/>
      <c r="C78" s="225"/>
      <c r="D78" s="225"/>
      <c r="E78" s="225"/>
      <c r="F78" s="225"/>
      <c r="G78" s="225"/>
      <c r="H78" s="225"/>
      <c r="I78" s="225"/>
      <c r="J78" s="225"/>
      <c r="K78" s="225"/>
      <c r="L78" s="225"/>
      <c r="M78" s="225"/>
      <c r="N78" s="225"/>
      <c r="O78" s="225"/>
      <c r="P78" s="225"/>
      <c r="Q78" s="225"/>
      <c r="R78" s="225"/>
      <c r="S78" s="225"/>
      <c r="T78" s="225"/>
    </row>
    <row r="79" spans="1:20" ht="15.75">
      <c r="A79" s="225"/>
      <c r="B79" s="225"/>
      <c r="C79" s="225"/>
      <c r="D79" s="225"/>
      <c r="E79" s="225"/>
      <c r="F79" s="225"/>
      <c r="G79" s="225"/>
      <c r="H79" s="225"/>
      <c r="I79" s="225"/>
      <c r="J79" s="225"/>
      <c r="K79" s="225"/>
      <c r="L79" s="225"/>
      <c r="M79" s="225"/>
      <c r="N79" s="225"/>
      <c r="O79" s="225"/>
      <c r="P79" s="225"/>
      <c r="Q79" s="225"/>
      <c r="R79" s="225"/>
      <c r="S79" s="225"/>
      <c r="T79" s="225"/>
    </row>
    <row r="80" spans="1:20" ht="15.75">
      <c r="A80" s="225"/>
      <c r="B80" s="225"/>
      <c r="C80" s="225"/>
      <c r="D80" s="225"/>
      <c r="E80" s="225"/>
      <c r="F80" s="225"/>
      <c r="G80" s="225"/>
      <c r="H80" s="225"/>
      <c r="I80" s="225"/>
      <c r="J80" s="225"/>
      <c r="K80" s="225"/>
      <c r="L80" s="225"/>
      <c r="M80" s="225"/>
      <c r="N80" s="225"/>
      <c r="O80" s="225"/>
      <c r="P80" s="225"/>
      <c r="Q80" s="225"/>
      <c r="R80" s="225"/>
      <c r="S80" s="225"/>
      <c r="T80" s="225"/>
    </row>
    <row r="81" spans="1:20" ht="15.75">
      <c r="A81" s="225"/>
      <c r="B81" s="225"/>
      <c r="C81" s="225"/>
      <c r="D81" s="225"/>
      <c r="E81" s="225"/>
      <c r="F81" s="225"/>
      <c r="G81" s="225"/>
      <c r="H81" s="225"/>
      <c r="I81" s="225"/>
      <c r="J81" s="225"/>
      <c r="K81" s="225"/>
      <c r="L81" s="225"/>
      <c r="M81" s="225"/>
      <c r="N81" s="225"/>
      <c r="O81" s="225"/>
      <c r="P81" s="225"/>
      <c r="Q81" s="225"/>
      <c r="R81" s="225"/>
      <c r="S81" s="225"/>
      <c r="T81" s="225"/>
    </row>
    <row r="82" spans="1:20" ht="15.75">
      <c r="A82" s="225"/>
      <c r="B82" s="225"/>
      <c r="C82" s="225"/>
      <c r="D82" s="225"/>
      <c r="E82" s="225"/>
      <c r="F82" s="225"/>
      <c r="G82" s="225"/>
      <c r="H82" s="225"/>
      <c r="I82" s="225"/>
      <c r="J82" s="225"/>
      <c r="K82" s="225"/>
      <c r="L82" s="225"/>
      <c r="M82" s="225"/>
      <c r="N82" s="225"/>
      <c r="O82" s="225"/>
      <c r="P82" s="225"/>
      <c r="Q82" s="225"/>
      <c r="R82" s="225"/>
      <c r="S82" s="225"/>
      <c r="T82" s="225"/>
    </row>
    <row r="83" spans="1:20" ht="15.75">
      <c r="A83" s="225"/>
      <c r="B83" s="225"/>
      <c r="C83" s="225"/>
      <c r="D83" s="225"/>
      <c r="E83" s="225"/>
      <c r="F83" s="225"/>
      <c r="G83" s="225"/>
      <c r="H83" s="225"/>
      <c r="I83" s="225"/>
      <c r="J83" s="225"/>
      <c r="K83" s="225"/>
      <c r="L83" s="225"/>
      <c r="M83" s="225"/>
      <c r="N83" s="225"/>
      <c r="O83" s="225"/>
      <c r="P83" s="225"/>
      <c r="Q83" s="225"/>
      <c r="R83" s="225"/>
      <c r="S83" s="225"/>
      <c r="T83" s="225"/>
    </row>
    <row r="84" spans="1:20" ht="15.75">
      <c r="A84" s="225"/>
      <c r="B84" s="225"/>
      <c r="C84" s="225"/>
      <c r="D84" s="225"/>
      <c r="E84" s="225"/>
      <c r="F84" s="225"/>
      <c r="G84" s="225"/>
      <c r="H84" s="225"/>
      <c r="I84" s="225"/>
      <c r="J84" s="225"/>
      <c r="K84" s="225"/>
      <c r="L84" s="225"/>
      <c r="M84" s="225"/>
      <c r="N84" s="225"/>
      <c r="O84" s="225"/>
      <c r="P84" s="225"/>
      <c r="Q84" s="225"/>
      <c r="R84" s="225"/>
      <c r="S84" s="225"/>
      <c r="T84" s="225"/>
    </row>
    <row r="85" spans="1:20" ht="15.75">
      <c r="A85" s="225"/>
      <c r="B85" s="225"/>
      <c r="C85" s="225"/>
      <c r="D85" s="225"/>
      <c r="E85" s="225"/>
      <c r="F85" s="225"/>
      <c r="G85" s="225"/>
      <c r="H85" s="225"/>
      <c r="I85" s="225"/>
      <c r="J85" s="225"/>
      <c r="K85" s="225"/>
      <c r="L85" s="225"/>
      <c r="M85" s="225"/>
      <c r="N85" s="225"/>
      <c r="O85" s="225"/>
      <c r="P85" s="225"/>
      <c r="Q85" s="225"/>
      <c r="R85" s="225"/>
      <c r="S85" s="225"/>
      <c r="T85" s="225"/>
    </row>
    <row r="86" spans="1:20" ht="15.75">
      <c r="A86" s="225"/>
      <c r="B86" s="225"/>
      <c r="C86" s="225"/>
      <c r="D86" s="225"/>
      <c r="E86" s="225"/>
      <c r="F86" s="225"/>
      <c r="G86" s="225"/>
      <c r="H86" s="225"/>
      <c r="I86" s="225"/>
      <c r="J86" s="225"/>
      <c r="K86" s="225"/>
      <c r="L86" s="225"/>
      <c r="M86" s="225"/>
      <c r="N86" s="225"/>
      <c r="O86" s="225"/>
      <c r="P86" s="225"/>
      <c r="Q86" s="225"/>
      <c r="R86" s="225"/>
      <c r="S86" s="225"/>
      <c r="T86" s="225"/>
    </row>
    <row r="87" spans="1:20" ht="15.75">
      <c r="A87" s="225"/>
      <c r="B87" s="225"/>
      <c r="C87" s="225"/>
      <c r="D87" s="225"/>
      <c r="E87" s="225"/>
      <c r="F87" s="225"/>
      <c r="G87" s="225"/>
      <c r="H87" s="225"/>
      <c r="I87" s="225"/>
      <c r="J87" s="225"/>
      <c r="K87" s="225"/>
      <c r="L87" s="225"/>
      <c r="M87" s="225"/>
      <c r="N87" s="225"/>
      <c r="O87" s="225"/>
      <c r="P87" s="225"/>
      <c r="Q87" s="225"/>
      <c r="R87" s="225"/>
      <c r="S87" s="225"/>
      <c r="T87" s="225"/>
    </row>
    <row r="88" spans="1:20" ht="15.75">
      <c r="A88" s="225"/>
      <c r="B88" s="225"/>
      <c r="C88" s="225"/>
      <c r="D88" s="225"/>
      <c r="E88" s="225"/>
      <c r="F88" s="225"/>
      <c r="G88" s="225"/>
      <c r="H88" s="225"/>
      <c r="I88" s="225"/>
      <c r="J88" s="225"/>
      <c r="K88" s="225"/>
      <c r="L88" s="225"/>
      <c r="M88" s="225"/>
      <c r="N88" s="225"/>
      <c r="O88" s="225"/>
      <c r="P88" s="225"/>
      <c r="Q88" s="225"/>
      <c r="R88" s="225"/>
      <c r="S88" s="225"/>
      <c r="T88" s="225"/>
    </row>
    <row r="89" spans="1:20" ht="15.75">
      <c r="A89" s="225"/>
      <c r="B89" s="225"/>
      <c r="C89" s="225"/>
      <c r="D89" s="225"/>
      <c r="E89" s="225"/>
      <c r="F89" s="225"/>
      <c r="G89" s="225"/>
      <c r="H89" s="225"/>
      <c r="I89" s="225"/>
      <c r="J89" s="225"/>
      <c r="K89" s="225"/>
      <c r="L89" s="225"/>
      <c r="M89" s="225"/>
      <c r="N89" s="225"/>
      <c r="O89" s="225"/>
      <c r="P89" s="225"/>
      <c r="Q89" s="225"/>
      <c r="R89" s="225"/>
      <c r="S89" s="225"/>
      <c r="T89" s="225"/>
    </row>
  </sheetData>
  <mergeCells count="1">
    <mergeCell ref="A50:F5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3AB4A-CC01-4C50-B46D-4233B0AB9E6A}">
  <sheetPr>
    <pageSetUpPr fitToPage="1"/>
  </sheetPr>
  <dimension ref="A1:T100"/>
  <sheetViews>
    <sheetView tabSelected="1" workbookViewId="0">
      <selection activeCell="A6" sqref="A6"/>
    </sheetView>
  </sheetViews>
  <sheetFormatPr defaultRowHeight="15"/>
  <cols>
    <col min="1" max="1" width="12.77734375" customWidth="1"/>
    <col min="2" max="2" width="30" bestFit="1" customWidth="1"/>
    <col min="3" max="3" width="9.33203125" bestFit="1" customWidth="1"/>
    <col min="4" max="4" width="11.21875" customWidth="1"/>
    <col min="5" max="9" width="9.88671875" customWidth="1"/>
    <col min="10" max="10" width="16" bestFit="1" customWidth="1"/>
    <col min="11" max="11" width="2.77734375" customWidth="1"/>
    <col min="14" max="14" width="11.109375" customWidth="1"/>
    <col min="16" max="16" width="9.88671875" customWidth="1"/>
  </cols>
  <sheetData>
    <row r="1" spans="1:20" ht="15.75">
      <c r="A1" s="222" t="s">
        <v>128</v>
      </c>
      <c r="B1" s="222"/>
      <c r="C1" s="222"/>
      <c r="D1" s="222"/>
      <c r="E1" s="222"/>
      <c r="F1" s="222"/>
      <c r="G1" s="310"/>
      <c r="H1" s="310"/>
      <c r="I1" s="310"/>
      <c r="J1" s="310"/>
      <c r="K1" s="310"/>
      <c r="L1" s="225"/>
      <c r="M1" s="225"/>
      <c r="N1" s="225" t="s">
        <v>429</v>
      </c>
      <c r="O1" s="225"/>
      <c r="P1" s="225"/>
      <c r="Q1" s="225"/>
      <c r="R1" s="225"/>
      <c r="S1" s="225"/>
      <c r="T1" s="225"/>
    </row>
    <row r="2" spans="1:20" ht="15.75">
      <c r="A2" s="222" t="s">
        <v>430</v>
      </c>
      <c r="B2" s="222"/>
      <c r="C2" s="222"/>
      <c r="D2" s="222"/>
      <c r="E2" s="222"/>
      <c r="F2" s="222"/>
      <c r="G2" s="310"/>
      <c r="H2" s="310"/>
      <c r="I2" s="310"/>
      <c r="J2" s="310"/>
      <c r="K2" s="310"/>
      <c r="L2" s="225"/>
      <c r="M2" s="225"/>
      <c r="N2" s="225" t="s">
        <v>431</v>
      </c>
      <c r="O2" s="233">
        <v>1.165</v>
      </c>
      <c r="P2" s="225"/>
      <c r="Q2" s="225"/>
      <c r="R2" s="225"/>
      <c r="S2" s="225"/>
      <c r="T2" s="225"/>
    </row>
    <row r="3" spans="1:20" ht="15.75">
      <c r="A3" s="225"/>
      <c r="B3" s="225"/>
      <c r="C3" s="225" t="s">
        <v>403</v>
      </c>
      <c r="D3" s="225"/>
      <c r="E3" s="237"/>
      <c r="F3" s="237"/>
      <c r="G3" s="225"/>
      <c r="H3" s="311"/>
      <c r="I3" s="225"/>
      <c r="J3" s="311"/>
      <c r="K3" s="225"/>
      <c r="L3" s="225"/>
      <c r="M3" s="225"/>
      <c r="N3" s="225"/>
      <c r="O3" s="225"/>
      <c r="P3" s="225"/>
      <c r="Q3" s="225"/>
      <c r="R3" s="225"/>
      <c r="S3" s="225"/>
      <c r="T3" s="225"/>
    </row>
    <row r="4" spans="1:20" ht="15.75">
      <c r="A4" s="225"/>
      <c r="B4" s="225"/>
      <c r="C4" s="311" t="s">
        <v>432</v>
      </c>
      <c r="D4" s="312" t="s">
        <v>433</v>
      </c>
      <c r="E4" s="237" t="s">
        <v>375</v>
      </c>
      <c r="F4" s="237"/>
      <c r="G4" s="237"/>
      <c r="H4" s="237"/>
      <c r="I4" s="237"/>
      <c r="J4" s="311" t="s">
        <v>434</v>
      </c>
      <c r="K4" s="225"/>
      <c r="L4" s="225"/>
      <c r="M4" s="225"/>
      <c r="N4" s="225"/>
      <c r="O4" s="225"/>
      <c r="P4" s="225"/>
      <c r="Q4" s="225"/>
      <c r="R4" s="225"/>
      <c r="S4" s="225"/>
      <c r="T4" s="225"/>
    </row>
    <row r="5" spans="1:20" ht="15.75">
      <c r="A5" s="225"/>
      <c r="B5" s="225"/>
      <c r="C5" s="313" t="s">
        <v>48</v>
      </c>
      <c r="D5" s="312" t="s">
        <v>48</v>
      </c>
      <c r="E5" s="314" t="s">
        <v>435</v>
      </c>
      <c r="F5" s="311" t="s">
        <v>436</v>
      </c>
      <c r="G5" s="225" t="s">
        <v>437</v>
      </c>
      <c r="H5" s="311" t="s">
        <v>438</v>
      </c>
      <c r="I5" s="225" t="s">
        <v>439</v>
      </c>
      <c r="J5" s="311" t="s">
        <v>12</v>
      </c>
      <c r="K5" s="225"/>
      <c r="L5" s="225"/>
      <c r="M5" s="225"/>
      <c r="N5" s="225" t="s">
        <v>12</v>
      </c>
      <c r="O5" s="225"/>
      <c r="P5" s="225"/>
      <c r="Q5" s="225"/>
      <c r="R5" s="225"/>
      <c r="S5" s="225"/>
      <c r="T5" s="225"/>
    </row>
    <row r="6" spans="1:20" ht="15.75">
      <c r="A6" s="304" t="s">
        <v>440</v>
      </c>
      <c r="B6" s="225" t="s">
        <v>441</v>
      </c>
      <c r="C6" s="225"/>
      <c r="D6" s="225"/>
      <c r="E6" s="225"/>
      <c r="F6" s="225"/>
      <c r="G6" s="225"/>
      <c r="H6" s="225"/>
      <c r="I6" s="225"/>
      <c r="J6" s="225"/>
      <c r="K6" s="225"/>
      <c r="L6" s="225"/>
      <c r="M6" s="225"/>
      <c r="N6" s="225"/>
      <c r="O6" s="225"/>
      <c r="P6" s="225"/>
      <c r="Q6" s="225"/>
      <c r="R6" s="225"/>
      <c r="S6" s="225"/>
      <c r="T6" s="225"/>
    </row>
    <row r="7" spans="1:20" ht="15.75">
      <c r="A7" s="225">
        <v>18</v>
      </c>
      <c r="B7" s="225" t="s">
        <v>442</v>
      </c>
      <c r="C7" s="315">
        <v>1.4999999999999999E-2</v>
      </c>
      <c r="D7" s="225"/>
      <c r="E7" s="316">
        <v>1714.86</v>
      </c>
      <c r="F7" s="316">
        <v>1741.59</v>
      </c>
      <c r="G7" s="316">
        <v>1509.23</v>
      </c>
      <c r="H7" s="316">
        <v>1364.7</v>
      </c>
      <c r="I7" s="225">
        <f t="shared" ref="I7:I21" si="0">AVERAGE(E7:H7)</f>
        <v>1582.595</v>
      </c>
      <c r="J7" s="225">
        <f>+I7</f>
        <v>1582.595</v>
      </c>
      <c r="K7" s="225"/>
      <c r="L7" s="225"/>
      <c r="M7" s="224"/>
      <c r="N7" s="224">
        <f>+J7</f>
        <v>1582.595</v>
      </c>
      <c r="O7" s="225"/>
      <c r="P7" s="225"/>
      <c r="Q7" s="225"/>
      <c r="R7" s="225"/>
      <c r="S7" s="225"/>
      <c r="T7" s="225"/>
    </row>
    <row r="8" spans="1:20" ht="15.75">
      <c r="A8" s="225">
        <v>50</v>
      </c>
      <c r="B8" s="225" t="s">
        <v>443</v>
      </c>
      <c r="C8" s="317">
        <v>5</v>
      </c>
      <c r="D8" s="224">
        <v>12</v>
      </c>
      <c r="E8" s="225">
        <v>1</v>
      </c>
      <c r="F8" s="225">
        <v>2</v>
      </c>
      <c r="G8" s="225">
        <v>2</v>
      </c>
      <c r="H8" s="225">
        <v>2</v>
      </c>
      <c r="I8" s="225">
        <f t="shared" si="0"/>
        <v>1.75</v>
      </c>
      <c r="J8" s="318">
        <f>+C8*I8*4</f>
        <v>35</v>
      </c>
      <c r="K8" s="225"/>
      <c r="L8" s="225"/>
      <c r="M8" s="224"/>
      <c r="N8" s="224">
        <f>+D8*I8*4</f>
        <v>84</v>
      </c>
      <c r="O8" s="225"/>
      <c r="P8" s="225"/>
      <c r="Q8" s="225"/>
      <c r="R8" s="225"/>
      <c r="S8" s="225"/>
      <c r="T8" s="225"/>
    </row>
    <row r="9" spans="1:20" ht="15.75">
      <c r="A9" s="225">
        <v>52</v>
      </c>
      <c r="B9" s="225" t="s">
        <v>444</v>
      </c>
      <c r="C9" s="317">
        <v>17.399999999999999</v>
      </c>
      <c r="D9" s="224">
        <f t="shared" ref="D9:D21" si="1">+C9*$O$2</f>
        <v>20.270999999999997</v>
      </c>
      <c r="E9" s="225">
        <v>0</v>
      </c>
      <c r="F9" s="225">
        <v>0</v>
      </c>
      <c r="G9" s="225">
        <v>0</v>
      </c>
      <c r="H9" s="225">
        <v>0</v>
      </c>
      <c r="I9" s="225">
        <f t="shared" si="0"/>
        <v>0</v>
      </c>
      <c r="J9" s="318">
        <f t="shared" ref="J9:J21" si="2">+C9*I9*4</f>
        <v>0</v>
      </c>
      <c r="K9" s="225"/>
      <c r="L9" s="225"/>
      <c r="M9" s="224"/>
      <c r="N9" s="224">
        <f t="shared" ref="N9:N71" si="3">+D9*I9*4</f>
        <v>0</v>
      </c>
      <c r="O9" s="225"/>
      <c r="P9" s="225"/>
      <c r="Q9" s="225"/>
      <c r="R9" s="225"/>
      <c r="S9" s="225"/>
      <c r="T9" s="225"/>
    </row>
    <row r="10" spans="1:20" ht="15.75">
      <c r="A10" s="225">
        <v>55</v>
      </c>
      <c r="B10" s="225" t="s">
        <v>445</v>
      </c>
      <c r="C10" s="317">
        <v>0</v>
      </c>
      <c r="D10" s="224">
        <f t="shared" si="1"/>
        <v>0</v>
      </c>
      <c r="E10" s="225">
        <v>0</v>
      </c>
      <c r="F10" s="225">
        <v>0</v>
      </c>
      <c r="G10" s="225">
        <v>0</v>
      </c>
      <c r="H10" s="225">
        <v>0</v>
      </c>
      <c r="I10" s="225">
        <f t="shared" si="0"/>
        <v>0</v>
      </c>
      <c r="J10" s="318">
        <f t="shared" si="2"/>
        <v>0</v>
      </c>
      <c r="K10" s="225"/>
      <c r="L10" s="225"/>
      <c r="M10" s="224"/>
      <c r="N10" s="224">
        <f t="shared" si="3"/>
        <v>0</v>
      </c>
      <c r="O10" s="225"/>
      <c r="P10" s="225"/>
      <c r="Q10" s="225"/>
      <c r="R10" s="225"/>
      <c r="S10" s="225"/>
      <c r="T10" s="225"/>
    </row>
    <row r="11" spans="1:20" ht="15.75">
      <c r="A11" s="225">
        <v>100</v>
      </c>
      <c r="B11" s="225" t="s">
        <v>446</v>
      </c>
      <c r="C11" s="317">
        <v>3.97</v>
      </c>
      <c r="D11" s="224">
        <f t="shared" si="1"/>
        <v>4.6250500000000008</v>
      </c>
      <c r="E11" s="225">
        <v>0</v>
      </c>
      <c r="F11" s="225">
        <v>0</v>
      </c>
      <c r="G11" s="225">
        <v>0</v>
      </c>
      <c r="H11" s="319">
        <v>0</v>
      </c>
      <c r="I11" s="225">
        <f t="shared" si="0"/>
        <v>0</v>
      </c>
      <c r="J11" s="318">
        <f t="shared" si="2"/>
        <v>0</v>
      </c>
      <c r="K11" s="225"/>
      <c r="L11" s="225"/>
      <c r="M11" s="224"/>
      <c r="N11" s="224">
        <f t="shared" si="3"/>
        <v>0</v>
      </c>
      <c r="O11" s="225"/>
      <c r="P11" s="225"/>
      <c r="Q11" s="225"/>
      <c r="R11" s="225"/>
      <c r="S11" s="225"/>
      <c r="T11" s="225"/>
    </row>
    <row r="12" spans="1:20" ht="15.75">
      <c r="A12" s="225">
        <v>100</v>
      </c>
      <c r="B12" s="225" t="s">
        <v>1107</v>
      </c>
      <c r="C12" s="317">
        <v>3.97</v>
      </c>
      <c r="D12" s="224">
        <f t="shared" si="1"/>
        <v>4.6250500000000008</v>
      </c>
      <c r="E12" s="225">
        <v>0</v>
      </c>
      <c r="F12" s="225">
        <v>0</v>
      </c>
      <c r="G12" s="225">
        <v>0</v>
      </c>
      <c r="H12" s="319">
        <v>0</v>
      </c>
      <c r="I12" s="225">
        <f t="shared" si="0"/>
        <v>0</v>
      </c>
      <c r="J12" s="318">
        <f t="shared" si="2"/>
        <v>0</v>
      </c>
      <c r="K12" s="225"/>
      <c r="L12" s="225"/>
      <c r="M12" s="224"/>
      <c r="N12" s="224">
        <f t="shared" si="3"/>
        <v>0</v>
      </c>
      <c r="O12" s="225"/>
      <c r="P12" s="225"/>
      <c r="Q12" s="225"/>
      <c r="R12" s="225"/>
      <c r="S12" s="225"/>
      <c r="T12" s="225"/>
    </row>
    <row r="13" spans="1:20" ht="15.75">
      <c r="A13" s="225">
        <v>80</v>
      </c>
      <c r="B13" s="225" t="s">
        <v>447</v>
      </c>
      <c r="C13" s="317">
        <v>7.02</v>
      </c>
      <c r="D13" s="224">
        <f t="shared" si="1"/>
        <v>8.1783000000000001</v>
      </c>
      <c r="E13" s="225">
        <v>6</v>
      </c>
      <c r="F13" s="225">
        <v>3</v>
      </c>
      <c r="G13" s="225">
        <v>9</v>
      </c>
      <c r="H13" s="319">
        <v>12</v>
      </c>
      <c r="I13" s="225">
        <f t="shared" si="0"/>
        <v>7.5</v>
      </c>
      <c r="J13" s="318">
        <f t="shared" si="2"/>
        <v>210.6</v>
      </c>
      <c r="K13" s="225"/>
      <c r="L13" s="225"/>
      <c r="M13" s="224"/>
      <c r="N13" s="224">
        <f t="shared" si="3"/>
        <v>245.34899999999999</v>
      </c>
      <c r="O13" s="225"/>
      <c r="P13" s="225"/>
      <c r="Q13" s="225"/>
      <c r="R13" s="225"/>
      <c r="S13" s="225"/>
      <c r="T13" s="225"/>
    </row>
    <row r="14" spans="1:20" ht="15.75">
      <c r="A14" s="225">
        <v>80</v>
      </c>
      <c r="B14" s="225" t="s">
        <v>448</v>
      </c>
      <c r="C14" s="317"/>
      <c r="D14" s="224">
        <f t="shared" si="1"/>
        <v>0</v>
      </c>
      <c r="E14" s="225"/>
      <c r="F14" s="225"/>
      <c r="G14" s="225"/>
      <c r="H14" s="319"/>
      <c r="I14" s="225"/>
      <c r="J14" s="318"/>
      <c r="K14" s="225"/>
      <c r="L14" s="225"/>
      <c r="M14" s="224"/>
      <c r="N14" s="224">
        <f t="shared" si="3"/>
        <v>0</v>
      </c>
      <c r="O14" s="225"/>
      <c r="P14" s="225"/>
      <c r="Q14" s="225"/>
      <c r="R14" s="225"/>
      <c r="S14" s="225"/>
      <c r="T14" s="225"/>
    </row>
    <row r="15" spans="1:20" ht="15.75">
      <c r="A15" s="225">
        <v>80</v>
      </c>
      <c r="B15" s="225" t="s">
        <v>449</v>
      </c>
      <c r="C15" s="317">
        <v>6.44</v>
      </c>
      <c r="D15" s="224">
        <f t="shared" si="1"/>
        <v>7.502600000000001</v>
      </c>
      <c r="E15" s="225">
        <v>79</v>
      </c>
      <c r="F15" s="225">
        <v>82</v>
      </c>
      <c r="G15" s="225">
        <v>85</v>
      </c>
      <c r="H15" s="319">
        <v>82</v>
      </c>
      <c r="I15" s="225">
        <f t="shared" si="0"/>
        <v>82</v>
      </c>
      <c r="J15" s="318">
        <f t="shared" si="2"/>
        <v>2112.3200000000002</v>
      </c>
      <c r="K15" s="225"/>
      <c r="L15" s="225"/>
      <c r="M15" s="224"/>
      <c r="N15" s="224">
        <f t="shared" si="3"/>
        <v>2460.8528000000006</v>
      </c>
      <c r="O15" s="225"/>
      <c r="P15" s="225"/>
      <c r="Q15" s="225"/>
      <c r="R15" s="225"/>
      <c r="S15" s="225"/>
      <c r="T15" s="225"/>
    </row>
    <row r="16" spans="1:20" ht="15.75">
      <c r="A16" s="304">
        <v>100</v>
      </c>
      <c r="B16" s="225" t="s">
        <v>450</v>
      </c>
      <c r="C16" s="225">
        <v>9.18</v>
      </c>
      <c r="D16" s="224">
        <f t="shared" si="1"/>
        <v>10.694699999999999</v>
      </c>
      <c r="E16" s="225">
        <v>9</v>
      </c>
      <c r="F16" s="225">
        <v>6</v>
      </c>
      <c r="G16" s="225">
        <v>6</v>
      </c>
      <c r="H16" s="319">
        <v>6</v>
      </c>
      <c r="I16" s="225">
        <f t="shared" si="0"/>
        <v>6.75</v>
      </c>
      <c r="J16" s="318">
        <f t="shared" si="2"/>
        <v>247.85999999999999</v>
      </c>
      <c r="K16" s="225"/>
      <c r="L16" s="225"/>
      <c r="M16" s="224"/>
      <c r="N16" s="224">
        <f t="shared" si="3"/>
        <v>288.75689999999997</v>
      </c>
      <c r="O16" s="225"/>
      <c r="P16" s="225"/>
      <c r="Q16" s="225"/>
      <c r="R16" s="225"/>
      <c r="S16" s="225"/>
      <c r="T16" s="225"/>
    </row>
    <row r="17" spans="1:20" ht="15.75">
      <c r="A17" s="225">
        <v>100</v>
      </c>
      <c r="B17" s="225" t="s">
        <v>451</v>
      </c>
      <c r="C17" s="317">
        <v>8.0399999999999991</v>
      </c>
      <c r="D17" s="224">
        <f t="shared" si="1"/>
        <v>9.3666</v>
      </c>
      <c r="E17" s="225">
        <v>141</v>
      </c>
      <c r="F17" s="225">
        <v>140</v>
      </c>
      <c r="G17" s="225">
        <v>142</v>
      </c>
      <c r="H17" s="319">
        <v>137</v>
      </c>
      <c r="I17" s="225">
        <f t="shared" si="0"/>
        <v>140</v>
      </c>
      <c r="J17" s="318">
        <f t="shared" si="2"/>
        <v>4502.3999999999996</v>
      </c>
      <c r="K17" s="225"/>
      <c r="L17" s="225"/>
      <c r="M17" s="224"/>
      <c r="N17" s="224">
        <f t="shared" si="3"/>
        <v>5245.2960000000003</v>
      </c>
      <c r="O17" s="225"/>
      <c r="P17" s="225"/>
      <c r="Q17" s="225"/>
      <c r="R17" s="225"/>
      <c r="S17" s="225"/>
      <c r="T17" s="225"/>
    </row>
    <row r="18" spans="1:20" ht="15.75">
      <c r="A18" s="225">
        <v>100</v>
      </c>
      <c r="B18" s="225" t="s">
        <v>452</v>
      </c>
      <c r="C18" s="317">
        <v>11.72</v>
      </c>
      <c r="D18" s="224">
        <f t="shared" si="1"/>
        <v>13.6538</v>
      </c>
      <c r="E18" s="225">
        <v>1155</v>
      </c>
      <c r="F18" s="225">
        <v>1186</v>
      </c>
      <c r="G18" s="225">
        <v>1194</v>
      </c>
      <c r="H18" s="319">
        <v>1169</v>
      </c>
      <c r="I18" s="225">
        <f t="shared" si="0"/>
        <v>1176</v>
      </c>
      <c r="J18" s="318">
        <f t="shared" si="2"/>
        <v>55130.880000000005</v>
      </c>
      <c r="K18" s="225"/>
      <c r="L18" s="225"/>
      <c r="M18" s="224"/>
      <c r="N18" s="224">
        <f t="shared" si="3"/>
        <v>64227.475200000001</v>
      </c>
      <c r="O18" s="225"/>
      <c r="P18" s="225"/>
      <c r="Q18" s="225"/>
      <c r="R18" s="225"/>
      <c r="S18" s="225"/>
      <c r="T18" s="225"/>
    </row>
    <row r="19" spans="1:20" ht="15.75">
      <c r="A19" s="225">
        <v>100</v>
      </c>
      <c r="B19" s="225" t="s">
        <v>453</v>
      </c>
      <c r="C19" s="317">
        <v>16.600000000000001</v>
      </c>
      <c r="D19" s="224">
        <f t="shared" si="1"/>
        <v>19.339000000000002</v>
      </c>
      <c r="E19" s="225">
        <v>3262</v>
      </c>
      <c r="F19" s="225">
        <v>3420</v>
      </c>
      <c r="G19" s="225">
        <v>3699</v>
      </c>
      <c r="H19" s="319">
        <v>3482</v>
      </c>
      <c r="I19" s="225">
        <f t="shared" si="0"/>
        <v>3465.75</v>
      </c>
      <c r="J19" s="318">
        <f t="shared" si="2"/>
        <v>230125.80000000002</v>
      </c>
      <c r="K19" s="225"/>
      <c r="L19" s="225"/>
      <c r="M19" s="224"/>
      <c r="N19" s="224">
        <f t="shared" si="3"/>
        <v>268096.55700000003</v>
      </c>
      <c r="O19" s="225"/>
      <c r="P19" s="225"/>
      <c r="Q19" s="225"/>
      <c r="R19" s="225"/>
      <c r="S19" s="225"/>
      <c r="T19" s="225"/>
    </row>
    <row r="20" spans="1:20" ht="15.75">
      <c r="A20" s="225">
        <v>100</v>
      </c>
      <c r="B20" s="225" t="s">
        <v>454</v>
      </c>
      <c r="C20" s="317">
        <v>20.059999999999999</v>
      </c>
      <c r="D20" s="224">
        <f t="shared" si="1"/>
        <v>23.369899999999998</v>
      </c>
      <c r="E20" s="225">
        <v>7288</v>
      </c>
      <c r="F20" s="225">
        <v>7487</v>
      </c>
      <c r="G20" s="225">
        <v>7371</v>
      </c>
      <c r="H20" s="319">
        <v>7560</v>
      </c>
      <c r="I20" s="225">
        <f t="shared" si="0"/>
        <v>7426.5</v>
      </c>
      <c r="J20" s="318">
        <f t="shared" si="2"/>
        <v>595902.36</v>
      </c>
      <c r="K20" s="225"/>
      <c r="L20" s="225"/>
      <c r="M20" s="224"/>
      <c r="N20" s="224">
        <f t="shared" si="3"/>
        <v>694226.24939999997</v>
      </c>
      <c r="O20" s="225"/>
      <c r="P20" s="225"/>
      <c r="Q20" s="225"/>
      <c r="R20" s="225"/>
      <c r="S20" s="225"/>
      <c r="T20" s="225"/>
    </row>
    <row r="21" spans="1:20" ht="15.75">
      <c r="A21" s="225">
        <v>100</v>
      </c>
      <c r="B21" s="225" t="s">
        <v>455</v>
      </c>
      <c r="C21" s="317">
        <v>3.97</v>
      </c>
      <c r="D21" s="224">
        <f t="shared" si="1"/>
        <v>4.6250500000000008</v>
      </c>
      <c r="E21" s="297">
        <v>2</v>
      </c>
      <c r="F21" s="297">
        <v>9</v>
      </c>
      <c r="G21" s="297">
        <v>13</v>
      </c>
      <c r="H21" s="320">
        <v>11</v>
      </c>
      <c r="I21" s="225">
        <f t="shared" si="0"/>
        <v>8.75</v>
      </c>
      <c r="J21" s="321">
        <f t="shared" si="2"/>
        <v>138.95000000000002</v>
      </c>
      <c r="K21" s="225"/>
      <c r="L21" s="225"/>
      <c r="M21" s="224"/>
      <c r="N21" s="322">
        <f t="shared" si="3"/>
        <v>161.87675000000002</v>
      </c>
      <c r="O21" s="225"/>
      <c r="P21" s="225"/>
      <c r="Q21" s="225"/>
      <c r="R21" s="225"/>
      <c r="S21" s="225"/>
      <c r="T21" s="225"/>
    </row>
    <row r="22" spans="1:20" ht="15.75">
      <c r="A22" s="225" t="s">
        <v>456</v>
      </c>
      <c r="B22" s="225"/>
      <c r="C22" s="317"/>
      <c r="D22" s="225"/>
      <c r="E22" s="225"/>
      <c r="F22" s="225"/>
      <c r="G22" s="224"/>
      <c r="H22" s="319"/>
      <c r="I22" s="225"/>
      <c r="J22" s="317">
        <f>SUM(J7:J21)</f>
        <v>889988.7649999999</v>
      </c>
      <c r="K22" s="229"/>
      <c r="L22" s="225"/>
      <c r="M22" s="317">
        <f t="shared" ref="M22:N22" si="4">SUM(M7:M21)</f>
        <v>0</v>
      </c>
      <c r="N22" s="317">
        <f t="shared" si="4"/>
        <v>1036619.0080500001</v>
      </c>
      <c r="O22" s="225"/>
      <c r="P22" s="317">
        <f>+N22-J22</f>
        <v>146630.24305000016</v>
      </c>
      <c r="Q22" s="225"/>
      <c r="R22" s="225"/>
      <c r="S22" s="225"/>
      <c r="T22" s="225"/>
    </row>
    <row r="23" spans="1:20" ht="15.75">
      <c r="A23" s="225"/>
      <c r="B23" s="225"/>
      <c r="C23" s="317"/>
      <c r="D23" s="225"/>
      <c r="E23" s="225"/>
      <c r="F23" s="225"/>
      <c r="G23" s="224"/>
      <c r="H23" s="319"/>
      <c r="I23" s="225"/>
      <c r="J23" s="317"/>
      <c r="K23" s="225"/>
      <c r="L23" s="225"/>
      <c r="M23" s="224"/>
      <c r="N23" s="224"/>
      <c r="O23" s="225"/>
      <c r="P23" s="225"/>
      <c r="Q23" s="225"/>
      <c r="R23" s="225"/>
      <c r="S23" s="225"/>
      <c r="T23" s="225"/>
    </row>
    <row r="24" spans="1:20" ht="15.75">
      <c r="A24" s="225"/>
      <c r="B24" s="225"/>
      <c r="C24" s="317"/>
      <c r="D24" s="225"/>
      <c r="E24" s="225"/>
      <c r="F24" s="225"/>
      <c r="G24" s="224"/>
      <c r="H24" s="319"/>
      <c r="I24" s="225"/>
      <c r="J24" s="317"/>
      <c r="K24" s="225"/>
      <c r="L24" s="225"/>
      <c r="M24" s="224"/>
      <c r="N24" s="224"/>
      <c r="O24" s="225"/>
      <c r="P24" s="225"/>
      <c r="Q24" s="225"/>
      <c r="R24" s="225"/>
      <c r="S24" s="225"/>
      <c r="T24" s="225"/>
    </row>
    <row r="25" spans="1:20" ht="15.75">
      <c r="A25" s="225" t="s">
        <v>457</v>
      </c>
      <c r="B25" s="225"/>
      <c r="C25" s="317"/>
      <c r="D25" s="225"/>
      <c r="E25" s="225"/>
      <c r="F25" s="225"/>
      <c r="G25" s="224"/>
      <c r="H25" s="319"/>
      <c r="I25" s="225"/>
      <c r="J25" s="317"/>
      <c r="K25" s="225"/>
      <c r="L25" s="225"/>
      <c r="M25" s="224"/>
      <c r="N25" s="224"/>
      <c r="O25" s="225"/>
      <c r="P25" s="225"/>
      <c r="Q25" s="225"/>
      <c r="R25" s="225"/>
      <c r="S25" s="225"/>
      <c r="T25" s="225"/>
    </row>
    <row r="26" spans="1:20" ht="15.75">
      <c r="A26" s="225">
        <v>240</v>
      </c>
      <c r="B26" s="225" t="s">
        <v>458</v>
      </c>
      <c r="C26" s="317">
        <v>8.1999999999999993</v>
      </c>
      <c r="D26" s="224">
        <f t="shared" ref="D26:D54" si="5">+C26*$O$2</f>
        <v>9.552999999999999</v>
      </c>
      <c r="E26" s="225">
        <v>240</v>
      </c>
      <c r="F26" s="225">
        <v>218</v>
      </c>
      <c r="G26" s="225">
        <v>223</v>
      </c>
      <c r="H26" s="319">
        <v>222</v>
      </c>
      <c r="I26" s="225">
        <f t="shared" ref="I26:I41" si="6">AVERAGE(E26:H26)</f>
        <v>225.75</v>
      </c>
      <c r="J26" s="318">
        <f>+C26*I26*4</f>
        <v>7404.5999999999995</v>
      </c>
      <c r="K26" s="225"/>
      <c r="L26" s="225"/>
      <c r="M26" s="224"/>
      <c r="N26" s="224">
        <f t="shared" si="3"/>
        <v>8626.3589999999986</v>
      </c>
      <c r="O26" s="225"/>
      <c r="P26" s="225"/>
      <c r="Q26" s="225"/>
      <c r="R26" s="225"/>
      <c r="S26" s="225"/>
      <c r="T26" s="225"/>
    </row>
    <row r="27" spans="1:20" ht="15.75">
      <c r="A27" s="225">
        <v>240</v>
      </c>
      <c r="B27" s="225" t="s">
        <v>459</v>
      </c>
      <c r="C27" s="317">
        <v>13.36</v>
      </c>
      <c r="D27" s="224">
        <f t="shared" si="5"/>
        <v>15.564399999999999</v>
      </c>
      <c r="E27" s="225">
        <v>704</v>
      </c>
      <c r="F27" s="225">
        <v>741</v>
      </c>
      <c r="G27" s="225">
        <v>766</v>
      </c>
      <c r="H27" s="319">
        <v>683</v>
      </c>
      <c r="I27" s="225">
        <f t="shared" si="6"/>
        <v>723.5</v>
      </c>
      <c r="J27" s="318">
        <f t="shared" ref="J27:J41" si="7">+C27*I27*4</f>
        <v>38663.839999999997</v>
      </c>
      <c r="K27" s="225"/>
      <c r="L27" s="225"/>
      <c r="M27" s="224"/>
      <c r="N27" s="224">
        <f t="shared" si="3"/>
        <v>45043.373599999999</v>
      </c>
      <c r="O27" s="225"/>
      <c r="P27" s="225"/>
      <c r="Q27" s="225"/>
      <c r="R27" s="225"/>
      <c r="S27" s="225"/>
      <c r="T27" s="225"/>
    </row>
    <row r="28" spans="1:20" ht="15.75">
      <c r="A28" s="225">
        <v>240</v>
      </c>
      <c r="B28" s="225" t="s">
        <v>460</v>
      </c>
      <c r="C28" s="317">
        <v>13.36</v>
      </c>
      <c r="D28" s="224">
        <f t="shared" si="5"/>
        <v>15.564399999999999</v>
      </c>
      <c r="E28" s="225">
        <v>0</v>
      </c>
      <c r="F28" s="225">
        <v>3</v>
      </c>
      <c r="G28" s="225">
        <v>1</v>
      </c>
      <c r="H28" s="319">
        <v>4</v>
      </c>
      <c r="I28" s="225">
        <f t="shared" si="6"/>
        <v>2</v>
      </c>
      <c r="J28" s="318">
        <f t="shared" si="7"/>
        <v>106.88</v>
      </c>
      <c r="K28" s="225"/>
      <c r="L28" s="225"/>
      <c r="M28" s="224"/>
      <c r="N28" s="224">
        <f t="shared" si="3"/>
        <v>124.51519999999999</v>
      </c>
      <c r="O28" s="225"/>
      <c r="P28" s="225"/>
      <c r="Q28" s="225"/>
      <c r="R28" s="225"/>
      <c r="S28" s="225"/>
      <c r="T28" s="225"/>
    </row>
    <row r="29" spans="1:20" ht="15.75">
      <c r="A29" s="225">
        <v>240</v>
      </c>
      <c r="B29" s="225" t="s">
        <v>461</v>
      </c>
      <c r="C29" s="317">
        <v>10.55</v>
      </c>
      <c r="D29" s="224">
        <f t="shared" si="5"/>
        <v>12.290750000000001</v>
      </c>
      <c r="E29" s="225">
        <v>243</v>
      </c>
      <c r="F29" s="225">
        <v>244</v>
      </c>
      <c r="G29" s="225">
        <v>251</v>
      </c>
      <c r="H29" s="319">
        <v>267</v>
      </c>
      <c r="I29" s="225">
        <f t="shared" si="6"/>
        <v>251.25</v>
      </c>
      <c r="J29" s="318">
        <f t="shared" si="7"/>
        <v>10602.75</v>
      </c>
      <c r="K29" s="225"/>
      <c r="L29" s="225"/>
      <c r="M29" s="224"/>
      <c r="N29" s="224">
        <f t="shared" si="3"/>
        <v>12352.203750000001</v>
      </c>
      <c r="O29" s="225"/>
      <c r="P29" s="225"/>
      <c r="Q29" s="225"/>
      <c r="R29" s="225"/>
      <c r="S29" s="225"/>
      <c r="T29" s="225"/>
    </row>
    <row r="30" spans="1:20" ht="15.75">
      <c r="A30" s="225">
        <v>240</v>
      </c>
      <c r="B30" s="225" t="s">
        <v>462</v>
      </c>
      <c r="C30" s="317">
        <v>16.52</v>
      </c>
      <c r="D30" s="224">
        <f t="shared" si="5"/>
        <v>19.245799999999999</v>
      </c>
      <c r="E30" s="225">
        <v>1200</v>
      </c>
      <c r="F30" s="225">
        <v>1216</v>
      </c>
      <c r="G30" s="225">
        <v>1372</v>
      </c>
      <c r="H30" s="319">
        <v>1397</v>
      </c>
      <c r="I30" s="225">
        <f t="shared" si="6"/>
        <v>1296.25</v>
      </c>
      <c r="J30" s="318">
        <f t="shared" si="7"/>
        <v>85656.2</v>
      </c>
      <c r="K30" s="225"/>
      <c r="L30" s="225"/>
      <c r="M30" s="224"/>
      <c r="N30" s="224">
        <f t="shared" si="3"/>
        <v>99789.472999999998</v>
      </c>
      <c r="O30" s="225"/>
      <c r="P30" s="225"/>
      <c r="Q30" s="225"/>
      <c r="R30" s="225"/>
      <c r="S30" s="225"/>
      <c r="T30" s="225"/>
    </row>
    <row r="31" spans="1:20" ht="15.75">
      <c r="A31" s="225">
        <v>240</v>
      </c>
      <c r="B31" s="225" t="s">
        <v>463</v>
      </c>
      <c r="C31" s="317">
        <v>16.52</v>
      </c>
      <c r="D31" s="224">
        <f t="shared" si="5"/>
        <v>19.245799999999999</v>
      </c>
      <c r="E31" s="225">
        <v>2</v>
      </c>
      <c r="F31" s="225">
        <v>3</v>
      </c>
      <c r="G31" s="225">
        <v>2</v>
      </c>
      <c r="H31" s="319">
        <v>1</v>
      </c>
      <c r="I31" s="225">
        <f t="shared" si="6"/>
        <v>2</v>
      </c>
      <c r="J31" s="318">
        <f t="shared" si="7"/>
        <v>132.16</v>
      </c>
      <c r="K31" s="225"/>
      <c r="L31" s="225"/>
      <c r="M31" s="224"/>
      <c r="N31" s="224">
        <f t="shared" si="3"/>
        <v>153.96639999999999</v>
      </c>
      <c r="O31" s="225"/>
      <c r="P31" s="225"/>
      <c r="Q31" s="225"/>
      <c r="R31" s="225"/>
      <c r="S31" s="225"/>
      <c r="T31" s="225"/>
    </row>
    <row r="32" spans="1:20" ht="15.75">
      <c r="A32" s="225">
        <v>240</v>
      </c>
      <c r="B32" s="225" t="s">
        <v>464</v>
      </c>
      <c r="C32" s="317">
        <v>17.59</v>
      </c>
      <c r="D32" s="224">
        <f t="shared" si="5"/>
        <v>20.492350000000002</v>
      </c>
      <c r="E32" s="225">
        <v>18</v>
      </c>
      <c r="F32" s="225">
        <v>18</v>
      </c>
      <c r="G32" s="225">
        <v>19</v>
      </c>
      <c r="H32" s="319">
        <v>19</v>
      </c>
      <c r="I32" s="225">
        <f t="shared" si="6"/>
        <v>18.5</v>
      </c>
      <c r="J32" s="318">
        <f t="shared" si="7"/>
        <v>1301.6600000000001</v>
      </c>
      <c r="K32" s="225"/>
      <c r="L32" s="225"/>
      <c r="M32" s="224"/>
      <c r="N32" s="224">
        <f t="shared" si="3"/>
        <v>1516.4339000000002</v>
      </c>
      <c r="O32" s="225"/>
      <c r="P32" s="225"/>
      <c r="Q32" s="225"/>
      <c r="R32" s="225"/>
      <c r="S32" s="225"/>
      <c r="T32" s="225"/>
    </row>
    <row r="33" spans="1:20" ht="15.75">
      <c r="A33" s="225">
        <v>240</v>
      </c>
      <c r="B33" s="225" t="s">
        <v>465</v>
      </c>
      <c r="C33" s="317">
        <v>20.09</v>
      </c>
      <c r="D33" s="224">
        <f t="shared" si="5"/>
        <v>23.40485</v>
      </c>
      <c r="E33" s="225">
        <v>245</v>
      </c>
      <c r="F33" s="225">
        <v>219</v>
      </c>
      <c r="G33" s="225">
        <v>180</v>
      </c>
      <c r="H33" s="319">
        <v>150</v>
      </c>
      <c r="I33" s="225">
        <f t="shared" si="6"/>
        <v>198.5</v>
      </c>
      <c r="J33" s="318">
        <f t="shared" si="7"/>
        <v>15951.46</v>
      </c>
      <c r="K33" s="225"/>
      <c r="L33" s="225"/>
      <c r="M33" s="224"/>
      <c r="N33" s="224">
        <f t="shared" si="3"/>
        <v>18583.4509</v>
      </c>
      <c r="O33" s="225"/>
      <c r="P33" s="225"/>
      <c r="Q33" s="225"/>
      <c r="R33" s="225"/>
      <c r="S33" s="225"/>
      <c r="T33" s="225"/>
    </row>
    <row r="34" spans="1:20" ht="15.75">
      <c r="A34" s="225">
        <v>240</v>
      </c>
      <c r="B34" s="225" t="s">
        <v>466</v>
      </c>
      <c r="C34" s="317">
        <v>20.09</v>
      </c>
      <c r="D34" s="224">
        <f t="shared" si="5"/>
        <v>23.40485</v>
      </c>
      <c r="E34" s="225">
        <v>1</v>
      </c>
      <c r="F34" s="225">
        <v>1</v>
      </c>
      <c r="G34" s="225">
        <v>0</v>
      </c>
      <c r="H34" s="319">
        <v>0</v>
      </c>
      <c r="I34" s="225">
        <f t="shared" si="6"/>
        <v>0.5</v>
      </c>
      <c r="J34" s="318">
        <f t="shared" si="7"/>
        <v>40.18</v>
      </c>
      <c r="K34" s="225"/>
      <c r="L34" s="225"/>
      <c r="M34" s="224"/>
      <c r="N34" s="224">
        <f t="shared" si="3"/>
        <v>46.809699999999999</v>
      </c>
      <c r="O34" s="225"/>
      <c r="P34" s="225"/>
      <c r="Q34" s="225"/>
      <c r="R34" s="225"/>
      <c r="S34" s="225"/>
      <c r="T34" s="225"/>
    </row>
    <row r="35" spans="1:20" ht="15.75">
      <c r="A35" s="225">
        <v>240</v>
      </c>
      <c r="B35" s="225" t="s">
        <v>467</v>
      </c>
      <c r="C35" s="317">
        <v>22.27</v>
      </c>
      <c r="D35" s="224">
        <f t="shared" si="5"/>
        <v>25.94455</v>
      </c>
      <c r="E35" s="225">
        <v>78</v>
      </c>
      <c r="F35" s="225">
        <v>78</v>
      </c>
      <c r="G35" s="225">
        <v>80</v>
      </c>
      <c r="H35" s="319">
        <v>92</v>
      </c>
      <c r="I35" s="225">
        <f t="shared" si="6"/>
        <v>82</v>
      </c>
      <c r="J35" s="318">
        <f t="shared" si="7"/>
        <v>7304.5599999999995</v>
      </c>
      <c r="K35" s="225"/>
      <c r="L35" s="225"/>
      <c r="M35" s="224"/>
      <c r="N35" s="224">
        <f t="shared" si="3"/>
        <v>8509.8124000000007</v>
      </c>
      <c r="O35" s="225"/>
      <c r="P35" s="225"/>
      <c r="Q35" s="225"/>
      <c r="R35" s="225"/>
      <c r="S35" s="225"/>
      <c r="T35" s="225"/>
    </row>
    <row r="36" spans="1:20" ht="15.75">
      <c r="A36" s="225">
        <v>240</v>
      </c>
      <c r="B36" s="225" t="s">
        <v>468</v>
      </c>
      <c r="C36" s="317">
        <v>28.87</v>
      </c>
      <c r="D36" s="224">
        <f t="shared" si="5"/>
        <v>33.63355</v>
      </c>
      <c r="E36" s="225">
        <v>615</v>
      </c>
      <c r="F36" s="225">
        <v>609</v>
      </c>
      <c r="G36" s="225">
        <v>603</v>
      </c>
      <c r="H36" s="319">
        <v>661</v>
      </c>
      <c r="I36" s="225">
        <f t="shared" si="6"/>
        <v>622</v>
      </c>
      <c r="J36" s="318">
        <f t="shared" si="7"/>
        <v>71828.56</v>
      </c>
      <c r="K36" s="225"/>
      <c r="L36" s="225"/>
      <c r="M36" s="224"/>
      <c r="N36" s="224">
        <f t="shared" si="3"/>
        <v>83680.272400000002</v>
      </c>
      <c r="O36" s="225"/>
      <c r="P36" s="225"/>
      <c r="Q36" s="225"/>
      <c r="R36" s="225"/>
      <c r="S36" s="225"/>
      <c r="T36" s="225"/>
    </row>
    <row r="37" spans="1:20" ht="15.75">
      <c r="A37" s="225">
        <v>240</v>
      </c>
      <c r="B37" s="225" t="s">
        <v>469</v>
      </c>
      <c r="C37" s="317">
        <v>28.87</v>
      </c>
      <c r="D37" s="224">
        <f t="shared" si="5"/>
        <v>33.63355</v>
      </c>
      <c r="E37" s="225">
        <v>0</v>
      </c>
      <c r="F37" s="225">
        <v>2</v>
      </c>
      <c r="G37" s="225">
        <v>1</v>
      </c>
      <c r="H37" s="319">
        <v>1</v>
      </c>
      <c r="I37" s="225">
        <f t="shared" si="6"/>
        <v>1</v>
      </c>
      <c r="J37" s="318">
        <f t="shared" si="7"/>
        <v>115.48</v>
      </c>
      <c r="K37" s="225"/>
      <c r="L37" s="225"/>
      <c r="M37" s="224"/>
      <c r="N37" s="224">
        <f t="shared" si="3"/>
        <v>134.5342</v>
      </c>
      <c r="O37" s="225"/>
      <c r="P37" s="225"/>
      <c r="Q37" s="225"/>
      <c r="R37" s="225"/>
      <c r="S37" s="225"/>
      <c r="T37" s="225"/>
    </row>
    <row r="38" spans="1:20" ht="15.75">
      <c r="A38" s="225">
        <v>240</v>
      </c>
      <c r="B38" s="225" t="s">
        <v>470</v>
      </c>
      <c r="C38" s="317">
        <v>36.380000000000003</v>
      </c>
      <c r="D38" s="224">
        <f t="shared" si="5"/>
        <v>42.382700000000007</v>
      </c>
      <c r="E38" s="225">
        <v>0</v>
      </c>
      <c r="F38" s="225">
        <v>0</v>
      </c>
      <c r="G38" s="225">
        <v>1</v>
      </c>
      <c r="H38" s="319">
        <v>0</v>
      </c>
      <c r="I38" s="225">
        <f t="shared" si="6"/>
        <v>0.25</v>
      </c>
      <c r="J38" s="318">
        <f t="shared" si="7"/>
        <v>36.380000000000003</v>
      </c>
      <c r="K38" s="225"/>
      <c r="L38" s="225"/>
      <c r="M38" s="224"/>
      <c r="N38" s="224">
        <f t="shared" si="3"/>
        <v>42.382700000000007</v>
      </c>
      <c r="O38" s="225"/>
      <c r="P38" s="225"/>
      <c r="Q38" s="225"/>
      <c r="R38" s="225"/>
      <c r="S38" s="225"/>
      <c r="T38" s="225"/>
    </row>
    <row r="39" spans="1:20" ht="15.75">
      <c r="A39" s="225">
        <v>240</v>
      </c>
      <c r="B39" s="225" t="s">
        <v>471</v>
      </c>
      <c r="C39" s="317">
        <v>42.47</v>
      </c>
      <c r="D39" s="224">
        <f t="shared" si="5"/>
        <v>49.477550000000001</v>
      </c>
      <c r="E39" s="225">
        <v>0</v>
      </c>
      <c r="F39" s="225">
        <v>0</v>
      </c>
      <c r="G39" s="225">
        <v>13</v>
      </c>
      <c r="H39" s="319">
        <v>0</v>
      </c>
      <c r="I39" s="225">
        <f t="shared" si="6"/>
        <v>3.25</v>
      </c>
      <c r="J39" s="318">
        <f t="shared" si="7"/>
        <v>552.11</v>
      </c>
      <c r="K39" s="225"/>
      <c r="L39" s="225"/>
      <c r="M39" s="224"/>
      <c r="N39" s="224">
        <f t="shared" si="3"/>
        <v>643.20815000000005</v>
      </c>
      <c r="O39" s="225"/>
      <c r="P39" s="225"/>
      <c r="Q39" s="225"/>
      <c r="R39" s="225"/>
      <c r="S39" s="225"/>
      <c r="T39" s="225"/>
    </row>
    <row r="40" spans="1:20" ht="15.75">
      <c r="A40" s="225">
        <v>240</v>
      </c>
      <c r="B40" s="225" t="s">
        <v>472</v>
      </c>
      <c r="C40" s="317">
        <v>42.47</v>
      </c>
      <c r="D40" s="224">
        <f t="shared" si="5"/>
        <v>49.477550000000001</v>
      </c>
      <c r="E40" s="225">
        <v>0</v>
      </c>
      <c r="F40" s="225">
        <v>0</v>
      </c>
      <c r="G40" s="225">
        <v>0</v>
      </c>
      <c r="H40" s="319">
        <v>0</v>
      </c>
      <c r="I40" s="225">
        <f t="shared" si="6"/>
        <v>0</v>
      </c>
      <c r="J40" s="318">
        <f t="shared" si="7"/>
        <v>0</v>
      </c>
      <c r="K40" s="225"/>
      <c r="L40" s="225"/>
      <c r="M40" s="224"/>
      <c r="N40" s="224">
        <f t="shared" si="3"/>
        <v>0</v>
      </c>
      <c r="O40" s="225"/>
      <c r="P40" s="225"/>
      <c r="Q40" s="225"/>
      <c r="R40" s="225"/>
      <c r="S40" s="225"/>
      <c r="T40" s="225"/>
    </row>
    <row r="41" spans="1:20" ht="15.75">
      <c r="A41" s="225">
        <v>245</v>
      </c>
      <c r="B41" s="225" t="s">
        <v>473</v>
      </c>
      <c r="C41" s="317">
        <v>2.66</v>
      </c>
      <c r="D41" s="224">
        <f t="shared" si="5"/>
        <v>3.0989000000000004</v>
      </c>
      <c r="E41" s="225">
        <v>0</v>
      </c>
      <c r="F41" s="225">
        <v>0</v>
      </c>
      <c r="G41" s="225">
        <v>0</v>
      </c>
      <c r="H41" s="319">
        <v>0</v>
      </c>
      <c r="I41" s="225">
        <f t="shared" si="6"/>
        <v>0</v>
      </c>
      <c r="J41" s="321">
        <f t="shared" si="7"/>
        <v>0</v>
      </c>
      <c r="K41" s="225"/>
      <c r="L41" s="225"/>
      <c r="M41" s="224"/>
      <c r="N41" s="322">
        <f t="shared" si="3"/>
        <v>0</v>
      </c>
      <c r="O41" s="225"/>
      <c r="P41" s="225"/>
      <c r="Q41" s="225"/>
      <c r="R41" s="225"/>
      <c r="S41" s="225"/>
      <c r="T41" s="225"/>
    </row>
    <row r="42" spans="1:20" ht="15.75">
      <c r="A42" s="225" t="s">
        <v>474</v>
      </c>
      <c r="B42" s="225"/>
      <c r="C42" s="317"/>
      <c r="D42" s="224"/>
      <c r="E42" s="225"/>
      <c r="F42" s="225"/>
      <c r="G42" s="224"/>
      <c r="H42" s="225"/>
      <c r="I42" s="225"/>
      <c r="J42" s="318">
        <f>SUM(J26:J41)</f>
        <v>239696.81999999998</v>
      </c>
      <c r="K42" s="317"/>
      <c r="L42" s="225"/>
      <c r="M42" s="224"/>
      <c r="N42" s="318">
        <f>SUM(N26:N41)</f>
        <v>279246.79530000006</v>
      </c>
      <c r="O42" s="225"/>
      <c r="P42" s="317">
        <f>+N42-J42</f>
        <v>39549.975300000078</v>
      </c>
      <c r="Q42" s="225"/>
      <c r="R42" s="225"/>
      <c r="S42" s="225"/>
      <c r="T42" s="225"/>
    </row>
    <row r="43" spans="1:20" ht="15.75">
      <c r="A43" s="225"/>
      <c r="B43" s="225"/>
      <c r="C43" s="317"/>
      <c r="D43" s="224"/>
      <c r="E43" s="225"/>
      <c r="F43" s="225"/>
      <c r="G43" s="224"/>
      <c r="H43" s="225"/>
      <c r="I43" s="225"/>
      <c r="J43" s="318"/>
      <c r="K43" s="225"/>
      <c r="L43" s="225"/>
      <c r="M43" s="224"/>
      <c r="N43" s="224"/>
      <c r="O43" s="225"/>
      <c r="P43" s="225"/>
      <c r="Q43" s="225"/>
      <c r="R43" s="225"/>
      <c r="S43" s="225"/>
      <c r="T43" s="225"/>
    </row>
    <row r="44" spans="1:20" ht="15.75">
      <c r="A44" s="225"/>
      <c r="B44" s="225"/>
      <c r="C44" s="317"/>
      <c r="D44" s="224"/>
      <c r="E44" s="225"/>
      <c r="F44" s="225"/>
      <c r="G44" s="224"/>
      <c r="H44" s="311"/>
      <c r="I44" s="225"/>
      <c r="J44" s="318"/>
      <c r="K44" s="225"/>
      <c r="L44" s="225"/>
      <c r="M44" s="224"/>
      <c r="N44" s="224"/>
      <c r="O44" s="225"/>
      <c r="P44" s="225"/>
      <c r="Q44" s="225"/>
      <c r="R44" s="225"/>
      <c r="S44" s="225"/>
      <c r="T44" s="225"/>
    </row>
    <row r="45" spans="1:20" ht="15.75">
      <c r="A45" s="225"/>
      <c r="B45" s="225"/>
      <c r="C45" s="225" t="s">
        <v>389</v>
      </c>
      <c r="D45" s="224"/>
      <c r="E45" s="237"/>
      <c r="F45" s="237"/>
      <c r="G45" s="225"/>
      <c r="H45" s="311"/>
      <c r="I45" s="225"/>
      <c r="J45" s="323"/>
      <c r="K45" s="225"/>
      <c r="L45" s="225"/>
      <c r="M45" s="224"/>
      <c r="N45" s="224"/>
      <c r="O45" s="225"/>
      <c r="P45" s="225"/>
      <c r="Q45" s="225"/>
      <c r="R45" s="225"/>
      <c r="S45" s="225"/>
      <c r="T45" s="225"/>
    </row>
    <row r="46" spans="1:20" ht="15.75">
      <c r="A46" s="225"/>
      <c r="B46" s="225"/>
      <c r="C46" s="311" t="s">
        <v>432</v>
      </c>
      <c r="D46" s="224"/>
      <c r="E46" s="237" t="s">
        <v>375</v>
      </c>
      <c r="F46" s="237"/>
      <c r="G46" s="237"/>
      <c r="H46" s="237"/>
      <c r="I46" s="237"/>
      <c r="J46" s="323" t="s">
        <v>434</v>
      </c>
      <c r="K46" s="225"/>
      <c r="L46" s="225"/>
      <c r="M46" s="224"/>
      <c r="N46" s="224"/>
      <c r="O46" s="225"/>
      <c r="P46" s="225"/>
      <c r="Q46" s="225"/>
      <c r="R46" s="225"/>
      <c r="S46" s="225"/>
      <c r="T46" s="225"/>
    </row>
    <row r="47" spans="1:20" ht="15.75">
      <c r="A47" s="225" t="s">
        <v>475</v>
      </c>
      <c r="B47" s="225"/>
      <c r="C47" s="313" t="s">
        <v>48</v>
      </c>
      <c r="D47" s="224"/>
      <c r="E47" s="314" t="s">
        <v>435</v>
      </c>
      <c r="F47" s="311" t="s">
        <v>436</v>
      </c>
      <c r="G47" s="225" t="s">
        <v>437</v>
      </c>
      <c r="H47" s="311" t="s">
        <v>438</v>
      </c>
      <c r="I47" s="225" t="s">
        <v>439</v>
      </c>
      <c r="J47" s="323" t="s">
        <v>12</v>
      </c>
      <c r="K47" s="225"/>
      <c r="L47" s="225"/>
      <c r="M47" s="224"/>
      <c r="N47" s="224"/>
      <c r="O47" s="225"/>
      <c r="P47" s="225"/>
      <c r="Q47" s="225"/>
      <c r="R47" s="225"/>
      <c r="S47" s="225"/>
      <c r="T47" s="225"/>
    </row>
    <row r="48" spans="1:20" ht="15.75">
      <c r="A48" s="304" t="s">
        <v>476</v>
      </c>
      <c r="B48" s="225" t="s">
        <v>477</v>
      </c>
      <c r="C48" s="225"/>
      <c r="D48" s="224"/>
      <c r="E48" s="225"/>
      <c r="F48" s="225"/>
      <c r="G48" s="225"/>
      <c r="H48" s="225"/>
      <c r="I48" s="225"/>
      <c r="J48" s="318"/>
      <c r="K48" s="225"/>
      <c r="L48" s="225"/>
      <c r="M48" s="224"/>
      <c r="N48" s="224"/>
      <c r="O48" s="225"/>
      <c r="P48" s="225"/>
      <c r="Q48" s="225"/>
      <c r="R48" s="225"/>
      <c r="S48" s="225"/>
      <c r="T48" s="225"/>
    </row>
    <row r="49" spans="1:20" ht="15.75">
      <c r="A49" s="225">
        <v>18</v>
      </c>
      <c r="B49" s="225" t="s">
        <v>442</v>
      </c>
      <c r="C49" s="315">
        <v>1.4999999999999999E-2</v>
      </c>
      <c r="D49" s="224"/>
      <c r="E49" s="318">
        <v>76.36</v>
      </c>
      <c r="F49" s="318">
        <v>82.64</v>
      </c>
      <c r="G49" s="318">
        <v>96.3</v>
      </c>
      <c r="H49" s="318">
        <v>94.91</v>
      </c>
      <c r="I49" s="225">
        <f>AVERAGE(E49:H49)</f>
        <v>87.552500000000009</v>
      </c>
      <c r="J49" s="318">
        <f>+I49</f>
        <v>87.552500000000009</v>
      </c>
      <c r="K49" s="225"/>
      <c r="L49" s="225"/>
      <c r="M49" s="224"/>
      <c r="N49" s="224">
        <v>87.55</v>
      </c>
      <c r="O49" s="225"/>
      <c r="P49" s="225"/>
      <c r="Q49" s="225"/>
      <c r="R49" s="225"/>
      <c r="S49" s="225"/>
      <c r="T49" s="225"/>
    </row>
    <row r="50" spans="1:20" ht="15.75">
      <c r="A50" s="225">
        <v>50</v>
      </c>
      <c r="B50" s="225" t="s">
        <v>443</v>
      </c>
      <c r="C50" s="317">
        <v>5</v>
      </c>
      <c r="D50" s="224">
        <f>+D8</f>
        <v>12</v>
      </c>
      <c r="E50" s="225">
        <v>2</v>
      </c>
      <c r="F50" s="225">
        <v>2</v>
      </c>
      <c r="G50" s="225">
        <v>0</v>
      </c>
      <c r="H50" s="225">
        <v>0</v>
      </c>
      <c r="I50" s="225">
        <v>1</v>
      </c>
      <c r="J50" s="318">
        <f>+C50*I50*4</f>
        <v>20</v>
      </c>
      <c r="K50" s="225"/>
      <c r="L50" s="225"/>
      <c r="M50" s="224"/>
      <c r="N50" s="224">
        <f t="shared" si="3"/>
        <v>48</v>
      </c>
      <c r="O50" s="225"/>
      <c r="P50" s="225"/>
      <c r="Q50" s="225"/>
      <c r="R50" s="225"/>
      <c r="S50" s="225"/>
      <c r="T50" s="225"/>
    </row>
    <row r="51" spans="1:20" ht="15.75">
      <c r="A51" s="225">
        <v>100</v>
      </c>
      <c r="B51" s="225" t="s">
        <v>452</v>
      </c>
      <c r="C51" s="317">
        <v>14.03</v>
      </c>
      <c r="D51" s="224">
        <f t="shared" si="5"/>
        <v>16.344950000000001</v>
      </c>
      <c r="E51" s="225">
        <v>6</v>
      </c>
      <c r="F51" s="225">
        <v>6</v>
      </c>
      <c r="G51" s="225">
        <v>9</v>
      </c>
      <c r="H51" s="319">
        <v>6</v>
      </c>
      <c r="I51" s="225">
        <f>AVERAGE(E51:H51)</f>
        <v>6.75</v>
      </c>
      <c r="J51" s="318">
        <f t="shared" ref="J51:J54" si="8">+C51*I51*4</f>
        <v>378.81</v>
      </c>
      <c r="K51" s="225"/>
      <c r="L51" s="225"/>
      <c r="M51" s="224"/>
      <c r="N51" s="224">
        <f t="shared" si="3"/>
        <v>441.31365</v>
      </c>
      <c r="O51" s="225"/>
      <c r="P51" s="225"/>
      <c r="Q51" s="225"/>
      <c r="R51" s="225"/>
      <c r="S51" s="225"/>
      <c r="T51" s="225"/>
    </row>
    <row r="52" spans="1:20" ht="15.75">
      <c r="A52" s="225">
        <v>100</v>
      </c>
      <c r="B52" s="225" t="s">
        <v>453</v>
      </c>
      <c r="C52" s="317">
        <v>17.829999999999998</v>
      </c>
      <c r="D52" s="224">
        <f t="shared" si="5"/>
        <v>20.77195</v>
      </c>
      <c r="E52" s="225">
        <v>18</v>
      </c>
      <c r="F52" s="225">
        <v>18</v>
      </c>
      <c r="G52" s="225">
        <v>30</v>
      </c>
      <c r="H52" s="319">
        <v>29</v>
      </c>
      <c r="I52" s="225">
        <f t="shared" ref="I52:I54" si="9">AVERAGE(E52:H52)</f>
        <v>23.75</v>
      </c>
      <c r="J52" s="318">
        <f t="shared" si="8"/>
        <v>1693.85</v>
      </c>
      <c r="K52" s="225"/>
      <c r="L52" s="225"/>
      <c r="M52" s="224"/>
      <c r="N52" s="224">
        <f t="shared" si="3"/>
        <v>1973.3352500000001</v>
      </c>
      <c r="O52" s="225"/>
      <c r="P52" s="225"/>
      <c r="Q52" s="225"/>
      <c r="R52" s="225"/>
      <c r="S52" s="225"/>
      <c r="T52" s="225"/>
    </row>
    <row r="53" spans="1:20" ht="15.75">
      <c r="A53" s="225">
        <v>100</v>
      </c>
      <c r="B53" s="225" t="s">
        <v>478</v>
      </c>
      <c r="C53" s="317">
        <v>22.24</v>
      </c>
      <c r="D53" s="224">
        <f t="shared" si="5"/>
        <v>25.909599999999998</v>
      </c>
      <c r="E53" s="225">
        <v>3</v>
      </c>
      <c r="F53" s="225">
        <v>3</v>
      </c>
      <c r="G53" s="225">
        <v>6</v>
      </c>
      <c r="H53" s="319">
        <v>6</v>
      </c>
      <c r="I53" s="225">
        <f t="shared" si="9"/>
        <v>4.5</v>
      </c>
      <c r="J53" s="318">
        <f t="shared" si="8"/>
        <v>400.32</v>
      </c>
      <c r="K53" s="225"/>
      <c r="L53" s="225"/>
      <c r="M53" s="224"/>
      <c r="N53" s="224">
        <f t="shared" si="3"/>
        <v>466.37279999999998</v>
      </c>
      <c r="O53" s="225"/>
      <c r="P53" s="225"/>
      <c r="Q53" s="225"/>
      <c r="R53" s="225"/>
      <c r="S53" s="225"/>
      <c r="T53" s="225"/>
    </row>
    <row r="54" spans="1:20" ht="15.75">
      <c r="A54" s="225">
        <v>100</v>
      </c>
      <c r="B54" s="225" t="s">
        <v>454</v>
      </c>
      <c r="C54" s="317">
        <v>20.49</v>
      </c>
      <c r="D54" s="224">
        <f t="shared" si="5"/>
        <v>23.870849999999997</v>
      </c>
      <c r="E54" s="225">
        <v>183</v>
      </c>
      <c r="F54" s="225">
        <v>186</v>
      </c>
      <c r="G54" s="225">
        <v>198</v>
      </c>
      <c r="H54" s="319">
        <v>210</v>
      </c>
      <c r="I54" s="225">
        <f t="shared" si="9"/>
        <v>194.25</v>
      </c>
      <c r="J54" s="321">
        <f t="shared" si="8"/>
        <v>15920.73</v>
      </c>
      <c r="K54" s="225"/>
      <c r="L54" s="225"/>
      <c r="M54" s="224"/>
      <c r="N54" s="322">
        <f t="shared" si="3"/>
        <v>18547.650449999997</v>
      </c>
      <c r="O54" s="225"/>
      <c r="P54" s="225"/>
      <c r="Q54" s="225"/>
      <c r="R54" s="225"/>
      <c r="S54" s="225"/>
      <c r="T54" s="225"/>
    </row>
    <row r="55" spans="1:20" ht="15.75">
      <c r="A55" s="225" t="s">
        <v>456</v>
      </c>
      <c r="B55" s="225"/>
      <c r="C55" s="317"/>
      <c r="D55" s="225"/>
      <c r="E55" s="225"/>
      <c r="F55" s="225"/>
      <c r="G55" s="224"/>
      <c r="H55" s="319"/>
      <c r="I55" s="225"/>
      <c r="J55" s="318">
        <f>SUM(J50:J54)</f>
        <v>18413.71</v>
      </c>
      <c r="K55" s="229"/>
      <c r="L55" s="225"/>
      <c r="M55" s="224"/>
      <c r="N55" s="318">
        <f>SUM(N50:N54)</f>
        <v>21476.672149999999</v>
      </c>
      <c r="O55" s="225"/>
      <c r="P55" s="317">
        <f>+N55-J55</f>
        <v>3062.9621499999994</v>
      </c>
      <c r="Q55" s="225"/>
      <c r="R55" s="225"/>
      <c r="S55" s="225"/>
      <c r="T55" s="225"/>
    </row>
    <row r="56" spans="1:20" ht="15.75">
      <c r="A56" s="225"/>
      <c r="B56" s="225"/>
      <c r="C56" s="317"/>
      <c r="D56" s="225"/>
      <c r="E56" s="225"/>
      <c r="F56" s="225"/>
      <c r="G56" s="224"/>
      <c r="H56" s="319"/>
      <c r="I56" s="225"/>
      <c r="J56" s="318"/>
      <c r="K56" s="225"/>
      <c r="L56" s="225"/>
      <c r="M56" s="224"/>
      <c r="N56" s="224"/>
      <c r="O56" s="225"/>
      <c r="P56" s="225"/>
      <c r="Q56" s="225"/>
      <c r="R56" s="225"/>
      <c r="S56" s="225"/>
      <c r="T56" s="225"/>
    </row>
    <row r="57" spans="1:20" ht="15.75">
      <c r="A57" s="225"/>
      <c r="B57" s="225"/>
      <c r="C57" s="317"/>
      <c r="D57" s="225"/>
      <c r="E57" s="225"/>
      <c r="F57" s="225"/>
      <c r="G57" s="224"/>
      <c r="H57" s="319"/>
      <c r="I57" s="225"/>
      <c r="J57" s="318"/>
      <c r="K57" s="225"/>
      <c r="L57" s="225"/>
      <c r="M57" s="224"/>
      <c r="N57" s="224"/>
      <c r="O57" s="225"/>
      <c r="P57" s="225"/>
      <c r="Q57" s="225"/>
      <c r="R57" s="225"/>
      <c r="S57" s="225"/>
      <c r="T57" s="225"/>
    </row>
    <row r="58" spans="1:20" ht="15.75">
      <c r="A58" s="225" t="s">
        <v>479</v>
      </c>
      <c r="B58" s="225"/>
      <c r="C58" s="317"/>
      <c r="D58" s="225"/>
      <c r="E58" s="225"/>
      <c r="F58" s="225"/>
      <c r="G58" s="224"/>
      <c r="H58" s="319"/>
      <c r="I58" s="225"/>
      <c r="J58" s="318"/>
      <c r="K58" s="225"/>
      <c r="L58" s="225"/>
      <c r="M58" s="224"/>
      <c r="N58" s="224"/>
      <c r="O58" s="225"/>
      <c r="P58" s="225"/>
      <c r="Q58" s="225"/>
      <c r="R58" s="225"/>
      <c r="S58" s="225"/>
      <c r="T58" s="225"/>
    </row>
    <row r="59" spans="1:20" ht="15.75">
      <c r="A59" s="225"/>
      <c r="B59" s="225"/>
      <c r="C59" s="317"/>
      <c r="D59" s="225"/>
      <c r="E59" s="225"/>
      <c r="F59" s="225"/>
      <c r="G59" s="225"/>
      <c r="H59" s="319"/>
      <c r="I59" s="225"/>
      <c r="J59" s="318"/>
      <c r="K59" s="225"/>
      <c r="L59" s="225"/>
      <c r="M59" s="224"/>
      <c r="N59" s="224"/>
      <c r="O59" s="225"/>
      <c r="P59" s="225"/>
      <c r="Q59" s="225"/>
      <c r="R59" s="225"/>
      <c r="S59" s="225"/>
      <c r="T59" s="225"/>
    </row>
    <row r="60" spans="1:20" ht="15.75">
      <c r="A60" s="225">
        <v>240</v>
      </c>
      <c r="B60" s="225" t="s">
        <v>458</v>
      </c>
      <c r="C60" s="317">
        <v>7.35</v>
      </c>
      <c r="D60" s="224">
        <f t="shared" ref="D60:D71" si="10">+C60*$O$2</f>
        <v>8.5627499999999994</v>
      </c>
      <c r="E60" s="225">
        <v>280</v>
      </c>
      <c r="F60" s="225">
        <v>287</v>
      </c>
      <c r="G60" s="225">
        <v>300</v>
      </c>
      <c r="H60" s="319">
        <v>306</v>
      </c>
      <c r="I60" s="225">
        <v>293.25</v>
      </c>
      <c r="J60" s="318">
        <f t="shared" ref="J60:J71" si="11">+C60*I60*4</f>
        <v>8621.5499999999993</v>
      </c>
      <c r="K60" s="225"/>
      <c r="L60" s="225"/>
      <c r="M60" s="224"/>
      <c r="N60" s="224">
        <f t="shared" si="3"/>
        <v>10044.105749999999</v>
      </c>
      <c r="O60" s="225"/>
      <c r="P60" s="225"/>
      <c r="Q60" s="225"/>
      <c r="R60" s="225"/>
      <c r="S60" s="225"/>
      <c r="T60" s="225"/>
    </row>
    <row r="61" spans="1:20" ht="15.75">
      <c r="A61" s="225">
        <v>240</v>
      </c>
      <c r="B61" s="225" t="s">
        <v>459</v>
      </c>
      <c r="C61" s="317">
        <v>15.66</v>
      </c>
      <c r="D61" s="224">
        <f t="shared" si="10"/>
        <v>18.2439</v>
      </c>
      <c r="E61" s="225">
        <v>616</v>
      </c>
      <c r="F61" s="225">
        <v>610</v>
      </c>
      <c r="G61" s="225">
        <v>728</v>
      </c>
      <c r="H61" s="319">
        <v>717</v>
      </c>
      <c r="I61" s="225">
        <v>667.75</v>
      </c>
      <c r="J61" s="318">
        <f t="shared" si="11"/>
        <v>41827.86</v>
      </c>
      <c r="K61" s="225"/>
      <c r="L61" s="225"/>
      <c r="M61" s="224"/>
      <c r="N61" s="224">
        <f t="shared" si="3"/>
        <v>48729.456899999997</v>
      </c>
      <c r="O61" s="225"/>
      <c r="P61" s="225"/>
      <c r="Q61" s="225"/>
      <c r="R61" s="225"/>
      <c r="S61" s="225"/>
      <c r="T61" s="225"/>
    </row>
    <row r="62" spans="1:20" ht="15.75">
      <c r="A62" s="225">
        <v>240</v>
      </c>
      <c r="B62" s="225" t="s">
        <v>460</v>
      </c>
      <c r="C62" s="317">
        <v>15.66</v>
      </c>
      <c r="D62" s="224">
        <f t="shared" si="10"/>
        <v>18.2439</v>
      </c>
      <c r="E62" s="225">
        <v>0</v>
      </c>
      <c r="F62" s="225">
        <v>0</v>
      </c>
      <c r="G62" s="225">
        <v>0</v>
      </c>
      <c r="H62" s="319">
        <v>2</v>
      </c>
      <c r="I62" s="225">
        <v>0.5</v>
      </c>
      <c r="J62" s="318">
        <f t="shared" si="11"/>
        <v>31.32</v>
      </c>
      <c r="K62" s="225"/>
      <c r="L62" s="225"/>
      <c r="M62" s="224"/>
      <c r="N62" s="224">
        <f t="shared" si="3"/>
        <v>36.4878</v>
      </c>
      <c r="O62" s="225"/>
      <c r="P62" s="225"/>
      <c r="Q62" s="225"/>
      <c r="R62" s="225"/>
      <c r="S62" s="225"/>
      <c r="T62" s="225"/>
    </row>
    <row r="63" spans="1:20" ht="15.75">
      <c r="A63" s="225">
        <v>240</v>
      </c>
      <c r="B63" s="225" t="s">
        <v>461</v>
      </c>
      <c r="C63" s="317">
        <v>9.4499999999999993</v>
      </c>
      <c r="D63" s="224">
        <f t="shared" si="10"/>
        <v>11.00925</v>
      </c>
      <c r="E63" s="225">
        <v>68</v>
      </c>
      <c r="F63" s="225">
        <v>68</v>
      </c>
      <c r="G63" s="225">
        <v>60</v>
      </c>
      <c r="H63" s="319">
        <v>67</v>
      </c>
      <c r="I63" s="225">
        <v>65.75</v>
      </c>
      <c r="J63" s="318">
        <f t="shared" si="11"/>
        <v>2485.35</v>
      </c>
      <c r="K63" s="225"/>
      <c r="L63" s="225"/>
      <c r="M63" s="224"/>
      <c r="N63" s="224">
        <f t="shared" si="3"/>
        <v>2895.4327499999999</v>
      </c>
      <c r="O63" s="225"/>
      <c r="P63" s="225"/>
      <c r="Q63" s="225"/>
      <c r="R63" s="225"/>
      <c r="S63" s="225"/>
      <c r="T63" s="225"/>
    </row>
    <row r="64" spans="1:20" ht="15.75">
      <c r="A64" s="225">
        <v>240</v>
      </c>
      <c r="B64" s="225" t="s">
        <v>462</v>
      </c>
      <c r="C64" s="317">
        <v>19.170000000000002</v>
      </c>
      <c r="D64" s="224">
        <f t="shared" si="10"/>
        <v>22.333050000000004</v>
      </c>
      <c r="E64" s="225">
        <v>142</v>
      </c>
      <c r="F64" s="225">
        <v>148</v>
      </c>
      <c r="G64" s="225">
        <v>109</v>
      </c>
      <c r="H64" s="319">
        <v>128</v>
      </c>
      <c r="I64" s="225">
        <v>131.75</v>
      </c>
      <c r="J64" s="318">
        <f t="shared" si="11"/>
        <v>10102.59</v>
      </c>
      <c r="K64" s="225"/>
      <c r="L64" s="225"/>
      <c r="M64" s="224"/>
      <c r="N64" s="224">
        <f t="shared" si="3"/>
        <v>11769.517350000002</v>
      </c>
      <c r="O64" s="225"/>
      <c r="P64" s="225"/>
      <c r="Q64" s="225"/>
      <c r="R64" s="225"/>
      <c r="S64" s="225"/>
      <c r="T64" s="225"/>
    </row>
    <row r="65" spans="1:20" ht="15.75">
      <c r="A65" s="225">
        <v>240</v>
      </c>
      <c r="B65" s="225" t="s">
        <v>463</v>
      </c>
      <c r="C65" s="317">
        <v>19.170000000000002</v>
      </c>
      <c r="D65" s="224">
        <f t="shared" si="10"/>
        <v>22.333050000000004</v>
      </c>
      <c r="E65" s="225">
        <v>2</v>
      </c>
      <c r="F65" s="225">
        <v>0</v>
      </c>
      <c r="G65" s="225">
        <v>0</v>
      </c>
      <c r="H65" s="319">
        <v>5</v>
      </c>
      <c r="I65" s="225">
        <v>1.75</v>
      </c>
      <c r="J65" s="318">
        <f t="shared" si="11"/>
        <v>134.19</v>
      </c>
      <c r="K65" s="225"/>
      <c r="L65" s="225"/>
      <c r="M65" s="224"/>
      <c r="N65" s="224">
        <f t="shared" si="3"/>
        <v>156.33135000000001</v>
      </c>
      <c r="O65" s="225"/>
      <c r="P65" s="225"/>
      <c r="Q65" s="225"/>
      <c r="R65" s="225"/>
      <c r="S65" s="225"/>
      <c r="T65" s="225"/>
    </row>
    <row r="66" spans="1:20" ht="15.75">
      <c r="A66" s="225">
        <v>240</v>
      </c>
      <c r="B66" s="225" t="s">
        <v>464</v>
      </c>
      <c r="C66" s="317">
        <v>15.75</v>
      </c>
      <c r="D66" s="224">
        <f t="shared" si="10"/>
        <v>18.348749999999999</v>
      </c>
      <c r="E66" s="225">
        <v>3</v>
      </c>
      <c r="F66" s="225">
        <v>3</v>
      </c>
      <c r="G66" s="225">
        <v>3</v>
      </c>
      <c r="H66" s="319">
        <v>3</v>
      </c>
      <c r="I66" s="225">
        <v>3</v>
      </c>
      <c r="J66" s="318">
        <f t="shared" si="11"/>
        <v>189</v>
      </c>
      <c r="K66" s="225"/>
      <c r="L66" s="225"/>
      <c r="M66" s="224"/>
      <c r="N66" s="224">
        <f t="shared" si="3"/>
        <v>220.185</v>
      </c>
      <c r="O66" s="225"/>
      <c r="P66" s="225"/>
      <c r="Q66" s="225"/>
      <c r="R66" s="225"/>
      <c r="S66" s="225"/>
      <c r="T66" s="225"/>
    </row>
    <row r="67" spans="1:20" ht="15.75">
      <c r="A67" s="225">
        <v>240</v>
      </c>
      <c r="B67" s="225" t="s">
        <v>465</v>
      </c>
      <c r="C67" s="317">
        <v>28.91</v>
      </c>
      <c r="D67" s="224">
        <f t="shared" si="10"/>
        <v>33.680150000000005</v>
      </c>
      <c r="E67" s="225">
        <v>13</v>
      </c>
      <c r="F67" s="225">
        <v>13</v>
      </c>
      <c r="G67" s="225">
        <v>13</v>
      </c>
      <c r="H67" s="319">
        <v>13</v>
      </c>
      <c r="I67" s="225">
        <v>13</v>
      </c>
      <c r="J67" s="318">
        <f t="shared" si="11"/>
        <v>1503.32</v>
      </c>
      <c r="K67" s="225"/>
      <c r="L67" s="225"/>
      <c r="M67" s="224"/>
      <c r="N67" s="224">
        <f t="shared" si="3"/>
        <v>1751.3678000000002</v>
      </c>
      <c r="O67" s="225"/>
      <c r="P67" s="225"/>
      <c r="Q67" s="225"/>
      <c r="R67" s="225"/>
      <c r="S67" s="225"/>
      <c r="T67" s="225"/>
    </row>
    <row r="68" spans="1:20" ht="15.75">
      <c r="A68" s="225">
        <v>240</v>
      </c>
      <c r="B68" s="225" t="s">
        <v>466</v>
      </c>
      <c r="C68" s="317">
        <v>28.91</v>
      </c>
      <c r="D68" s="224">
        <f t="shared" si="10"/>
        <v>33.680150000000005</v>
      </c>
      <c r="E68" s="225">
        <v>0</v>
      </c>
      <c r="F68" s="225">
        <v>0</v>
      </c>
      <c r="G68" s="225">
        <v>0</v>
      </c>
      <c r="H68" s="319">
        <v>0</v>
      </c>
      <c r="I68" s="225">
        <v>0</v>
      </c>
      <c r="J68" s="318">
        <f t="shared" si="11"/>
        <v>0</v>
      </c>
      <c r="K68" s="225"/>
      <c r="L68" s="225"/>
      <c r="M68" s="224"/>
      <c r="N68" s="224">
        <f t="shared" si="3"/>
        <v>0</v>
      </c>
      <c r="O68" s="225"/>
      <c r="P68" s="225"/>
      <c r="Q68" s="225"/>
      <c r="R68" s="225"/>
      <c r="S68" s="225"/>
      <c r="T68" s="225"/>
    </row>
    <row r="69" spans="1:20" ht="15.75">
      <c r="A69" s="225">
        <v>240</v>
      </c>
      <c r="B69" s="225" t="s">
        <v>467</v>
      </c>
      <c r="C69" s="317">
        <v>19.95</v>
      </c>
      <c r="D69" s="224">
        <f t="shared" si="10"/>
        <v>23.24175</v>
      </c>
      <c r="E69" s="225">
        <v>3</v>
      </c>
      <c r="F69" s="225">
        <v>3</v>
      </c>
      <c r="G69" s="225">
        <v>3</v>
      </c>
      <c r="H69" s="319">
        <v>3</v>
      </c>
      <c r="I69" s="225">
        <v>3</v>
      </c>
      <c r="J69" s="318">
        <f t="shared" si="11"/>
        <v>239.39999999999998</v>
      </c>
      <c r="K69" s="225"/>
      <c r="L69" s="225"/>
      <c r="M69" s="224"/>
      <c r="N69" s="224">
        <f t="shared" si="3"/>
        <v>278.90100000000001</v>
      </c>
      <c r="O69" s="225"/>
      <c r="P69" s="225"/>
      <c r="Q69" s="225"/>
      <c r="R69" s="225"/>
      <c r="S69" s="225"/>
      <c r="T69" s="225"/>
    </row>
    <row r="70" spans="1:20" ht="15.75">
      <c r="A70" s="225">
        <v>240</v>
      </c>
      <c r="B70" s="225" t="s">
        <v>468</v>
      </c>
      <c r="C70" s="317">
        <v>33.799999999999997</v>
      </c>
      <c r="D70" s="224">
        <f t="shared" si="10"/>
        <v>39.376999999999995</v>
      </c>
      <c r="E70" s="225">
        <v>7</v>
      </c>
      <c r="F70" s="225">
        <v>7</v>
      </c>
      <c r="G70" s="225">
        <v>7</v>
      </c>
      <c r="H70" s="319">
        <v>7</v>
      </c>
      <c r="I70" s="225">
        <v>7</v>
      </c>
      <c r="J70" s="318">
        <f t="shared" si="11"/>
        <v>946.39999999999986</v>
      </c>
      <c r="K70" s="225"/>
      <c r="L70" s="225"/>
      <c r="M70" s="224"/>
      <c r="N70" s="224">
        <f t="shared" si="3"/>
        <v>1102.5559999999998</v>
      </c>
      <c r="O70" s="225"/>
      <c r="P70" s="225"/>
      <c r="Q70" s="225"/>
      <c r="R70" s="225"/>
      <c r="S70" s="225"/>
      <c r="T70" s="225"/>
    </row>
    <row r="71" spans="1:20" ht="15.75">
      <c r="A71" s="225">
        <v>240</v>
      </c>
      <c r="B71" s="225" t="s">
        <v>469</v>
      </c>
      <c r="C71" s="317">
        <v>33.799999999999997</v>
      </c>
      <c r="D71" s="224">
        <f t="shared" si="10"/>
        <v>39.376999999999995</v>
      </c>
      <c r="E71" s="225">
        <v>1</v>
      </c>
      <c r="F71" s="225">
        <v>0</v>
      </c>
      <c r="G71" s="225">
        <v>0</v>
      </c>
      <c r="H71" s="319">
        <v>0</v>
      </c>
      <c r="I71" s="225">
        <v>0.25</v>
      </c>
      <c r="J71" s="321">
        <f t="shared" si="11"/>
        <v>33.799999999999997</v>
      </c>
      <c r="K71" s="225"/>
      <c r="L71" s="225"/>
      <c r="M71" s="224"/>
      <c r="N71" s="322">
        <f t="shared" si="3"/>
        <v>39.376999999999995</v>
      </c>
      <c r="O71" s="225"/>
      <c r="P71" s="225"/>
      <c r="Q71" s="225"/>
      <c r="R71" s="225"/>
      <c r="S71" s="225"/>
      <c r="T71" s="225"/>
    </row>
    <row r="72" spans="1:20" ht="15.75">
      <c r="A72" s="225" t="s">
        <v>474</v>
      </c>
      <c r="B72" s="225"/>
      <c r="C72" s="317"/>
      <c r="D72" s="225"/>
      <c r="E72" s="225"/>
      <c r="F72" s="225"/>
      <c r="G72" s="224"/>
      <c r="H72" s="225"/>
      <c r="I72" s="225"/>
      <c r="J72" s="318">
        <f>SUM(J60:J71)</f>
        <v>66114.78</v>
      </c>
      <c r="K72" s="317"/>
      <c r="L72" s="225"/>
      <c r="M72" s="224"/>
      <c r="N72" s="318">
        <f>SUM(N60:N71)</f>
        <v>77023.718699999983</v>
      </c>
      <c r="O72" s="225"/>
      <c r="P72" s="317">
        <f>+N72-J72</f>
        <v>10908.938699999984</v>
      </c>
      <c r="Q72" s="225"/>
      <c r="R72" s="225"/>
      <c r="S72" s="225"/>
      <c r="T72" s="225"/>
    </row>
    <row r="73" spans="1:20" ht="15.75">
      <c r="A73" s="225"/>
      <c r="B73" s="225"/>
      <c r="C73" s="317"/>
      <c r="D73" s="225"/>
      <c r="E73" s="225"/>
      <c r="F73" s="225"/>
      <c r="G73" s="224"/>
      <c r="H73" s="225"/>
      <c r="I73" s="225"/>
      <c r="J73" s="318"/>
      <c r="K73" s="225"/>
      <c r="L73" s="225"/>
      <c r="M73" s="224"/>
      <c r="N73" s="224"/>
      <c r="O73" s="225"/>
      <c r="P73" s="225"/>
      <c r="Q73" s="225"/>
      <c r="R73" s="225"/>
      <c r="S73" s="225"/>
      <c r="T73" s="225"/>
    </row>
    <row r="74" spans="1:20" ht="15.75">
      <c r="A74" s="225"/>
      <c r="B74" s="225"/>
      <c r="C74" s="317"/>
      <c r="D74" s="225"/>
      <c r="E74" s="225"/>
      <c r="F74" s="225"/>
      <c r="G74" s="224"/>
      <c r="H74" s="311"/>
      <c r="I74" s="225"/>
      <c r="J74" s="318"/>
      <c r="K74" s="225"/>
      <c r="L74" s="225"/>
      <c r="M74" s="224"/>
      <c r="N74" s="224"/>
      <c r="O74" s="225"/>
      <c r="P74" s="225"/>
      <c r="Q74" s="225"/>
      <c r="R74" s="225"/>
      <c r="S74" s="225"/>
      <c r="T74" s="225"/>
    </row>
    <row r="75" spans="1:20" ht="15.75">
      <c r="A75" s="225" t="s">
        <v>480</v>
      </c>
      <c r="B75" s="225"/>
      <c r="C75" s="317"/>
      <c r="D75" s="225"/>
      <c r="E75" s="225"/>
      <c r="F75" s="225"/>
      <c r="G75" s="224"/>
      <c r="H75" s="311"/>
      <c r="I75" s="225"/>
      <c r="J75" s="318"/>
      <c r="K75" s="225"/>
      <c r="L75" s="225"/>
      <c r="M75" s="224"/>
      <c r="N75" s="224"/>
      <c r="O75" s="225"/>
      <c r="P75" s="225"/>
      <c r="Q75" s="225"/>
      <c r="R75" s="225"/>
      <c r="S75" s="225"/>
      <c r="T75" s="225"/>
    </row>
    <row r="76" spans="1:20" ht="15.75">
      <c r="A76" s="225">
        <v>200</v>
      </c>
      <c r="B76" s="225" t="s">
        <v>481</v>
      </c>
      <c r="C76" s="317">
        <v>55</v>
      </c>
      <c r="D76" s="224">
        <v>65</v>
      </c>
      <c r="E76" s="225">
        <v>17</v>
      </c>
      <c r="F76" s="225">
        <v>20</v>
      </c>
      <c r="G76" s="225">
        <v>18</v>
      </c>
      <c r="H76" s="319">
        <v>24</v>
      </c>
      <c r="I76" s="225">
        <v>19.75</v>
      </c>
      <c r="J76" s="318">
        <f t="shared" ref="J76:J80" si="12">+C76*I76*4</f>
        <v>4345</v>
      </c>
      <c r="K76" s="225"/>
      <c r="L76" s="225"/>
      <c r="M76" s="224"/>
      <c r="N76" s="224">
        <f t="shared" ref="N76:N80" si="13">+D76*I76*4</f>
        <v>5135</v>
      </c>
      <c r="O76" s="225"/>
      <c r="P76" s="225"/>
      <c r="Q76" s="225"/>
      <c r="R76" s="225"/>
      <c r="S76" s="225"/>
      <c r="T76" s="225"/>
    </row>
    <row r="77" spans="1:20" ht="15.75">
      <c r="A77" s="225">
        <v>200</v>
      </c>
      <c r="B77" s="225" t="s">
        <v>482</v>
      </c>
      <c r="C77" s="317">
        <v>75</v>
      </c>
      <c r="D77" s="224">
        <v>87</v>
      </c>
      <c r="E77" s="225">
        <v>23</v>
      </c>
      <c r="F77" s="225">
        <v>33</v>
      </c>
      <c r="G77" s="225">
        <v>28</v>
      </c>
      <c r="H77" s="319">
        <v>37</v>
      </c>
      <c r="I77" s="225">
        <v>30.25</v>
      </c>
      <c r="J77" s="318">
        <f t="shared" si="12"/>
        <v>9075</v>
      </c>
      <c r="K77" s="225"/>
      <c r="L77" s="225"/>
      <c r="M77" s="224"/>
      <c r="N77" s="224">
        <f t="shared" si="13"/>
        <v>10527</v>
      </c>
      <c r="O77" s="225"/>
      <c r="P77" s="225"/>
      <c r="Q77" s="225"/>
      <c r="R77" s="225"/>
      <c r="S77" s="225"/>
      <c r="T77" s="225"/>
    </row>
    <row r="78" spans="1:20" ht="15.75">
      <c r="A78" s="225">
        <v>200</v>
      </c>
      <c r="B78" s="225" t="s">
        <v>483</v>
      </c>
      <c r="C78" s="317">
        <v>65</v>
      </c>
      <c r="D78" s="224">
        <v>75</v>
      </c>
      <c r="E78" s="225">
        <v>7</v>
      </c>
      <c r="F78" s="225">
        <v>6</v>
      </c>
      <c r="G78" s="225">
        <v>6</v>
      </c>
      <c r="H78" s="319">
        <v>6</v>
      </c>
      <c r="I78" s="225">
        <v>6.25</v>
      </c>
      <c r="J78" s="318">
        <f t="shared" si="12"/>
        <v>1625</v>
      </c>
      <c r="K78" s="225"/>
      <c r="L78" s="225"/>
      <c r="M78" s="224"/>
      <c r="N78" s="224">
        <f t="shared" si="13"/>
        <v>1875</v>
      </c>
      <c r="O78" s="225"/>
      <c r="P78" s="225"/>
      <c r="Q78" s="225"/>
      <c r="R78" s="225"/>
      <c r="S78" s="225"/>
      <c r="T78" s="225"/>
    </row>
    <row r="79" spans="1:20" ht="15.75">
      <c r="A79" s="225">
        <v>200</v>
      </c>
      <c r="B79" s="225" t="s">
        <v>484</v>
      </c>
      <c r="C79" s="317">
        <v>105</v>
      </c>
      <c r="D79" s="224">
        <v>121.5</v>
      </c>
      <c r="E79" s="225">
        <v>76</v>
      </c>
      <c r="F79" s="225">
        <v>87</v>
      </c>
      <c r="G79" s="225">
        <v>57</v>
      </c>
      <c r="H79" s="319">
        <v>47</v>
      </c>
      <c r="I79" s="225">
        <v>66.75</v>
      </c>
      <c r="J79" s="318">
        <f t="shared" si="12"/>
        <v>28035</v>
      </c>
      <c r="K79" s="225"/>
      <c r="L79" s="225"/>
      <c r="M79" s="224"/>
      <c r="N79" s="224">
        <f t="shared" si="13"/>
        <v>32440.5</v>
      </c>
      <c r="O79" s="225"/>
      <c r="P79" s="225"/>
      <c r="Q79" s="225"/>
      <c r="R79" s="225"/>
      <c r="S79" s="225"/>
      <c r="T79" s="225"/>
    </row>
    <row r="80" spans="1:20" ht="15.75">
      <c r="A80" s="225">
        <v>200</v>
      </c>
      <c r="B80" s="225" t="s">
        <v>485</v>
      </c>
      <c r="C80" s="317">
        <v>1.5</v>
      </c>
      <c r="D80" s="225">
        <v>3.75</v>
      </c>
      <c r="E80" s="225">
        <v>240</v>
      </c>
      <c r="F80" s="225">
        <v>944</v>
      </c>
      <c r="G80" s="225">
        <v>796</v>
      </c>
      <c r="H80" s="319">
        <v>378</v>
      </c>
      <c r="I80" s="225">
        <v>589.5</v>
      </c>
      <c r="J80" s="321">
        <f t="shared" si="12"/>
        <v>3537</v>
      </c>
      <c r="K80" s="225"/>
      <c r="L80" s="225"/>
      <c r="M80" s="224"/>
      <c r="N80" s="224">
        <f t="shared" si="13"/>
        <v>8842.5</v>
      </c>
      <c r="O80" s="225"/>
      <c r="P80" s="225"/>
      <c r="Q80" s="225"/>
      <c r="R80" s="225"/>
      <c r="S80" s="225"/>
      <c r="T80" s="225"/>
    </row>
    <row r="81" spans="1:20" ht="15.75">
      <c r="A81" s="324"/>
      <c r="B81" s="324"/>
      <c r="C81" s="324"/>
      <c r="D81" s="324"/>
      <c r="E81" s="324"/>
      <c r="F81" s="324"/>
      <c r="G81" s="324"/>
      <c r="H81" s="324"/>
      <c r="I81" s="324"/>
      <c r="J81" s="325">
        <f>SUM(J76:J80)</f>
        <v>46617</v>
      </c>
      <c r="K81" s="324"/>
      <c r="L81" s="225"/>
      <c r="M81" s="224"/>
      <c r="N81" s="325">
        <f>SUM(N76:N80)</f>
        <v>58820</v>
      </c>
      <c r="O81" s="225"/>
      <c r="P81" s="317">
        <f>+N81-J81</f>
        <v>12203</v>
      </c>
      <c r="Q81" s="225"/>
      <c r="R81" s="225"/>
      <c r="S81" s="225"/>
      <c r="T81" s="225"/>
    </row>
    <row r="82" spans="1:20" ht="15.75">
      <c r="A82" s="324" t="s">
        <v>486</v>
      </c>
      <c r="B82" s="324"/>
      <c r="C82" s="324"/>
      <c r="D82" s="324"/>
      <c r="E82" s="324"/>
      <c r="F82" s="324"/>
      <c r="G82" s="324"/>
      <c r="H82" s="324"/>
      <c r="I82" s="324"/>
      <c r="J82" s="324">
        <f>+J22+J42+J55+J72+J81</f>
        <v>1260831.075</v>
      </c>
      <c r="K82" s="324"/>
      <c r="L82" s="225"/>
      <c r="M82" s="224"/>
      <c r="N82" s="324">
        <f>+N22+N42+N55+N72+N81</f>
        <v>1473186.1942000003</v>
      </c>
      <c r="O82" s="225"/>
      <c r="P82" s="324">
        <f>+P22+P42+P55+P72+P81</f>
        <v>212355.11920000025</v>
      </c>
      <c r="Q82" s="326">
        <f ca="1">+'LG Nonpublic 2018 V5.2a'!M21</f>
        <v>212578.40944789822</v>
      </c>
      <c r="R82" s="225"/>
      <c r="S82" s="225"/>
      <c r="T82" s="225"/>
    </row>
    <row r="83" spans="1:20" ht="15.75">
      <c r="A83" s="324"/>
      <c r="B83" s="324"/>
      <c r="C83" s="324"/>
      <c r="D83" s="324"/>
      <c r="E83" s="324"/>
      <c r="F83" s="324"/>
      <c r="G83" s="324"/>
      <c r="H83" s="324"/>
      <c r="I83" s="324"/>
      <c r="J83" s="324"/>
      <c r="K83" s="324"/>
      <c r="L83" s="225"/>
      <c r="M83" s="224"/>
      <c r="N83" s="225"/>
      <c r="O83" s="225"/>
      <c r="P83" s="225"/>
      <c r="Q83" s="225"/>
      <c r="R83" s="225"/>
      <c r="S83" s="225"/>
      <c r="T83" s="225"/>
    </row>
    <row r="84" spans="1:20" ht="15.75">
      <c r="A84" s="327" t="s">
        <v>487</v>
      </c>
      <c r="B84" s="324"/>
      <c r="C84" s="324"/>
      <c r="D84" s="324"/>
      <c r="E84" s="324"/>
      <c r="F84" s="324"/>
      <c r="G84" s="324"/>
      <c r="H84" s="324"/>
      <c r="I84" s="324"/>
      <c r="J84" s="324"/>
      <c r="K84" s="324"/>
      <c r="L84" s="225"/>
      <c r="M84" s="224"/>
      <c r="N84" s="225"/>
      <c r="O84" s="225"/>
      <c r="P84" s="225"/>
      <c r="Q84" s="225"/>
      <c r="R84" s="225"/>
      <c r="S84" s="225"/>
      <c r="T84" s="225"/>
    </row>
    <row r="85" spans="1:20" ht="15.75">
      <c r="A85" s="324" t="s">
        <v>488</v>
      </c>
      <c r="B85" s="324"/>
      <c r="C85" s="324"/>
      <c r="D85" s="324"/>
      <c r="E85" s="324"/>
      <c r="F85" s="324"/>
      <c r="G85" s="324"/>
      <c r="H85" s="324"/>
      <c r="I85" s="324"/>
      <c r="J85" s="324">
        <v>24784.75</v>
      </c>
      <c r="K85" s="324"/>
      <c r="L85" s="225"/>
      <c r="M85" s="224"/>
      <c r="N85" s="225"/>
      <c r="O85" s="225"/>
      <c r="P85" s="225"/>
      <c r="Q85" s="225"/>
      <c r="R85" s="225"/>
      <c r="S85" s="225"/>
      <c r="T85" s="225"/>
    </row>
    <row r="86" spans="1:20" ht="15.75">
      <c r="A86" s="324" t="s">
        <v>489</v>
      </c>
      <c r="B86" s="324"/>
      <c r="C86" s="324"/>
      <c r="D86" s="324"/>
      <c r="E86" s="324"/>
      <c r="F86" s="324"/>
      <c r="G86" s="324"/>
      <c r="H86" s="324"/>
      <c r="I86" s="324"/>
      <c r="J86" s="324">
        <v>69324.06</v>
      </c>
      <c r="K86" s="324"/>
      <c r="L86" s="225"/>
      <c r="M86" s="224"/>
      <c r="N86" s="225"/>
      <c r="O86" s="225"/>
      <c r="P86" s="225"/>
      <c r="Q86" s="225"/>
      <c r="R86" s="225"/>
      <c r="S86" s="225"/>
      <c r="T86" s="225"/>
    </row>
    <row r="87" spans="1:20" ht="15.75">
      <c r="A87" s="324" t="s">
        <v>490</v>
      </c>
      <c r="B87" s="324"/>
      <c r="C87" s="324"/>
      <c r="D87" s="324"/>
      <c r="E87" s="324"/>
      <c r="F87" s="324"/>
      <c r="G87" s="324"/>
      <c r="H87" s="324"/>
      <c r="I87" s="324"/>
      <c r="J87" s="324">
        <v>48474.81</v>
      </c>
      <c r="K87" s="324"/>
      <c r="L87" s="225"/>
      <c r="M87" s="224"/>
      <c r="N87" s="225"/>
      <c r="O87" s="225"/>
      <c r="P87" s="225"/>
      <c r="Q87" s="225"/>
      <c r="R87" s="225"/>
      <c r="S87" s="225"/>
      <c r="T87" s="225"/>
    </row>
    <row r="88" spans="1:20" ht="15.75">
      <c r="A88" s="324" t="s">
        <v>491</v>
      </c>
      <c r="B88" s="324"/>
      <c r="C88" s="324"/>
      <c r="D88" s="324"/>
      <c r="E88" s="324"/>
      <c r="F88" s="324"/>
      <c r="G88" s="324"/>
      <c r="H88" s="324"/>
      <c r="I88" s="324"/>
      <c r="J88" s="324">
        <v>82376.240000000005</v>
      </c>
      <c r="K88" s="324"/>
      <c r="L88" s="225"/>
      <c r="M88" s="224"/>
      <c r="N88" s="225"/>
      <c r="O88" s="225"/>
      <c r="P88" s="225"/>
      <c r="Q88" s="225"/>
      <c r="R88" s="225"/>
      <c r="S88" s="225"/>
      <c r="T88" s="225"/>
    </row>
    <row r="89" spans="1:20" ht="15.75">
      <c r="A89" s="324" t="s">
        <v>492</v>
      </c>
      <c r="B89" s="324"/>
      <c r="C89" s="324"/>
      <c r="D89" s="324"/>
      <c r="E89" s="324"/>
      <c r="F89" s="324"/>
      <c r="G89" s="324"/>
      <c r="H89" s="324"/>
      <c r="I89" s="324"/>
      <c r="J89" s="324">
        <v>804612.59</v>
      </c>
      <c r="K89" s="324"/>
      <c r="L89" s="225"/>
      <c r="M89" s="224"/>
      <c r="N89" s="225"/>
      <c r="O89" s="225"/>
      <c r="P89" s="225"/>
      <c r="Q89" s="225"/>
      <c r="R89" s="225"/>
      <c r="S89" s="225"/>
      <c r="T89" s="225"/>
    </row>
    <row r="90" spans="1:20" ht="15.75">
      <c r="A90" s="324" t="s">
        <v>493</v>
      </c>
      <c r="B90" s="324"/>
      <c r="C90" s="324"/>
      <c r="D90" s="324"/>
      <c r="E90" s="324"/>
      <c r="F90" s="324"/>
      <c r="G90" s="324"/>
      <c r="H90" s="324"/>
      <c r="I90" s="324"/>
      <c r="J90" s="324">
        <v>27337.73</v>
      </c>
      <c r="K90" s="324"/>
      <c r="L90" s="225"/>
      <c r="M90" s="224"/>
      <c r="N90" s="225"/>
      <c r="O90" s="225"/>
      <c r="P90" s="225"/>
      <c r="Q90" s="225"/>
      <c r="R90" s="225"/>
      <c r="S90" s="225"/>
      <c r="T90" s="225"/>
    </row>
    <row r="91" spans="1:20" ht="15.75">
      <c r="A91" s="324" t="s">
        <v>494</v>
      </c>
      <c r="B91" s="324"/>
      <c r="C91" s="324"/>
      <c r="D91" s="324"/>
      <c r="E91" s="324"/>
      <c r="F91" s="324"/>
      <c r="G91" s="324"/>
      <c r="H91" s="324"/>
      <c r="I91" s="324"/>
      <c r="J91" s="328">
        <v>223846.5</v>
      </c>
      <c r="K91" s="324"/>
      <c r="L91" s="225"/>
      <c r="M91" s="224"/>
      <c r="N91" s="225"/>
      <c r="O91" s="225"/>
      <c r="P91" s="225"/>
      <c r="Q91" s="225"/>
      <c r="R91" s="225"/>
      <c r="S91" s="225"/>
      <c r="T91" s="225"/>
    </row>
    <row r="92" spans="1:20" ht="15.75">
      <c r="A92" s="324"/>
      <c r="B92" s="324"/>
      <c r="C92" s="324"/>
      <c r="D92" s="324"/>
      <c r="E92" s="324"/>
      <c r="F92" s="324"/>
      <c r="G92" s="324"/>
      <c r="H92" s="324"/>
      <c r="I92" s="324"/>
      <c r="J92" s="324">
        <f>SUM(J85:J91)</f>
        <v>1280756.68</v>
      </c>
      <c r="K92" s="324"/>
      <c r="L92" s="225"/>
      <c r="M92" s="224"/>
      <c r="N92" s="225"/>
      <c r="O92" s="225"/>
      <c r="P92" s="225"/>
      <c r="Q92" s="225"/>
      <c r="R92" s="225"/>
      <c r="S92" s="225"/>
      <c r="T92" s="225"/>
    </row>
    <row r="93" spans="1:20" ht="15.75">
      <c r="A93" s="324"/>
      <c r="B93" s="324"/>
      <c r="C93" s="324"/>
      <c r="D93" s="324"/>
      <c r="E93" s="324"/>
      <c r="F93" s="324"/>
      <c r="G93" s="324"/>
      <c r="H93" s="324"/>
      <c r="I93" s="324"/>
      <c r="J93" s="324"/>
      <c r="K93" s="324"/>
      <c r="L93" s="225"/>
      <c r="M93" s="225"/>
      <c r="N93" s="225"/>
      <c r="O93" s="225"/>
      <c r="P93" s="225"/>
      <c r="Q93" s="225"/>
      <c r="R93" s="225"/>
      <c r="S93" s="225"/>
      <c r="T93" s="225"/>
    </row>
    <row r="94" spans="1:20" ht="15.75">
      <c r="A94" s="324" t="s">
        <v>495</v>
      </c>
      <c r="B94" s="324"/>
      <c r="C94" s="324"/>
      <c r="D94" s="324"/>
      <c r="E94" s="324"/>
      <c r="F94" s="324"/>
      <c r="G94" s="324"/>
      <c r="H94" s="324"/>
      <c r="I94" s="324"/>
      <c r="J94" s="329">
        <f>+J92/J82-1</f>
        <v>1.5803548465047168E-2</v>
      </c>
      <c r="K94" s="324"/>
      <c r="L94" s="225"/>
      <c r="M94" s="225"/>
      <c r="N94" s="225"/>
      <c r="O94" s="225"/>
      <c r="P94" s="225"/>
      <c r="Q94" s="225"/>
      <c r="R94" s="225"/>
      <c r="S94" s="225"/>
      <c r="T94" s="225"/>
    </row>
    <row r="95" spans="1:20" ht="15.75">
      <c r="A95" s="324"/>
      <c r="B95" s="324"/>
      <c r="C95" s="324"/>
      <c r="D95" s="324"/>
      <c r="E95" s="324"/>
      <c r="F95" s="324"/>
      <c r="G95" s="324"/>
      <c r="H95" s="324"/>
      <c r="I95" s="324"/>
      <c r="J95" s="324"/>
      <c r="K95" s="324"/>
      <c r="L95" s="225"/>
      <c r="M95" s="225"/>
      <c r="N95" s="225"/>
      <c r="O95" s="225"/>
      <c r="P95" s="225"/>
      <c r="Q95" s="225"/>
      <c r="R95" s="225"/>
      <c r="S95" s="225"/>
      <c r="T95" s="225"/>
    </row>
    <row r="96" spans="1:20" ht="15.75">
      <c r="A96" s="225"/>
      <c r="B96" s="225"/>
      <c r="C96" s="225"/>
      <c r="D96" s="225"/>
      <c r="E96" s="225"/>
      <c r="F96" s="225"/>
      <c r="G96" s="225"/>
      <c r="H96" s="225"/>
      <c r="I96" s="225"/>
      <c r="J96" s="225"/>
      <c r="K96" s="225"/>
      <c r="L96" s="225"/>
      <c r="M96" s="225"/>
      <c r="N96" s="225"/>
      <c r="O96" s="225"/>
      <c r="P96" s="225"/>
      <c r="Q96" s="225"/>
      <c r="R96" s="225"/>
      <c r="S96" s="225"/>
      <c r="T96" s="225"/>
    </row>
    <row r="97" spans="1:20" ht="15.75">
      <c r="A97" s="225"/>
      <c r="B97" s="225"/>
      <c r="C97" s="225"/>
      <c r="D97" s="225"/>
      <c r="E97" s="225"/>
      <c r="F97" s="225"/>
      <c r="G97" s="225"/>
      <c r="H97" s="225"/>
      <c r="I97" s="225"/>
      <c r="J97" s="225"/>
      <c r="K97" s="225"/>
      <c r="L97" s="225"/>
      <c r="M97" s="225"/>
      <c r="N97" s="225"/>
      <c r="O97" s="225"/>
      <c r="P97" s="225"/>
      <c r="Q97" s="225"/>
      <c r="R97" s="225"/>
      <c r="S97" s="225"/>
      <c r="T97" s="225"/>
    </row>
    <row r="98" spans="1:20" ht="15.75">
      <c r="A98" s="225"/>
      <c r="B98" s="225"/>
      <c r="C98" s="225"/>
      <c r="D98" s="225"/>
      <c r="E98" s="225"/>
      <c r="F98" s="225"/>
      <c r="G98" s="225"/>
      <c r="H98" s="225"/>
      <c r="I98" s="225"/>
      <c r="J98" s="225"/>
      <c r="K98" s="225"/>
      <c r="L98" s="225"/>
      <c r="M98" s="225"/>
      <c r="N98" s="225"/>
      <c r="O98" s="225"/>
      <c r="P98" s="225"/>
      <c r="Q98" s="225"/>
      <c r="R98" s="225"/>
      <c r="S98" s="225"/>
      <c r="T98" s="225"/>
    </row>
    <row r="99" spans="1:20" ht="15.75">
      <c r="A99" s="225"/>
      <c r="B99" s="225"/>
      <c r="C99" s="225"/>
      <c r="D99" s="225"/>
      <c r="E99" s="225"/>
      <c r="F99" s="225"/>
      <c r="G99" s="225"/>
      <c r="H99" s="225"/>
      <c r="I99" s="225"/>
      <c r="J99" s="225"/>
      <c r="K99" s="225"/>
      <c r="L99" s="225"/>
      <c r="M99" s="225"/>
      <c r="N99" s="225"/>
      <c r="O99" s="225"/>
      <c r="P99" s="225"/>
      <c r="Q99" s="225"/>
      <c r="R99" s="225"/>
      <c r="S99" s="225"/>
      <c r="T99" s="225"/>
    </row>
    <row r="100" spans="1:20" ht="15.75">
      <c r="A100" s="225"/>
      <c r="B100" s="225"/>
      <c r="C100" s="225"/>
      <c r="D100" s="225"/>
      <c r="E100" s="225"/>
      <c r="F100" s="225"/>
      <c r="G100" s="225"/>
      <c r="H100" s="225"/>
      <c r="I100" s="225"/>
      <c r="J100" s="225"/>
      <c r="K100" s="225"/>
      <c r="L100" s="225"/>
      <c r="M100" s="225"/>
      <c r="N100" s="225"/>
      <c r="O100" s="225"/>
      <c r="P100" s="225"/>
      <c r="Q100" s="225"/>
      <c r="R100" s="225"/>
      <c r="S100" s="225"/>
      <c r="T100" s="225"/>
    </row>
  </sheetData>
  <pageMargins left="0.25" right="0.25" top="0.75" bottom="0.75" header="0.3" footer="0.3"/>
  <pageSetup scale="59" fitToHeight="0" orientation="landscape" r:id="rId1"/>
  <headerFooter>
    <oddFooter>&amp;C&amp;F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691EB49143FA949BDD1B9D2F832B659" ma:contentTypeVersion="44" ma:contentTypeDescription="" ma:contentTypeScope="" ma:versionID="e7d354f37a3232df8398e0a94237582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2021-07-16T07:00:00+00:00</OpenedDate>
    <SignificantOrder xmlns="dc463f71-b30c-4ab2-9473-d307f9d35888">false</SignificantOrder>
    <Date1 xmlns="dc463f71-b30c-4ab2-9473-d307f9d35888">2021-07-16T07:00:00+00:00</Date1>
    <IsDocumentOrder xmlns="dc463f71-b30c-4ab2-9473-d307f9d35888">false</IsDocumentOrder>
    <IsHighlyConfidential xmlns="dc463f71-b30c-4ab2-9473-d307f9d35888">false</IsHighlyConfidential>
    <CaseCompanyNames xmlns="dc463f71-b30c-4ab2-9473-d307f9d35888">CARROLL-NASLUND DISPOSAL SERVICE, INC.</CaseCompanyNames>
    <Nickname xmlns="http://schemas.microsoft.com/sharepoint/v3" xsi:nil="true"/>
    <DocketNumber xmlns="dc463f71-b30c-4ab2-9473-d307f9d35888">210562</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72E8CBF-DD88-4BDB-B7AA-9FE7A2981064}"/>
</file>

<file path=customXml/itemProps2.xml><?xml version="1.0" encoding="utf-8"?>
<ds:datastoreItem xmlns:ds="http://schemas.openxmlformats.org/officeDocument/2006/customXml" ds:itemID="{4CDE0132-705A-45A7-9C83-6D371D4D45DE}">
  <ds:schemaRefs>
    <ds:schemaRef ds:uri="http://purl.org/dc/terms/"/>
    <ds:schemaRef ds:uri="94ccb0f8-418e-41dd-ac47-c8b0a5d07e7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42A39CC-6F5D-4FA8-A287-326EC7D294DC}">
  <ds:schemaRefs>
    <ds:schemaRef ds:uri="http://schemas.microsoft.com/sharepoint/v3/contenttype/forms"/>
  </ds:schemaRefs>
</ds:datastoreItem>
</file>

<file path=customXml/itemProps4.xml><?xml version="1.0" encoding="utf-8"?>
<ds:datastoreItem xmlns:ds="http://schemas.openxmlformats.org/officeDocument/2006/customXml" ds:itemID="{99FCB74C-0B03-4925-9139-77CDC17EB7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LG Nonpublic 2018 V5.2a</vt:lpstr>
      <vt:lpstr>Monthly P&amp;L</vt:lpstr>
      <vt:lpstr>Pro Forma</vt:lpstr>
      <vt:lpstr>Restating Adjustments</vt:lpstr>
      <vt:lpstr>Pro Forma Adjustments</vt:lpstr>
      <vt:lpstr>Balance Sheet</vt:lpstr>
      <vt:lpstr>Allocation Matrix</vt:lpstr>
      <vt:lpstr>Truck Hours</vt:lpstr>
      <vt:lpstr>Price Out</vt:lpstr>
      <vt:lpstr>Disposal Cost</vt:lpstr>
      <vt:lpstr>Fuel Cost</vt:lpstr>
      <vt:lpstr>Payroll</vt:lpstr>
      <vt:lpstr>Payroll Tax Summary</vt:lpstr>
      <vt:lpstr>Regulatory Depreciation</vt:lpstr>
      <vt:lpstr>Truck Repair</vt:lpstr>
      <vt:lpstr>Maintenance Supplies</vt:lpstr>
      <vt:lpstr>Bank Charges</vt:lpstr>
      <vt:lpstr>UTC Reg Fee</vt:lpstr>
      <vt:lpstr>Advertising</vt:lpstr>
      <vt:lpstr>Employee Benefits</vt:lpstr>
      <vt:lpstr>'LG Nonpublic 2018 V5.2a'!Debt_Rate</vt:lpstr>
      <vt:lpstr>'LG Nonpublic 2018 V5.2a'!debtP</vt:lpstr>
      <vt:lpstr>'LG Nonpublic 2018 V5.2a'!Equity_percent</vt:lpstr>
      <vt:lpstr>'LG Nonpublic 2018 V5.2a'!equityP</vt:lpstr>
      <vt:lpstr>'LG Nonpublic 2018 V5.2a'!expenses</vt:lpstr>
      <vt:lpstr>'LG Nonpublic 2018 V5.2a'!Investment</vt:lpstr>
      <vt:lpstr>'LG Nonpublic 2018 V5.2a'!Pfd_weighted</vt:lpstr>
      <vt:lpstr>'LG Nonpublic 2018 V5.2a'!Print_Area</vt:lpstr>
      <vt:lpstr>'Price Out'!Print_Area</vt:lpstr>
      <vt:lpstr>'Pro Forma'!Print_Area</vt:lpstr>
      <vt:lpstr>'Price Out'!Print_Titles</vt:lpstr>
      <vt:lpstr>'Pro Forma'!Print_Titles</vt:lpstr>
      <vt:lpstr>'LG Nonpublic 2018 V5.2a'!regDebt_weighted</vt:lpstr>
      <vt:lpstr>'LG Nonpublic 2018 V5.2a'!Revenue</vt:lpstr>
      <vt:lpstr>slope</vt:lpstr>
      <vt:lpstr>'LG Nonpublic 2018 V5.2a'!taxrate</vt:lpstr>
      <vt:lpstr>y_inter1</vt:lpstr>
      <vt:lpstr>y_inter2</vt:lpstr>
      <vt:lpstr>y_inter3</vt:lpstr>
      <vt:lpstr>y_inter4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SolidWaste-NonPublic Lurito Gallagher</dc:title>
  <dc:subject/>
  <dc:creator>Information Services</dc:creator>
  <cp:keywords/>
  <dc:description/>
  <cp:lastModifiedBy>Weldon Burton</cp:lastModifiedBy>
  <cp:lastPrinted>2021-07-15T18:03:02Z</cp:lastPrinted>
  <dcterms:created xsi:type="dcterms:W3CDTF">2016-10-12T18:11:03Z</dcterms:created>
  <dcterms:modified xsi:type="dcterms:W3CDTF">2021-07-16T00:40:19Z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0x0101006E56B4D1795A2E4DB2F0B01679ED314A00C691EB49143FA949BDD1B9D2F832B659</vt:lpwstr>
  </property>
  <property fmtid="{D5CDD505-2E9C-101B-9397-08002B2CF9AE}" pid="3" name="_docset_NoMedatataSyncRequired">
    <vt:lpwstr>False</vt:lpwstr>
  </property>
  <property fmtid="{D5CDD505-2E9C-101B-9397-08002B2CF9AE}" pid="4" name="IsEFSEC">
    <vt:bool>false</vt:bool>
  </property>
</Properties>
</file>