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theme/theme1.xml" ContentType="application/vnd.openxmlformats-officedocument.theme+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app.xml" ContentType="application/vnd.openxmlformats-officedocument.extended-properties+xml"/>
  <Override PartName="/docProps/core.xml" ContentType="application/vnd.openxmlformats-package.core-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H:\2-Budget &amp; Administration\Reporting\WUTC\2018\2018 Annual Report\For March 1 CRAG Presentation\"/>
    </mc:Choice>
  </mc:AlternateContent>
  <bookViews>
    <workbookView xWindow="60" yWindow="-60" windowWidth="20076" windowHeight="8184"/>
  </bookViews>
  <sheets>
    <sheet name="2018 Electric " sheetId="1" r:id="rId1"/>
    <sheet name="2018 Gas" sheetId="2" r:id="rId2"/>
    <sheet name="Sheet3" sheetId="3" r:id="rId3"/>
  </sheets>
  <definedNames>
    <definedName name="_xlnm.Print_Titles" localSheetId="0">'2018 Electric '!$3:$7</definedName>
    <definedName name="_xlnm.Print_Titles" localSheetId="1">'2018 Gas'!$3:$9</definedName>
  </definedNames>
  <calcPr calcId="162913"/>
</workbook>
</file>

<file path=xl/calcChain.xml><?xml version="1.0" encoding="utf-8"?>
<calcChain xmlns="http://schemas.openxmlformats.org/spreadsheetml/2006/main">
  <c r="Q100" i="1" l="1"/>
  <c r="Q118" i="1"/>
  <c r="Q146" i="2" l="1"/>
  <c r="Q170" i="2" s="1"/>
  <c r="J146" i="2"/>
  <c r="K146" i="2"/>
  <c r="L146" i="2"/>
  <c r="M146" i="2"/>
  <c r="N146" i="2"/>
  <c r="O146" i="2"/>
  <c r="P146" i="2"/>
  <c r="I146" i="2"/>
  <c r="H146" i="2"/>
  <c r="Q145" i="2"/>
  <c r="J145" i="2"/>
  <c r="K145" i="2"/>
  <c r="L145" i="2"/>
  <c r="M145" i="2"/>
  <c r="N145" i="2"/>
  <c r="O145" i="2"/>
  <c r="P145" i="2"/>
  <c r="I145" i="2"/>
  <c r="H145" i="2"/>
  <c r="I237" i="1"/>
  <c r="J237" i="1"/>
  <c r="K237" i="1"/>
  <c r="L237" i="1"/>
  <c r="M237" i="1"/>
  <c r="N237" i="1"/>
  <c r="O237" i="1"/>
  <c r="P237" i="1"/>
  <c r="Q237" i="1"/>
  <c r="H237" i="1"/>
  <c r="Q59" i="1"/>
  <c r="I59" i="1"/>
  <c r="J59" i="1"/>
  <c r="K59" i="1"/>
  <c r="L59" i="1"/>
  <c r="M59" i="1"/>
  <c r="N59" i="1"/>
  <c r="O59" i="1"/>
  <c r="P59" i="1"/>
  <c r="H59" i="1"/>
  <c r="O60" i="1" l="1"/>
  <c r="K170" i="2"/>
  <c r="L170" i="2"/>
  <c r="M170" i="2"/>
  <c r="N170" i="2"/>
  <c r="P170" i="2"/>
  <c r="I188" i="2"/>
  <c r="J188" i="2"/>
  <c r="K188" i="2"/>
  <c r="L188" i="2"/>
  <c r="M188" i="2"/>
  <c r="N188" i="2"/>
  <c r="O188" i="2"/>
  <c r="P188" i="2"/>
  <c r="Q188" i="2"/>
  <c r="H188" i="2"/>
  <c r="I170" i="2"/>
  <c r="J170" i="2"/>
  <c r="O170" i="2"/>
  <c r="I113" i="2"/>
  <c r="J113" i="2"/>
  <c r="K113" i="2"/>
  <c r="L113" i="2"/>
  <c r="M113" i="2"/>
  <c r="N113" i="2"/>
  <c r="O113" i="2"/>
  <c r="P113" i="2"/>
  <c r="Q113" i="2"/>
  <c r="H113" i="2"/>
  <c r="I104" i="2"/>
  <c r="J104" i="2"/>
  <c r="K104" i="2"/>
  <c r="L104" i="2"/>
  <c r="M104" i="2"/>
  <c r="N104" i="2"/>
  <c r="O104" i="2"/>
  <c r="P104" i="2"/>
  <c r="Q104" i="2"/>
  <c r="H104" i="2"/>
  <c r="I77" i="2"/>
  <c r="J77" i="2"/>
  <c r="K77" i="2"/>
  <c r="L77" i="2"/>
  <c r="M77" i="2"/>
  <c r="N77" i="2"/>
  <c r="O77" i="2"/>
  <c r="P77" i="2"/>
  <c r="Q77" i="2"/>
  <c r="H77" i="2"/>
  <c r="I64" i="2"/>
  <c r="J64" i="2"/>
  <c r="K64" i="2"/>
  <c r="L64" i="2"/>
  <c r="M64" i="2"/>
  <c r="N64" i="2"/>
  <c r="O64" i="2"/>
  <c r="P64" i="2"/>
  <c r="Q64" i="2"/>
  <c r="H64" i="2"/>
  <c r="I52" i="2"/>
  <c r="J52" i="2"/>
  <c r="K52" i="2"/>
  <c r="L52" i="2"/>
  <c r="M52" i="2"/>
  <c r="N52" i="2"/>
  <c r="O52" i="2"/>
  <c r="P52" i="2"/>
  <c r="Q52" i="2"/>
  <c r="H52" i="2"/>
  <c r="H192" i="2"/>
  <c r="H169" i="2"/>
  <c r="H160" i="2"/>
  <c r="H142" i="2"/>
  <c r="H133" i="2"/>
  <c r="H91" i="2"/>
  <c r="H85" i="2"/>
  <c r="H76" i="2"/>
  <c r="H60" i="2"/>
  <c r="H57" i="2"/>
  <c r="H51" i="2"/>
  <c r="H48" i="2"/>
  <c r="H45" i="2"/>
  <c r="H42" i="2"/>
  <c r="H39" i="2"/>
  <c r="H36" i="2"/>
  <c r="H33" i="2"/>
  <c r="H30" i="2"/>
  <c r="H27" i="2"/>
  <c r="H24" i="2"/>
  <c r="H21" i="2"/>
  <c r="H18" i="2"/>
  <c r="H15" i="2"/>
  <c r="H12" i="2"/>
  <c r="Q177" i="1"/>
  <c r="Q201" i="1" s="1"/>
  <c r="J177" i="1"/>
  <c r="J201" i="1" s="1"/>
  <c r="K177" i="1"/>
  <c r="K201" i="1" s="1"/>
  <c r="L177" i="1"/>
  <c r="L201" i="1" s="1"/>
  <c r="M177" i="1"/>
  <c r="M201" i="1" s="1"/>
  <c r="N177" i="1"/>
  <c r="N201" i="1" s="1"/>
  <c r="O177" i="1"/>
  <c r="O201" i="1" s="1"/>
  <c r="P177" i="1"/>
  <c r="P201" i="1" s="1"/>
  <c r="I177" i="1"/>
  <c r="I201" i="1" s="1"/>
  <c r="H177" i="1"/>
  <c r="H201" i="1" s="1"/>
  <c r="I222" i="1"/>
  <c r="J222" i="1"/>
  <c r="K222" i="1"/>
  <c r="L222" i="1"/>
  <c r="M222" i="1"/>
  <c r="N222" i="1"/>
  <c r="O222" i="1"/>
  <c r="P222" i="1"/>
  <c r="Q222" i="1"/>
  <c r="H222" i="1"/>
  <c r="I143" i="1"/>
  <c r="J143" i="1"/>
  <c r="K143" i="1"/>
  <c r="L143" i="1"/>
  <c r="M143" i="1"/>
  <c r="N143" i="1"/>
  <c r="O143" i="1"/>
  <c r="O144" i="1" s="1"/>
  <c r="P143" i="1"/>
  <c r="Q143" i="1"/>
  <c r="H143" i="1"/>
  <c r="I130" i="1"/>
  <c r="J130" i="1"/>
  <c r="K130" i="1"/>
  <c r="L130" i="1"/>
  <c r="M130" i="1"/>
  <c r="N130" i="1"/>
  <c r="O130" i="1"/>
  <c r="P130" i="1"/>
  <c r="Q130" i="1"/>
  <c r="H130" i="1"/>
  <c r="J100" i="1"/>
  <c r="K100" i="1"/>
  <c r="L100" i="1"/>
  <c r="M100" i="1"/>
  <c r="N100" i="1"/>
  <c r="O100" i="1"/>
  <c r="P100" i="1"/>
  <c r="I100" i="1"/>
  <c r="H100" i="1"/>
  <c r="Q88" i="1"/>
  <c r="J88" i="1"/>
  <c r="K88" i="1"/>
  <c r="L88" i="1"/>
  <c r="M88" i="1"/>
  <c r="N88" i="1"/>
  <c r="O88" i="1"/>
  <c r="P88" i="1"/>
  <c r="I88" i="1"/>
  <c r="H88" i="1"/>
  <c r="Q76" i="1"/>
  <c r="J76" i="1"/>
  <c r="K76" i="1"/>
  <c r="L76" i="1"/>
  <c r="M76" i="1"/>
  <c r="N76" i="1"/>
  <c r="O76" i="1"/>
  <c r="P76" i="1"/>
  <c r="I76" i="1"/>
  <c r="H76" i="1"/>
  <c r="J64" i="1"/>
  <c r="K64" i="1"/>
  <c r="L64" i="1"/>
  <c r="M64" i="1"/>
  <c r="N64" i="1"/>
  <c r="O64" i="1"/>
  <c r="P64" i="1"/>
  <c r="Q64" i="1"/>
  <c r="I64" i="1"/>
  <c r="H64" i="1"/>
  <c r="I75" i="1"/>
  <c r="J75" i="1"/>
  <c r="K75" i="1"/>
  <c r="L75" i="1"/>
  <c r="M75" i="1"/>
  <c r="N75" i="1"/>
  <c r="O75" i="1"/>
  <c r="P75" i="1"/>
  <c r="Q75" i="1"/>
  <c r="H75" i="1"/>
  <c r="I63" i="1"/>
  <c r="J63" i="1"/>
  <c r="K63" i="1"/>
  <c r="L63" i="1"/>
  <c r="M63" i="1"/>
  <c r="N63" i="1"/>
  <c r="O63" i="1"/>
  <c r="P63" i="1"/>
  <c r="Q63" i="1"/>
  <c r="H66" i="1"/>
  <c r="H240" i="1"/>
  <c r="H200" i="1"/>
  <c r="H194" i="1"/>
  <c r="H191" i="1"/>
  <c r="H173" i="1"/>
  <c r="H164" i="1"/>
  <c r="H117" i="1"/>
  <c r="H114" i="1"/>
  <c r="H111" i="1"/>
  <c r="H108" i="1"/>
  <c r="H105" i="1"/>
  <c r="H102" i="1"/>
  <c r="H99" i="1"/>
  <c r="H72" i="1"/>
  <c r="H69" i="1"/>
  <c r="H58" i="1"/>
  <c r="H55" i="1"/>
  <c r="H52" i="1"/>
  <c r="H46" i="1"/>
  <c r="H43" i="1"/>
  <c r="H40" i="1"/>
  <c r="H37" i="1"/>
  <c r="H34" i="1"/>
  <c r="H31" i="1"/>
  <c r="H28" i="1"/>
  <c r="H25" i="1"/>
  <c r="H22" i="1"/>
  <c r="H19" i="1"/>
  <c r="H16" i="1"/>
  <c r="H13" i="1"/>
  <c r="H10" i="1"/>
  <c r="O131" i="1" l="1"/>
  <c r="O53" i="2"/>
  <c r="Q92" i="2"/>
  <c r="Q193" i="2" s="1"/>
  <c r="J92" i="2"/>
  <c r="M92" i="2"/>
  <c r="M193" i="2" s="1"/>
  <c r="H92" i="2"/>
  <c r="N92" i="2"/>
  <c r="N193" i="2" s="1"/>
  <c r="O92" i="2"/>
  <c r="O193" i="2" s="1"/>
  <c r="K92" i="2"/>
  <c r="K193" i="2" s="1"/>
  <c r="P92" i="2"/>
  <c r="P193" i="2" s="1"/>
  <c r="L92" i="2"/>
  <c r="L193" i="2" s="1"/>
  <c r="J193" i="2"/>
  <c r="J118" i="1"/>
  <c r="J241" i="1" s="1"/>
  <c r="N118" i="1"/>
  <c r="O118" i="1"/>
  <c r="K118" i="1"/>
  <c r="K241" i="1" s="1"/>
  <c r="H118" i="1"/>
  <c r="H241" i="1" s="1"/>
  <c r="I118" i="1"/>
  <c r="I241" i="1" s="1"/>
  <c r="M118" i="1"/>
  <c r="M241" i="1" s="1"/>
  <c r="Q241" i="1"/>
  <c r="P118" i="1"/>
  <c r="P241" i="1" s="1"/>
  <c r="L118" i="1"/>
  <c r="L241" i="1" s="1"/>
  <c r="I92" i="2"/>
  <c r="I193" i="2" s="1"/>
  <c r="N241" i="1"/>
  <c r="H170" i="2"/>
  <c r="H63" i="1"/>
  <c r="O241" i="1" l="1"/>
  <c r="S241" i="1" s="1"/>
  <c r="O119" i="1"/>
  <c r="S142" i="1"/>
  <c r="S115" i="2"/>
  <c r="O93" i="2"/>
  <c r="S112" i="2"/>
  <c r="S193" i="2"/>
  <c r="S196" i="2"/>
  <c r="H193" i="2"/>
</calcChain>
</file>

<file path=xl/sharedStrings.xml><?xml version="1.0" encoding="utf-8"?>
<sst xmlns="http://schemas.openxmlformats.org/spreadsheetml/2006/main" count="302" uniqueCount="161">
  <si>
    <t>Electric Programs</t>
  </si>
  <si>
    <t>Budget Category</t>
  </si>
  <si>
    <t>Schedule</t>
  </si>
  <si>
    <t>Comment</t>
  </si>
  <si>
    <r>
      <t xml:space="preserve">Description </t>
    </r>
    <r>
      <rPr>
        <sz val="10"/>
        <color rgb="FF0070C0"/>
        <rFont val="Arial"/>
        <family val="2"/>
      </rPr>
      <t>(Blue, indented text indicates a sub-total value)</t>
    </r>
  </si>
  <si>
    <t>Program Labor</t>
  </si>
  <si>
    <t>Overhead</t>
  </si>
  <si>
    <t>Marketing</t>
  </si>
  <si>
    <t>Employee/Office Expense</t>
  </si>
  <si>
    <t>Outside Services</t>
  </si>
  <si>
    <t>Materials</t>
  </si>
  <si>
    <t>Miscellaneous</t>
  </si>
  <si>
    <t>DBtC</t>
  </si>
  <si>
    <t>Revenue</t>
  </si>
  <si>
    <t>Total Budget</t>
  </si>
  <si>
    <t>Residential Energy Management</t>
  </si>
  <si>
    <t>E201</t>
  </si>
  <si>
    <t>Low Income Weatherization</t>
  </si>
  <si>
    <t>E214</t>
  </si>
  <si>
    <t>Home Energy Assessments</t>
  </si>
  <si>
    <t>SF Existing Water Heat</t>
  </si>
  <si>
    <t>SF Existing Weatherization</t>
  </si>
  <si>
    <t>SF Existing Space Heat</t>
  </si>
  <si>
    <t>New for 2018-2019</t>
  </si>
  <si>
    <t>SF Rentals Pilot</t>
  </si>
  <si>
    <t>Home Appliances</t>
  </si>
  <si>
    <t>Residential Showerheads</t>
  </si>
  <si>
    <t>Energy Efficient Lighting Services</t>
  </si>
  <si>
    <t>Home Energy Reports</t>
  </si>
  <si>
    <t>Web-Enabled Thermostat</t>
  </si>
  <si>
    <t>E215</t>
  </si>
  <si>
    <t>Single Family New Construction</t>
  </si>
  <si>
    <t>Manufactured Home New Construction</t>
  </si>
  <si>
    <t>E217</t>
  </si>
  <si>
    <t>Multifamily Retrofit</t>
  </si>
  <si>
    <t>E218</t>
  </si>
  <si>
    <t>Multi-Family New Construction</t>
  </si>
  <si>
    <t>Total, Residential Energy Management</t>
  </si>
  <si>
    <t>Business Energy Managment</t>
  </si>
  <si>
    <t>E250</t>
  </si>
  <si>
    <t>Commercial/Industrial Retrofit</t>
  </si>
  <si>
    <t>Custom Lighting Grants</t>
  </si>
  <si>
    <t>E251</t>
  </si>
  <si>
    <t>Commercial/Industrial New Construction</t>
  </si>
  <si>
    <t>Commercial Strategic Energy Management</t>
  </si>
  <si>
    <t>E253</t>
  </si>
  <si>
    <t>SEM</t>
  </si>
  <si>
    <t>Urban Smart Bellevue</t>
  </si>
  <si>
    <t>Resource Accounting Software</t>
  </si>
  <si>
    <t>High Voltage, Self-Directed</t>
  </si>
  <si>
    <t>E258</t>
  </si>
  <si>
    <t>449 Customers</t>
  </si>
  <si>
    <t>Non-449 Customers</t>
  </si>
  <si>
    <t>E261</t>
  </si>
  <si>
    <t>Technology Evaluation</t>
  </si>
  <si>
    <t>E262</t>
  </si>
  <si>
    <t>Business Rebates</t>
  </si>
  <si>
    <t>Commercial kitchen and laundry</t>
  </si>
  <si>
    <t>Commercial HVAC</t>
  </si>
  <si>
    <t>Small Business Direct Install</t>
  </si>
  <si>
    <t>Total, Business Energy Management</t>
  </si>
  <si>
    <t>Pilots With Uncertain Savings</t>
  </si>
  <si>
    <t>E249</t>
  </si>
  <si>
    <t>Residential Pilots</t>
  </si>
  <si>
    <t>Commercial Pay for Performance Pilot</t>
  </si>
  <si>
    <t>Total, Pilots</t>
  </si>
  <si>
    <t>Regional Efficiency Programs</t>
  </si>
  <si>
    <t>E254</t>
  </si>
  <si>
    <t>Northwest Energy Efficiency Alliance</t>
  </si>
  <si>
    <t>E292</t>
  </si>
  <si>
    <t>Transmission &amp; Distribution</t>
  </si>
  <si>
    <t>Total, Regional Efficiency Programs</t>
  </si>
  <si>
    <t>Energy Efficiency Portfolio Support</t>
  </si>
  <si>
    <t>Data and Systems Services</t>
  </si>
  <si>
    <t>Rebates Processing</t>
  </si>
  <si>
    <t>Verification Team</t>
  </si>
  <si>
    <t>Programs Support</t>
  </si>
  <si>
    <t>Trade Ally Support</t>
  </si>
  <si>
    <t>Contractor Alliance Network (revenue + cost)</t>
  </si>
  <si>
    <t>Automated Benchmarking System</t>
  </si>
  <si>
    <t>Energy Advisors</t>
  </si>
  <si>
    <t>Energy Efficient Communities</t>
  </si>
  <si>
    <t>Customer Digital Experience</t>
  </si>
  <si>
    <t>Market Integration</t>
  </si>
  <si>
    <t>Events</t>
  </si>
  <si>
    <t>Brochures, non program-specific</t>
  </si>
  <si>
    <t>E202</t>
  </si>
  <si>
    <t>Education</t>
  </si>
  <si>
    <t>Total, Portfolio Support</t>
  </si>
  <si>
    <t>Research &amp; Compliance</t>
  </si>
  <si>
    <t>Conservation Supply Curves</t>
  </si>
  <si>
    <t>Strategic Planning</t>
  </si>
  <si>
    <t>Market Research</t>
  </si>
  <si>
    <t>Program Evaluation</t>
  </si>
  <si>
    <t xml:space="preserve">Biennial Elec. Consv. Aquisitn. Review </t>
  </si>
  <si>
    <t>Total, Research &amp; Compliance</t>
  </si>
  <si>
    <t>Other Electric Programs</t>
  </si>
  <si>
    <t>E150</t>
  </si>
  <si>
    <t>Net Metering</t>
  </si>
  <si>
    <t>Total, Other Electric Programs</t>
  </si>
  <si>
    <t>GRAND TOTAL, ELECTRIC PROGRAMS</t>
  </si>
  <si>
    <t xml:space="preserve">Budget Category Includes </t>
  </si>
  <si>
    <t>Energy Efficiency program staff labor. Average FTE cost including management assessments.  This Budget Category group includes assessments from Major Accounts management, Resource Planning,  Corporate Communications management, IT specialists and some building maintenance allocations.</t>
  </si>
  <si>
    <t>Service and materials associated with the cost of printing program brochures, marketing pieces, advertising, banners, etc.  Also includes marketing conducted by vendors and contractors.</t>
  </si>
  <si>
    <t>Costs associated with EE staff attending events, employee training, conferences, business meals, business parking, ferry &amp; bridge tolls, mileage incurred on employee automobiles, office supplies, phones, subscriptions, software/hardware, etc.</t>
  </si>
  <si>
    <t>Contractors and vendors, such as PECI, Ecos, CostCo, EFI, etc.  Legal expenses, technical services (CMS design, PSE.com web portals, etc.).  These costs do NOT include brochure development, marketing pieces, (which are classified under MARKETING).  These costs do NOT include incentives paid to customers by contractors.</t>
  </si>
  <si>
    <t xml:space="preserve"> Primarily tools, trade show equipment, etc. </t>
  </si>
  <si>
    <t xml:space="preserve">This category should seldomly be used, and only expenses that cannot be classified under one of the above categories.
</t>
  </si>
  <si>
    <t xml:space="preserve">All costs associated with rebates, grants, remuneration, value-added services that have a direct bearing on a customer's perceived value of PSE offerings.  </t>
  </si>
  <si>
    <t>Any amount that PSE is paid by a customer, partner, municipality or outside entity.</t>
  </si>
  <si>
    <t>Natural Gas Programs</t>
  </si>
  <si>
    <r>
      <t>Description</t>
    </r>
    <r>
      <rPr>
        <sz val="10"/>
        <color rgb="FF0070C0"/>
        <rFont val="Arial"/>
        <family val="2"/>
      </rPr>
      <t xml:space="preserve"> (Blue, indented text indicates a sub-total value)</t>
    </r>
  </si>
  <si>
    <t>G201</t>
  </si>
  <si>
    <t>G214</t>
  </si>
  <si>
    <t>Web-Enabled Thermostats</t>
  </si>
  <si>
    <t>G215</t>
  </si>
  <si>
    <t>G217</t>
  </si>
  <si>
    <t>G218</t>
  </si>
  <si>
    <t>Business Energy Management</t>
  </si>
  <si>
    <t>G250</t>
  </si>
  <si>
    <t>G251</t>
  </si>
  <si>
    <t>G253</t>
  </si>
  <si>
    <t>G261</t>
  </si>
  <si>
    <t>G262</t>
  </si>
  <si>
    <t>Commercial Kitchen &amp; Laundry</t>
  </si>
  <si>
    <t>G249</t>
  </si>
  <si>
    <t>NW Gas Market Transformation</t>
  </si>
  <si>
    <t>G202</t>
  </si>
  <si>
    <t>Energy Efficiency Research &amp; Compliance</t>
  </si>
  <si>
    <t>GRAND TOTAL, GAS PROGRAMS</t>
  </si>
  <si>
    <t>Overhead--costs associated with primarily employee labor; benefits, for instance. For 2017, includes micro-overhead</t>
  </si>
  <si>
    <t>Program + Marketing Labor</t>
  </si>
  <si>
    <t>All Other CI Retrofit Grants</t>
  </si>
  <si>
    <t>Overhead--costs associated with primarily employee labor; benefits, for instance. Includes micro-overhead.</t>
  </si>
  <si>
    <t>Customer Awareness Tools</t>
  </si>
  <si>
    <t>Digital Experience Support</t>
  </si>
  <si>
    <t>ShopPSE</t>
  </si>
  <si>
    <t>Energy Efficiency program staff labor. Average FTE cost including management assessments.  This Budget Category group includes assessments from Major Accounts management, Resource Planning,  Corporate Communications management, IT specialists and some building maintenance allocations. Also Energy Efficiency staff labor, associated specifically with Marketing functions.  Marketing allocates staffing according to program needs.</t>
  </si>
  <si>
    <t>Exhibit 1, Supplement 1</t>
  </si>
  <si>
    <t>No shading, no italics = Budget amount</t>
  </si>
  <si>
    <t>Darker blue shading, italics = Actual amount</t>
  </si>
  <si>
    <t>Lighter blue shading, italics, grey, smaller text = sub-totals, actuals</t>
  </si>
  <si>
    <r>
      <t>(Highlighted Rows =</t>
    </r>
    <r>
      <rPr>
        <sz val="10"/>
        <color rgb="FF00B050"/>
        <rFont val="Arial"/>
        <family val="2"/>
      </rPr>
      <t xml:space="preserve"> Actual</t>
    </r>
    <r>
      <rPr>
        <sz val="10"/>
        <color rgb="FF0000FF"/>
        <rFont val="Arial"/>
        <family val="2"/>
      </rPr>
      <t xml:space="preserve"> Expenditures)</t>
    </r>
  </si>
  <si>
    <t>E216</t>
  </si>
  <si>
    <t>Fuel Conversion</t>
  </si>
  <si>
    <t>(Program ended in 2017--2018 paid pending projects)</t>
  </si>
  <si>
    <t>Electric Vehicle Charging Station Pilot</t>
  </si>
  <si>
    <t>E195</t>
  </si>
  <si>
    <t>Demand Response</t>
  </si>
  <si>
    <t>Commercial Midstream</t>
  </si>
  <si>
    <t>DBtC Ratio:</t>
  </si>
  <si>
    <t>DBtC of</t>
  </si>
  <si>
    <t xml:space="preserve">all savings </t>
  </si>
  <si>
    <t>programs:</t>
  </si>
  <si>
    <t>(Without NEEA):</t>
  </si>
  <si>
    <t xml:space="preserve">total </t>
  </si>
  <si>
    <t>Portfolio:</t>
  </si>
  <si>
    <t>(includes NEEA)</t>
  </si>
  <si>
    <t>--&gt; W/O NEEA:</t>
  </si>
  <si>
    <r>
      <t>Lighting to Go--</t>
    </r>
    <r>
      <rPr>
        <sz val="8"/>
        <color rgb="FF0070C0"/>
        <rFont val="Arial"/>
        <family val="2"/>
      </rPr>
      <t>also referred to as Business Lighting Markdowns</t>
    </r>
  </si>
  <si>
    <t xml:space="preserve">2018 Actual Expenditures Compared to Anticiated Spends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</si>
</sst>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4" formatCode="_(&quot;$&quot;* #,##0.00_);_(&quot;$&quot;* \(#,##0.00\);_(&quot;$&quot;* &quot;-&quot;??_);_(@_)"/>
    <numFmt numFmtId="164" formatCode="_(&quot;$&quot;* #,##0_);_(&quot;$&quot;* \(#,##0\);_(&quot;$&quot;* &quot;-&quot;??_);_(@_)"/>
    <numFmt numFmtId="165" formatCode="[$-F800]dddd\,\ mmmm\ dd\,\ yyyy"/>
    <numFmt numFmtId="166" formatCode="0.0%"/>
  </numFmts>
  <fonts count="34" x14ac:knownFonts="1">
    <font>
      <sz val="10"/>
      <color theme="1"/>
      <name val="Arial"/>
      <family val="2"/>
    </font>
    <font>
      <sz val="10"/>
      <color theme="1"/>
      <name val="Arial"/>
      <family val="2"/>
    </font>
    <font>
      <b/>
      <sz val="10"/>
      <color theme="1"/>
      <name val="Arial"/>
      <family val="2"/>
    </font>
    <font>
      <sz val="14"/>
      <color theme="1"/>
      <name val="Arial"/>
      <family val="2"/>
    </font>
    <font>
      <sz val="12"/>
      <color theme="1"/>
      <name val="Arial"/>
      <family val="2"/>
    </font>
    <font>
      <sz val="8"/>
      <color rgb="FF00B050"/>
      <name val="Arial"/>
      <family val="2"/>
    </font>
    <font>
      <b/>
      <sz val="12"/>
      <color rgb="FF006A71"/>
      <name val="Arial"/>
      <family val="2"/>
    </font>
    <font>
      <u/>
      <sz val="10"/>
      <color theme="10"/>
      <name val="Calibri"/>
      <family val="2"/>
    </font>
    <font>
      <sz val="10"/>
      <color rgb="FF0070C0"/>
      <name val="Arial"/>
      <family val="2"/>
    </font>
    <font>
      <sz val="8"/>
      <color theme="1"/>
      <name val="Arial"/>
      <family val="2"/>
    </font>
    <font>
      <b/>
      <sz val="10"/>
      <color indexed="8"/>
      <name val="Calibri"/>
      <family val="2"/>
    </font>
    <font>
      <sz val="8"/>
      <color rgb="FF0000FF"/>
      <name val="Arial"/>
      <family val="2"/>
    </font>
    <font>
      <sz val="10"/>
      <color rgb="FF0000FF"/>
      <name val="Arial"/>
      <family val="2"/>
    </font>
    <font>
      <sz val="6"/>
      <color theme="1"/>
      <name val="Arial"/>
      <family val="2"/>
    </font>
    <font>
      <b/>
      <u/>
      <sz val="10"/>
      <color theme="10"/>
      <name val="Calibri"/>
      <family val="2"/>
    </font>
    <font>
      <i/>
      <sz val="9"/>
      <color theme="1"/>
      <name val="Arial"/>
      <family val="2"/>
    </font>
    <font>
      <u/>
      <sz val="10"/>
      <color theme="1"/>
      <name val="Calibri"/>
      <family val="2"/>
    </font>
    <font>
      <u/>
      <sz val="10"/>
      <color rgb="FF0070C0"/>
      <name val="Calibri"/>
      <family val="2"/>
    </font>
    <font>
      <i/>
      <sz val="9"/>
      <color rgb="FF00B050"/>
      <name val="Arial"/>
      <family val="2"/>
    </font>
    <font>
      <i/>
      <u/>
      <sz val="9"/>
      <color rgb="FF00B050"/>
      <name val="Calibri"/>
      <family val="2"/>
    </font>
    <font>
      <b/>
      <i/>
      <sz val="9"/>
      <color theme="1"/>
      <name val="Arial"/>
      <family val="2"/>
    </font>
    <font>
      <sz val="10"/>
      <color theme="7" tint="-0.249977111117893"/>
      <name val="Arial"/>
      <family val="2"/>
    </font>
    <font>
      <sz val="10"/>
      <name val="Arial"/>
      <family val="2"/>
    </font>
    <font>
      <b/>
      <sz val="8"/>
      <color indexed="20"/>
      <name val="Arial"/>
      <family val="2"/>
    </font>
    <font>
      <b/>
      <sz val="12"/>
      <color indexed="20"/>
      <name val="Arial"/>
      <family val="2"/>
    </font>
    <font>
      <sz val="8"/>
      <color indexed="8"/>
      <name val="Arial"/>
      <family val="2"/>
    </font>
    <font>
      <i/>
      <sz val="9"/>
      <color indexed="17"/>
      <name val="Arial"/>
      <family val="2"/>
    </font>
    <font>
      <i/>
      <u/>
      <sz val="9"/>
      <color indexed="17"/>
      <name val="Calibri"/>
      <family val="2"/>
    </font>
    <font>
      <i/>
      <sz val="9"/>
      <color rgb="FF0070C0"/>
      <name val="Arial"/>
      <family val="2"/>
    </font>
    <font>
      <b/>
      <sz val="22"/>
      <color rgb="FF006A71"/>
      <name val="Arial"/>
      <family val="2"/>
    </font>
    <font>
      <b/>
      <sz val="10"/>
      <color rgb="FFFF0000"/>
      <name val="Arial"/>
      <family val="2"/>
    </font>
    <font>
      <sz val="10"/>
      <color rgb="FF00B050"/>
      <name val="Arial"/>
      <family val="2"/>
    </font>
    <font>
      <i/>
      <sz val="10"/>
      <color rgb="FFFF0000"/>
      <name val="Arial"/>
      <family val="2"/>
    </font>
    <font>
      <sz val="8"/>
      <color rgb="FF0070C0"/>
      <name val="Arial"/>
      <family val="2"/>
    </font>
  </fonts>
  <fills count="6">
    <fill>
      <patternFill patternType="none"/>
    </fill>
    <fill>
      <patternFill patternType="gray125"/>
    </fill>
    <fill>
      <patternFill patternType="solid">
        <fgColor theme="4" tint="0.59999389629810485"/>
        <bgColor indexed="64"/>
      </patternFill>
    </fill>
    <fill>
      <patternFill patternType="solid">
        <fgColor rgb="FF71F5FF"/>
        <bgColor indexed="64"/>
      </patternFill>
    </fill>
    <fill>
      <patternFill patternType="solid">
        <fgColor rgb="FFD1FCFF"/>
        <bgColor indexed="64"/>
      </patternFill>
    </fill>
    <fill>
      <patternFill patternType="solid">
        <fgColor rgb="FFBDFAFF"/>
        <bgColor indexed="64"/>
      </patternFill>
    </fill>
  </fills>
  <borders count="22">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dotted">
        <color indexed="64"/>
      </left>
      <right/>
      <top/>
      <bottom/>
      <diagonal/>
    </border>
    <border>
      <left/>
      <right style="dotted">
        <color indexed="64"/>
      </right>
      <top/>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medium">
        <color indexed="64"/>
      </bottom>
      <diagonal/>
    </border>
  </borders>
  <cellStyleXfs count="6">
    <xf numFmtId="0" fontId="0" fillId="0" borderId="0"/>
    <xf numFmtId="44" fontId="1" fillId="0" borderId="0" applyFont="0" applyFill="0" applyBorder="0" applyAlignment="0" applyProtection="0"/>
    <xf numFmtId="0" fontId="7" fillId="0" borderId="0" applyNumberFormat="0" applyFill="0" applyBorder="0" applyAlignment="0" applyProtection="0">
      <alignment vertical="top"/>
      <protection locked="0"/>
    </xf>
    <xf numFmtId="0" fontId="22" fillId="0" borderId="0"/>
    <xf numFmtId="0" fontId="22" fillId="0" borderId="0"/>
    <xf numFmtId="9" fontId="1" fillId="0" borderId="0" applyFont="0" applyFill="0" applyBorder="0" applyAlignment="0" applyProtection="0"/>
  </cellStyleXfs>
  <cellXfs count="179">
    <xf numFmtId="0" fontId="0" fillId="0" borderId="0" xfId="0"/>
    <xf numFmtId="0" fontId="3" fillId="0" borderId="0" xfId="0" applyFont="1"/>
    <xf numFmtId="164" fontId="0" fillId="0" borderId="0" xfId="1" applyNumberFormat="1" applyFont="1"/>
    <xf numFmtId="0" fontId="4" fillId="0" borderId="0" xfId="0" applyFont="1"/>
    <xf numFmtId="0" fontId="0" fillId="0" borderId="0" xfId="0" applyBorder="1" applyAlignment="1">
      <alignment horizontal="right"/>
    </xf>
    <xf numFmtId="165" fontId="5" fillId="0" borderId="0" xfId="1" applyNumberFormat="1" applyFont="1" applyBorder="1" applyAlignment="1"/>
    <xf numFmtId="0" fontId="6" fillId="0" borderId="0" xfId="0" applyFont="1"/>
    <xf numFmtId="0" fontId="7" fillId="0" borderId="0" xfId="2" applyAlignment="1" applyProtection="1"/>
    <xf numFmtId="164" fontId="2" fillId="0" borderId="0" xfId="1" applyNumberFormat="1" applyFont="1"/>
    <xf numFmtId="0" fontId="0" fillId="0" borderId="0" xfId="0" applyAlignment="1">
      <alignment wrapText="1"/>
    </xf>
    <xf numFmtId="164" fontId="10" fillId="2" borderId="2" xfId="1" applyNumberFormat="1" applyFont="1" applyFill="1" applyBorder="1" applyAlignment="1">
      <alignment horizontal="center"/>
    </xf>
    <xf numFmtId="164" fontId="10" fillId="2" borderId="2" xfId="1" applyNumberFormat="1" applyFont="1" applyFill="1" applyBorder="1" applyAlignment="1">
      <alignment horizontal="center" wrapText="1"/>
    </xf>
    <xf numFmtId="164" fontId="10" fillId="2" borderId="3" xfId="1" applyNumberFormat="1" applyFont="1" applyFill="1" applyBorder="1" applyAlignment="1">
      <alignment horizontal="center"/>
    </xf>
    <xf numFmtId="164" fontId="10" fillId="0" borderId="0" xfId="1" applyNumberFormat="1" applyFont="1" applyFill="1" applyBorder="1" applyAlignment="1">
      <alignment horizontal="center"/>
    </xf>
    <xf numFmtId="0" fontId="9" fillId="0" borderId="0" xfId="0" applyFont="1" applyAlignment="1">
      <alignment horizontal="center"/>
    </xf>
    <xf numFmtId="0" fontId="0" fillId="0" borderId="0" xfId="0" applyBorder="1"/>
    <xf numFmtId="0" fontId="12" fillId="0" borderId="0" xfId="0" applyFont="1"/>
    <xf numFmtId="0" fontId="13" fillId="0" borderId="0" xfId="0" applyFont="1" applyFill="1"/>
    <xf numFmtId="0" fontId="0" fillId="0" borderId="0" xfId="0" applyFill="1" applyBorder="1"/>
    <xf numFmtId="0" fontId="2" fillId="0" borderId="0" xfId="0" applyFont="1"/>
    <xf numFmtId="0" fontId="2" fillId="0" borderId="0" xfId="0" applyFont="1" applyAlignment="1">
      <alignment horizontal="right"/>
    </xf>
    <xf numFmtId="0" fontId="14" fillId="0" borderId="0" xfId="2" applyFont="1" applyFill="1" applyBorder="1" applyAlignment="1" applyProtection="1">
      <alignment horizontal="center" wrapText="1"/>
    </xf>
    <xf numFmtId="0" fontId="7" fillId="0" borderId="0" xfId="2" applyFill="1" applyBorder="1" applyAlignment="1" applyProtection="1">
      <alignment horizontal="center" wrapText="1"/>
    </xf>
    <xf numFmtId="0" fontId="15" fillId="0" borderId="0" xfId="0" applyFont="1" applyBorder="1" applyAlignment="1">
      <alignment horizontal="right"/>
    </xf>
    <xf numFmtId="164" fontId="15" fillId="0" borderId="0" xfId="1" applyNumberFormat="1" applyFont="1" applyBorder="1"/>
    <xf numFmtId="0" fontId="0" fillId="0" borderId="0" xfId="0" applyFont="1"/>
    <xf numFmtId="0" fontId="8" fillId="0" borderId="0" xfId="0" applyFont="1"/>
    <xf numFmtId="0" fontId="8" fillId="0" borderId="0" xfId="0" applyFont="1" applyAlignment="1">
      <alignment horizontal="left" indent="1"/>
    </xf>
    <xf numFmtId="164" fontId="8" fillId="0" borderId="0" xfId="1" applyNumberFormat="1" applyFont="1"/>
    <xf numFmtId="0" fontId="5" fillId="0" borderId="0" xfId="0" applyFont="1"/>
    <xf numFmtId="0" fontId="11" fillId="0" borderId="0" xfId="0" applyFont="1"/>
    <xf numFmtId="0" fontId="12" fillId="0" borderId="0" xfId="0" applyFont="1" applyAlignment="1">
      <alignment horizontal="left" indent="1"/>
    </xf>
    <xf numFmtId="0" fontId="18" fillId="0" borderId="0" xfId="0" applyFont="1" applyFill="1"/>
    <xf numFmtId="0" fontId="18" fillId="0" borderId="0" xfId="0" applyFont="1"/>
    <xf numFmtId="0" fontId="18" fillId="0" borderId="0" xfId="0" applyFont="1" applyAlignment="1">
      <alignment horizontal="left" indent="1"/>
    </xf>
    <xf numFmtId="0" fontId="19" fillId="0" borderId="0" xfId="2" applyFont="1" applyFill="1" applyBorder="1" applyAlignment="1" applyProtection="1">
      <alignment horizontal="center" wrapText="1"/>
    </xf>
    <xf numFmtId="164" fontId="18" fillId="0" borderId="0" xfId="1" applyNumberFormat="1" applyFont="1"/>
    <xf numFmtId="0" fontId="7" fillId="0" borderId="0" xfId="2" applyAlignment="1" applyProtection="1">
      <alignment horizontal="center"/>
    </xf>
    <xf numFmtId="0" fontId="0" fillId="0" borderId="0" xfId="0" applyFont="1" applyFill="1"/>
    <xf numFmtId="0" fontId="0" fillId="0" borderId="0" xfId="0" applyFill="1"/>
    <xf numFmtId="164" fontId="21" fillId="0" borderId="0" xfId="1" applyNumberFormat="1" applyFont="1"/>
    <xf numFmtId="0" fontId="9" fillId="0" borderId="0" xfId="0" applyFont="1" applyBorder="1" applyAlignment="1">
      <alignment vertical="top"/>
    </xf>
    <xf numFmtId="0" fontId="23" fillId="0" borderId="0" xfId="3" applyFont="1" applyFill="1" applyBorder="1" applyAlignment="1">
      <alignment horizontal="right" vertical="top" wrapText="1"/>
    </xf>
    <xf numFmtId="0" fontId="24" fillId="0" borderId="0" xfId="3" applyFont="1" applyFill="1" applyBorder="1" applyAlignment="1">
      <alignment horizontal="right" vertical="top"/>
    </xf>
    <xf numFmtId="0" fontId="25" fillId="0" borderId="0" xfId="3" applyFont="1" applyBorder="1" applyAlignment="1">
      <alignment vertical="top" wrapText="1"/>
    </xf>
    <xf numFmtId="0" fontId="9" fillId="0" borderId="0" xfId="4" applyFont="1" applyBorder="1" applyAlignment="1">
      <alignment vertical="top" wrapText="1"/>
    </xf>
    <xf numFmtId="0" fontId="9" fillId="0" borderId="0" xfId="4" applyFont="1" applyFill="1" applyBorder="1" applyAlignment="1">
      <alignment vertical="top" wrapText="1"/>
    </xf>
    <xf numFmtId="164" fontId="9" fillId="0" borderId="0" xfId="1" applyNumberFormat="1" applyFont="1" applyBorder="1" applyAlignment="1">
      <alignment vertical="top"/>
    </xf>
    <xf numFmtId="164" fontId="0" fillId="0" borderId="0" xfId="1" applyNumberFormat="1" applyFont="1" applyBorder="1"/>
    <xf numFmtId="0" fontId="10" fillId="0" borderId="0" xfId="0" applyFont="1" applyFill="1" applyBorder="1" applyAlignment="1">
      <alignment horizontal="center"/>
    </xf>
    <xf numFmtId="0" fontId="17" fillId="0" borderId="0" xfId="2" applyFont="1" applyFill="1" applyBorder="1" applyAlignment="1" applyProtection="1">
      <alignment horizontal="center" wrapText="1"/>
    </xf>
    <xf numFmtId="0" fontId="27" fillId="0" borderId="0" xfId="2" applyFont="1" applyFill="1" applyBorder="1" applyAlignment="1" applyProtection="1">
      <alignment horizontal="center" wrapText="1"/>
    </xf>
    <xf numFmtId="0" fontId="0" fillId="0" borderId="0" xfId="0" applyFont="1" applyFill="1" applyBorder="1"/>
    <xf numFmtId="164" fontId="1" fillId="0" borderId="0" xfId="1" applyNumberFormat="1" applyFont="1" applyFill="1" applyBorder="1"/>
    <xf numFmtId="164" fontId="10" fillId="2" borderId="1" xfId="1" applyNumberFormat="1" applyFont="1" applyFill="1" applyBorder="1" applyAlignment="1">
      <alignment horizontal="center" wrapText="1"/>
    </xf>
    <xf numFmtId="164" fontId="0" fillId="0" borderId="4" xfId="1" applyNumberFormat="1" applyFont="1" applyBorder="1"/>
    <xf numFmtId="164" fontId="0" fillId="0" borderId="5" xfId="1" applyNumberFormat="1" applyFont="1" applyBorder="1"/>
    <xf numFmtId="164" fontId="0" fillId="0" borderId="6" xfId="1" applyNumberFormat="1" applyFont="1" applyBorder="1"/>
    <xf numFmtId="164" fontId="0" fillId="0" borderId="10" xfId="1" applyNumberFormat="1" applyFont="1" applyBorder="1"/>
    <xf numFmtId="164" fontId="0" fillId="0" borderId="11" xfId="1" applyNumberFormat="1" applyFont="1" applyBorder="1"/>
    <xf numFmtId="164" fontId="0" fillId="0" borderId="4" xfId="0" applyNumberFormat="1" applyBorder="1"/>
    <xf numFmtId="164" fontId="0" fillId="0" borderId="5" xfId="0" applyNumberFormat="1" applyBorder="1"/>
    <xf numFmtId="164" fontId="0" fillId="0" borderId="6" xfId="0" applyNumberFormat="1" applyBorder="1"/>
    <xf numFmtId="164" fontId="0" fillId="0" borderId="10" xfId="0" applyNumberFormat="1" applyBorder="1"/>
    <xf numFmtId="164" fontId="0" fillId="0" borderId="0" xfId="0" applyNumberFormat="1" applyBorder="1"/>
    <xf numFmtId="164" fontId="0" fillId="0" borderId="11" xfId="0" applyNumberFormat="1" applyBorder="1"/>
    <xf numFmtId="164" fontId="8" fillId="0" borderId="10" xfId="1" applyNumberFormat="1" applyFont="1" applyBorder="1"/>
    <xf numFmtId="164" fontId="8" fillId="0" borderId="0" xfId="1" applyNumberFormat="1" applyFont="1" applyBorder="1"/>
    <xf numFmtId="164" fontId="8" fillId="0" borderId="11" xfId="1" applyNumberFormat="1" applyFont="1" applyBorder="1"/>
    <xf numFmtId="164" fontId="8" fillId="4" borderId="10" xfId="1" applyNumberFormat="1" applyFont="1" applyFill="1" applyBorder="1"/>
    <xf numFmtId="164" fontId="8" fillId="4" borderId="0" xfId="1" applyNumberFormat="1" applyFont="1" applyFill="1" applyBorder="1"/>
    <xf numFmtId="164" fontId="8" fillId="4" borderId="11" xfId="1" applyNumberFormat="1" applyFont="1" applyFill="1" applyBorder="1"/>
    <xf numFmtId="164" fontId="8" fillId="4" borderId="7" xfId="1" applyNumberFormat="1" applyFont="1" applyFill="1" applyBorder="1"/>
    <xf numFmtId="164" fontId="8" fillId="4" borderId="8" xfId="1" applyNumberFormat="1" applyFont="1" applyFill="1" applyBorder="1"/>
    <xf numFmtId="164" fontId="8" fillId="4" borderId="9" xfId="1" applyNumberFormat="1" applyFont="1" applyFill="1" applyBorder="1"/>
    <xf numFmtId="0" fontId="2" fillId="0" borderId="0" xfId="0" applyFont="1" applyBorder="1" applyAlignment="1">
      <alignment horizontal="right"/>
    </xf>
    <xf numFmtId="0" fontId="7" fillId="0" borderId="11" xfId="2" applyFill="1" applyBorder="1" applyAlignment="1" applyProtection="1">
      <alignment horizontal="center" wrapText="1"/>
    </xf>
    <xf numFmtId="164" fontId="0" fillId="0" borderId="12" xfId="1" applyNumberFormat="1" applyFont="1" applyBorder="1"/>
    <xf numFmtId="0" fontId="8" fillId="0" borderId="0" xfId="0" applyFont="1" applyBorder="1"/>
    <xf numFmtId="0" fontId="17" fillId="0" borderId="11" xfId="2" applyFont="1" applyFill="1" applyBorder="1" applyAlignment="1" applyProtection="1">
      <alignment horizontal="center" wrapText="1"/>
    </xf>
    <xf numFmtId="164" fontId="8" fillId="0" borderId="12" xfId="1" applyNumberFormat="1" applyFont="1" applyBorder="1"/>
    <xf numFmtId="164" fontId="21" fillId="0" borderId="12" xfId="1" applyNumberFormat="1" applyFont="1" applyBorder="1"/>
    <xf numFmtId="0" fontId="0" fillId="0" borderId="11" xfId="0" applyBorder="1"/>
    <xf numFmtId="0" fontId="0" fillId="0" borderId="0" xfId="0" applyFont="1" applyBorder="1"/>
    <xf numFmtId="0" fontId="16" fillId="0" borderId="0" xfId="2" applyFont="1" applyFill="1" applyBorder="1" applyAlignment="1" applyProtection="1">
      <alignment horizontal="center" wrapText="1"/>
    </xf>
    <xf numFmtId="0" fontId="16" fillId="0" borderId="11" xfId="2" applyFont="1" applyFill="1" applyBorder="1" applyAlignment="1" applyProtection="1">
      <alignment horizontal="center" wrapText="1"/>
    </xf>
    <xf numFmtId="0" fontId="12" fillId="0" borderId="0" xfId="0" applyFont="1" applyBorder="1"/>
    <xf numFmtId="164" fontId="15" fillId="3" borderId="7" xfId="1" applyNumberFormat="1" applyFont="1" applyFill="1" applyBorder="1"/>
    <xf numFmtId="164" fontId="15" fillId="3" borderId="8" xfId="1" applyNumberFormat="1" applyFont="1" applyFill="1" applyBorder="1"/>
    <xf numFmtId="164" fontId="15" fillId="3" borderId="9" xfId="1" applyNumberFormat="1" applyFont="1" applyFill="1" applyBorder="1"/>
    <xf numFmtId="164" fontId="28" fillId="4" borderId="10" xfId="1" applyNumberFormat="1" applyFont="1" applyFill="1" applyBorder="1"/>
    <xf numFmtId="164" fontId="28" fillId="4" borderId="0" xfId="1" applyNumberFormat="1" applyFont="1" applyFill="1" applyBorder="1"/>
    <xf numFmtId="164" fontId="28" fillId="4" borderId="11" xfId="1" applyNumberFormat="1" applyFont="1" applyFill="1" applyBorder="1"/>
    <xf numFmtId="164" fontId="28" fillId="4" borderId="7" xfId="1" applyNumberFormat="1" applyFont="1" applyFill="1" applyBorder="1"/>
    <xf numFmtId="164" fontId="28" fillId="4" borderId="8" xfId="1" applyNumberFormat="1" applyFont="1" applyFill="1" applyBorder="1"/>
    <xf numFmtId="164" fontId="28" fillId="4" borderId="9" xfId="1" applyNumberFormat="1" applyFont="1" applyFill="1" applyBorder="1"/>
    <xf numFmtId="164" fontId="15" fillId="3" borderId="10" xfId="1" applyNumberFormat="1" applyFont="1" applyFill="1" applyBorder="1"/>
    <xf numFmtId="164" fontId="15" fillId="3" borderId="0" xfId="1" applyNumberFormat="1" applyFont="1" applyFill="1" applyBorder="1"/>
    <xf numFmtId="164" fontId="15" fillId="3" borderId="11" xfId="1" applyNumberFormat="1" applyFont="1" applyFill="1" applyBorder="1"/>
    <xf numFmtId="164" fontId="15" fillId="3" borderId="0" xfId="1" applyNumberFormat="1" applyFont="1" applyFill="1"/>
    <xf numFmtId="164" fontId="28" fillId="3" borderId="7" xfId="1" applyNumberFormat="1" applyFont="1" applyFill="1" applyBorder="1"/>
    <xf numFmtId="164" fontId="28" fillId="3" borderId="8" xfId="1" applyNumberFormat="1" applyFont="1" applyFill="1" applyBorder="1"/>
    <xf numFmtId="164" fontId="28" fillId="3" borderId="9" xfId="1" applyNumberFormat="1" applyFont="1" applyFill="1" applyBorder="1"/>
    <xf numFmtId="164" fontId="1" fillId="0" borderId="4" xfId="1" applyNumberFormat="1" applyFont="1" applyBorder="1"/>
    <xf numFmtId="164" fontId="1" fillId="0" borderId="5" xfId="1" applyNumberFormat="1" applyFont="1" applyBorder="1"/>
    <xf numFmtId="164" fontId="1" fillId="0" borderId="6" xfId="1" applyNumberFormat="1" applyFont="1" applyBorder="1"/>
    <xf numFmtId="0" fontId="7" fillId="0" borderId="0" xfId="2" applyFont="1" applyFill="1" applyBorder="1" applyAlignment="1" applyProtection="1">
      <alignment horizontal="center" wrapText="1"/>
    </xf>
    <xf numFmtId="164" fontId="8" fillId="0" borderId="5" xfId="1" applyNumberFormat="1" applyFont="1" applyBorder="1"/>
    <xf numFmtId="164" fontId="8" fillId="0" borderId="8" xfId="1" applyNumberFormat="1" applyFont="1" applyBorder="1"/>
    <xf numFmtId="0" fontId="2" fillId="0" borderId="0" xfId="0" applyFont="1" applyBorder="1"/>
    <xf numFmtId="0" fontId="7" fillId="0" borderId="0" xfId="2" applyBorder="1" applyAlignment="1" applyProtection="1">
      <alignment horizontal="center"/>
    </xf>
    <xf numFmtId="0" fontId="4" fillId="0" borderId="0" xfId="0" applyFont="1" applyBorder="1"/>
    <xf numFmtId="0" fontId="6" fillId="0" borderId="0" xfId="0" applyFont="1" applyBorder="1"/>
    <xf numFmtId="164" fontId="2" fillId="0" borderId="0" xfId="1" applyNumberFormat="1" applyFont="1" applyBorder="1"/>
    <xf numFmtId="0" fontId="0" fillId="0" borderId="0" xfId="0" applyBorder="1" applyAlignment="1">
      <alignment wrapText="1"/>
    </xf>
    <xf numFmtId="164" fontId="10" fillId="2" borderId="0" xfId="1" applyNumberFormat="1" applyFont="1" applyFill="1" applyBorder="1" applyAlignment="1">
      <alignment horizontal="center"/>
    </xf>
    <xf numFmtId="164" fontId="10" fillId="2" borderId="0" xfId="1" applyNumberFormat="1" applyFont="1" applyFill="1" applyBorder="1" applyAlignment="1">
      <alignment horizontal="center" wrapText="1"/>
    </xf>
    <xf numFmtId="0" fontId="13" fillId="0" borderId="0" xfId="0" applyFont="1" applyFill="1" applyBorder="1"/>
    <xf numFmtId="0" fontId="15" fillId="0" borderId="0" xfId="0" applyFont="1" applyBorder="1"/>
    <xf numFmtId="0" fontId="8" fillId="0" borderId="0" xfId="0" applyFont="1" applyBorder="1" applyAlignment="1">
      <alignment horizontal="left" indent="1"/>
    </xf>
    <xf numFmtId="0" fontId="5" fillId="0" borderId="0" xfId="0" applyFont="1" applyBorder="1"/>
    <xf numFmtId="0" fontId="8" fillId="0" borderId="0" xfId="0" applyFont="1" applyFill="1" applyBorder="1" applyAlignment="1">
      <alignment horizontal="left" indent="1"/>
    </xf>
    <xf numFmtId="0" fontId="11" fillId="0" borderId="0" xfId="0" applyFont="1" applyBorder="1"/>
    <xf numFmtId="0" fontId="12" fillId="0" borderId="0" xfId="0" applyFont="1" applyBorder="1" applyAlignment="1">
      <alignment horizontal="left" indent="1"/>
    </xf>
    <xf numFmtId="164" fontId="12" fillId="0" borderId="0" xfId="1" applyNumberFormat="1" applyFont="1" applyBorder="1"/>
    <xf numFmtId="0" fontId="26" fillId="0" borderId="0" xfId="0" applyFont="1" applyFill="1" applyBorder="1"/>
    <xf numFmtId="0" fontId="26" fillId="0" borderId="0" xfId="0" applyFont="1" applyBorder="1"/>
    <xf numFmtId="0" fontId="26" fillId="0" borderId="0" xfId="0" applyFont="1" applyFill="1" applyBorder="1" applyAlignment="1">
      <alignment horizontal="left" indent="1"/>
    </xf>
    <xf numFmtId="164" fontId="26" fillId="0" borderId="0" xfId="1" applyNumberFormat="1" applyFont="1" applyBorder="1"/>
    <xf numFmtId="0" fontId="2" fillId="0" borderId="0" xfId="0" applyFont="1" applyFill="1" applyBorder="1"/>
    <xf numFmtId="0" fontId="2" fillId="0" borderId="0" xfId="0" applyFont="1" applyFill="1" applyBorder="1" applyAlignment="1">
      <alignment horizontal="right"/>
    </xf>
    <xf numFmtId="164" fontId="20" fillId="3" borderId="0" xfId="1" applyNumberFormat="1" applyFont="1" applyFill="1" applyBorder="1"/>
    <xf numFmtId="164" fontId="28" fillId="3" borderId="0" xfId="1" applyNumberFormat="1" applyFont="1" applyFill="1" applyBorder="1"/>
    <xf numFmtId="0" fontId="8" fillId="0" borderId="0" xfId="0" applyFont="1" applyFill="1" applyBorder="1"/>
    <xf numFmtId="164" fontId="8" fillId="0" borderId="0" xfId="1" applyNumberFormat="1" applyFont="1" applyFill="1" applyBorder="1"/>
    <xf numFmtId="164" fontId="8" fillId="0" borderId="4" xfId="1" applyNumberFormat="1" applyFont="1" applyBorder="1"/>
    <xf numFmtId="164" fontId="8" fillId="0" borderId="6" xfId="1" applyNumberFormat="1" applyFont="1" applyBorder="1"/>
    <xf numFmtId="164" fontId="12" fillId="0" borderId="10" xfId="1" applyNumberFormat="1" applyFont="1" applyBorder="1"/>
    <xf numFmtId="164" fontId="12" fillId="0" borderId="11" xfId="1" applyNumberFormat="1" applyFont="1" applyBorder="1"/>
    <xf numFmtId="164" fontId="28" fillId="3" borderId="10" xfId="1" applyNumberFormat="1" applyFont="1" applyFill="1" applyBorder="1"/>
    <xf numFmtId="164" fontId="28" fillId="3" borderId="11" xfId="1" applyNumberFormat="1" applyFont="1" applyFill="1" applyBorder="1"/>
    <xf numFmtId="0" fontId="29" fillId="0" borderId="0" xfId="0" applyFont="1"/>
    <xf numFmtId="0" fontId="30" fillId="0" borderId="0" xfId="0" applyFont="1"/>
    <xf numFmtId="0" fontId="0" fillId="0" borderId="13" xfId="0" applyFont="1" applyBorder="1"/>
    <xf numFmtId="0" fontId="0" fillId="0" borderId="14" xfId="0" applyBorder="1"/>
    <xf numFmtId="164" fontId="0" fillId="0" borderId="15" xfId="1" applyNumberFormat="1" applyFont="1" applyBorder="1"/>
    <xf numFmtId="0" fontId="15" fillId="3" borderId="16" xfId="0" applyFont="1" applyFill="1" applyBorder="1" applyAlignment="1">
      <alignment vertical="center"/>
    </xf>
    <xf numFmtId="0" fontId="15" fillId="3" borderId="0" xfId="0" applyFont="1" applyFill="1" applyBorder="1" applyAlignment="1">
      <alignment vertical="center" wrapText="1"/>
    </xf>
    <xf numFmtId="0" fontId="0" fillId="3" borderId="0" xfId="0" applyFill="1" applyBorder="1"/>
    <xf numFmtId="164" fontId="0" fillId="3" borderId="17" xfId="1" applyNumberFormat="1" applyFont="1" applyFill="1" applyBorder="1"/>
    <xf numFmtId="0" fontId="15" fillId="5" borderId="18" xfId="0" applyFont="1" applyFill="1" applyBorder="1" applyAlignment="1">
      <alignment vertical="center"/>
    </xf>
    <xf numFmtId="0" fontId="15" fillId="5" borderId="19" xfId="0" applyFont="1" applyFill="1" applyBorder="1" applyAlignment="1">
      <alignment vertical="center" wrapText="1"/>
    </xf>
    <xf numFmtId="0" fontId="0" fillId="5" borderId="19" xfId="0" applyFill="1" applyBorder="1"/>
    <xf numFmtId="164" fontId="0" fillId="5" borderId="20" xfId="1" applyNumberFormat="1" applyFont="1" applyFill="1" applyBorder="1"/>
    <xf numFmtId="0" fontId="7" fillId="0" borderId="0" xfId="2" applyFill="1" applyAlignment="1" applyProtection="1"/>
    <xf numFmtId="0" fontId="15" fillId="0" borderId="0" xfId="0" applyFont="1" applyFill="1" applyBorder="1" applyAlignment="1">
      <alignment vertical="center"/>
    </xf>
    <xf numFmtId="0" fontId="15" fillId="0" borderId="0" xfId="0" applyFont="1" applyFill="1" applyBorder="1" applyAlignment="1">
      <alignment vertical="center" wrapText="1"/>
    </xf>
    <xf numFmtId="164" fontId="0" fillId="0" borderId="0" xfId="1" applyNumberFormat="1" applyFont="1" applyFill="1"/>
    <xf numFmtId="164" fontId="0" fillId="0" borderId="21" xfId="1" applyNumberFormat="1" applyFont="1" applyFill="1" applyBorder="1"/>
    <xf numFmtId="0" fontId="0" fillId="0" borderId="0" xfId="0" applyAlignment="1">
      <alignment horizontal="right"/>
    </xf>
    <xf numFmtId="164" fontId="0" fillId="0" borderId="0" xfId="1" applyNumberFormat="1" applyFont="1" applyFill="1" applyBorder="1" applyAlignment="1">
      <alignment vertical="center"/>
    </xf>
    <xf numFmtId="164" fontId="0" fillId="0" borderId="0" xfId="1" applyNumberFormat="1" applyFont="1" applyFill="1" applyBorder="1"/>
    <xf numFmtId="0" fontId="0" fillId="0" borderId="0" xfId="0" applyFill="1" applyAlignment="1">
      <alignment horizontal="left" wrapText="1"/>
    </xf>
    <xf numFmtId="0" fontId="0" fillId="0" borderId="0" xfId="0" applyFill="1" applyAlignment="1">
      <alignment wrapText="1"/>
    </xf>
    <xf numFmtId="164" fontId="10" fillId="0" borderId="0" xfId="1" applyNumberFormat="1" applyFont="1" applyFill="1" applyBorder="1" applyAlignment="1">
      <alignment horizontal="center" wrapText="1"/>
    </xf>
    <xf numFmtId="0" fontId="0" fillId="0" borderId="0" xfId="0" applyFill="1" applyBorder="1" applyAlignment="1">
      <alignment horizontal="left" wrapText="1"/>
    </xf>
    <xf numFmtId="0" fontId="0" fillId="0" borderId="0" xfId="0" applyFill="1" applyBorder="1" applyAlignment="1">
      <alignment wrapText="1"/>
    </xf>
    <xf numFmtId="0" fontId="32" fillId="0" borderId="0" xfId="0" applyFont="1"/>
    <xf numFmtId="164" fontId="1" fillId="0" borderId="10" xfId="1" applyNumberFormat="1" applyFont="1" applyBorder="1"/>
    <xf numFmtId="164" fontId="1" fillId="0" borderId="0" xfId="1" applyNumberFormat="1" applyFont="1" applyBorder="1"/>
    <xf numFmtId="164" fontId="1" fillId="0" borderId="11" xfId="1" applyNumberFormat="1" applyFont="1" applyBorder="1"/>
    <xf numFmtId="164" fontId="15" fillId="0" borderId="0" xfId="1" applyNumberFormat="1" applyFont="1" applyBorder="1" applyAlignment="1">
      <alignment horizontal="right"/>
    </xf>
    <xf numFmtId="166" fontId="15" fillId="0" borderId="0" xfId="5" applyNumberFormat="1" applyFont="1" applyBorder="1"/>
    <xf numFmtId="166" fontId="0" fillId="0" borderId="0" xfId="5" applyNumberFormat="1" applyFont="1" applyBorder="1" applyAlignment="1">
      <alignment horizontal="left"/>
    </xf>
    <xf numFmtId="0" fontId="15" fillId="0" borderId="0" xfId="0" quotePrefix="1" applyFont="1" applyFill="1" applyBorder="1" applyAlignment="1">
      <alignment horizontal="left" indent="1"/>
    </xf>
    <xf numFmtId="166" fontId="0" fillId="0" borderId="0" xfId="5" applyNumberFormat="1" applyFont="1" applyBorder="1" applyAlignment="1">
      <alignment horizontal="left" vertical="top" indent="2"/>
    </xf>
    <xf numFmtId="166" fontId="15" fillId="0" borderId="0" xfId="5" applyNumberFormat="1" applyFont="1" applyFill="1" applyBorder="1"/>
    <xf numFmtId="0" fontId="0" fillId="0" borderId="0" xfId="0" applyAlignment="1">
      <alignment horizontal="left" wrapText="1"/>
    </xf>
    <xf numFmtId="0" fontId="0" fillId="0" borderId="0" xfId="0" applyBorder="1" applyAlignment="1">
      <alignment horizontal="left" wrapText="1"/>
    </xf>
  </cellXfs>
  <cellStyles count="6">
    <cellStyle name="Currency" xfId="1" builtinId="4"/>
    <cellStyle name="Hyperlink" xfId="2" builtinId="8"/>
    <cellStyle name="Normal" xfId="0" builtinId="0"/>
    <cellStyle name="Normal_2_2011 EES sector view 2" xfId="4"/>
    <cellStyle name="Normal_2_2011 EES sector view_Revised 11-18-2010" xfId="3"/>
    <cellStyle name="Percent" xfId="5" builtinId="5"/>
  </cellStyles>
  <dxfs count="0"/>
  <tableStyles count="0" defaultTableStyle="TableStyleMedium2" defaultPivotStyle="PivotStyleLight16"/>
  <colors>
    <mruColors>
      <color rgb="FF71F5FF"/>
      <color rgb="FFD2FED7"/>
      <color rgb="FFD1F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15</xdr:col>
      <xdr:colOff>426720</xdr:colOff>
      <xdr:row>1</xdr:row>
      <xdr:rowOff>327660</xdr:rowOff>
    </xdr:from>
    <xdr:to>
      <xdr:col>16</xdr:col>
      <xdr:colOff>1066800</xdr:colOff>
      <xdr:row>5</xdr:row>
      <xdr:rowOff>327286</xdr:rowOff>
    </xdr:to>
    <xdr:pic>
      <xdr:nvPicPr>
        <xdr:cNvPr id="2" name="Picture 1"/>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595" t="19332" r="4643" b="9834"/>
        <a:stretch/>
      </xdr:blipFill>
      <xdr:spPr>
        <a:xfrm>
          <a:off x="16200120" y="495300"/>
          <a:ext cx="1729740" cy="97498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15</xdr:col>
      <xdr:colOff>251460</xdr:colOff>
      <xdr:row>2</xdr:row>
      <xdr:rowOff>64598</xdr:rowOff>
    </xdr:from>
    <xdr:to>
      <xdr:col>16</xdr:col>
      <xdr:colOff>1120140</xdr:colOff>
      <xdr:row>7</xdr:row>
      <xdr:rowOff>102324</xdr:rowOff>
    </xdr:to>
    <xdr:pic>
      <xdr:nvPicPr>
        <xdr:cNvPr id="2" name="Picture 1"/>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595" t="19332" r="4643" b="9834"/>
        <a:stretch/>
      </xdr:blipFill>
      <xdr:spPr>
        <a:xfrm>
          <a:off x="16078200" y="590378"/>
          <a:ext cx="1729740" cy="97498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S248"/>
  <sheetViews>
    <sheetView showGridLines="0" tabSelected="1" workbookViewId="0">
      <selection activeCell="A6" sqref="A6"/>
    </sheetView>
  </sheetViews>
  <sheetFormatPr defaultColWidth="10.6640625" defaultRowHeight="13.2" x14ac:dyDescent="0.25"/>
  <cols>
    <col min="1" max="1" width="1.33203125" customWidth="1"/>
    <col min="2" max="2" width="9.6640625" customWidth="1"/>
    <col min="3" max="3" width="19" customWidth="1"/>
    <col min="4" max="5" width="3.44140625" customWidth="1"/>
    <col min="6" max="6" width="33.77734375" customWidth="1"/>
    <col min="7" max="7" width="7.6640625" customWidth="1"/>
    <col min="8" max="8" width="17.33203125" style="2" customWidth="1"/>
    <col min="9" max="10" width="15.88671875" style="2" customWidth="1"/>
    <col min="11" max="11" width="20.88671875" style="2" customWidth="1"/>
    <col min="12" max="12" width="26.6640625" style="2" customWidth="1"/>
    <col min="13" max="14" width="15.88671875" style="2" customWidth="1"/>
    <col min="15" max="15" width="24.5546875" style="2" customWidth="1"/>
    <col min="16" max="17" width="15.88671875" style="2" customWidth="1"/>
    <col min="18" max="18" width="2" customWidth="1"/>
    <col min="19" max="19" width="50.88671875" customWidth="1"/>
  </cols>
  <sheetData>
    <row r="2" spans="2:19" ht="28.2" x14ac:dyDescent="0.5">
      <c r="B2" s="141" t="s">
        <v>138</v>
      </c>
      <c r="C2" s="1"/>
    </row>
    <row r="3" spans="2:19" ht="17.399999999999999" x14ac:dyDescent="0.3">
      <c r="B3" s="142" t="s">
        <v>160</v>
      </c>
      <c r="C3" s="1"/>
      <c r="H3" s="143" t="s">
        <v>139</v>
      </c>
      <c r="I3" s="144"/>
      <c r="J3" s="144"/>
      <c r="K3" s="145"/>
    </row>
    <row r="4" spans="2:19" ht="15.6" x14ac:dyDescent="0.3">
      <c r="B4" s="6" t="s">
        <v>0</v>
      </c>
      <c r="C4" s="3"/>
      <c r="G4" s="4"/>
      <c r="H4" s="146" t="s">
        <v>140</v>
      </c>
      <c r="I4" s="147"/>
      <c r="J4" s="148"/>
      <c r="K4" s="149"/>
    </row>
    <row r="5" spans="2:19" ht="15.6" customHeight="1" x14ac:dyDescent="0.3">
      <c r="G5" s="7"/>
      <c r="H5" s="150" t="s">
        <v>141</v>
      </c>
      <c r="I5" s="151"/>
      <c r="J5" s="152"/>
      <c r="K5" s="153"/>
    </row>
    <row r="6" spans="2:19" s="39" customFormat="1" ht="36.75" customHeight="1" thickBot="1" x14ac:dyDescent="0.35">
      <c r="G6" s="154"/>
      <c r="H6" s="155"/>
      <c r="I6" s="156"/>
      <c r="J6" s="18"/>
      <c r="K6" s="158"/>
      <c r="L6" s="157"/>
      <c r="M6" s="157"/>
      <c r="N6" s="157"/>
      <c r="O6" s="157"/>
      <c r="P6" s="157"/>
      <c r="Q6" s="157"/>
    </row>
    <row r="7" spans="2:19" ht="28.2" thickBot="1" x14ac:dyDescent="0.35">
      <c r="B7" t="s">
        <v>2</v>
      </c>
      <c r="C7" t="s">
        <v>3</v>
      </c>
      <c r="D7" s="177" t="s">
        <v>4</v>
      </c>
      <c r="E7" s="177"/>
      <c r="F7" s="177"/>
      <c r="G7" s="9"/>
      <c r="H7" s="54" t="s">
        <v>131</v>
      </c>
      <c r="I7" s="10" t="s">
        <v>6</v>
      </c>
      <c r="J7" s="10" t="s">
        <v>7</v>
      </c>
      <c r="K7" s="11" t="s">
        <v>8</v>
      </c>
      <c r="L7" s="10" t="s">
        <v>9</v>
      </c>
      <c r="M7" s="10" t="s">
        <v>10</v>
      </c>
      <c r="N7" s="10" t="s">
        <v>11</v>
      </c>
      <c r="O7" s="10" t="s">
        <v>12</v>
      </c>
      <c r="P7" s="10" t="s">
        <v>13</v>
      </c>
      <c r="Q7" s="12" t="s">
        <v>14</v>
      </c>
      <c r="S7" s="13"/>
    </row>
    <row r="8" spans="2:19" s="39" customFormat="1" ht="13.8" x14ac:dyDescent="0.3">
      <c r="B8" s="19" t="s">
        <v>15</v>
      </c>
      <c r="D8" s="162"/>
      <c r="E8" s="162"/>
      <c r="F8" s="162"/>
      <c r="G8" s="163"/>
      <c r="H8" s="164"/>
      <c r="I8" s="13"/>
      <c r="J8" s="13"/>
      <c r="K8" s="164"/>
      <c r="L8" s="13"/>
      <c r="M8" s="13"/>
      <c r="N8" s="13"/>
      <c r="O8" s="13"/>
      <c r="P8" s="13"/>
      <c r="Q8" s="13"/>
      <c r="S8" s="13"/>
    </row>
    <row r="9" spans="2:19" x14ac:dyDescent="0.25">
      <c r="F9" s="15"/>
    </row>
    <row r="10" spans="2:19" ht="13.8" x14ac:dyDescent="0.3">
      <c r="B10" t="s">
        <v>16</v>
      </c>
      <c r="D10" s="15" t="s">
        <v>17</v>
      </c>
      <c r="F10" s="15"/>
      <c r="G10" s="76"/>
      <c r="H10" s="55">
        <f>116800+15840</f>
        <v>132640</v>
      </c>
      <c r="I10" s="56">
        <v>123089.91999999998</v>
      </c>
      <c r="J10" s="56">
        <v>48600</v>
      </c>
      <c r="K10" s="56">
        <v>4500</v>
      </c>
      <c r="L10" s="56">
        <v>22500</v>
      </c>
      <c r="M10" s="56">
        <v>1350</v>
      </c>
      <c r="N10" s="56">
        <v>1350</v>
      </c>
      <c r="O10" s="56">
        <v>4522648.7692499999</v>
      </c>
      <c r="P10" s="56">
        <v>0</v>
      </c>
      <c r="Q10" s="57">
        <v>4856678.6892499998</v>
      </c>
    </row>
    <row r="11" spans="2:19" ht="13.8" x14ac:dyDescent="0.3">
      <c r="D11" s="15"/>
      <c r="F11" s="15"/>
      <c r="G11" s="76"/>
      <c r="H11" s="87">
        <v>96158.89</v>
      </c>
      <c r="I11" s="88">
        <v>90388.81</v>
      </c>
      <c r="J11" s="88">
        <v>34319.660000000003</v>
      </c>
      <c r="K11" s="88">
        <v>6907.56</v>
      </c>
      <c r="L11" s="88">
        <v>20662.5</v>
      </c>
      <c r="M11" s="88">
        <v>10295.65</v>
      </c>
      <c r="N11" s="88">
        <v>84.42</v>
      </c>
      <c r="O11" s="88">
        <v>4793463.63</v>
      </c>
      <c r="P11" s="88">
        <v>0</v>
      </c>
      <c r="Q11" s="89">
        <v>5052281.1199999992</v>
      </c>
    </row>
    <row r="12" spans="2:19" ht="13.8" x14ac:dyDescent="0.3">
      <c r="D12" s="15"/>
      <c r="F12" s="15"/>
      <c r="G12" s="22"/>
    </row>
    <row r="13" spans="2:19" ht="13.8" x14ac:dyDescent="0.3">
      <c r="B13" t="s">
        <v>18</v>
      </c>
      <c r="D13" s="15" t="s">
        <v>19</v>
      </c>
      <c r="F13" s="15"/>
      <c r="G13" s="76"/>
      <c r="H13" s="55">
        <f>40800+21600</f>
        <v>62400</v>
      </c>
      <c r="I13" s="56">
        <v>57907.199999999997</v>
      </c>
      <c r="J13" s="56">
        <v>132500</v>
      </c>
      <c r="K13" s="56">
        <v>1500</v>
      </c>
      <c r="L13" s="56">
        <v>187600</v>
      </c>
      <c r="M13" s="56">
        <v>0</v>
      </c>
      <c r="N13" s="56">
        <v>1000</v>
      </c>
      <c r="O13" s="56">
        <v>2201972.50037</v>
      </c>
      <c r="P13" s="56">
        <v>0</v>
      </c>
      <c r="Q13" s="57">
        <v>2644879.7003700002</v>
      </c>
    </row>
    <row r="14" spans="2:19" ht="13.8" x14ac:dyDescent="0.3">
      <c r="D14" s="15"/>
      <c r="F14" s="15"/>
      <c r="G14" s="76"/>
      <c r="H14" s="87">
        <v>54053.98</v>
      </c>
      <c r="I14" s="88">
        <v>50516.52</v>
      </c>
      <c r="J14" s="88">
        <v>116516.11</v>
      </c>
      <c r="K14" s="88">
        <v>1460.78</v>
      </c>
      <c r="L14" s="88">
        <v>146506.94</v>
      </c>
      <c r="M14" s="88">
        <v>3000.96</v>
      </c>
      <c r="N14" s="88">
        <v>0</v>
      </c>
      <c r="O14" s="88">
        <v>1911991.71</v>
      </c>
      <c r="P14" s="88">
        <v>0</v>
      </c>
      <c r="Q14" s="89">
        <v>2284047</v>
      </c>
    </row>
    <row r="15" spans="2:19" ht="13.8" x14ac:dyDescent="0.3">
      <c r="D15" s="15"/>
      <c r="F15" s="15"/>
      <c r="G15" s="22"/>
      <c r="H15" s="77"/>
    </row>
    <row r="16" spans="2:19" ht="13.8" x14ac:dyDescent="0.3">
      <c r="B16" t="s">
        <v>18</v>
      </c>
      <c r="D16" t="s">
        <v>20</v>
      </c>
      <c r="F16" s="15"/>
      <c r="G16" s="76"/>
      <c r="H16" s="55">
        <f>17600+3200</f>
        <v>20800</v>
      </c>
      <c r="I16" s="56">
        <v>19302.400000000001</v>
      </c>
      <c r="J16" s="56">
        <v>78750</v>
      </c>
      <c r="K16" s="56">
        <v>1200</v>
      </c>
      <c r="L16" s="56">
        <v>0</v>
      </c>
      <c r="M16" s="56">
        <v>1000</v>
      </c>
      <c r="N16" s="56">
        <v>500</v>
      </c>
      <c r="O16" s="56">
        <v>280600</v>
      </c>
      <c r="P16" s="56">
        <v>0</v>
      </c>
      <c r="Q16" s="57">
        <v>402152.4</v>
      </c>
    </row>
    <row r="17" spans="2:17" ht="13.8" x14ac:dyDescent="0.3">
      <c r="F17" s="15"/>
      <c r="G17" s="22"/>
      <c r="H17" s="87">
        <v>23705.279999999999</v>
      </c>
      <c r="I17" s="88">
        <v>22171.46</v>
      </c>
      <c r="J17" s="88">
        <v>57515.78</v>
      </c>
      <c r="K17" s="88">
        <v>382.92</v>
      </c>
      <c r="L17" s="88">
        <v>1065.28</v>
      </c>
      <c r="M17" s="88">
        <v>1091.33</v>
      </c>
      <c r="N17" s="88">
        <v>0</v>
      </c>
      <c r="O17" s="88">
        <v>238276.1</v>
      </c>
      <c r="P17" s="88">
        <v>-11200</v>
      </c>
      <c r="Q17" s="89">
        <v>333008.15000000014</v>
      </c>
    </row>
    <row r="18" spans="2:17" ht="13.8" x14ac:dyDescent="0.3">
      <c r="F18" s="15"/>
      <c r="G18" s="22"/>
      <c r="H18" s="77"/>
    </row>
    <row r="19" spans="2:17" ht="13.8" x14ac:dyDescent="0.3">
      <c r="B19" t="s">
        <v>18</v>
      </c>
      <c r="D19" t="s">
        <v>21</v>
      </c>
      <c r="F19" s="15"/>
      <c r="G19" s="76"/>
      <c r="H19" s="55">
        <f>36000+27200</f>
        <v>63200</v>
      </c>
      <c r="I19" s="56">
        <v>58649.599999999991</v>
      </c>
      <c r="J19" s="56">
        <v>137500</v>
      </c>
      <c r="K19" s="56">
        <v>3000</v>
      </c>
      <c r="L19" s="56">
        <v>110000</v>
      </c>
      <c r="M19" s="56">
        <v>0</v>
      </c>
      <c r="N19" s="56">
        <v>1000</v>
      </c>
      <c r="O19" s="56">
        <v>595920</v>
      </c>
      <c r="P19" s="56">
        <v>0</v>
      </c>
      <c r="Q19" s="57">
        <v>969269.6</v>
      </c>
    </row>
    <row r="20" spans="2:17" ht="13.8" x14ac:dyDescent="0.3">
      <c r="F20" s="15"/>
      <c r="G20" s="22"/>
      <c r="H20" s="87">
        <v>52812.27</v>
      </c>
      <c r="I20" s="88">
        <v>49387.29</v>
      </c>
      <c r="J20" s="88">
        <v>100090.77</v>
      </c>
      <c r="K20" s="88">
        <v>1191.94</v>
      </c>
      <c r="L20" s="88">
        <v>131309.49</v>
      </c>
      <c r="M20" s="88">
        <v>0</v>
      </c>
      <c r="N20" s="88">
        <v>0</v>
      </c>
      <c r="O20" s="88">
        <v>527304.68000000005</v>
      </c>
      <c r="P20" s="88">
        <v>0</v>
      </c>
      <c r="Q20" s="89">
        <v>862096.44000000006</v>
      </c>
    </row>
    <row r="21" spans="2:17" ht="13.8" x14ac:dyDescent="0.3">
      <c r="F21" s="15"/>
      <c r="G21" s="22"/>
      <c r="H21" s="77"/>
    </row>
    <row r="22" spans="2:17" ht="13.8" x14ac:dyDescent="0.3">
      <c r="B22" t="s">
        <v>18</v>
      </c>
      <c r="D22" t="s">
        <v>22</v>
      </c>
      <c r="F22" s="15"/>
      <c r="G22" s="76"/>
      <c r="H22" s="55">
        <f>29600+23200</f>
        <v>52800</v>
      </c>
      <c r="I22" s="56">
        <v>48998.399999999994</v>
      </c>
      <c r="J22" s="56">
        <v>228000</v>
      </c>
      <c r="K22" s="56">
        <v>3000</v>
      </c>
      <c r="L22" s="56">
        <v>0</v>
      </c>
      <c r="M22" s="56">
        <v>1000</v>
      </c>
      <c r="N22" s="56">
        <v>500</v>
      </c>
      <c r="O22" s="56">
        <v>2970000</v>
      </c>
      <c r="P22" s="56">
        <v>0</v>
      </c>
      <c r="Q22" s="57">
        <v>3304298.4</v>
      </c>
    </row>
    <row r="23" spans="2:17" ht="13.8" x14ac:dyDescent="0.3">
      <c r="F23" s="15"/>
      <c r="G23" s="76"/>
      <c r="H23" s="87">
        <v>44519.06</v>
      </c>
      <c r="I23" s="88">
        <v>41788.68</v>
      </c>
      <c r="J23" s="88">
        <v>176291.48</v>
      </c>
      <c r="K23" s="88">
        <v>245.49</v>
      </c>
      <c r="L23" s="88">
        <v>3031.85</v>
      </c>
      <c r="M23" s="88">
        <v>72.099999999999994</v>
      </c>
      <c r="N23" s="88">
        <v>0</v>
      </c>
      <c r="O23" s="88">
        <v>3373235.19</v>
      </c>
      <c r="P23" s="88">
        <v>0</v>
      </c>
      <c r="Q23" s="89">
        <v>3639183.8500000006</v>
      </c>
    </row>
    <row r="24" spans="2:17" ht="13.8" x14ac:dyDescent="0.3">
      <c r="F24" s="15"/>
      <c r="G24" s="22"/>
      <c r="H24" s="77"/>
    </row>
    <row r="25" spans="2:17" ht="13.8" x14ac:dyDescent="0.3">
      <c r="B25" s="16" t="s">
        <v>18</v>
      </c>
      <c r="C25" s="16" t="s">
        <v>23</v>
      </c>
      <c r="D25" s="16" t="s">
        <v>24</v>
      </c>
      <c r="E25" s="16"/>
      <c r="F25" s="86"/>
      <c r="G25" s="76"/>
      <c r="H25" s="55">
        <f>7200+5600</f>
        <v>12800</v>
      </c>
      <c r="I25" s="56">
        <v>11878.4</v>
      </c>
      <c r="J25" s="56">
        <v>15000</v>
      </c>
      <c r="K25" s="56">
        <v>250</v>
      </c>
      <c r="L25" s="56">
        <v>70000</v>
      </c>
      <c r="M25" s="56">
        <v>0</v>
      </c>
      <c r="N25" s="56">
        <v>0</v>
      </c>
      <c r="O25" s="56">
        <v>0</v>
      </c>
      <c r="P25" s="56">
        <v>0</v>
      </c>
      <c r="Q25" s="57">
        <v>109928.4</v>
      </c>
    </row>
    <row r="26" spans="2:17" ht="13.8" x14ac:dyDescent="0.3">
      <c r="B26" s="16"/>
      <c r="C26" s="16"/>
      <c r="D26" s="16"/>
      <c r="E26" s="16"/>
      <c r="F26" s="86"/>
      <c r="G26" s="76"/>
      <c r="H26" s="87">
        <v>7009.22</v>
      </c>
      <c r="I26" s="88">
        <v>6628.67</v>
      </c>
      <c r="J26" s="88">
        <v>0</v>
      </c>
      <c r="K26" s="88">
        <v>244.99</v>
      </c>
      <c r="L26" s="88">
        <v>0</v>
      </c>
      <c r="M26" s="88">
        <v>0</v>
      </c>
      <c r="N26" s="88">
        <v>0</v>
      </c>
      <c r="O26" s="88">
        <v>0</v>
      </c>
      <c r="P26" s="88">
        <v>0</v>
      </c>
      <c r="Q26" s="89">
        <v>13882.880000000001</v>
      </c>
    </row>
    <row r="27" spans="2:17" ht="13.8" x14ac:dyDescent="0.3">
      <c r="B27" s="16"/>
      <c r="C27" s="16"/>
      <c r="D27" s="16"/>
      <c r="E27" s="16"/>
      <c r="F27" s="86"/>
      <c r="G27" s="22"/>
      <c r="H27" s="77"/>
    </row>
    <row r="28" spans="2:17" ht="13.8" x14ac:dyDescent="0.3">
      <c r="B28" t="s">
        <v>18</v>
      </c>
      <c r="D28" t="s">
        <v>25</v>
      </c>
      <c r="F28" s="15"/>
      <c r="G28" s="76"/>
      <c r="H28" s="55">
        <f>68800+39200</f>
        <v>108000</v>
      </c>
      <c r="I28" s="56">
        <v>100224</v>
      </c>
      <c r="J28" s="56">
        <v>205781</v>
      </c>
      <c r="K28" s="56">
        <v>1000</v>
      </c>
      <c r="L28" s="56">
        <v>95000</v>
      </c>
      <c r="M28" s="56">
        <v>1000</v>
      </c>
      <c r="N28" s="56">
        <v>500</v>
      </c>
      <c r="O28" s="56">
        <v>1862939.2</v>
      </c>
      <c r="P28" s="56">
        <v>0</v>
      </c>
      <c r="Q28" s="57">
        <v>2374444.2000000002</v>
      </c>
    </row>
    <row r="29" spans="2:17" ht="13.8" x14ac:dyDescent="0.3">
      <c r="F29" s="15"/>
      <c r="G29" s="76"/>
      <c r="H29" s="87">
        <v>91884.42</v>
      </c>
      <c r="I29" s="88">
        <v>86102.95</v>
      </c>
      <c r="J29" s="88">
        <v>173625.98</v>
      </c>
      <c r="K29" s="88">
        <v>1549.13</v>
      </c>
      <c r="L29" s="88">
        <v>368816.91</v>
      </c>
      <c r="M29" s="88">
        <v>340.22</v>
      </c>
      <c r="N29" s="88">
        <v>-91.97</v>
      </c>
      <c r="O29" s="88">
        <v>2033547.47</v>
      </c>
      <c r="P29" s="88">
        <v>-450</v>
      </c>
      <c r="Q29" s="89">
        <v>2755325.1100000003</v>
      </c>
    </row>
    <row r="30" spans="2:17" ht="13.8" x14ac:dyDescent="0.3">
      <c r="F30" s="15"/>
      <c r="G30" s="22"/>
      <c r="H30" s="77"/>
    </row>
    <row r="31" spans="2:17" ht="13.8" x14ac:dyDescent="0.3">
      <c r="B31" t="s">
        <v>18</v>
      </c>
      <c r="D31" t="s">
        <v>26</v>
      </c>
      <c r="F31" s="15"/>
      <c r="G31" s="76"/>
      <c r="H31" s="55">
        <f>21600+3200</f>
        <v>24800</v>
      </c>
      <c r="I31" s="56">
        <v>23014.399999999998</v>
      </c>
      <c r="J31" s="56">
        <v>80915</v>
      </c>
      <c r="K31" s="56">
        <v>500</v>
      </c>
      <c r="L31" s="56">
        <v>12125</v>
      </c>
      <c r="M31" s="56">
        <v>500</v>
      </c>
      <c r="N31" s="56">
        <v>250</v>
      </c>
      <c r="O31" s="56">
        <v>275097.83435300004</v>
      </c>
      <c r="P31" s="56">
        <v>0</v>
      </c>
      <c r="Q31" s="57">
        <v>417202.23435300007</v>
      </c>
    </row>
    <row r="32" spans="2:17" ht="13.8" x14ac:dyDescent="0.3">
      <c r="F32" s="15"/>
      <c r="G32" s="76"/>
      <c r="H32" s="87">
        <v>24273.75</v>
      </c>
      <c r="I32" s="88">
        <v>22767.09</v>
      </c>
      <c r="J32" s="88">
        <v>60582.64</v>
      </c>
      <c r="K32" s="88">
        <v>45</v>
      </c>
      <c r="L32" s="88">
        <v>4042.6</v>
      </c>
      <c r="M32" s="88">
        <v>0</v>
      </c>
      <c r="N32" s="88">
        <v>4335.7299999999996</v>
      </c>
      <c r="O32" s="88">
        <v>391066.92</v>
      </c>
      <c r="P32" s="88">
        <v>-380.24</v>
      </c>
      <c r="Q32" s="89">
        <v>506733.49</v>
      </c>
    </row>
    <row r="33" spans="2:17" ht="13.8" x14ac:dyDescent="0.3">
      <c r="F33" s="15"/>
      <c r="G33" s="22"/>
    </row>
    <row r="34" spans="2:17" ht="13.8" x14ac:dyDescent="0.3">
      <c r="B34" t="s">
        <v>18</v>
      </c>
      <c r="D34" t="s">
        <v>27</v>
      </c>
      <c r="F34" s="15"/>
      <c r="G34" s="76"/>
      <c r="H34" s="55">
        <f>166720+103200</f>
        <v>269920</v>
      </c>
      <c r="I34" s="56">
        <v>250485.75999999995</v>
      </c>
      <c r="J34" s="56">
        <v>1625000</v>
      </c>
      <c r="K34" s="56">
        <v>11000</v>
      </c>
      <c r="L34" s="56">
        <v>1585743.5</v>
      </c>
      <c r="M34" s="56">
        <v>8250</v>
      </c>
      <c r="N34" s="56">
        <v>0</v>
      </c>
      <c r="O34" s="56">
        <v>8855051.0462500006</v>
      </c>
      <c r="P34" s="56">
        <v>0</v>
      </c>
      <c r="Q34" s="57">
        <v>12605450.30625</v>
      </c>
    </row>
    <row r="35" spans="2:17" ht="13.8" x14ac:dyDescent="0.3">
      <c r="F35" s="15"/>
      <c r="G35" s="76"/>
      <c r="H35" s="87">
        <v>237244.4</v>
      </c>
      <c r="I35" s="88">
        <v>221674.23999999999</v>
      </c>
      <c r="J35" s="88">
        <v>1155417.28</v>
      </c>
      <c r="K35" s="88">
        <v>3336.93</v>
      </c>
      <c r="L35" s="88">
        <v>588800.82999999996</v>
      </c>
      <c r="M35" s="88">
        <v>8542.43</v>
      </c>
      <c r="N35" s="88">
        <v>0</v>
      </c>
      <c r="O35" s="88">
        <v>7680406.4900000002</v>
      </c>
      <c r="P35" s="88">
        <v>0</v>
      </c>
      <c r="Q35" s="89">
        <v>9895422.5999999996</v>
      </c>
    </row>
    <row r="36" spans="2:17" ht="13.8" x14ac:dyDescent="0.3">
      <c r="F36" s="15"/>
      <c r="G36" s="22"/>
    </row>
    <row r="37" spans="2:17" ht="13.8" x14ac:dyDescent="0.3">
      <c r="B37" t="s">
        <v>18</v>
      </c>
      <c r="D37" t="s">
        <v>28</v>
      </c>
      <c r="F37" s="15"/>
      <c r="G37" s="76"/>
      <c r="H37" s="55">
        <f>24800+4000</f>
        <v>28800</v>
      </c>
      <c r="I37" s="56">
        <v>26726.399999999998</v>
      </c>
      <c r="J37" s="56">
        <v>15381.33</v>
      </c>
      <c r="K37" s="56">
        <v>600</v>
      </c>
      <c r="L37" s="56">
        <v>100250</v>
      </c>
      <c r="M37" s="56">
        <v>100</v>
      </c>
      <c r="N37" s="56">
        <v>150</v>
      </c>
      <c r="O37" s="56">
        <v>217200</v>
      </c>
      <c r="P37" s="56">
        <v>0</v>
      </c>
      <c r="Q37" s="57">
        <v>389207.73</v>
      </c>
    </row>
    <row r="38" spans="2:17" ht="13.8" x14ac:dyDescent="0.3">
      <c r="F38" s="15"/>
      <c r="G38" s="22"/>
      <c r="H38" s="87">
        <v>43518.97</v>
      </c>
      <c r="I38" s="88">
        <v>39938.35</v>
      </c>
      <c r="J38" s="88">
        <v>0</v>
      </c>
      <c r="K38" s="88">
        <v>865.33</v>
      </c>
      <c r="L38" s="88">
        <v>519112</v>
      </c>
      <c r="M38" s="88">
        <v>0</v>
      </c>
      <c r="N38" s="88">
        <v>0</v>
      </c>
      <c r="O38" s="88">
        <v>519111.98</v>
      </c>
      <c r="P38" s="88">
        <v>0</v>
      </c>
      <c r="Q38" s="89">
        <v>1122546.6300000001</v>
      </c>
    </row>
    <row r="39" spans="2:17" ht="13.8" x14ac:dyDescent="0.3">
      <c r="F39" s="15"/>
      <c r="G39" s="22"/>
      <c r="H39" s="77"/>
    </row>
    <row r="40" spans="2:17" ht="13.8" x14ac:dyDescent="0.3">
      <c r="B40" t="s">
        <v>18</v>
      </c>
      <c r="D40" t="s">
        <v>29</v>
      </c>
      <c r="F40" s="15"/>
      <c r="G40" s="76"/>
      <c r="H40" s="55">
        <f>26800+4800</f>
        <v>31600</v>
      </c>
      <c r="I40" s="56">
        <v>29324.799999999996</v>
      </c>
      <c r="J40" s="56">
        <v>15000</v>
      </c>
      <c r="K40" s="56">
        <v>100</v>
      </c>
      <c r="L40" s="56">
        <v>12000</v>
      </c>
      <c r="M40" s="56">
        <v>500</v>
      </c>
      <c r="N40" s="56">
        <v>500</v>
      </c>
      <c r="O40" s="56">
        <v>60000</v>
      </c>
      <c r="P40" s="56">
        <v>0</v>
      </c>
      <c r="Q40" s="57">
        <v>149024.79999999999</v>
      </c>
    </row>
    <row r="41" spans="2:17" ht="13.8" x14ac:dyDescent="0.3">
      <c r="F41" s="15"/>
      <c r="G41" s="22"/>
      <c r="H41" s="87">
        <v>9451.99</v>
      </c>
      <c r="I41" s="88">
        <v>9079.6200000000008</v>
      </c>
      <c r="J41" s="88">
        <v>13150.01</v>
      </c>
      <c r="K41" s="88">
        <v>2937.88</v>
      </c>
      <c r="L41" s="88">
        <v>3057.47</v>
      </c>
      <c r="M41" s="88">
        <v>62.35</v>
      </c>
      <c r="N41" s="88">
        <v>0</v>
      </c>
      <c r="O41" s="88">
        <v>116699.94</v>
      </c>
      <c r="P41" s="88">
        <v>0</v>
      </c>
      <c r="Q41" s="89">
        <v>154439.26</v>
      </c>
    </row>
    <row r="42" spans="2:17" ht="13.8" x14ac:dyDescent="0.3">
      <c r="F42" s="15"/>
      <c r="G42" s="22"/>
      <c r="H42" s="56"/>
    </row>
    <row r="43" spans="2:17" ht="13.8" x14ac:dyDescent="0.3">
      <c r="B43" t="s">
        <v>30</v>
      </c>
      <c r="C43" s="17"/>
      <c r="D43" t="s">
        <v>31</v>
      </c>
      <c r="F43" s="15"/>
      <c r="G43" s="22"/>
      <c r="H43" s="55">
        <f>13600+4000</f>
        <v>17600</v>
      </c>
      <c r="I43" s="56">
        <v>16332.8</v>
      </c>
      <c r="J43" s="56">
        <v>4000</v>
      </c>
      <c r="K43" s="56">
        <v>1000</v>
      </c>
      <c r="L43" s="56">
        <v>0</v>
      </c>
      <c r="M43" s="56">
        <v>0</v>
      </c>
      <c r="N43" s="56">
        <v>0</v>
      </c>
      <c r="O43" s="56">
        <v>101250</v>
      </c>
      <c r="P43" s="56">
        <v>0</v>
      </c>
      <c r="Q43" s="57">
        <v>140182.79999999999</v>
      </c>
    </row>
    <row r="44" spans="2:17" ht="13.8" x14ac:dyDescent="0.3">
      <c r="C44" s="17"/>
      <c r="F44" s="15"/>
      <c r="G44" s="76"/>
      <c r="H44" s="87">
        <v>21605.83</v>
      </c>
      <c r="I44" s="88">
        <v>20323.79</v>
      </c>
      <c r="J44" s="88">
        <v>2512</v>
      </c>
      <c r="K44" s="88">
        <v>1055.5</v>
      </c>
      <c r="L44" s="88">
        <v>203</v>
      </c>
      <c r="M44" s="88">
        <v>2.97</v>
      </c>
      <c r="N44" s="88">
        <v>125</v>
      </c>
      <c r="O44" s="88">
        <v>6000</v>
      </c>
      <c r="P44" s="88">
        <v>0</v>
      </c>
      <c r="Q44" s="89">
        <v>51828.090000000004</v>
      </c>
    </row>
    <row r="45" spans="2:17" ht="13.8" x14ac:dyDescent="0.3">
      <c r="C45" s="17"/>
      <c r="F45" s="15"/>
      <c r="G45" s="22"/>
      <c r="H45" s="77"/>
    </row>
    <row r="46" spans="2:17" ht="13.8" x14ac:dyDescent="0.3">
      <c r="B46" t="s">
        <v>30</v>
      </c>
      <c r="C46" s="17"/>
      <c r="D46" t="s">
        <v>32</v>
      </c>
      <c r="F46" s="15"/>
      <c r="G46" s="76"/>
      <c r="H46" s="55">
        <f>10400+2400</f>
        <v>12800</v>
      </c>
      <c r="I46" s="56">
        <v>11878.4</v>
      </c>
      <c r="J46" s="56">
        <v>15500</v>
      </c>
      <c r="K46" s="56">
        <v>500</v>
      </c>
      <c r="L46" s="56">
        <v>1500</v>
      </c>
      <c r="M46" s="56">
        <v>500</v>
      </c>
      <c r="N46" s="56">
        <v>0</v>
      </c>
      <c r="O46" s="56">
        <v>27500</v>
      </c>
      <c r="P46" s="56">
        <v>0</v>
      </c>
      <c r="Q46" s="57">
        <v>70178.399999999994</v>
      </c>
    </row>
    <row r="47" spans="2:17" ht="13.8" x14ac:dyDescent="0.3">
      <c r="C47" s="17"/>
      <c r="F47" s="15"/>
      <c r="G47" s="76"/>
      <c r="H47" s="87">
        <v>5951.8</v>
      </c>
      <c r="I47" s="88">
        <v>5539.07</v>
      </c>
      <c r="J47" s="88">
        <v>693</v>
      </c>
      <c r="K47" s="88">
        <v>151.29</v>
      </c>
      <c r="L47" s="88">
        <v>370</v>
      </c>
      <c r="M47" s="88">
        <v>2.97</v>
      </c>
      <c r="N47" s="88">
        <v>0</v>
      </c>
      <c r="O47" s="88">
        <v>9800</v>
      </c>
      <c r="P47" s="88">
        <v>0</v>
      </c>
      <c r="Q47" s="89">
        <v>22508.13</v>
      </c>
    </row>
    <row r="48" spans="2:17" ht="13.8" x14ac:dyDescent="0.3">
      <c r="C48" s="17"/>
      <c r="F48" s="15"/>
      <c r="G48" s="22"/>
      <c r="H48" s="77"/>
    </row>
    <row r="49" spans="2:17" ht="13.8" x14ac:dyDescent="0.3">
      <c r="B49" t="s">
        <v>143</v>
      </c>
      <c r="D49" t="s">
        <v>144</v>
      </c>
      <c r="F49" s="15"/>
      <c r="G49" s="76"/>
      <c r="H49" s="55">
        <v>0</v>
      </c>
      <c r="I49" s="56">
        <v>0</v>
      </c>
      <c r="J49" s="56">
        <v>0</v>
      </c>
      <c r="K49" s="56">
        <v>0</v>
      </c>
      <c r="L49" s="56">
        <v>0</v>
      </c>
      <c r="M49" s="56">
        <v>0</v>
      </c>
      <c r="N49" s="56">
        <v>0</v>
      </c>
      <c r="O49" s="56">
        <v>0</v>
      </c>
      <c r="P49" s="56">
        <v>0</v>
      </c>
      <c r="Q49" s="57">
        <v>0</v>
      </c>
    </row>
    <row r="50" spans="2:17" ht="13.8" x14ac:dyDescent="0.3">
      <c r="D50" s="167" t="s">
        <v>145</v>
      </c>
      <c r="F50" s="15"/>
      <c r="G50" s="22"/>
      <c r="H50" s="87">
        <v>9504</v>
      </c>
      <c r="I50" s="88">
        <v>9058.9599999999991</v>
      </c>
      <c r="J50" s="88">
        <v>35.770000000000003</v>
      </c>
      <c r="K50" s="88">
        <v>0</v>
      </c>
      <c r="L50" s="88">
        <v>0</v>
      </c>
      <c r="M50" s="88">
        <v>0</v>
      </c>
      <c r="N50" s="88">
        <v>0</v>
      </c>
      <c r="O50" s="88">
        <v>186068.37</v>
      </c>
      <c r="P50" s="88">
        <v>0</v>
      </c>
      <c r="Q50" s="89">
        <v>204667.09999999998</v>
      </c>
    </row>
    <row r="51" spans="2:17" ht="13.8" x14ac:dyDescent="0.3">
      <c r="F51" s="15"/>
      <c r="G51" s="22"/>
      <c r="H51" s="56"/>
    </row>
    <row r="52" spans="2:17" ht="13.8" x14ac:dyDescent="0.3">
      <c r="B52" t="s">
        <v>33</v>
      </c>
      <c r="C52" s="17"/>
      <c r="D52" s="18" t="s">
        <v>34</v>
      </c>
      <c r="F52" s="15"/>
      <c r="G52" s="22"/>
      <c r="H52" s="55">
        <f>144900+43200</f>
        <v>188100</v>
      </c>
      <c r="I52" s="56">
        <v>174556.79999999999</v>
      </c>
      <c r="J52" s="56">
        <v>67500</v>
      </c>
      <c r="K52" s="56">
        <v>4000</v>
      </c>
      <c r="L52" s="56">
        <v>1492000</v>
      </c>
      <c r="M52" s="56">
        <v>1000</v>
      </c>
      <c r="N52" s="56">
        <v>1000</v>
      </c>
      <c r="O52" s="56">
        <v>8457598.0449999999</v>
      </c>
      <c r="P52" s="56">
        <v>0</v>
      </c>
      <c r="Q52" s="57">
        <v>10385754.845000001</v>
      </c>
    </row>
    <row r="53" spans="2:17" ht="13.8" x14ac:dyDescent="0.3">
      <c r="C53" s="17"/>
      <c r="D53" s="18"/>
      <c r="F53" s="15"/>
      <c r="G53" s="76"/>
      <c r="H53" s="87">
        <v>141750.82999999999</v>
      </c>
      <c r="I53" s="88">
        <v>132413.75</v>
      </c>
      <c r="J53" s="88">
        <v>11620.15</v>
      </c>
      <c r="K53" s="88">
        <v>2718.21</v>
      </c>
      <c r="L53" s="88">
        <v>1102923.55</v>
      </c>
      <c r="M53" s="88">
        <v>9593.7000000000007</v>
      </c>
      <c r="N53" s="88">
        <v>6090</v>
      </c>
      <c r="O53" s="88">
        <v>6316017</v>
      </c>
      <c r="P53" s="88">
        <v>0</v>
      </c>
      <c r="Q53" s="89">
        <v>7723127.3600000003</v>
      </c>
    </row>
    <row r="54" spans="2:17" ht="13.8" x14ac:dyDescent="0.3">
      <c r="C54" s="17"/>
      <c r="D54" s="18"/>
      <c r="F54" s="15"/>
      <c r="G54" s="22"/>
    </row>
    <row r="55" spans="2:17" ht="13.8" x14ac:dyDescent="0.3">
      <c r="B55" t="s">
        <v>35</v>
      </c>
      <c r="C55" s="17"/>
      <c r="D55" t="s">
        <v>36</v>
      </c>
      <c r="F55" s="15"/>
      <c r="G55" s="76"/>
      <c r="H55" s="55">
        <f>103720+4000</f>
        <v>107720</v>
      </c>
      <c r="I55" s="56">
        <v>99964.160000000003</v>
      </c>
      <c r="J55" s="56">
        <v>35000</v>
      </c>
      <c r="K55" s="56">
        <v>4000</v>
      </c>
      <c r="L55" s="56">
        <v>302500</v>
      </c>
      <c r="M55" s="56">
        <v>3000</v>
      </c>
      <c r="N55" s="56">
        <v>0</v>
      </c>
      <c r="O55" s="56">
        <v>673764.3</v>
      </c>
      <c r="P55" s="56">
        <v>0</v>
      </c>
      <c r="Q55" s="57">
        <v>1225948.46</v>
      </c>
    </row>
    <row r="56" spans="2:17" ht="13.8" x14ac:dyDescent="0.3">
      <c r="C56" s="17"/>
      <c r="G56" s="76"/>
      <c r="H56" s="87">
        <v>106791.15</v>
      </c>
      <c r="I56" s="88">
        <v>100439.44</v>
      </c>
      <c r="J56" s="88">
        <v>3896.45</v>
      </c>
      <c r="K56" s="88">
        <v>1952.86</v>
      </c>
      <c r="L56" s="88">
        <v>144796</v>
      </c>
      <c r="M56" s="88">
        <v>410.46</v>
      </c>
      <c r="N56" s="88">
        <v>168.84</v>
      </c>
      <c r="O56" s="88">
        <v>337053.72</v>
      </c>
      <c r="P56" s="88">
        <v>0</v>
      </c>
      <c r="Q56" s="89">
        <v>695508.91999999993</v>
      </c>
    </row>
    <row r="57" spans="2:17" ht="13.8" x14ac:dyDescent="0.3">
      <c r="C57" s="17"/>
      <c r="G57" s="22"/>
    </row>
    <row r="58" spans="2:17" s="19" customFormat="1" ht="13.8" x14ac:dyDescent="0.3">
      <c r="E58" s="20"/>
      <c r="F58" s="20" t="s">
        <v>37</v>
      </c>
      <c r="G58" s="21"/>
      <c r="H58" s="8">
        <f>829340+304640</f>
        <v>1133980</v>
      </c>
      <c r="I58" s="8">
        <v>1052333.4400000002</v>
      </c>
      <c r="J58" s="8">
        <v>2704427.33</v>
      </c>
      <c r="K58" s="8">
        <v>36150</v>
      </c>
      <c r="L58" s="8">
        <v>3991218.5</v>
      </c>
      <c r="M58" s="8">
        <v>18200</v>
      </c>
      <c r="N58" s="8">
        <v>6750</v>
      </c>
      <c r="O58" s="8">
        <v>31101541.695223</v>
      </c>
      <c r="P58" s="8">
        <v>0</v>
      </c>
      <c r="Q58" s="8">
        <v>40044600.965223007</v>
      </c>
    </row>
    <row r="59" spans="2:17" s="25" customFormat="1" ht="13.8" x14ac:dyDescent="0.3">
      <c r="G59" s="106"/>
      <c r="H59" s="99">
        <f>+H11+H14+H17+H20+H26+H29+H23+H32+H35+H38+H41+H44+H47+H50+H53+H56</f>
        <v>970235.84</v>
      </c>
      <c r="I59" s="99">
        <f t="shared" ref="I59:Q59" si="0">+I11+I14+I17+I20+I26+I29+I23+I32+I35+I38+I41+I44+I47+I50+I53+I56</f>
        <v>908218.69</v>
      </c>
      <c r="J59" s="99">
        <f t="shared" si="0"/>
        <v>1906267.08</v>
      </c>
      <c r="K59" s="99">
        <f t="shared" si="0"/>
        <v>25045.81</v>
      </c>
      <c r="L59" s="99">
        <f t="shared" si="0"/>
        <v>3034698.42</v>
      </c>
      <c r="M59" s="99">
        <f t="shared" si="0"/>
        <v>33415.140000000007</v>
      </c>
      <c r="N59" s="99">
        <f t="shared" si="0"/>
        <v>10712.02</v>
      </c>
      <c r="O59" s="99">
        <f t="shared" si="0"/>
        <v>28440043.199999999</v>
      </c>
      <c r="P59" s="99">
        <f t="shared" si="0"/>
        <v>-12030.24</v>
      </c>
      <c r="Q59" s="99">
        <f t="shared" si="0"/>
        <v>35316606.130000003</v>
      </c>
    </row>
    <row r="60" spans="2:17" x14ac:dyDescent="0.25">
      <c r="G60" s="23"/>
      <c r="H60" s="24"/>
      <c r="I60" s="24"/>
      <c r="J60" s="24"/>
      <c r="K60" s="24"/>
      <c r="L60" s="24"/>
      <c r="M60" s="24"/>
      <c r="N60" s="171" t="s">
        <v>150</v>
      </c>
      <c r="O60" s="172">
        <f>O59/Q59</f>
        <v>0.80528811560523517</v>
      </c>
      <c r="P60" s="24"/>
      <c r="Q60" s="24"/>
    </row>
    <row r="61" spans="2:17" x14ac:dyDescent="0.25">
      <c r="B61" s="19" t="s">
        <v>38</v>
      </c>
    </row>
    <row r="62" spans="2:17" x14ac:dyDescent="0.25">
      <c r="G62" s="86" t="s">
        <v>142</v>
      </c>
    </row>
    <row r="63" spans="2:17" ht="13.8" x14ac:dyDescent="0.3">
      <c r="B63" t="s">
        <v>39</v>
      </c>
      <c r="D63" t="s">
        <v>40</v>
      </c>
      <c r="F63" s="15"/>
      <c r="G63" s="22"/>
      <c r="H63" s="55">
        <f>H66+H69</f>
        <v>2506000</v>
      </c>
      <c r="I63" s="56">
        <f t="shared" ref="I63:Q63" si="1">I66+I69</f>
        <v>2324128</v>
      </c>
      <c r="J63" s="56">
        <f t="shared" si="1"/>
        <v>24000</v>
      </c>
      <c r="K63" s="56">
        <f t="shared" si="1"/>
        <v>90000</v>
      </c>
      <c r="L63" s="56">
        <f t="shared" si="1"/>
        <v>225000</v>
      </c>
      <c r="M63" s="56">
        <f t="shared" si="1"/>
        <v>7000</v>
      </c>
      <c r="N63" s="56">
        <f t="shared" si="1"/>
        <v>6000</v>
      </c>
      <c r="O63" s="56">
        <f t="shared" si="1"/>
        <v>14875000</v>
      </c>
      <c r="P63" s="56">
        <f t="shared" si="1"/>
        <v>0</v>
      </c>
      <c r="Q63" s="57">
        <f t="shared" si="1"/>
        <v>20057128</v>
      </c>
    </row>
    <row r="64" spans="2:17" ht="13.8" x14ac:dyDescent="0.3">
      <c r="F64" s="15"/>
      <c r="G64" s="76"/>
      <c r="H64" s="96">
        <f>H67+H70</f>
        <v>1549715.3599999999</v>
      </c>
      <c r="I64" s="97">
        <f>I67+I70</f>
        <v>1973632.7999999998</v>
      </c>
      <c r="J64" s="97">
        <f t="shared" ref="J64:Q64" si="2">J67+J70</f>
        <v>-6923.4699999999993</v>
      </c>
      <c r="K64" s="97">
        <f t="shared" si="2"/>
        <v>63787.07</v>
      </c>
      <c r="L64" s="97">
        <f t="shared" si="2"/>
        <v>304026.31</v>
      </c>
      <c r="M64" s="97">
        <f t="shared" si="2"/>
        <v>9880.0400000000009</v>
      </c>
      <c r="N64" s="97">
        <f t="shared" si="2"/>
        <v>3389.69</v>
      </c>
      <c r="O64" s="97">
        <f t="shared" si="2"/>
        <v>10365013.200000001</v>
      </c>
      <c r="P64" s="97">
        <f t="shared" si="2"/>
        <v>0</v>
      </c>
      <c r="Q64" s="98">
        <f t="shared" si="2"/>
        <v>14262521</v>
      </c>
    </row>
    <row r="65" spans="2:17" ht="13.8" x14ac:dyDescent="0.3">
      <c r="F65" s="15"/>
      <c r="G65" s="76"/>
      <c r="H65" s="58"/>
      <c r="I65" s="48"/>
      <c r="J65" s="48"/>
      <c r="K65" s="48"/>
      <c r="L65" s="48"/>
      <c r="M65" s="48"/>
      <c r="N65" s="48"/>
      <c r="O65" s="48"/>
      <c r="P65" s="48"/>
      <c r="Q65" s="59"/>
    </row>
    <row r="66" spans="2:17" s="25" customFormat="1" ht="13.8" x14ac:dyDescent="0.3">
      <c r="E66" s="25" t="s">
        <v>41</v>
      </c>
      <c r="F66" s="83"/>
      <c r="G66" s="84"/>
      <c r="H66" s="58">
        <f>1250000+3000</f>
        <v>1253000</v>
      </c>
      <c r="I66" s="48">
        <v>1162064</v>
      </c>
      <c r="J66" s="48">
        <v>12000</v>
      </c>
      <c r="K66" s="48">
        <v>45000</v>
      </c>
      <c r="L66" s="48">
        <v>112500</v>
      </c>
      <c r="M66" s="48">
        <v>3500</v>
      </c>
      <c r="N66" s="48">
        <v>3000</v>
      </c>
      <c r="O66" s="48">
        <v>7437500</v>
      </c>
      <c r="P66" s="48">
        <v>0</v>
      </c>
      <c r="Q66" s="59">
        <v>10028564</v>
      </c>
    </row>
    <row r="67" spans="2:17" s="25" customFormat="1" ht="13.8" x14ac:dyDescent="0.3">
      <c r="F67" s="83"/>
      <c r="G67" s="85"/>
      <c r="H67" s="90">
        <v>1263430.1499999999</v>
      </c>
      <c r="I67" s="91">
        <v>1182934.44</v>
      </c>
      <c r="J67" s="91">
        <v>1077.23</v>
      </c>
      <c r="K67" s="91">
        <v>18538.349999999999</v>
      </c>
      <c r="L67" s="91">
        <v>2307</v>
      </c>
      <c r="M67" s="91">
        <v>4503.93</v>
      </c>
      <c r="N67" s="91">
        <v>281.41000000000003</v>
      </c>
      <c r="O67" s="91">
        <v>6624678.3600000003</v>
      </c>
      <c r="P67" s="91">
        <v>0</v>
      </c>
      <c r="Q67" s="92">
        <v>9097750.8699999992</v>
      </c>
    </row>
    <row r="68" spans="2:17" s="25" customFormat="1" ht="13.8" x14ac:dyDescent="0.3">
      <c r="F68" s="83"/>
      <c r="G68" s="85"/>
      <c r="H68" s="58"/>
      <c r="I68" s="48"/>
      <c r="J68" s="48"/>
      <c r="K68" s="48"/>
      <c r="L68" s="48"/>
      <c r="M68" s="48"/>
      <c r="N68" s="48"/>
      <c r="O68" s="48"/>
      <c r="P68" s="48"/>
      <c r="Q68" s="59"/>
    </row>
    <row r="69" spans="2:17" s="25" customFormat="1" ht="13.8" x14ac:dyDescent="0.3">
      <c r="E69" s="25" t="s">
        <v>132</v>
      </c>
      <c r="F69" s="83"/>
      <c r="G69" s="85"/>
      <c r="H69" s="58">
        <f>1250000+3000</f>
        <v>1253000</v>
      </c>
      <c r="I69" s="48">
        <v>1162064</v>
      </c>
      <c r="J69" s="48">
        <v>12000</v>
      </c>
      <c r="K69" s="48">
        <v>45000</v>
      </c>
      <c r="L69" s="48">
        <v>112500</v>
      </c>
      <c r="M69" s="48">
        <v>3500</v>
      </c>
      <c r="N69" s="48">
        <v>3000</v>
      </c>
      <c r="O69" s="48">
        <v>7437500</v>
      </c>
      <c r="P69" s="48">
        <v>0</v>
      </c>
      <c r="Q69" s="59">
        <v>10028564</v>
      </c>
    </row>
    <row r="70" spans="2:17" s="25" customFormat="1" ht="13.8" x14ac:dyDescent="0.3">
      <c r="F70" s="83"/>
      <c r="G70" s="85"/>
      <c r="H70" s="93">
        <v>286285.20999999996</v>
      </c>
      <c r="I70" s="94">
        <v>790698.36</v>
      </c>
      <c r="J70" s="94">
        <v>-8000.7</v>
      </c>
      <c r="K70" s="94">
        <v>45248.72</v>
      </c>
      <c r="L70" s="94">
        <v>301719.31</v>
      </c>
      <c r="M70" s="94">
        <v>5376.11</v>
      </c>
      <c r="N70" s="94">
        <v>3108.28</v>
      </c>
      <c r="O70" s="94">
        <v>3740334.8400000003</v>
      </c>
      <c r="P70" s="94">
        <v>0</v>
      </c>
      <c r="Q70" s="95">
        <v>5164770.13</v>
      </c>
    </row>
    <row r="71" spans="2:17" s="25" customFormat="1" ht="13.8" x14ac:dyDescent="0.3">
      <c r="F71" s="83"/>
      <c r="G71" s="84"/>
      <c r="H71" s="77"/>
      <c r="I71" s="2"/>
      <c r="J71" s="2"/>
      <c r="K71" s="2"/>
      <c r="L71" s="2"/>
      <c r="M71" s="2"/>
      <c r="N71" s="2"/>
      <c r="O71" s="2"/>
      <c r="P71" s="2"/>
      <c r="Q71" s="2"/>
    </row>
    <row r="72" spans="2:17" ht="13.8" x14ac:dyDescent="0.3">
      <c r="B72" t="s">
        <v>42</v>
      </c>
      <c r="D72" t="s">
        <v>43</v>
      </c>
      <c r="F72" s="15"/>
      <c r="G72" s="76"/>
      <c r="H72" s="55">
        <f>336000+4800</f>
        <v>340800</v>
      </c>
      <c r="I72" s="56">
        <v>315110.40000000002</v>
      </c>
      <c r="J72" s="56">
        <v>4800</v>
      </c>
      <c r="K72" s="56">
        <v>4800</v>
      </c>
      <c r="L72" s="56">
        <v>100800</v>
      </c>
      <c r="M72" s="56">
        <v>7200</v>
      </c>
      <c r="N72" s="56">
        <v>0</v>
      </c>
      <c r="O72" s="56">
        <v>4022400</v>
      </c>
      <c r="P72" s="56">
        <v>0</v>
      </c>
      <c r="Q72" s="57">
        <v>4795910.4000000004</v>
      </c>
    </row>
    <row r="73" spans="2:17" ht="13.8" x14ac:dyDescent="0.3">
      <c r="G73" s="76"/>
      <c r="H73" s="87">
        <v>85657.86</v>
      </c>
      <c r="I73" s="88">
        <v>80207.77</v>
      </c>
      <c r="J73" s="88">
        <v>40.5</v>
      </c>
      <c r="K73" s="88">
        <v>5283.45</v>
      </c>
      <c r="L73" s="88">
        <v>80532.740000000005</v>
      </c>
      <c r="M73" s="88">
        <v>2668.62</v>
      </c>
      <c r="N73" s="88">
        <v>17756</v>
      </c>
      <c r="O73" s="88">
        <v>2720532.7</v>
      </c>
      <c r="P73" s="88">
        <v>0</v>
      </c>
      <c r="Q73" s="89">
        <v>2992679.6400000006</v>
      </c>
    </row>
    <row r="74" spans="2:17" ht="13.8" x14ac:dyDescent="0.3">
      <c r="G74" s="22"/>
    </row>
    <row r="75" spans="2:17" x14ac:dyDescent="0.25">
      <c r="D75" t="s">
        <v>44</v>
      </c>
      <c r="H75" s="60">
        <f>H78+H81+H84</f>
        <v>430000</v>
      </c>
      <c r="I75" s="61">
        <f t="shared" ref="I75:Q75" si="3">I78+I81+I84</f>
        <v>399640.24</v>
      </c>
      <c r="J75" s="61">
        <f t="shared" si="3"/>
        <v>5000</v>
      </c>
      <c r="K75" s="61">
        <f t="shared" si="3"/>
        <v>15000</v>
      </c>
      <c r="L75" s="61">
        <f t="shared" si="3"/>
        <v>57500</v>
      </c>
      <c r="M75" s="61">
        <f t="shared" si="3"/>
        <v>5000</v>
      </c>
      <c r="N75" s="61">
        <f t="shared" si="3"/>
        <v>10000</v>
      </c>
      <c r="O75" s="61">
        <f t="shared" si="3"/>
        <v>522500</v>
      </c>
      <c r="P75" s="61">
        <f t="shared" si="3"/>
        <v>0</v>
      </c>
      <c r="Q75" s="62">
        <f t="shared" si="3"/>
        <v>1444640.24</v>
      </c>
    </row>
    <row r="76" spans="2:17" x14ac:dyDescent="0.25">
      <c r="H76" s="96">
        <f>H79+H82+H85</f>
        <v>287392.78999999998</v>
      </c>
      <c r="I76" s="97">
        <f>I79+I82+I85</f>
        <v>269846.45</v>
      </c>
      <c r="J76" s="97">
        <f t="shared" ref="J76:P76" si="4">J79+J82+J85</f>
        <v>887.03</v>
      </c>
      <c r="K76" s="97">
        <f t="shared" si="4"/>
        <v>15321.580000000002</v>
      </c>
      <c r="L76" s="97">
        <f t="shared" si="4"/>
        <v>52760.39</v>
      </c>
      <c r="M76" s="97">
        <f t="shared" si="4"/>
        <v>641.89</v>
      </c>
      <c r="N76" s="97">
        <f t="shared" si="4"/>
        <v>0</v>
      </c>
      <c r="O76" s="97">
        <f t="shared" si="4"/>
        <v>363313.81999999995</v>
      </c>
      <c r="P76" s="97">
        <f t="shared" si="4"/>
        <v>0</v>
      </c>
      <c r="Q76" s="98">
        <f>Q79+Q82+Q85</f>
        <v>990163.95</v>
      </c>
    </row>
    <row r="77" spans="2:17" x14ac:dyDescent="0.25">
      <c r="G77" s="82"/>
      <c r="H77" s="63"/>
      <c r="I77" s="64"/>
      <c r="J77" s="64"/>
      <c r="K77" s="64"/>
      <c r="L77" s="64"/>
      <c r="M77" s="64"/>
      <c r="N77" s="64"/>
      <c r="O77" s="64"/>
      <c r="P77" s="64"/>
      <c r="Q77" s="65"/>
    </row>
    <row r="78" spans="2:17" s="26" customFormat="1" ht="13.8" x14ac:dyDescent="0.3">
      <c r="B78" s="26" t="s">
        <v>45</v>
      </c>
      <c r="D78" s="27" t="s">
        <v>46</v>
      </c>
      <c r="G78" s="79"/>
      <c r="H78" s="66">
        <v>380000</v>
      </c>
      <c r="I78" s="67">
        <v>352640</v>
      </c>
      <c r="J78" s="67">
        <v>5000</v>
      </c>
      <c r="K78" s="67">
        <v>15000</v>
      </c>
      <c r="L78" s="67">
        <v>15000</v>
      </c>
      <c r="M78" s="67">
        <v>5000</v>
      </c>
      <c r="N78" s="67">
        <v>10000</v>
      </c>
      <c r="O78" s="67">
        <v>500000</v>
      </c>
      <c r="P78" s="67">
        <v>0</v>
      </c>
      <c r="Q78" s="68">
        <v>1282640</v>
      </c>
    </row>
    <row r="79" spans="2:17" s="26" customFormat="1" ht="13.8" x14ac:dyDescent="0.3">
      <c r="D79" s="27"/>
      <c r="F79" s="78"/>
      <c r="G79" s="79"/>
      <c r="H79" s="90">
        <v>287392.78999999998</v>
      </c>
      <c r="I79" s="91">
        <v>269846.45</v>
      </c>
      <c r="J79" s="91">
        <v>887.03</v>
      </c>
      <c r="K79" s="91">
        <v>15275.79</v>
      </c>
      <c r="L79" s="91">
        <v>28772.62</v>
      </c>
      <c r="M79" s="91">
        <v>600.77</v>
      </c>
      <c r="N79" s="91">
        <v>0</v>
      </c>
      <c r="O79" s="91">
        <v>343687.47</v>
      </c>
      <c r="P79" s="91">
        <v>0</v>
      </c>
      <c r="Q79" s="92">
        <v>946462.91999999993</v>
      </c>
    </row>
    <row r="80" spans="2:17" s="26" customFormat="1" ht="13.8" x14ac:dyDescent="0.3">
      <c r="D80" s="27"/>
      <c r="F80" s="78"/>
      <c r="G80" s="79"/>
      <c r="H80" s="66"/>
      <c r="I80" s="67"/>
      <c r="J80" s="67"/>
      <c r="K80" s="67"/>
      <c r="L80" s="67"/>
      <c r="M80" s="67"/>
      <c r="N80" s="67"/>
      <c r="O80" s="67"/>
      <c r="P80" s="67"/>
      <c r="Q80" s="68"/>
    </row>
    <row r="81" spans="2:17" s="26" customFormat="1" ht="13.8" x14ac:dyDescent="0.3">
      <c r="B81" s="26" t="s">
        <v>45</v>
      </c>
      <c r="D81" s="27" t="s">
        <v>47</v>
      </c>
      <c r="F81" s="78"/>
      <c r="G81" s="76"/>
      <c r="H81" s="66">
        <v>0</v>
      </c>
      <c r="I81" s="67">
        <v>0</v>
      </c>
      <c r="J81" s="67">
        <v>0</v>
      </c>
      <c r="K81" s="67">
        <v>0</v>
      </c>
      <c r="L81" s="67">
        <v>27500.000000000004</v>
      </c>
      <c r="M81" s="67">
        <v>0</v>
      </c>
      <c r="N81" s="67">
        <v>0</v>
      </c>
      <c r="O81" s="67">
        <v>22500</v>
      </c>
      <c r="P81" s="67">
        <v>0</v>
      </c>
      <c r="Q81" s="68">
        <v>50000</v>
      </c>
    </row>
    <row r="82" spans="2:17" s="26" customFormat="1" ht="13.8" x14ac:dyDescent="0.3">
      <c r="D82" s="27"/>
      <c r="F82" s="78"/>
      <c r="G82" s="76"/>
      <c r="H82" s="90">
        <v>0</v>
      </c>
      <c r="I82" s="91">
        <v>0</v>
      </c>
      <c r="J82" s="91">
        <v>0</v>
      </c>
      <c r="K82" s="91">
        <v>45.79</v>
      </c>
      <c r="L82" s="91">
        <v>23987.77</v>
      </c>
      <c r="M82" s="91">
        <v>41.12</v>
      </c>
      <c r="N82" s="91">
        <v>0</v>
      </c>
      <c r="O82" s="91">
        <v>19626.349999999999</v>
      </c>
      <c r="P82" s="91">
        <v>0</v>
      </c>
      <c r="Q82" s="92">
        <v>43701.03</v>
      </c>
    </row>
    <row r="83" spans="2:17" s="26" customFormat="1" ht="13.8" x14ac:dyDescent="0.3">
      <c r="D83" s="27"/>
      <c r="F83" s="78"/>
      <c r="G83" s="76"/>
      <c r="H83" s="66"/>
      <c r="I83" s="67"/>
      <c r="J83" s="67"/>
      <c r="K83" s="67"/>
      <c r="L83" s="67"/>
      <c r="M83" s="67"/>
      <c r="N83" s="67"/>
      <c r="O83" s="67"/>
      <c r="P83" s="67"/>
      <c r="Q83" s="68"/>
    </row>
    <row r="84" spans="2:17" s="26" customFormat="1" ht="13.8" x14ac:dyDescent="0.3">
      <c r="D84" s="27" t="s">
        <v>48</v>
      </c>
      <c r="F84" s="78"/>
      <c r="G84" s="76"/>
      <c r="H84" s="66">
        <v>50000</v>
      </c>
      <c r="I84" s="67">
        <v>47000.24</v>
      </c>
      <c r="J84" s="67">
        <v>0</v>
      </c>
      <c r="K84" s="67">
        <v>0</v>
      </c>
      <c r="L84" s="67">
        <v>15000</v>
      </c>
      <c r="M84" s="67">
        <v>0</v>
      </c>
      <c r="N84" s="67">
        <v>0</v>
      </c>
      <c r="O84" s="67">
        <v>0</v>
      </c>
      <c r="P84" s="67">
        <v>0</v>
      </c>
      <c r="Q84" s="68">
        <v>112000.23999999999</v>
      </c>
    </row>
    <row r="85" spans="2:17" s="26" customFormat="1" ht="13.8" x14ac:dyDescent="0.3">
      <c r="D85" s="27"/>
      <c r="F85" s="78"/>
      <c r="G85" s="22"/>
      <c r="H85" s="93">
        <v>0</v>
      </c>
      <c r="I85" s="94">
        <v>0</v>
      </c>
      <c r="J85" s="94">
        <v>0</v>
      </c>
      <c r="K85" s="94">
        <v>0</v>
      </c>
      <c r="L85" s="94">
        <v>0</v>
      </c>
      <c r="M85" s="94">
        <v>0</v>
      </c>
      <c r="N85" s="94">
        <v>0</v>
      </c>
      <c r="O85" s="94">
        <v>0</v>
      </c>
      <c r="P85" s="94">
        <v>0</v>
      </c>
      <c r="Q85" s="95">
        <v>0</v>
      </c>
    </row>
    <row r="86" spans="2:17" s="26" customFormat="1" ht="13.8" x14ac:dyDescent="0.3">
      <c r="D86" s="27"/>
      <c r="F86" s="78"/>
      <c r="G86" s="22"/>
      <c r="H86" s="80"/>
      <c r="I86" s="28"/>
      <c r="J86" s="28"/>
      <c r="K86" s="28"/>
      <c r="L86" s="28"/>
      <c r="M86" s="28"/>
      <c r="N86" s="28"/>
      <c r="O86" s="28"/>
      <c r="P86" s="28"/>
      <c r="Q86" s="28"/>
    </row>
    <row r="87" spans="2:17" ht="13.8" x14ac:dyDescent="0.3">
      <c r="D87" t="s">
        <v>49</v>
      </c>
      <c r="F87" s="15"/>
      <c r="G87" s="76"/>
      <c r="H87" s="55">
        <v>351443.63981042651</v>
      </c>
      <c r="I87" s="56">
        <v>326603.58255924168</v>
      </c>
      <c r="J87" s="56">
        <v>0</v>
      </c>
      <c r="K87" s="56">
        <v>0</v>
      </c>
      <c r="L87" s="56">
        <v>0</v>
      </c>
      <c r="M87" s="56">
        <v>0</v>
      </c>
      <c r="N87" s="56">
        <v>0</v>
      </c>
      <c r="O87" s="56">
        <v>14992500</v>
      </c>
      <c r="P87" s="56">
        <v>0</v>
      </c>
      <c r="Q87" s="57">
        <v>15670547.222369667</v>
      </c>
    </row>
    <row r="88" spans="2:17" ht="13.8" x14ac:dyDescent="0.3">
      <c r="F88" s="15"/>
      <c r="G88" s="76"/>
      <c r="H88" s="96">
        <f>H91+H94</f>
        <v>564904.93999999994</v>
      </c>
      <c r="I88" s="97">
        <f>I91+I94</f>
        <v>0</v>
      </c>
      <c r="J88" s="97">
        <f t="shared" ref="J88:P88" si="5">J91+J94</f>
        <v>0</v>
      </c>
      <c r="K88" s="97">
        <f t="shared" si="5"/>
        <v>39</v>
      </c>
      <c r="L88" s="97">
        <f t="shared" si="5"/>
        <v>0</v>
      </c>
      <c r="M88" s="97">
        <f t="shared" si="5"/>
        <v>94</v>
      </c>
      <c r="N88" s="97">
        <f t="shared" si="5"/>
        <v>0</v>
      </c>
      <c r="O88" s="97">
        <f t="shared" si="5"/>
        <v>13464142.719999999</v>
      </c>
      <c r="P88" s="97">
        <f t="shared" si="5"/>
        <v>0</v>
      </c>
      <c r="Q88" s="98">
        <f>Q91+Q94</f>
        <v>14029180.66</v>
      </c>
    </row>
    <row r="89" spans="2:17" ht="13.8" x14ac:dyDescent="0.3">
      <c r="F89" s="15"/>
      <c r="G89" s="76"/>
      <c r="H89" s="58"/>
      <c r="I89" s="48"/>
      <c r="J89" s="48"/>
      <c r="K89" s="48"/>
      <c r="L89" s="48"/>
      <c r="M89" s="48"/>
      <c r="N89" s="48"/>
      <c r="O89" s="48"/>
      <c r="P89" s="48"/>
      <c r="Q89" s="59"/>
    </row>
    <row r="90" spans="2:17" s="26" customFormat="1" ht="13.8" x14ac:dyDescent="0.3">
      <c r="B90" s="26" t="s">
        <v>50</v>
      </c>
      <c r="D90" s="27" t="s">
        <v>51</v>
      </c>
      <c r="F90" s="78"/>
      <c r="G90" s="76"/>
      <c r="H90" s="66">
        <v>94853</v>
      </c>
      <c r="I90" s="67">
        <v>88487.468815165877</v>
      </c>
      <c r="J90" s="67">
        <v>0</v>
      </c>
      <c r="K90" s="67">
        <v>0</v>
      </c>
      <c r="L90" s="67">
        <v>0</v>
      </c>
      <c r="M90" s="67">
        <v>0</v>
      </c>
      <c r="N90" s="67">
        <v>0</v>
      </c>
      <c r="O90" s="67">
        <v>7215000</v>
      </c>
      <c r="P90" s="67">
        <v>0</v>
      </c>
      <c r="Q90" s="68">
        <v>7398340.4688151656</v>
      </c>
    </row>
    <row r="91" spans="2:17" s="26" customFormat="1" ht="13.8" x14ac:dyDescent="0.3">
      <c r="D91" s="27"/>
      <c r="F91" s="78"/>
      <c r="G91" s="76"/>
      <c r="H91" s="90">
        <v>164926.37</v>
      </c>
      <c r="I91" s="91">
        <v>0</v>
      </c>
      <c r="J91" s="91">
        <v>0</v>
      </c>
      <c r="K91" s="91">
        <v>39</v>
      </c>
      <c r="L91" s="91">
        <v>0</v>
      </c>
      <c r="M91" s="91">
        <v>30.88</v>
      </c>
      <c r="N91" s="91">
        <v>0</v>
      </c>
      <c r="O91" s="91">
        <v>4648429.38</v>
      </c>
      <c r="P91" s="91">
        <v>0</v>
      </c>
      <c r="Q91" s="92">
        <v>4813425.63</v>
      </c>
    </row>
    <row r="92" spans="2:17" s="26" customFormat="1" ht="13.8" x14ac:dyDescent="0.3">
      <c r="D92" s="27"/>
      <c r="F92" s="78"/>
      <c r="G92" s="76"/>
      <c r="H92" s="66"/>
      <c r="I92" s="67"/>
      <c r="J92" s="67"/>
      <c r="K92" s="67"/>
      <c r="L92" s="67"/>
      <c r="M92" s="67"/>
      <c r="N92" s="67"/>
      <c r="O92" s="67"/>
      <c r="P92" s="67"/>
      <c r="Q92" s="68"/>
    </row>
    <row r="93" spans="2:17" s="26" customFormat="1" ht="13.8" x14ac:dyDescent="0.3">
      <c r="B93" s="26" t="s">
        <v>50</v>
      </c>
      <c r="D93" s="27" t="s">
        <v>52</v>
      </c>
      <c r="F93" s="78"/>
      <c r="G93" s="22"/>
      <c r="H93" s="66">
        <v>256590.63981042654</v>
      </c>
      <c r="I93" s="67">
        <v>238116.11374407582</v>
      </c>
      <c r="J93" s="67">
        <v>0</v>
      </c>
      <c r="K93" s="67">
        <v>0</v>
      </c>
      <c r="L93" s="67">
        <v>0</v>
      </c>
      <c r="M93" s="67">
        <v>0</v>
      </c>
      <c r="N93" s="67">
        <v>0</v>
      </c>
      <c r="O93" s="67">
        <v>7777500</v>
      </c>
      <c r="P93" s="67">
        <v>0</v>
      </c>
      <c r="Q93" s="68">
        <v>8272206.7535545025</v>
      </c>
    </row>
    <row r="94" spans="2:17" s="26" customFormat="1" ht="13.8" x14ac:dyDescent="0.3">
      <c r="D94" s="27"/>
      <c r="F94" s="78"/>
      <c r="G94" s="76"/>
      <c r="H94" s="93">
        <v>399978.57</v>
      </c>
      <c r="I94" s="94">
        <v>0</v>
      </c>
      <c r="J94" s="94">
        <v>0</v>
      </c>
      <c r="K94" s="94">
        <v>0</v>
      </c>
      <c r="L94" s="94">
        <v>0</v>
      </c>
      <c r="M94" s="94">
        <v>63.12</v>
      </c>
      <c r="N94" s="94">
        <v>0</v>
      </c>
      <c r="O94" s="94">
        <v>8815713.3399999999</v>
      </c>
      <c r="P94" s="94">
        <v>0</v>
      </c>
      <c r="Q94" s="95">
        <v>9215755.0299999993</v>
      </c>
    </row>
    <row r="95" spans="2:17" s="26" customFormat="1" ht="13.8" x14ac:dyDescent="0.3">
      <c r="D95" s="27"/>
      <c r="F95" s="78"/>
      <c r="G95" s="22"/>
      <c r="H95" s="80"/>
      <c r="I95" s="28"/>
      <c r="J95" s="28"/>
      <c r="K95" s="28"/>
      <c r="L95" s="28"/>
      <c r="M95" s="28"/>
      <c r="N95" s="28"/>
      <c r="O95" s="28"/>
      <c r="P95" s="28"/>
      <c r="Q95" s="28"/>
    </row>
    <row r="96" spans="2:17" ht="13.8" x14ac:dyDescent="0.3">
      <c r="B96" t="s">
        <v>53</v>
      </c>
      <c r="D96" t="s">
        <v>54</v>
      </c>
      <c r="F96" s="15"/>
      <c r="G96" s="76"/>
      <c r="H96" s="55">
        <v>0</v>
      </c>
      <c r="I96" s="56">
        <v>0</v>
      </c>
      <c r="J96" s="56">
        <v>0</v>
      </c>
      <c r="K96" s="56">
        <v>0</v>
      </c>
      <c r="L96" s="56">
        <v>0</v>
      </c>
      <c r="M96" s="56">
        <v>0</v>
      </c>
      <c r="N96" s="56">
        <v>0</v>
      </c>
      <c r="O96" s="56">
        <v>0</v>
      </c>
      <c r="P96" s="56">
        <v>0</v>
      </c>
      <c r="Q96" s="57">
        <v>0</v>
      </c>
    </row>
    <row r="97" spans="2:17" ht="13.8" x14ac:dyDescent="0.3">
      <c r="F97" s="15"/>
      <c r="G97" s="76"/>
      <c r="H97" s="87">
        <v>0</v>
      </c>
      <c r="I97" s="88">
        <v>0</v>
      </c>
      <c r="J97" s="88">
        <v>0</v>
      </c>
      <c r="K97" s="88">
        <v>0</v>
      </c>
      <c r="L97" s="88">
        <v>0</v>
      </c>
      <c r="M97" s="88">
        <v>0</v>
      </c>
      <c r="N97" s="88">
        <v>0</v>
      </c>
      <c r="O97" s="88">
        <v>0</v>
      </c>
      <c r="P97" s="88">
        <v>0</v>
      </c>
      <c r="Q97" s="89">
        <v>0</v>
      </c>
    </row>
    <row r="98" spans="2:17" ht="13.8" x14ac:dyDescent="0.3">
      <c r="F98" s="15"/>
      <c r="G98" s="22"/>
    </row>
    <row r="99" spans="2:17" ht="13.8" x14ac:dyDescent="0.3">
      <c r="B99" t="s">
        <v>55</v>
      </c>
      <c r="D99" t="s">
        <v>56</v>
      </c>
      <c r="F99" s="15"/>
      <c r="G99" s="76"/>
      <c r="H99" s="55">
        <f>179680+28400</f>
        <v>208080</v>
      </c>
      <c r="I99" s="56">
        <v>193098.23999999999</v>
      </c>
      <c r="J99" s="56">
        <v>90000</v>
      </c>
      <c r="K99" s="56">
        <v>16250</v>
      </c>
      <c r="L99" s="56">
        <v>1034160</v>
      </c>
      <c r="M99" s="56">
        <v>7750</v>
      </c>
      <c r="N99" s="56">
        <v>4000</v>
      </c>
      <c r="O99" s="56">
        <v>4151960</v>
      </c>
      <c r="P99" s="56">
        <v>0</v>
      </c>
      <c r="Q99" s="57">
        <v>5705298.2400000002</v>
      </c>
    </row>
    <row r="100" spans="2:17" ht="13.8" x14ac:dyDescent="0.3">
      <c r="G100" s="76"/>
      <c r="H100" s="96">
        <f>H103+H106+H109+H112+H115</f>
        <v>203138.92000000004</v>
      </c>
      <c r="I100" s="97">
        <f>I103+I106+I109+I112+I115</f>
        <v>190135.14</v>
      </c>
      <c r="J100" s="97">
        <f t="shared" ref="J100:P100" si="6">J103+J106+J109+J112+J115</f>
        <v>5988.38</v>
      </c>
      <c r="K100" s="97">
        <f t="shared" si="6"/>
        <v>10053</v>
      </c>
      <c r="L100" s="97">
        <f t="shared" si="6"/>
        <v>1330148.8499999999</v>
      </c>
      <c r="M100" s="97">
        <f t="shared" si="6"/>
        <v>4802.71</v>
      </c>
      <c r="N100" s="97">
        <f t="shared" si="6"/>
        <v>8461.880000000001</v>
      </c>
      <c r="O100" s="97">
        <f t="shared" si="6"/>
        <v>6037601.5499999998</v>
      </c>
      <c r="P100" s="97">
        <f t="shared" si="6"/>
        <v>0</v>
      </c>
      <c r="Q100" s="98">
        <f>Q103+Q106+Q109+Q112+Q115</f>
        <v>7790330.4299999997</v>
      </c>
    </row>
    <row r="101" spans="2:17" ht="13.8" x14ac:dyDescent="0.3">
      <c r="G101" s="22"/>
      <c r="H101" s="58"/>
      <c r="I101" s="48"/>
      <c r="J101" s="48"/>
      <c r="K101" s="48"/>
      <c r="L101" s="48"/>
      <c r="M101" s="48"/>
      <c r="N101" s="48"/>
      <c r="O101" s="48"/>
      <c r="P101" s="48"/>
      <c r="Q101" s="59"/>
    </row>
    <row r="102" spans="2:17" s="26" customFormat="1" ht="13.8" x14ac:dyDescent="0.3">
      <c r="B102" s="26" t="s">
        <v>55</v>
      </c>
      <c r="D102" s="27" t="s">
        <v>159</v>
      </c>
      <c r="G102" s="22"/>
      <c r="H102" s="66">
        <f>14400+9600</f>
        <v>24000</v>
      </c>
      <c r="I102" s="67">
        <v>22272</v>
      </c>
      <c r="J102" s="67">
        <v>10000</v>
      </c>
      <c r="K102" s="67">
        <v>2750</v>
      </c>
      <c r="L102" s="67">
        <v>85000</v>
      </c>
      <c r="M102" s="67">
        <v>250</v>
      </c>
      <c r="N102" s="67">
        <v>500</v>
      </c>
      <c r="O102" s="67">
        <v>374900</v>
      </c>
      <c r="P102" s="67">
        <v>0</v>
      </c>
      <c r="Q102" s="68">
        <v>519672</v>
      </c>
    </row>
    <row r="103" spans="2:17" s="26" customFormat="1" ht="13.8" x14ac:dyDescent="0.3">
      <c r="D103" s="27"/>
      <c r="G103" s="22"/>
      <c r="H103" s="90">
        <v>54573.9</v>
      </c>
      <c r="I103" s="91">
        <v>51057.88</v>
      </c>
      <c r="J103" s="91">
        <v>0</v>
      </c>
      <c r="K103" s="91">
        <v>2779.46</v>
      </c>
      <c r="L103" s="91">
        <v>38792.82</v>
      </c>
      <c r="M103" s="91">
        <v>139.59</v>
      </c>
      <c r="N103" s="91">
        <v>8124.38</v>
      </c>
      <c r="O103" s="91">
        <v>833357.78</v>
      </c>
      <c r="P103" s="91">
        <v>0</v>
      </c>
      <c r="Q103" s="92">
        <v>988825.80999999994</v>
      </c>
    </row>
    <row r="104" spans="2:17" s="26" customFormat="1" ht="13.8" x14ac:dyDescent="0.3">
      <c r="D104" s="27"/>
      <c r="G104" s="22"/>
      <c r="H104" s="66"/>
      <c r="I104" s="67"/>
      <c r="J104" s="67"/>
      <c r="K104" s="67"/>
      <c r="L104" s="67"/>
      <c r="M104" s="67"/>
      <c r="N104" s="67"/>
      <c r="O104" s="67"/>
      <c r="P104" s="67"/>
      <c r="Q104" s="68"/>
    </row>
    <row r="105" spans="2:17" s="26" customFormat="1" ht="13.8" x14ac:dyDescent="0.3">
      <c r="B105" s="26" t="s">
        <v>55</v>
      </c>
      <c r="C105" s="29"/>
      <c r="D105" s="27" t="s">
        <v>57</v>
      </c>
      <c r="G105" s="22"/>
      <c r="H105" s="66">
        <f>25600+6400</f>
        <v>32000</v>
      </c>
      <c r="I105" s="67">
        <v>29696</v>
      </c>
      <c r="J105" s="67">
        <v>15000</v>
      </c>
      <c r="K105" s="67">
        <v>3500</v>
      </c>
      <c r="L105" s="67">
        <v>0</v>
      </c>
      <c r="M105" s="67">
        <v>0</v>
      </c>
      <c r="N105" s="67">
        <v>0</v>
      </c>
      <c r="O105" s="67">
        <v>78010</v>
      </c>
      <c r="P105" s="67">
        <v>0</v>
      </c>
      <c r="Q105" s="68">
        <v>158206</v>
      </c>
    </row>
    <row r="106" spans="2:17" s="26" customFormat="1" ht="13.8" x14ac:dyDescent="0.3">
      <c r="C106" s="29"/>
      <c r="D106" s="27"/>
      <c r="G106" s="22"/>
      <c r="H106" s="90">
        <v>30114.67</v>
      </c>
      <c r="I106" s="91">
        <v>28120.46</v>
      </c>
      <c r="J106" s="91">
        <v>1096.3399999999999</v>
      </c>
      <c r="K106" s="91">
        <v>2226.84</v>
      </c>
      <c r="L106" s="91">
        <v>156.25</v>
      </c>
      <c r="M106" s="91">
        <v>589.66</v>
      </c>
      <c r="N106" s="91">
        <v>75</v>
      </c>
      <c r="O106" s="91">
        <v>44220</v>
      </c>
      <c r="P106" s="91">
        <v>0</v>
      </c>
      <c r="Q106" s="92">
        <v>106599.22</v>
      </c>
    </row>
    <row r="107" spans="2:17" s="26" customFormat="1" ht="13.8" x14ac:dyDescent="0.3">
      <c r="C107" s="29"/>
      <c r="D107" s="27"/>
      <c r="G107" s="22"/>
      <c r="H107" s="66"/>
      <c r="I107" s="67"/>
      <c r="J107" s="67"/>
      <c r="K107" s="67"/>
      <c r="L107" s="67"/>
      <c r="M107" s="67"/>
      <c r="N107" s="67"/>
      <c r="O107" s="67"/>
      <c r="P107" s="67"/>
      <c r="Q107" s="68"/>
    </row>
    <row r="108" spans="2:17" s="26" customFormat="1" ht="13.8" x14ac:dyDescent="0.3">
      <c r="B108" s="26" t="s">
        <v>55</v>
      </c>
      <c r="C108" s="29"/>
      <c r="D108" s="27" t="s">
        <v>58</v>
      </c>
      <c r="G108" s="22"/>
      <c r="H108" s="66">
        <f>15200+4000</f>
        <v>19200</v>
      </c>
      <c r="I108" s="67">
        <v>17817.599999999999</v>
      </c>
      <c r="J108" s="67">
        <v>5000</v>
      </c>
      <c r="K108" s="67">
        <v>2000</v>
      </c>
      <c r="L108" s="67">
        <v>0</v>
      </c>
      <c r="M108" s="67">
        <v>5000</v>
      </c>
      <c r="N108" s="67">
        <v>1000</v>
      </c>
      <c r="O108" s="67">
        <v>281250</v>
      </c>
      <c r="P108" s="67">
        <v>0</v>
      </c>
      <c r="Q108" s="68">
        <v>331267.59999999998</v>
      </c>
    </row>
    <row r="109" spans="2:17" s="26" customFormat="1" ht="13.8" x14ac:dyDescent="0.3">
      <c r="C109" s="29"/>
      <c r="D109" s="27"/>
      <c r="G109" s="22"/>
      <c r="H109" s="90">
        <v>17521.349999999999</v>
      </c>
      <c r="I109" s="91">
        <v>16430.66</v>
      </c>
      <c r="J109" s="91">
        <v>1154.0899999999999</v>
      </c>
      <c r="K109" s="91">
        <v>452.39</v>
      </c>
      <c r="L109" s="91">
        <v>29390.87</v>
      </c>
      <c r="M109" s="91">
        <v>2130.11</v>
      </c>
      <c r="N109" s="91">
        <v>0</v>
      </c>
      <c r="O109" s="91">
        <v>433773</v>
      </c>
      <c r="P109" s="91">
        <v>0</v>
      </c>
      <c r="Q109" s="92">
        <v>500852.47</v>
      </c>
    </row>
    <row r="110" spans="2:17" s="26" customFormat="1" ht="13.8" x14ac:dyDescent="0.3">
      <c r="C110" s="29"/>
      <c r="D110" s="27"/>
      <c r="G110" s="22"/>
      <c r="H110" s="66"/>
      <c r="I110" s="67"/>
      <c r="J110" s="67"/>
      <c r="K110" s="67"/>
      <c r="L110" s="67"/>
      <c r="M110" s="67"/>
      <c r="N110" s="67"/>
      <c r="O110" s="67"/>
      <c r="P110" s="67"/>
      <c r="Q110" s="68"/>
    </row>
    <row r="111" spans="2:17" s="26" customFormat="1" ht="13.8" x14ac:dyDescent="0.3">
      <c r="B111" s="16" t="s">
        <v>55</v>
      </c>
      <c r="C111" s="30" t="s">
        <v>23</v>
      </c>
      <c r="D111" s="31" t="s">
        <v>149</v>
      </c>
      <c r="E111" s="16"/>
      <c r="F111" s="16"/>
      <c r="G111" s="22"/>
      <c r="H111" s="66">
        <f>8800+2000</f>
        <v>10800</v>
      </c>
      <c r="I111" s="67">
        <v>10022.4</v>
      </c>
      <c r="J111" s="67">
        <v>20000</v>
      </c>
      <c r="K111" s="67">
        <v>1000</v>
      </c>
      <c r="L111" s="67">
        <v>250000</v>
      </c>
      <c r="M111" s="67">
        <v>500</v>
      </c>
      <c r="N111" s="67">
        <v>500</v>
      </c>
      <c r="O111" s="67">
        <v>325000</v>
      </c>
      <c r="P111" s="67">
        <v>0</v>
      </c>
      <c r="Q111" s="68">
        <v>617822.4</v>
      </c>
    </row>
    <row r="112" spans="2:17" s="26" customFormat="1" ht="13.8" x14ac:dyDescent="0.3">
      <c r="B112" s="16"/>
      <c r="C112" s="30"/>
      <c r="D112" s="31"/>
      <c r="E112" s="16"/>
      <c r="F112" s="16"/>
      <c r="G112" s="22"/>
      <c r="H112" s="90">
        <v>16975.990000000002</v>
      </c>
      <c r="I112" s="91">
        <v>15933</v>
      </c>
      <c r="J112" s="91">
        <v>654.09</v>
      </c>
      <c r="K112" s="91">
        <v>62.73</v>
      </c>
      <c r="L112" s="91">
        <v>113751.73</v>
      </c>
      <c r="M112" s="91">
        <v>78.099999999999994</v>
      </c>
      <c r="N112" s="91">
        <v>0</v>
      </c>
      <c r="O112" s="91">
        <v>143814.88</v>
      </c>
      <c r="P112" s="91">
        <v>0</v>
      </c>
      <c r="Q112" s="92">
        <v>291270.52</v>
      </c>
    </row>
    <row r="113" spans="2:17" s="26" customFormat="1" ht="13.8" x14ac:dyDescent="0.3">
      <c r="B113" s="16"/>
      <c r="C113" s="30"/>
      <c r="D113" s="31"/>
      <c r="E113" s="16"/>
      <c r="F113" s="16"/>
      <c r="G113" s="22"/>
      <c r="H113" s="66"/>
      <c r="I113" s="67"/>
      <c r="J113" s="67"/>
      <c r="K113" s="67"/>
      <c r="L113" s="67"/>
      <c r="M113" s="67"/>
      <c r="N113" s="67"/>
      <c r="O113" s="67"/>
      <c r="P113" s="67"/>
      <c r="Q113" s="68"/>
    </row>
    <row r="114" spans="2:17" s="26" customFormat="1" ht="13.8" x14ac:dyDescent="0.3">
      <c r="C114" s="29"/>
      <c r="D114" s="27" t="s">
        <v>59</v>
      </c>
      <c r="G114" s="22"/>
      <c r="H114" s="58">
        <f>115680+6400</f>
        <v>122080</v>
      </c>
      <c r="I114" s="48">
        <v>113290.23999999999</v>
      </c>
      <c r="J114" s="48">
        <v>40000</v>
      </c>
      <c r="K114" s="48">
        <v>7000</v>
      </c>
      <c r="L114" s="48">
        <v>699160</v>
      </c>
      <c r="M114" s="48">
        <v>2000</v>
      </c>
      <c r="N114" s="48">
        <v>2000</v>
      </c>
      <c r="O114" s="48">
        <v>3092800</v>
      </c>
      <c r="P114" s="48">
        <v>0</v>
      </c>
      <c r="Q114" s="59">
        <v>4078330.24</v>
      </c>
    </row>
    <row r="115" spans="2:17" s="26" customFormat="1" ht="13.8" x14ac:dyDescent="0.3">
      <c r="C115" s="29"/>
      <c r="D115" s="27"/>
      <c r="G115" s="22"/>
      <c r="H115" s="93">
        <v>83953.010000000009</v>
      </c>
      <c r="I115" s="94">
        <v>78593.14</v>
      </c>
      <c r="J115" s="94">
        <v>3083.86</v>
      </c>
      <c r="K115" s="94">
        <v>4531.58</v>
      </c>
      <c r="L115" s="94">
        <v>1148057.18</v>
      </c>
      <c r="M115" s="94">
        <v>1865.25</v>
      </c>
      <c r="N115" s="94">
        <v>262.5</v>
      </c>
      <c r="O115" s="94">
        <v>4582435.8899999997</v>
      </c>
      <c r="P115" s="94">
        <v>0</v>
      </c>
      <c r="Q115" s="95">
        <v>5902782.4100000001</v>
      </c>
    </row>
    <row r="116" spans="2:17" s="33" customFormat="1" ht="12" x14ac:dyDescent="0.25">
      <c r="B116" s="32"/>
      <c r="E116" s="34"/>
      <c r="F116" s="32"/>
      <c r="G116" s="35"/>
      <c r="H116" s="36"/>
      <c r="I116" s="36"/>
      <c r="J116" s="36"/>
      <c r="K116" s="36"/>
      <c r="L116" s="36"/>
      <c r="M116" s="36"/>
      <c r="N116" s="36"/>
      <c r="O116" s="36"/>
      <c r="P116" s="36"/>
      <c r="Q116" s="36"/>
    </row>
    <row r="117" spans="2:17" s="19" customFormat="1" x14ac:dyDescent="0.25">
      <c r="E117" s="20"/>
      <c r="F117" s="20" t="s">
        <v>60</v>
      </c>
      <c r="H117" s="8">
        <f>3235005.74881517+50700</f>
        <v>3285705.74881517</v>
      </c>
      <c r="I117" s="8">
        <v>3044851.0597156398</v>
      </c>
      <c r="J117" s="8">
        <v>121950</v>
      </c>
      <c r="K117" s="8">
        <v>171750</v>
      </c>
      <c r="L117" s="8">
        <v>1776660</v>
      </c>
      <c r="M117" s="8">
        <v>23450</v>
      </c>
      <c r="N117" s="8">
        <v>17000</v>
      </c>
      <c r="O117" s="8">
        <v>34356860</v>
      </c>
      <c r="P117" s="8">
        <v>0</v>
      </c>
      <c r="Q117" s="8">
        <v>42798226.808530807</v>
      </c>
    </row>
    <row r="118" spans="2:17" s="19" customFormat="1" x14ac:dyDescent="0.25">
      <c r="E118" s="20"/>
      <c r="F118" s="20"/>
      <c r="H118" s="99">
        <f t="shared" ref="H118:Q118" si="7">H64+H73+H76+H88+H97+H100</f>
        <v>2690809.87</v>
      </c>
      <c r="I118" s="99">
        <f t="shared" si="7"/>
        <v>2513822.16</v>
      </c>
      <c r="J118" s="99">
        <f t="shared" si="7"/>
        <v>-7.5599999999994907</v>
      </c>
      <c r="K118" s="99">
        <f t="shared" si="7"/>
        <v>94484.1</v>
      </c>
      <c r="L118" s="99">
        <f t="shared" si="7"/>
        <v>1767468.2899999998</v>
      </c>
      <c r="M118" s="99">
        <f t="shared" si="7"/>
        <v>18087.259999999998</v>
      </c>
      <c r="N118" s="99">
        <f t="shared" si="7"/>
        <v>29607.57</v>
      </c>
      <c r="O118" s="99">
        <f t="shared" si="7"/>
        <v>32950603.990000002</v>
      </c>
      <c r="P118" s="99">
        <f t="shared" si="7"/>
        <v>0</v>
      </c>
      <c r="Q118" s="99">
        <f t="shared" si="7"/>
        <v>40064875.68</v>
      </c>
    </row>
    <row r="119" spans="2:17" x14ac:dyDescent="0.25">
      <c r="N119" s="171" t="s">
        <v>150</v>
      </c>
      <c r="O119" s="172">
        <f>O118/Q118</f>
        <v>0.82243120515780421</v>
      </c>
    </row>
    <row r="120" spans="2:17" x14ac:dyDescent="0.25">
      <c r="G120" s="23"/>
      <c r="H120" s="24"/>
      <c r="I120" s="24"/>
      <c r="J120" s="24"/>
      <c r="K120" s="24"/>
      <c r="L120" s="24"/>
      <c r="M120" s="24"/>
      <c r="N120" s="24"/>
      <c r="O120" s="24"/>
      <c r="P120" s="24"/>
      <c r="Q120" s="24"/>
    </row>
    <row r="121" spans="2:17" x14ac:dyDescent="0.25">
      <c r="B121" t="s">
        <v>61</v>
      </c>
    </row>
    <row r="122" spans="2:17" x14ac:dyDescent="0.25">
      <c r="G122" s="86" t="s">
        <v>142</v>
      </c>
    </row>
    <row r="123" spans="2:17" ht="13.8" x14ac:dyDescent="0.3">
      <c r="B123" t="s">
        <v>62</v>
      </c>
      <c r="D123" t="s">
        <v>63</v>
      </c>
      <c r="G123" s="37"/>
      <c r="H123" s="55">
        <v>0</v>
      </c>
      <c r="I123" s="56">
        <v>0</v>
      </c>
      <c r="J123" s="56">
        <v>0</v>
      </c>
      <c r="K123" s="56">
        <v>0</v>
      </c>
      <c r="L123" s="56">
        <v>0</v>
      </c>
      <c r="M123" s="56">
        <v>0</v>
      </c>
      <c r="N123" s="56">
        <v>0</v>
      </c>
      <c r="O123" s="56">
        <v>0</v>
      </c>
      <c r="P123" s="56">
        <v>0</v>
      </c>
      <c r="Q123" s="57">
        <v>0</v>
      </c>
    </row>
    <row r="124" spans="2:17" ht="13.8" x14ac:dyDescent="0.3">
      <c r="G124" s="37"/>
      <c r="H124" s="87">
        <v>0</v>
      </c>
      <c r="I124" s="88">
        <v>0</v>
      </c>
      <c r="J124" s="88">
        <v>0</v>
      </c>
      <c r="K124" s="88">
        <v>0</v>
      </c>
      <c r="L124" s="88">
        <v>0</v>
      </c>
      <c r="M124" s="88">
        <v>0</v>
      </c>
      <c r="N124" s="88">
        <v>0</v>
      </c>
      <c r="O124" s="88">
        <v>0</v>
      </c>
      <c r="P124" s="88">
        <v>0</v>
      </c>
      <c r="Q124" s="88">
        <v>0</v>
      </c>
    </row>
    <row r="125" spans="2:17" ht="13.8" x14ac:dyDescent="0.3">
      <c r="G125" s="37"/>
    </row>
    <row r="126" spans="2:17" ht="13.8" x14ac:dyDescent="0.3">
      <c r="B126" t="s">
        <v>62</v>
      </c>
      <c r="D126" t="s">
        <v>64</v>
      </c>
      <c r="G126" s="76"/>
      <c r="H126" s="55">
        <v>0</v>
      </c>
      <c r="I126" s="56">
        <v>0</v>
      </c>
      <c r="J126" s="56">
        <v>0</v>
      </c>
      <c r="K126" s="56">
        <v>0</v>
      </c>
      <c r="L126" s="56">
        <v>0</v>
      </c>
      <c r="M126" s="56">
        <v>0</v>
      </c>
      <c r="N126" s="56">
        <v>0</v>
      </c>
      <c r="O126" s="56">
        <v>84000</v>
      </c>
      <c r="P126" s="56">
        <v>0</v>
      </c>
      <c r="Q126" s="57">
        <v>84000</v>
      </c>
    </row>
    <row r="127" spans="2:17" ht="13.8" x14ac:dyDescent="0.3">
      <c r="G127" s="76"/>
      <c r="H127" s="87">
        <v>7048.97</v>
      </c>
      <c r="I127" s="88">
        <v>6631.45</v>
      </c>
      <c r="J127" s="88">
        <v>0</v>
      </c>
      <c r="K127" s="88">
        <v>47.74</v>
      </c>
      <c r="L127" s="88">
        <v>0</v>
      </c>
      <c r="M127" s="88">
        <v>0</v>
      </c>
      <c r="N127" s="88">
        <v>0</v>
      </c>
      <c r="O127" s="88">
        <v>0</v>
      </c>
      <c r="P127" s="88">
        <v>0</v>
      </c>
      <c r="Q127" s="89">
        <v>13728.16</v>
      </c>
    </row>
    <row r="128" spans="2:17" ht="13.8" x14ac:dyDescent="0.3">
      <c r="G128" s="22"/>
    </row>
    <row r="129" spans="2:19" x14ac:dyDescent="0.25">
      <c r="F129" s="20" t="s">
        <v>65</v>
      </c>
      <c r="H129" s="8">
        <v>0</v>
      </c>
      <c r="I129" s="8">
        <v>0</v>
      </c>
      <c r="J129" s="8">
        <v>0</v>
      </c>
      <c r="K129" s="8">
        <v>0</v>
      </c>
      <c r="L129" s="8">
        <v>0</v>
      </c>
      <c r="M129" s="8">
        <v>0</v>
      </c>
      <c r="N129" s="8">
        <v>0</v>
      </c>
      <c r="O129" s="8">
        <v>84000</v>
      </c>
      <c r="P129" s="8">
        <v>0</v>
      </c>
      <c r="Q129" s="8">
        <v>84000</v>
      </c>
    </row>
    <row r="130" spans="2:19" x14ac:dyDescent="0.25">
      <c r="F130" s="20"/>
      <c r="H130" s="99">
        <f>H124+H127</f>
        <v>7048.97</v>
      </c>
      <c r="I130" s="99">
        <f t="shared" ref="I130:Q130" si="8">I124+I127</f>
        <v>6631.45</v>
      </c>
      <c r="J130" s="99">
        <f t="shared" si="8"/>
        <v>0</v>
      </c>
      <c r="K130" s="99">
        <f t="shared" si="8"/>
        <v>47.74</v>
      </c>
      <c r="L130" s="99">
        <f t="shared" si="8"/>
        <v>0</v>
      </c>
      <c r="M130" s="99">
        <f t="shared" si="8"/>
        <v>0</v>
      </c>
      <c r="N130" s="99">
        <f t="shared" si="8"/>
        <v>0</v>
      </c>
      <c r="O130" s="99">
        <f t="shared" si="8"/>
        <v>0</v>
      </c>
      <c r="P130" s="99">
        <f t="shared" si="8"/>
        <v>0</v>
      </c>
      <c r="Q130" s="99">
        <f t="shared" si="8"/>
        <v>13728.16</v>
      </c>
    </row>
    <row r="131" spans="2:19" x14ac:dyDescent="0.25">
      <c r="F131" s="20"/>
      <c r="H131" s="8"/>
      <c r="I131" s="8"/>
      <c r="J131" s="8"/>
      <c r="K131" s="8"/>
      <c r="L131" s="8"/>
      <c r="M131" s="8"/>
      <c r="N131" s="171" t="s">
        <v>150</v>
      </c>
      <c r="O131" s="172">
        <f>O130/Q130</f>
        <v>0</v>
      </c>
      <c r="P131" s="8"/>
      <c r="Q131" s="8"/>
    </row>
    <row r="132" spans="2:19" x14ac:dyDescent="0.25">
      <c r="F132" s="20"/>
      <c r="G132" s="23"/>
      <c r="H132" s="24"/>
      <c r="I132" s="24"/>
      <c r="J132" s="24"/>
      <c r="K132" s="24"/>
      <c r="L132" s="24"/>
      <c r="M132" s="24"/>
      <c r="N132" s="24"/>
      <c r="O132" s="24"/>
      <c r="P132" s="24"/>
      <c r="Q132" s="24"/>
    </row>
    <row r="133" spans="2:19" x14ac:dyDescent="0.25">
      <c r="F133" s="20"/>
    </row>
    <row r="134" spans="2:19" x14ac:dyDescent="0.25">
      <c r="B134" t="s">
        <v>66</v>
      </c>
    </row>
    <row r="135" spans="2:19" x14ac:dyDescent="0.25">
      <c r="F135" s="15"/>
      <c r="G135" s="86" t="s">
        <v>142</v>
      </c>
    </row>
    <row r="136" spans="2:19" ht="13.8" x14ac:dyDescent="0.3">
      <c r="B136" t="s">
        <v>67</v>
      </c>
      <c r="D136" t="s">
        <v>68</v>
      </c>
      <c r="F136" s="15"/>
      <c r="G136" s="76"/>
      <c r="H136" s="55">
        <v>0</v>
      </c>
      <c r="I136" s="56">
        <v>0</v>
      </c>
      <c r="J136" s="56">
        <v>0</v>
      </c>
      <c r="K136" s="56">
        <v>0</v>
      </c>
      <c r="L136" s="56">
        <v>1560000</v>
      </c>
      <c r="M136" s="56">
        <v>0</v>
      </c>
      <c r="N136" s="56">
        <v>0</v>
      </c>
      <c r="O136" s="56">
        <v>3640000</v>
      </c>
      <c r="P136" s="56">
        <v>0</v>
      </c>
      <c r="Q136" s="57">
        <v>5200000</v>
      </c>
    </row>
    <row r="137" spans="2:19" ht="13.8" x14ac:dyDescent="0.3">
      <c r="F137" s="15"/>
      <c r="G137" s="76"/>
      <c r="H137" s="87">
        <v>6521.17</v>
      </c>
      <c r="I137" s="88">
        <v>5960.89</v>
      </c>
      <c r="J137" s="88">
        <v>0</v>
      </c>
      <c r="K137" s="88">
        <v>2524.1</v>
      </c>
      <c r="L137" s="88">
        <v>1908769.6</v>
      </c>
      <c r="M137" s="88">
        <v>0</v>
      </c>
      <c r="N137" s="88">
        <v>0</v>
      </c>
      <c r="O137" s="88">
        <v>2109947.81</v>
      </c>
      <c r="P137" s="88">
        <v>0</v>
      </c>
      <c r="Q137" s="89">
        <v>4033723.5700000003</v>
      </c>
    </row>
    <row r="138" spans="2:19" ht="13.8" x14ac:dyDescent="0.3">
      <c r="F138" s="15"/>
      <c r="G138" s="22"/>
    </row>
    <row r="139" spans="2:19" ht="13.8" x14ac:dyDescent="0.3">
      <c r="B139" t="s">
        <v>69</v>
      </c>
      <c r="D139" t="s">
        <v>70</v>
      </c>
      <c r="F139" s="15"/>
      <c r="G139" s="76"/>
      <c r="H139" s="55">
        <v>0</v>
      </c>
      <c r="I139" s="56">
        <v>0</v>
      </c>
      <c r="J139" s="56">
        <v>0</v>
      </c>
      <c r="K139" s="56">
        <v>0</v>
      </c>
      <c r="L139" s="56">
        <v>0</v>
      </c>
      <c r="M139" s="56">
        <v>0</v>
      </c>
      <c r="N139" s="56">
        <v>0</v>
      </c>
      <c r="O139" s="56">
        <v>0</v>
      </c>
      <c r="P139" s="56">
        <v>0</v>
      </c>
      <c r="Q139" s="57">
        <v>0</v>
      </c>
      <c r="S139" s="118" t="s">
        <v>151</v>
      </c>
    </row>
    <row r="140" spans="2:19" ht="13.8" x14ac:dyDescent="0.3">
      <c r="G140" s="76"/>
      <c r="H140" s="87">
        <v>0</v>
      </c>
      <c r="I140" s="88">
        <v>0</v>
      </c>
      <c r="J140" s="88">
        <v>0</v>
      </c>
      <c r="K140" s="88">
        <v>0</v>
      </c>
      <c r="L140" s="88">
        <v>0</v>
      </c>
      <c r="M140" s="88">
        <v>0</v>
      </c>
      <c r="N140" s="88">
        <v>0</v>
      </c>
      <c r="O140" s="88">
        <v>0</v>
      </c>
      <c r="P140" s="88">
        <v>0</v>
      </c>
      <c r="Q140" s="89">
        <v>0</v>
      </c>
      <c r="S140" s="118" t="s">
        <v>152</v>
      </c>
    </row>
    <row r="141" spans="2:19" ht="13.8" x14ac:dyDescent="0.3">
      <c r="G141" s="22"/>
      <c r="S141" s="118" t="s">
        <v>153</v>
      </c>
    </row>
    <row r="142" spans="2:19" x14ac:dyDescent="0.25">
      <c r="E142" s="20"/>
      <c r="F142" s="20" t="s">
        <v>71</v>
      </c>
      <c r="H142" s="8">
        <v>0</v>
      </c>
      <c r="I142" s="8">
        <v>0</v>
      </c>
      <c r="J142" s="8">
        <v>0</v>
      </c>
      <c r="K142" s="8">
        <v>0</v>
      </c>
      <c r="L142" s="8">
        <v>1560000</v>
      </c>
      <c r="M142" s="8">
        <v>0</v>
      </c>
      <c r="N142" s="8">
        <v>0</v>
      </c>
      <c r="O142" s="8">
        <v>3640000</v>
      </c>
      <c r="P142" s="8">
        <v>0</v>
      </c>
      <c r="Q142" s="8">
        <v>5200000</v>
      </c>
      <c r="S142" s="173">
        <f>(O59+O118+O130+O143)/(Q59+Q118+Q130+Q143)</f>
        <v>0.79946427793873676</v>
      </c>
    </row>
    <row r="143" spans="2:19" x14ac:dyDescent="0.25">
      <c r="E143" s="20"/>
      <c r="F143" s="20"/>
      <c r="H143" s="99">
        <f>H137+H140</f>
        <v>6521.17</v>
      </c>
      <c r="I143" s="99">
        <f t="shared" ref="I143:Q143" si="9">I137+I140</f>
        <v>5960.89</v>
      </c>
      <c r="J143" s="99">
        <f t="shared" si="9"/>
        <v>0</v>
      </c>
      <c r="K143" s="99">
        <f t="shared" si="9"/>
        <v>2524.1</v>
      </c>
      <c r="L143" s="99">
        <f t="shared" si="9"/>
        <v>1908769.6</v>
      </c>
      <c r="M143" s="99">
        <f t="shared" si="9"/>
        <v>0</v>
      </c>
      <c r="N143" s="99">
        <f t="shared" si="9"/>
        <v>0</v>
      </c>
      <c r="O143" s="99">
        <f t="shared" si="9"/>
        <v>2109947.81</v>
      </c>
      <c r="P143" s="99">
        <f t="shared" si="9"/>
        <v>0</v>
      </c>
      <c r="Q143" s="99">
        <f t="shared" si="9"/>
        <v>4033723.5700000003</v>
      </c>
      <c r="S143" s="15"/>
    </row>
    <row r="144" spans="2:19" x14ac:dyDescent="0.25">
      <c r="E144" s="20"/>
      <c r="F144" s="20"/>
      <c r="H144" s="8"/>
      <c r="I144" s="8"/>
      <c r="J144" s="8"/>
      <c r="K144" s="8"/>
      <c r="L144" s="8"/>
      <c r="M144" s="8"/>
      <c r="N144" s="171" t="s">
        <v>150</v>
      </c>
      <c r="O144" s="172">
        <f>O143/Q143</f>
        <v>0.52307694699069329</v>
      </c>
      <c r="P144" s="8"/>
      <c r="Q144" s="8"/>
      <c r="S144" s="118"/>
    </row>
    <row r="145" spans="2:19" x14ac:dyDescent="0.25">
      <c r="E145" s="20"/>
      <c r="F145" s="20"/>
      <c r="G145" s="23"/>
      <c r="H145" s="24"/>
      <c r="I145" s="24"/>
      <c r="J145" s="24"/>
      <c r="K145" s="24"/>
      <c r="L145" s="24"/>
      <c r="M145" s="24"/>
      <c r="N145" s="24"/>
      <c r="O145" s="24"/>
      <c r="P145" s="24"/>
      <c r="Q145" s="24"/>
      <c r="S145" s="173"/>
    </row>
    <row r="147" spans="2:19" x14ac:dyDescent="0.25">
      <c r="B147" t="s">
        <v>72</v>
      </c>
    </row>
    <row r="148" spans="2:19" x14ac:dyDescent="0.25">
      <c r="F148" s="15"/>
      <c r="G148" s="86" t="s">
        <v>142</v>
      </c>
    </row>
    <row r="149" spans="2:19" ht="13.8" x14ac:dyDescent="0.3">
      <c r="D149" t="s">
        <v>73</v>
      </c>
      <c r="F149" s="15"/>
      <c r="G149" s="76"/>
      <c r="H149" s="55">
        <v>419340</v>
      </c>
      <c r="I149" s="56">
        <v>389147.51999999996</v>
      </c>
      <c r="J149" s="56">
        <v>0</v>
      </c>
      <c r="K149" s="56">
        <v>10440</v>
      </c>
      <c r="L149" s="56">
        <v>282750</v>
      </c>
      <c r="M149" s="56">
        <v>0</v>
      </c>
      <c r="N149" s="56">
        <v>0</v>
      </c>
      <c r="O149" s="56">
        <v>0</v>
      </c>
      <c r="P149" s="56">
        <v>0</v>
      </c>
      <c r="Q149" s="57">
        <v>1101677.52</v>
      </c>
    </row>
    <row r="150" spans="2:19" ht="13.8" x14ac:dyDescent="0.3">
      <c r="F150" s="15"/>
      <c r="G150" s="76"/>
      <c r="H150" s="87">
        <v>402332.72000000003</v>
      </c>
      <c r="I150" s="88">
        <v>377384.58</v>
      </c>
      <c r="J150" s="88">
        <v>0</v>
      </c>
      <c r="K150" s="88">
        <v>1889.75</v>
      </c>
      <c r="L150" s="88">
        <v>221049.60000000001</v>
      </c>
      <c r="M150" s="88">
        <v>2066.4</v>
      </c>
      <c r="N150" s="88">
        <v>0</v>
      </c>
      <c r="O150" s="88">
        <v>0</v>
      </c>
      <c r="P150" s="88">
        <v>0</v>
      </c>
      <c r="Q150" s="89">
        <v>1004723.0499999999</v>
      </c>
    </row>
    <row r="151" spans="2:19" ht="13.8" x14ac:dyDescent="0.3">
      <c r="F151" s="15"/>
      <c r="G151" s="22"/>
      <c r="H151" s="77"/>
    </row>
    <row r="152" spans="2:19" ht="13.8" x14ac:dyDescent="0.3">
      <c r="D152" t="s">
        <v>74</v>
      </c>
      <c r="F152" s="15"/>
      <c r="G152" s="76"/>
      <c r="H152" s="55">
        <v>278800</v>
      </c>
      <c r="I152" s="56">
        <v>258726.39999999999</v>
      </c>
      <c r="J152" s="56">
        <v>0</v>
      </c>
      <c r="K152" s="56">
        <v>20000</v>
      </c>
      <c r="L152" s="56">
        <v>0</v>
      </c>
      <c r="M152" s="56">
        <v>5000</v>
      </c>
      <c r="N152" s="56">
        <v>0</v>
      </c>
      <c r="O152" s="56">
        <v>0</v>
      </c>
      <c r="P152" s="56">
        <v>0</v>
      </c>
      <c r="Q152" s="57">
        <v>562526.4</v>
      </c>
    </row>
    <row r="153" spans="2:19" ht="13.8" x14ac:dyDescent="0.3">
      <c r="F153" s="15"/>
      <c r="G153" s="76"/>
      <c r="H153" s="87">
        <v>224377.9</v>
      </c>
      <c r="I153" s="88">
        <v>209543.74</v>
      </c>
      <c r="J153" s="88">
        <v>0</v>
      </c>
      <c r="K153" s="88">
        <v>1081.54</v>
      </c>
      <c r="L153" s="88">
        <v>30294.32</v>
      </c>
      <c r="M153" s="88">
        <v>6625.39</v>
      </c>
      <c r="N153" s="88">
        <v>0</v>
      </c>
      <c r="O153" s="88">
        <v>0</v>
      </c>
      <c r="P153" s="88">
        <v>0</v>
      </c>
      <c r="Q153" s="89">
        <v>471922.89</v>
      </c>
    </row>
    <row r="154" spans="2:19" ht="13.8" x14ac:dyDescent="0.3">
      <c r="F154" s="15"/>
      <c r="G154" s="22"/>
    </row>
    <row r="155" spans="2:19" ht="13.8" x14ac:dyDescent="0.3">
      <c r="D155" t="s">
        <v>75</v>
      </c>
      <c r="F155" s="15"/>
      <c r="G155" s="76"/>
      <c r="H155" s="55">
        <v>230080</v>
      </c>
      <c r="I155" s="56">
        <v>213514.23999999999</v>
      </c>
      <c r="J155" s="56">
        <v>0</v>
      </c>
      <c r="K155" s="56">
        <v>10800</v>
      </c>
      <c r="L155" s="56">
        <v>78300</v>
      </c>
      <c r="M155" s="56">
        <v>6200</v>
      </c>
      <c r="N155" s="56">
        <v>0</v>
      </c>
      <c r="O155" s="56">
        <v>0</v>
      </c>
      <c r="P155" s="56">
        <v>0</v>
      </c>
      <c r="Q155" s="57">
        <v>538894.24</v>
      </c>
    </row>
    <row r="156" spans="2:19" ht="13.8" x14ac:dyDescent="0.3">
      <c r="F156" s="15"/>
      <c r="G156" s="76"/>
      <c r="H156" s="87">
        <v>211226.31</v>
      </c>
      <c r="I156" s="88">
        <v>197937.2</v>
      </c>
      <c r="J156" s="88">
        <v>0</v>
      </c>
      <c r="K156" s="88">
        <v>4037.73</v>
      </c>
      <c r="L156" s="88">
        <v>77389.100000000006</v>
      </c>
      <c r="M156" s="88">
        <v>1995.54</v>
      </c>
      <c r="N156" s="88">
        <v>0</v>
      </c>
      <c r="O156" s="88">
        <v>0</v>
      </c>
      <c r="P156" s="88">
        <v>0</v>
      </c>
      <c r="Q156" s="89">
        <v>492585.88000000006</v>
      </c>
    </row>
    <row r="157" spans="2:19" ht="13.8" x14ac:dyDescent="0.3">
      <c r="F157" s="15"/>
      <c r="G157" s="22"/>
    </row>
    <row r="158" spans="2:19" ht="13.8" x14ac:dyDescent="0.3">
      <c r="D158" s="38" t="s">
        <v>76</v>
      </c>
      <c r="E158" s="39"/>
      <c r="F158" s="18"/>
      <c r="G158" s="76"/>
      <c r="H158" s="55">
        <v>208800</v>
      </c>
      <c r="I158" s="56">
        <v>193766.39999999999</v>
      </c>
      <c r="J158" s="56">
        <v>0</v>
      </c>
      <c r="K158" s="56">
        <v>12000</v>
      </c>
      <c r="L158" s="56">
        <v>0</v>
      </c>
      <c r="M158" s="56">
        <v>0</v>
      </c>
      <c r="N158" s="56">
        <v>0</v>
      </c>
      <c r="O158" s="56">
        <v>0</v>
      </c>
      <c r="P158" s="56">
        <v>0</v>
      </c>
      <c r="Q158" s="57">
        <v>414566.40000000002</v>
      </c>
    </row>
    <row r="159" spans="2:19" ht="13.8" x14ac:dyDescent="0.3">
      <c r="D159" s="38"/>
      <c r="E159" s="39"/>
      <c r="F159" s="18"/>
      <c r="G159" s="76"/>
      <c r="H159" s="87">
        <v>185104.16</v>
      </c>
      <c r="I159" s="88">
        <v>198237.98</v>
      </c>
      <c r="J159" s="88">
        <v>0</v>
      </c>
      <c r="K159" s="88">
        <v>4120.5</v>
      </c>
      <c r="L159" s="88">
        <v>360</v>
      </c>
      <c r="M159" s="88">
        <v>794.62</v>
      </c>
      <c r="N159" s="88">
        <v>0</v>
      </c>
      <c r="O159" s="88">
        <v>0</v>
      </c>
      <c r="P159" s="88">
        <v>0</v>
      </c>
      <c r="Q159" s="89">
        <v>388617.26</v>
      </c>
    </row>
    <row r="160" spans="2:19" ht="13.8" x14ac:dyDescent="0.3">
      <c r="D160" s="38"/>
      <c r="E160" s="39"/>
      <c r="F160" s="18"/>
      <c r="G160" s="22"/>
      <c r="H160" s="77"/>
    </row>
    <row r="161" spans="4:17" ht="13.8" x14ac:dyDescent="0.3">
      <c r="D161" s="39" t="s">
        <v>77</v>
      </c>
      <c r="E161" s="39"/>
      <c r="F161" s="18"/>
      <c r="G161" s="76"/>
      <c r="H161" s="55">
        <v>0</v>
      </c>
      <c r="I161" s="56">
        <v>0</v>
      </c>
      <c r="J161" s="56">
        <v>0</v>
      </c>
      <c r="K161" s="56">
        <v>0</v>
      </c>
      <c r="L161" s="56">
        <v>118000</v>
      </c>
      <c r="M161" s="56">
        <v>0</v>
      </c>
      <c r="N161" s="56">
        <v>0</v>
      </c>
      <c r="O161" s="56">
        <v>0</v>
      </c>
      <c r="P161" s="56">
        <v>0</v>
      </c>
      <c r="Q161" s="57">
        <v>118000</v>
      </c>
    </row>
    <row r="162" spans="4:17" ht="13.8" x14ac:dyDescent="0.3">
      <c r="D162" s="39"/>
      <c r="E162" s="39"/>
      <c r="F162" s="18"/>
      <c r="G162" s="76"/>
      <c r="H162" s="87">
        <v>0</v>
      </c>
      <c r="I162" s="88">
        <v>0</v>
      </c>
      <c r="J162" s="88">
        <v>0</v>
      </c>
      <c r="K162" s="88">
        <v>0</v>
      </c>
      <c r="L162" s="88">
        <v>50227.92</v>
      </c>
      <c r="M162" s="88">
        <v>0</v>
      </c>
      <c r="N162" s="88">
        <v>103939.5</v>
      </c>
      <c r="O162" s="88">
        <v>0</v>
      </c>
      <c r="P162" s="88">
        <v>0</v>
      </c>
      <c r="Q162" s="89">
        <v>154167.41999999998</v>
      </c>
    </row>
    <row r="163" spans="4:17" ht="13.8" x14ac:dyDescent="0.3">
      <c r="D163" s="39"/>
      <c r="E163" s="39"/>
      <c r="F163" s="18"/>
      <c r="G163" s="22"/>
      <c r="H163" s="77"/>
    </row>
    <row r="164" spans="4:17" ht="13.8" x14ac:dyDescent="0.3">
      <c r="D164" s="39" t="s">
        <v>78</v>
      </c>
      <c r="E164" s="39"/>
      <c r="F164" s="18"/>
      <c r="G164" s="76"/>
      <c r="H164" s="55">
        <f>70400+3200</f>
        <v>73600</v>
      </c>
      <c r="I164" s="56">
        <v>68300.799999999988</v>
      </c>
      <c r="J164" s="56">
        <v>20000</v>
      </c>
      <c r="K164" s="56">
        <v>5000</v>
      </c>
      <c r="L164" s="56">
        <v>80000</v>
      </c>
      <c r="M164" s="56">
        <v>1500</v>
      </c>
      <c r="N164" s="56">
        <v>0</v>
      </c>
      <c r="O164" s="56">
        <v>0</v>
      </c>
      <c r="P164" s="56">
        <v>-282400.8</v>
      </c>
      <c r="Q164" s="57">
        <v>-34000</v>
      </c>
    </row>
    <row r="165" spans="4:17" ht="13.8" x14ac:dyDescent="0.3">
      <c r="D165" s="39"/>
      <c r="E165" s="39"/>
      <c r="F165" s="18"/>
      <c r="G165" s="76"/>
      <c r="H165" s="87">
        <v>67956.3</v>
      </c>
      <c r="I165" s="88">
        <v>63822.59</v>
      </c>
      <c r="J165" s="88">
        <v>4567.5</v>
      </c>
      <c r="K165" s="88">
        <v>1577.36</v>
      </c>
      <c r="L165" s="88">
        <v>0</v>
      </c>
      <c r="M165" s="88">
        <v>2299.83</v>
      </c>
      <c r="N165" s="88">
        <v>75</v>
      </c>
      <c r="O165" s="88">
        <v>0</v>
      </c>
      <c r="P165" s="88">
        <v>-175895.4</v>
      </c>
      <c r="Q165" s="89">
        <v>-35596.819999999978</v>
      </c>
    </row>
    <row r="166" spans="4:17" ht="13.8" x14ac:dyDescent="0.3">
      <c r="D166" s="39"/>
      <c r="E166" s="39"/>
      <c r="F166" s="18"/>
      <c r="G166" s="22"/>
    </row>
    <row r="167" spans="4:17" s="26" customFormat="1" ht="13.8" x14ac:dyDescent="0.3">
      <c r="D167" s="39" t="s">
        <v>79</v>
      </c>
      <c r="F167" s="78"/>
      <c r="G167" s="76"/>
      <c r="H167" s="103">
        <v>65700</v>
      </c>
      <c r="I167" s="104">
        <v>60969.599999999999</v>
      </c>
      <c r="J167" s="104">
        <v>0</v>
      </c>
      <c r="K167" s="104">
        <v>0</v>
      </c>
      <c r="L167" s="104">
        <v>77000</v>
      </c>
      <c r="M167" s="104">
        <v>0</v>
      </c>
      <c r="N167" s="104">
        <v>0</v>
      </c>
      <c r="O167" s="104">
        <v>0</v>
      </c>
      <c r="P167" s="104">
        <v>0</v>
      </c>
      <c r="Q167" s="105">
        <v>203669.6</v>
      </c>
    </row>
    <row r="168" spans="4:17" s="26" customFormat="1" ht="13.8" x14ac:dyDescent="0.3">
      <c r="D168" s="39"/>
      <c r="G168" s="76"/>
      <c r="H168" s="87">
        <v>50201.16</v>
      </c>
      <c r="I168" s="88">
        <v>47009.38</v>
      </c>
      <c r="J168" s="88">
        <v>0</v>
      </c>
      <c r="K168" s="88">
        <v>0</v>
      </c>
      <c r="L168" s="88">
        <v>60062.8</v>
      </c>
      <c r="M168" s="88">
        <v>0</v>
      </c>
      <c r="N168" s="88">
        <v>0</v>
      </c>
      <c r="O168" s="88">
        <v>0</v>
      </c>
      <c r="P168" s="88">
        <v>0</v>
      </c>
      <c r="Q168" s="89">
        <v>157273.34</v>
      </c>
    </row>
    <row r="169" spans="4:17" s="26" customFormat="1" ht="13.8" x14ac:dyDescent="0.3">
      <c r="D169" s="39"/>
      <c r="F169" s="78"/>
      <c r="G169" s="22"/>
      <c r="H169" s="81"/>
      <c r="I169" s="40"/>
      <c r="J169" s="40"/>
      <c r="K169" s="40"/>
      <c r="L169" s="40"/>
      <c r="M169" s="40"/>
      <c r="N169" s="40"/>
      <c r="O169" s="40"/>
      <c r="P169" s="40"/>
      <c r="Q169" s="40"/>
    </row>
    <row r="170" spans="4:17" s="26" customFormat="1" ht="13.8" x14ac:dyDescent="0.3">
      <c r="D170" s="39" t="s">
        <v>80</v>
      </c>
      <c r="F170" s="78"/>
      <c r="G170" s="79"/>
      <c r="H170" s="55">
        <v>654240</v>
      </c>
      <c r="I170" s="56">
        <v>450117.11999999994</v>
      </c>
      <c r="J170" s="56">
        <v>0</v>
      </c>
      <c r="K170" s="56">
        <v>44000</v>
      </c>
      <c r="L170" s="56">
        <v>1000</v>
      </c>
      <c r="M170" s="56">
        <v>0</v>
      </c>
      <c r="N170" s="56">
        <v>1350</v>
      </c>
      <c r="O170" s="56">
        <v>0</v>
      </c>
      <c r="P170" s="56">
        <v>0</v>
      </c>
      <c r="Q170" s="57">
        <v>1150707.1199999999</v>
      </c>
    </row>
    <row r="171" spans="4:17" s="26" customFormat="1" ht="13.8" x14ac:dyDescent="0.3">
      <c r="D171" s="39"/>
      <c r="F171" s="78"/>
      <c r="G171" s="50"/>
      <c r="H171" s="87">
        <v>564344.84</v>
      </c>
      <c r="I171" s="88">
        <v>520405.18</v>
      </c>
      <c r="J171" s="88">
        <v>0</v>
      </c>
      <c r="K171" s="88">
        <v>12372.96</v>
      </c>
      <c r="L171" s="88">
        <v>0</v>
      </c>
      <c r="M171" s="88">
        <v>2059.86</v>
      </c>
      <c r="N171" s="88">
        <v>907.41</v>
      </c>
      <c r="O171" s="88">
        <v>0</v>
      </c>
      <c r="P171" s="88">
        <v>0</v>
      </c>
      <c r="Q171" s="89">
        <v>1100090.25</v>
      </c>
    </row>
    <row r="172" spans="4:17" s="26" customFormat="1" ht="13.8" x14ac:dyDescent="0.3">
      <c r="D172" s="39"/>
      <c r="F172" s="78"/>
      <c r="G172" s="50"/>
      <c r="H172" s="80"/>
      <c r="I172" s="28"/>
      <c r="J172" s="28"/>
      <c r="K172" s="28"/>
      <c r="L172" s="28"/>
      <c r="M172" s="28"/>
      <c r="N172" s="28"/>
      <c r="O172" s="28"/>
      <c r="P172" s="28"/>
      <c r="Q172" s="28"/>
    </row>
    <row r="173" spans="4:17" ht="13.8" x14ac:dyDescent="0.3">
      <c r="D173" t="s">
        <v>81</v>
      </c>
      <c r="F173" s="15"/>
      <c r="G173" s="76"/>
      <c r="H173" s="55">
        <f>444200+5000</f>
        <v>449200</v>
      </c>
      <c r="I173" s="56">
        <v>309049.59999999998</v>
      </c>
      <c r="J173" s="56">
        <v>137040</v>
      </c>
      <c r="K173" s="56">
        <v>34800</v>
      </c>
      <c r="L173" s="56">
        <v>43500</v>
      </c>
      <c r="M173" s="56">
        <v>11745</v>
      </c>
      <c r="N173" s="56">
        <v>0</v>
      </c>
      <c r="O173" s="56">
        <v>0</v>
      </c>
      <c r="P173" s="56">
        <v>0</v>
      </c>
      <c r="Q173" s="57">
        <v>985334.6</v>
      </c>
    </row>
    <row r="174" spans="4:17" ht="13.8" x14ac:dyDescent="0.3">
      <c r="F174" s="15"/>
      <c r="G174" s="76"/>
      <c r="H174" s="87">
        <v>369846.95</v>
      </c>
      <c r="I174" s="88">
        <v>347822.74</v>
      </c>
      <c r="J174" s="88">
        <v>18408.2</v>
      </c>
      <c r="K174" s="88">
        <v>13170.73</v>
      </c>
      <c r="L174" s="88">
        <v>98948.55</v>
      </c>
      <c r="M174" s="88">
        <v>10015.61</v>
      </c>
      <c r="N174" s="88">
        <v>0</v>
      </c>
      <c r="O174" s="88">
        <v>0</v>
      </c>
      <c r="P174" s="88">
        <v>0</v>
      </c>
      <c r="Q174" s="89">
        <v>858212.78</v>
      </c>
    </row>
    <row r="175" spans="4:17" ht="13.8" x14ac:dyDescent="0.3">
      <c r="F175" s="15"/>
      <c r="G175" s="22"/>
      <c r="H175" s="77"/>
    </row>
    <row r="176" spans="4:17" s="26" customFormat="1" ht="13.8" x14ac:dyDescent="0.3">
      <c r="D176" s="39" t="s">
        <v>82</v>
      </c>
      <c r="F176" s="78"/>
      <c r="G176" s="22"/>
      <c r="H176" s="55">
        <v>101840</v>
      </c>
      <c r="I176" s="56">
        <v>70065.919999999998</v>
      </c>
      <c r="J176" s="56">
        <v>0</v>
      </c>
      <c r="K176" s="56">
        <v>0</v>
      </c>
      <c r="L176" s="56">
        <v>414290</v>
      </c>
      <c r="M176" s="56">
        <v>0</v>
      </c>
      <c r="N176" s="56">
        <v>0</v>
      </c>
      <c r="O176" s="56">
        <v>0</v>
      </c>
      <c r="P176" s="56">
        <v>0</v>
      </c>
      <c r="Q176" s="57">
        <v>586195.91999999993</v>
      </c>
    </row>
    <row r="177" spans="3:18" s="26" customFormat="1" ht="13.8" x14ac:dyDescent="0.3">
      <c r="D177" s="39"/>
      <c r="F177" s="78"/>
      <c r="G177" s="22"/>
      <c r="H177" s="96">
        <f>H180+H183+H186</f>
        <v>64970.130000000005</v>
      </c>
      <c r="I177" s="97">
        <f>I180+I183+I186</f>
        <v>61042.8</v>
      </c>
      <c r="J177" s="97">
        <f t="shared" ref="J177:P177" si="10">J180+J183+J186</f>
        <v>48625.17</v>
      </c>
      <c r="K177" s="97">
        <f t="shared" si="10"/>
        <v>220.83</v>
      </c>
      <c r="L177" s="97">
        <f t="shared" si="10"/>
        <v>1125644.67</v>
      </c>
      <c r="M177" s="97">
        <f t="shared" si="10"/>
        <v>0</v>
      </c>
      <c r="N177" s="97">
        <f t="shared" si="10"/>
        <v>0</v>
      </c>
      <c r="O177" s="97">
        <f t="shared" si="10"/>
        <v>224242.46000000002</v>
      </c>
      <c r="P177" s="97">
        <f t="shared" si="10"/>
        <v>0</v>
      </c>
      <c r="Q177" s="98">
        <f>Q180+Q183+Q186</f>
        <v>1524746.0599999998</v>
      </c>
    </row>
    <row r="178" spans="3:18" s="26" customFormat="1" ht="13.8" x14ac:dyDescent="0.3">
      <c r="D178" s="39"/>
      <c r="F178" s="78"/>
      <c r="G178" s="22"/>
      <c r="H178" s="66"/>
      <c r="I178" s="67"/>
      <c r="J178" s="67"/>
      <c r="K178" s="67"/>
      <c r="L178" s="67"/>
      <c r="M178" s="67"/>
      <c r="N178" s="67"/>
      <c r="O178" s="67"/>
      <c r="P178" s="67"/>
      <c r="Q178" s="68"/>
    </row>
    <row r="179" spans="3:18" s="26" customFormat="1" ht="13.8" x14ac:dyDescent="0.3">
      <c r="D179" s="27" t="s">
        <v>134</v>
      </c>
      <c r="G179" s="22"/>
      <c r="H179" s="66"/>
      <c r="I179" s="67"/>
      <c r="J179" s="67"/>
      <c r="K179" s="67"/>
      <c r="L179" s="67"/>
      <c r="M179" s="67"/>
      <c r="N179" s="67"/>
      <c r="O179" s="67"/>
      <c r="P179" s="67"/>
      <c r="Q179" s="68"/>
      <c r="R179" s="78"/>
    </row>
    <row r="180" spans="3:18" s="26" customFormat="1" ht="13.8" x14ac:dyDescent="0.3">
      <c r="D180" s="27"/>
      <c r="G180" s="22"/>
      <c r="H180" s="90">
        <v>658.54</v>
      </c>
      <c r="I180" s="91">
        <v>691.16</v>
      </c>
      <c r="J180" s="91">
        <v>0</v>
      </c>
      <c r="K180" s="91">
        <v>0</v>
      </c>
      <c r="L180" s="91">
        <v>689067.7</v>
      </c>
      <c r="M180" s="91">
        <v>0</v>
      </c>
      <c r="N180" s="91">
        <v>0</v>
      </c>
      <c r="O180" s="91">
        <v>226210.88</v>
      </c>
      <c r="P180" s="91">
        <v>0</v>
      </c>
      <c r="Q180" s="92">
        <v>916628.28</v>
      </c>
      <c r="R180" s="78"/>
    </row>
    <row r="181" spans="3:18" s="26" customFormat="1" ht="13.8" x14ac:dyDescent="0.3">
      <c r="D181" s="27"/>
      <c r="G181" s="22"/>
      <c r="H181" s="66"/>
      <c r="I181" s="67"/>
      <c r="J181" s="67"/>
      <c r="K181" s="67"/>
      <c r="L181" s="67"/>
      <c r="M181" s="67"/>
      <c r="N181" s="67"/>
      <c r="O181" s="67"/>
      <c r="P181" s="67"/>
      <c r="Q181" s="68"/>
      <c r="R181" s="78"/>
    </row>
    <row r="182" spans="3:18" s="26" customFormat="1" ht="13.8" x14ac:dyDescent="0.3">
      <c r="C182" s="29"/>
      <c r="D182" s="27" t="s">
        <v>135</v>
      </c>
      <c r="G182" s="22"/>
      <c r="H182" s="66">
        <v>101840</v>
      </c>
      <c r="I182" s="67">
        <v>70065.919999999998</v>
      </c>
      <c r="J182" s="67">
        <v>0</v>
      </c>
      <c r="K182" s="67">
        <v>0</v>
      </c>
      <c r="L182" s="67">
        <v>414290</v>
      </c>
      <c r="M182" s="67">
        <v>0</v>
      </c>
      <c r="N182" s="67">
        <v>0</v>
      </c>
      <c r="O182" s="67">
        <v>0</v>
      </c>
      <c r="P182" s="67">
        <v>0</v>
      </c>
      <c r="Q182" s="68">
        <v>586195.91999999993</v>
      </c>
      <c r="R182" s="78"/>
    </row>
    <row r="183" spans="3:18" s="26" customFormat="1" ht="13.8" x14ac:dyDescent="0.3">
      <c r="C183" s="29"/>
      <c r="D183" s="27"/>
      <c r="G183" s="22"/>
      <c r="H183" s="90">
        <v>64311.590000000004</v>
      </c>
      <c r="I183" s="91">
        <v>60351.64</v>
      </c>
      <c r="J183" s="91">
        <v>48625.17</v>
      </c>
      <c r="K183" s="91">
        <v>220.83</v>
      </c>
      <c r="L183" s="91">
        <v>436576.97</v>
      </c>
      <c r="M183" s="91">
        <v>0</v>
      </c>
      <c r="N183" s="91">
        <v>0</v>
      </c>
      <c r="O183" s="91">
        <v>2768.13</v>
      </c>
      <c r="P183" s="91">
        <v>0</v>
      </c>
      <c r="Q183" s="92">
        <v>612854.32999999996</v>
      </c>
      <c r="R183" s="78"/>
    </row>
    <row r="184" spans="3:18" s="26" customFormat="1" ht="13.8" x14ac:dyDescent="0.3">
      <c r="C184" s="29"/>
      <c r="D184" s="27"/>
      <c r="G184" s="22"/>
      <c r="H184" s="66"/>
      <c r="I184" s="67"/>
      <c r="J184" s="67"/>
      <c r="K184" s="67"/>
      <c r="L184" s="67"/>
      <c r="M184" s="67"/>
      <c r="N184" s="67"/>
      <c r="O184" s="67"/>
      <c r="P184" s="67"/>
      <c r="Q184" s="68"/>
      <c r="R184" s="78"/>
    </row>
    <row r="185" spans="3:18" s="26" customFormat="1" ht="13.8" x14ac:dyDescent="0.3">
      <c r="C185" s="29"/>
      <c r="D185" s="27" t="s">
        <v>136</v>
      </c>
      <c r="G185" s="22"/>
      <c r="H185" s="66"/>
      <c r="I185" s="67"/>
      <c r="J185" s="67"/>
      <c r="K185" s="67"/>
      <c r="L185" s="67"/>
      <c r="M185" s="67"/>
      <c r="N185" s="67"/>
      <c r="O185" s="67"/>
      <c r="P185" s="67"/>
      <c r="Q185" s="68"/>
      <c r="R185" s="78"/>
    </row>
    <row r="186" spans="3:18" s="26" customFormat="1" ht="13.8" x14ac:dyDescent="0.3">
      <c r="C186" s="29"/>
      <c r="D186" s="27"/>
      <c r="G186" s="22"/>
      <c r="H186" s="93">
        <v>0</v>
      </c>
      <c r="I186" s="94">
        <v>0</v>
      </c>
      <c r="J186" s="94">
        <v>0</v>
      </c>
      <c r="K186" s="94">
        <v>0</v>
      </c>
      <c r="L186" s="94">
        <v>0</v>
      </c>
      <c r="M186" s="94">
        <v>0</v>
      </c>
      <c r="N186" s="94">
        <v>0</v>
      </c>
      <c r="O186" s="94">
        <v>-4736.55</v>
      </c>
      <c r="P186" s="94">
        <v>0</v>
      </c>
      <c r="Q186" s="95">
        <v>-4736.55</v>
      </c>
      <c r="R186" s="78"/>
    </row>
    <row r="187" spans="3:18" s="26" customFormat="1" ht="13.8" x14ac:dyDescent="0.3">
      <c r="C187" s="29"/>
      <c r="D187" s="27"/>
      <c r="G187" s="22"/>
      <c r="H187" s="108"/>
      <c r="I187" s="67"/>
      <c r="J187" s="67"/>
      <c r="K187" s="67"/>
      <c r="L187" s="67"/>
      <c r="M187" s="67"/>
      <c r="N187" s="67"/>
      <c r="O187" s="67"/>
      <c r="P187" s="67"/>
      <c r="Q187" s="108"/>
    </row>
    <row r="188" spans="3:18" s="26" customFormat="1" ht="13.8" x14ac:dyDescent="0.3">
      <c r="D188" s="39" t="s">
        <v>83</v>
      </c>
      <c r="F188" s="78"/>
      <c r="G188" s="79"/>
      <c r="H188" s="55">
        <v>146944</v>
      </c>
      <c r="I188" s="56">
        <v>101097.47199999999</v>
      </c>
      <c r="J188" s="56">
        <v>0</v>
      </c>
      <c r="K188" s="56">
        <v>0</v>
      </c>
      <c r="L188" s="56">
        <v>13920</v>
      </c>
      <c r="M188" s="56">
        <v>0</v>
      </c>
      <c r="N188" s="56">
        <v>0</v>
      </c>
      <c r="O188" s="56">
        <v>0</v>
      </c>
      <c r="P188" s="56">
        <v>0</v>
      </c>
      <c r="Q188" s="57">
        <v>261961.47200000001</v>
      </c>
    </row>
    <row r="189" spans="3:18" s="26" customFormat="1" ht="13.8" x14ac:dyDescent="0.3">
      <c r="D189" s="39"/>
      <c r="F189" s="78"/>
      <c r="G189" s="79"/>
      <c r="H189" s="87">
        <v>101477.27</v>
      </c>
      <c r="I189" s="88">
        <v>95006.87</v>
      </c>
      <c r="J189" s="88">
        <v>0</v>
      </c>
      <c r="K189" s="88">
        <v>5.45</v>
      </c>
      <c r="L189" s="88">
        <v>11200.82</v>
      </c>
      <c r="M189" s="88">
        <v>0</v>
      </c>
      <c r="N189" s="88">
        <v>0</v>
      </c>
      <c r="O189" s="88">
        <v>0</v>
      </c>
      <c r="P189" s="88">
        <v>0</v>
      </c>
      <c r="Q189" s="89">
        <v>207690.41</v>
      </c>
    </row>
    <row r="190" spans="3:18" s="26" customFormat="1" ht="13.8" x14ac:dyDescent="0.3">
      <c r="D190" s="39"/>
      <c r="F190" s="78"/>
      <c r="G190" s="50"/>
      <c r="H190" s="80"/>
      <c r="I190" s="28"/>
      <c r="J190" s="28"/>
      <c r="K190" s="28"/>
      <c r="L190" s="28"/>
      <c r="M190" s="28"/>
      <c r="N190" s="28"/>
      <c r="O190" s="28"/>
      <c r="P190" s="28"/>
      <c r="Q190" s="28"/>
    </row>
    <row r="191" spans="3:18" s="26" customFormat="1" ht="13.8" x14ac:dyDescent="0.3">
      <c r="C191" s="14"/>
      <c r="D191" s="39" t="s">
        <v>84</v>
      </c>
      <c r="F191" s="78"/>
      <c r="G191" s="79"/>
      <c r="H191" s="55">
        <f>300840+1300</f>
        <v>302140</v>
      </c>
      <c r="I191" s="56">
        <v>207872.31999999998</v>
      </c>
      <c r="J191" s="56">
        <v>6960</v>
      </c>
      <c r="K191" s="56">
        <v>3905</v>
      </c>
      <c r="L191" s="56">
        <v>110000</v>
      </c>
      <c r="M191" s="56">
        <v>4785</v>
      </c>
      <c r="N191" s="56">
        <v>0</v>
      </c>
      <c r="O191" s="56">
        <v>0</v>
      </c>
      <c r="P191" s="56">
        <v>0</v>
      </c>
      <c r="Q191" s="57">
        <v>635662.31999999995</v>
      </c>
    </row>
    <row r="192" spans="3:18" s="26" customFormat="1" ht="13.8" x14ac:dyDescent="0.3">
      <c r="C192" s="14"/>
      <c r="D192" s="39"/>
      <c r="F192" s="78"/>
      <c r="G192" s="50"/>
      <c r="H192" s="87">
        <v>175239.77</v>
      </c>
      <c r="I192" s="88">
        <v>162532.98000000001</v>
      </c>
      <c r="J192" s="88">
        <v>337.54</v>
      </c>
      <c r="K192" s="88">
        <v>13749.67</v>
      </c>
      <c r="L192" s="88">
        <v>123213.09</v>
      </c>
      <c r="M192" s="88">
        <v>8151.95</v>
      </c>
      <c r="N192" s="88">
        <v>761.25</v>
      </c>
      <c r="O192" s="88">
        <v>0</v>
      </c>
      <c r="P192" s="88">
        <v>0</v>
      </c>
      <c r="Q192" s="89">
        <v>483986.25</v>
      </c>
    </row>
    <row r="193" spans="2:17" s="26" customFormat="1" ht="13.8" x14ac:dyDescent="0.3">
      <c r="C193" s="14"/>
      <c r="D193" s="39"/>
      <c r="F193" s="78"/>
      <c r="G193" s="50"/>
      <c r="H193" s="80"/>
      <c r="I193" s="28"/>
      <c r="J193" s="28"/>
      <c r="K193" s="28"/>
      <c r="L193" s="28"/>
      <c r="M193" s="28"/>
      <c r="N193" s="28"/>
      <c r="O193" s="28"/>
      <c r="P193" s="28"/>
      <c r="Q193" s="28"/>
    </row>
    <row r="194" spans="2:17" s="26" customFormat="1" ht="13.8" x14ac:dyDescent="0.3">
      <c r="D194" s="39" t="s">
        <v>85</v>
      </c>
      <c r="F194" s="78"/>
      <c r="G194" s="79"/>
      <c r="H194" s="55">
        <f>17600+8700</f>
        <v>26300</v>
      </c>
      <c r="I194" s="56">
        <v>18094.399999999998</v>
      </c>
      <c r="J194" s="56">
        <v>13000</v>
      </c>
      <c r="K194" s="56">
        <v>0</v>
      </c>
      <c r="L194" s="56">
        <v>2610</v>
      </c>
      <c r="M194" s="56">
        <v>22620</v>
      </c>
      <c r="N194" s="56">
        <v>0</v>
      </c>
      <c r="O194" s="56">
        <v>0</v>
      </c>
      <c r="P194" s="56">
        <v>0</v>
      </c>
      <c r="Q194" s="57">
        <v>82624.399999999994</v>
      </c>
    </row>
    <row r="195" spans="2:17" s="26" customFormat="1" ht="13.8" x14ac:dyDescent="0.3">
      <c r="D195" s="39"/>
      <c r="F195" s="78"/>
      <c r="G195" s="50"/>
      <c r="H195" s="87">
        <v>15072.34</v>
      </c>
      <c r="I195" s="88">
        <v>13864.96</v>
      </c>
      <c r="J195" s="88">
        <v>14814.64</v>
      </c>
      <c r="K195" s="88">
        <v>0</v>
      </c>
      <c r="L195" s="88">
        <v>321.89999999999998</v>
      </c>
      <c r="M195" s="88">
        <v>3537.05</v>
      </c>
      <c r="N195" s="88">
        <v>0</v>
      </c>
      <c r="O195" s="88">
        <v>0</v>
      </c>
      <c r="P195" s="88">
        <v>0</v>
      </c>
      <c r="Q195" s="89">
        <v>47610.89</v>
      </c>
    </row>
    <row r="196" spans="2:17" s="26" customFormat="1" ht="13.8" x14ac:dyDescent="0.3">
      <c r="D196" s="39"/>
      <c r="F196" s="78"/>
      <c r="G196" s="50"/>
      <c r="H196" s="80"/>
      <c r="I196" s="28"/>
      <c r="J196" s="28"/>
      <c r="K196" s="28"/>
      <c r="L196" s="28"/>
      <c r="M196" s="28"/>
      <c r="N196" s="28"/>
      <c r="O196" s="28"/>
      <c r="P196" s="28"/>
      <c r="Q196" s="28"/>
    </row>
    <row r="197" spans="2:17" s="26" customFormat="1" ht="13.8" x14ac:dyDescent="0.3">
      <c r="B197" s="26" t="s">
        <v>86</v>
      </c>
      <c r="D197" s="39" t="s">
        <v>87</v>
      </c>
      <c r="F197" s="78"/>
      <c r="G197" s="79"/>
      <c r="H197" s="55">
        <v>0</v>
      </c>
      <c r="I197" s="56">
        <v>0</v>
      </c>
      <c r="J197" s="56">
        <v>0</v>
      </c>
      <c r="K197" s="56">
        <v>0</v>
      </c>
      <c r="L197" s="56">
        <v>8700</v>
      </c>
      <c r="M197" s="56">
        <v>0</v>
      </c>
      <c r="N197" s="56">
        <v>0</v>
      </c>
      <c r="O197" s="56">
        <v>0</v>
      </c>
      <c r="P197" s="56">
        <v>0</v>
      </c>
      <c r="Q197" s="57">
        <v>8700</v>
      </c>
    </row>
    <row r="198" spans="2:17" s="26" customFormat="1" ht="13.8" x14ac:dyDescent="0.3">
      <c r="D198" s="39"/>
      <c r="F198" s="78"/>
      <c r="G198" s="79"/>
      <c r="H198" s="87">
        <v>0</v>
      </c>
      <c r="I198" s="88">
        <v>0</v>
      </c>
      <c r="J198" s="88">
        <v>0</v>
      </c>
      <c r="K198" s="88">
        <v>0</v>
      </c>
      <c r="L198" s="88">
        <v>0</v>
      </c>
      <c r="M198" s="88">
        <v>0</v>
      </c>
      <c r="N198" s="88">
        <v>0</v>
      </c>
      <c r="O198" s="88">
        <v>0</v>
      </c>
      <c r="P198" s="88">
        <v>0</v>
      </c>
      <c r="Q198" s="89">
        <v>0</v>
      </c>
    </row>
    <row r="199" spans="2:17" s="26" customFormat="1" ht="13.8" x14ac:dyDescent="0.3">
      <c r="D199" s="39"/>
      <c r="F199" s="78"/>
      <c r="G199" s="50"/>
      <c r="H199" s="28"/>
      <c r="I199" s="28"/>
      <c r="J199" s="28"/>
      <c r="K199" s="28"/>
      <c r="L199" s="28"/>
      <c r="M199" s="28"/>
      <c r="N199" s="28"/>
      <c r="O199" s="28"/>
      <c r="P199" s="28"/>
      <c r="Q199" s="28"/>
    </row>
    <row r="200" spans="2:17" s="19" customFormat="1" ht="13.8" x14ac:dyDescent="0.3">
      <c r="E200" s="20"/>
      <c r="F200" s="75" t="s">
        <v>88</v>
      </c>
      <c r="G200" s="21"/>
      <c r="H200" s="8">
        <f>2938784+18200</f>
        <v>2956984</v>
      </c>
      <c r="I200" s="8">
        <v>2340721.7919999994</v>
      </c>
      <c r="J200" s="8">
        <v>177000</v>
      </c>
      <c r="K200" s="8">
        <v>140945</v>
      </c>
      <c r="L200" s="8">
        <v>1230070</v>
      </c>
      <c r="M200" s="8">
        <v>51850</v>
      </c>
      <c r="N200" s="8">
        <v>1350</v>
      </c>
      <c r="O200" s="8">
        <v>0</v>
      </c>
      <c r="P200" s="8">
        <v>-282400.8</v>
      </c>
      <c r="Q200" s="8">
        <v>6616519.9920000006</v>
      </c>
    </row>
    <row r="201" spans="2:17" s="19" customFormat="1" ht="13.8" x14ac:dyDescent="0.3">
      <c r="E201" s="20"/>
      <c r="F201" s="75"/>
      <c r="G201" s="21"/>
      <c r="H201" s="99">
        <f>H150+H153+H156+H159+H162+H165+H168+H171+H174+H177+H189+H195+H192+H198</f>
        <v>2432149.8499999996</v>
      </c>
      <c r="I201" s="99">
        <f t="shared" ref="I201:Q201" si="11">I150+I153+I156+I159+I162+I165+I168+I171+I174+I177+I189+I195+I192+I198</f>
        <v>2294611</v>
      </c>
      <c r="J201" s="99">
        <f t="shared" si="11"/>
        <v>86753.049999999988</v>
      </c>
      <c r="K201" s="99">
        <f t="shared" si="11"/>
        <v>52226.52</v>
      </c>
      <c r="L201" s="99">
        <f t="shared" si="11"/>
        <v>1798712.77</v>
      </c>
      <c r="M201" s="99">
        <f t="shared" si="11"/>
        <v>37546.25</v>
      </c>
      <c r="N201" s="99">
        <f t="shared" si="11"/>
        <v>105683.16</v>
      </c>
      <c r="O201" s="99">
        <f t="shared" si="11"/>
        <v>224242.46000000002</v>
      </c>
      <c r="P201" s="99">
        <f t="shared" si="11"/>
        <v>-175895.4</v>
      </c>
      <c r="Q201" s="99">
        <f t="shared" si="11"/>
        <v>6856029.6599999992</v>
      </c>
    </row>
    <row r="202" spans="2:17" s="19" customFormat="1" ht="13.8" x14ac:dyDescent="0.3">
      <c r="E202" s="20"/>
      <c r="F202" s="75"/>
      <c r="G202" s="21"/>
      <c r="H202" s="8"/>
      <c r="I202" s="8"/>
      <c r="J202" s="8"/>
      <c r="K202" s="8"/>
      <c r="L202" s="8"/>
      <c r="M202" s="8"/>
      <c r="N202" s="8"/>
      <c r="O202" s="8"/>
      <c r="P202" s="8"/>
      <c r="Q202" s="8"/>
    </row>
    <row r="203" spans="2:17" ht="13.8" x14ac:dyDescent="0.3">
      <c r="F203" s="15"/>
      <c r="G203" s="22"/>
    </row>
    <row r="204" spans="2:17" ht="13.8" x14ac:dyDescent="0.3">
      <c r="B204" t="s">
        <v>89</v>
      </c>
      <c r="F204" s="15"/>
      <c r="G204" s="22"/>
    </row>
    <row r="205" spans="2:17" x14ac:dyDescent="0.25">
      <c r="F205" s="15"/>
      <c r="G205" s="86" t="s">
        <v>142</v>
      </c>
    </row>
    <row r="206" spans="2:17" ht="13.8" x14ac:dyDescent="0.3">
      <c r="D206" t="s">
        <v>90</v>
      </c>
      <c r="F206" s="15"/>
      <c r="G206" s="76"/>
      <c r="H206" s="55">
        <v>87000</v>
      </c>
      <c r="I206" s="56">
        <v>59855.999999999993</v>
      </c>
      <c r="J206" s="56">
        <v>0</v>
      </c>
      <c r="K206" s="56">
        <v>870</v>
      </c>
      <c r="L206" s="56">
        <v>354960</v>
      </c>
      <c r="M206" s="56">
        <v>0</v>
      </c>
      <c r="N206" s="56">
        <v>0</v>
      </c>
      <c r="O206" s="56">
        <v>0</v>
      </c>
      <c r="P206" s="56">
        <v>0</v>
      </c>
      <c r="Q206" s="57">
        <v>502686</v>
      </c>
    </row>
    <row r="207" spans="2:17" ht="13.8" x14ac:dyDescent="0.3">
      <c r="F207" s="15"/>
      <c r="G207" s="76"/>
      <c r="H207" s="87">
        <v>66096.03</v>
      </c>
      <c r="I207" s="88">
        <v>62259.95</v>
      </c>
      <c r="J207" s="88">
        <v>0</v>
      </c>
      <c r="K207" s="88">
        <v>1330.39</v>
      </c>
      <c r="L207" s="88">
        <v>283104.05</v>
      </c>
      <c r="M207" s="88">
        <v>0</v>
      </c>
      <c r="N207" s="88">
        <v>0</v>
      </c>
      <c r="O207" s="88">
        <v>0</v>
      </c>
      <c r="P207" s="88">
        <v>0</v>
      </c>
      <c r="Q207" s="89">
        <v>412790.42</v>
      </c>
    </row>
    <row r="208" spans="2:17" ht="13.8" x14ac:dyDescent="0.3">
      <c r="F208" s="15"/>
      <c r="G208" s="22"/>
      <c r="H208" s="77"/>
    </row>
    <row r="209" spans="4:17" ht="13.8" x14ac:dyDescent="0.3">
      <c r="D209" t="s">
        <v>91</v>
      </c>
      <c r="F209" s="15"/>
      <c r="G209" s="76"/>
      <c r="H209" s="55">
        <v>231768</v>
      </c>
      <c r="I209" s="56">
        <v>159456.38399999999</v>
      </c>
      <c r="J209" s="56">
        <v>0</v>
      </c>
      <c r="K209" s="56">
        <v>10005</v>
      </c>
      <c r="L209" s="56">
        <v>489200</v>
      </c>
      <c r="M209" s="56">
        <v>0</v>
      </c>
      <c r="N209" s="56">
        <v>0</v>
      </c>
      <c r="O209" s="56">
        <v>0</v>
      </c>
      <c r="P209" s="56">
        <v>0</v>
      </c>
      <c r="Q209" s="57">
        <v>890429.38399999996</v>
      </c>
    </row>
    <row r="210" spans="4:17" ht="13.8" x14ac:dyDescent="0.3">
      <c r="F210" s="15"/>
      <c r="G210" s="76"/>
      <c r="H210" s="87">
        <v>212985.28</v>
      </c>
      <c r="I210" s="88">
        <v>199105.8</v>
      </c>
      <c r="J210" s="88">
        <v>0</v>
      </c>
      <c r="K210" s="88">
        <v>4419.1400000000003</v>
      </c>
      <c r="L210" s="88">
        <v>415346.64</v>
      </c>
      <c r="M210" s="88">
        <v>0</v>
      </c>
      <c r="N210" s="88">
        <v>0</v>
      </c>
      <c r="O210" s="88">
        <v>0</v>
      </c>
      <c r="P210" s="88">
        <v>0</v>
      </c>
      <c r="Q210" s="89">
        <v>831856.8600000001</v>
      </c>
    </row>
    <row r="211" spans="4:17" ht="13.8" x14ac:dyDescent="0.3">
      <c r="F211" s="15"/>
      <c r="G211" s="22"/>
    </row>
    <row r="212" spans="4:17" ht="13.8" x14ac:dyDescent="0.3">
      <c r="D212" t="s">
        <v>92</v>
      </c>
      <c r="F212" s="15"/>
      <c r="G212" s="76"/>
      <c r="H212" s="55">
        <v>139200</v>
      </c>
      <c r="I212" s="56">
        <v>95769.599999999991</v>
      </c>
      <c r="J212" s="56">
        <v>0</v>
      </c>
      <c r="K212" s="56">
        <v>0</v>
      </c>
      <c r="L212" s="56">
        <v>1794.37</v>
      </c>
      <c r="M212" s="56">
        <v>0</v>
      </c>
      <c r="N212" s="56">
        <v>0</v>
      </c>
      <c r="O212" s="56">
        <v>0</v>
      </c>
      <c r="P212" s="56">
        <v>0</v>
      </c>
      <c r="Q212" s="57">
        <v>236763.96999999997</v>
      </c>
    </row>
    <row r="213" spans="4:17" ht="13.8" x14ac:dyDescent="0.3">
      <c r="F213" s="15"/>
      <c r="G213" s="76"/>
      <c r="H213" s="87">
        <v>79674.98</v>
      </c>
      <c r="I213" s="88">
        <v>75029.240000000005</v>
      </c>
      <c r="J213" s="88">
        <v>0</v>
      </c>
      <c r="K213" s="88">
        <v>0</v>
      </c>
      <c r="L213" s="88">
        <v>50864.41</v>
      </c>
      <c r="M213" s="88">
        <v>0</v>
      </c>
      <c r="N213" s="88">
        <v>0</v>
      </c>
      <c r="O213" s="88">
        <v>0</v>
      </c>
      <c r="P213" s="88">
        <v>0</v>
      </c>
      <c r="Q213" s="89">
        <v>205568.63</v>
      </c>
    </row>
    <row r="214" spans="4:17" ht="13.8" x14ac:dyDescent="0.3">
      <c r="F214" s="15"/>
      <c r="G214" s="22"/>
      <c r="H214" s="77"/>
    </row>
    <row r="215" spans="4:17" ht="13.8" x14ac:dyDescent="0.3">
      <c r="D215" t="s">
        <v>93</v>
      </c>
      <c r="F215" s="15"/>
      <c r="G215" s="76"/>
      <c r="H215" s="55">
        <v>164256</v>
      </c>
      <c r="I215" s="56">
        <v>152429.568</v>
      </c>
      <c r="J215" s="56">
        <v>0</v>
      </c>
      <c r="K215" s="56">
        <v>6090</v>
      </c>
      <c r="L215" s="56">
        <v>1445831.25</v>
      </c>
      <c r="M215" s="56">
        <v>0</v>
      </c>
      <c r="N215" s="56">
        <v>267000</v>
      </c>
      <c r="O215" s="56">
        <v>0</v>
      </c>
      <c r="P215" s="56">
        <v>0</v>
      </c>
      <c r="Q215" s="57">
        <v>2035606.818</v>
      </c>
    </row>
    <row r="216" spans="4:17" ht="13.8" x14ac:dyDescent="0.3">
      <c r="F216" s="15"/>
      <c r="G216" s="76"/>
      <c r="H216" s="87">
        <v>116256.55</v>
      </c>
      <c r="I216" s="88">
        <v>109027.79</v>
      </c>
      <c r="J216" s="88">
        <v>0</v>
      </c>
      <c r="K216" s="88">
        <v>2107.1</v>
      </c>
      <c r="L216" s="88">
        <v>1555091.58</v>
      </c>
      <c r="M216" s="88">
        <v>2198.9</v>
      </c>
      <c r="N216" s="88">
        <v>252738</v>
      </c>
      <c r="O216" s="88">
        <v>0</v>
      </c>
      <c r="P216" s="88">
        <v>0</v>
      </c>
      <c r="Q216" s="89">
        <v>2037419.9200000002</v>
      </c>
    </row>
    <row r="217" spans="4:17" ht="13.8" x14ac:dyDescent="0.3">
      <c r="F217" s="15"/>
      <c r="G217" s="22"/>
      <c r="H217" s="77"/>
    </row>
    <row r="218" spans="4:17" ht="13.8" x14ac:dyDescent="0.3">
      <c r="D218" t="s">
        <v>94</v>
      </c>
      <c r="F218" s="15"/>
      <c r="G218" s="76"/>
      <c r="H218" s="55">
        <v>0</v>
      </c>
      <c r="I218" s="56">
        <v>0</v>
      </c>
      <c r="J218" s="56">
        <v>0</v>
      </c>
      <c r="K218" s="56">
        <v>0</v>
      </c>
      <c r="L218" s="56">
        <v>90000</v>
      </c>
      <c r="M218" s="56">
        <v>0</v>
      </c>
      <c r="N218" s="56">
        <v>0</v>
      </c>
      <c r="O218" s="56">
        <v>0</v>
      </c>
      <c r="P218" s="56">
        <v>0</v>
      </c>
      <c r="Q218" s="57">
        <v>90000</v>
      </c>
    </row>
    <row r="219" spans="4:17" ht="13.8" x14ac:dyDescent="0.3">
      <c r="F219" s="15"/>
      <c r="G219" s="76"/>
      <c r="H219" s="87">
        <v>0</v>
      </c>
      <c r="I219" s="88">
        <v>0</v>
      </c>
      <c r="J219" s="88">
        <v>0</v>
      </c>
      <c r="K219" s="88">
        <v>0</v>
      </c>
      <c r="L219" s="88">
        <v>49771.5</v>
      </c>
      <c r="M219" s="88">
        <v>0</v>
      </c>
      <c r="N219" s="88">
        <v>0</v>
      </c>
      <c r="O219" s="88">
        <v>0</v>
      </c>
      <c r="P219" s="88">
        <v>0</v>
      </c>
      <c r="Q219" s="89">
        <v>49771.5</v>
      </c>
    </row>
    <row r="220" spans="4:17" ht="13.8" x14ac:dyDescent="0.3">
      <c r="F220" s="15"/>
      <c r="G220" s="22"/>
    </row>
    <row r="221" spans="4:17" s="19" customFormat="1" ht="13.8" x14ac:dyDescent="0.3">
      <c r="E221" s="20"/>
      <c r="F221" s="75" t="s">
        <v>95</v>
      </c>
      <c r="G221" s="21"/>
      <c r="H221" s="8">
        <v>622224</v>
      </c>
      <c r="I221" s="8">
        <v>467511.55200000003</v>
      </c>
      <c r="J221" s="8">
        <v>0</v>
      </c>
      <c r="K221" s="8">
        <v>16965</v>
      </c>
      <c r="L221" s="8">
        <v>2381785.62</v>
      </c>
      <c r="M221" s="8">
        <v>0</v>
      </c>
      <c r="N221" s="8">
        <v>267000</v>
      </c>
      <c r="O221" s="8">
        <v>0</v>
      </c>
      <c r="P221" s="8">
        <v>0</v>
      </c>
      <c r="Q221" s="8">
        <v>3755486.1720000003</v>
      </c>
    </row>
    <row r="222" spans="4:17" s="19" customFormat="1" ht="13.8" x14ac:dyDescent="0.3">
      <c r="E222" s="20"/>
      <c r="F222" s="75"/>
      <c r="G222" s="21"/>
      <c r="H222" s="99">
        <f>H207+H210+H213+H216+H219</f>
        <v>475012.83999999997</v>
      </c>
      <c r="I222" s="99">
        <f t="shared" ref="I222:Q222" si="12">I207+I210+I213+I216+I219</f>
        <v>445422.77999999997</v>
      </c>
      <c r="J222" s="99">
        <f t="shared" si="12"/>
        <v>0</v>
      </c>
      <c r="K222" s="99">
        <f t="shared" si="12"/>
        <v>7856.630000000001</v>
      </c>
      <c r="L222" s="99">
        <f t="shared" si="12"/>
        <v>2354178.1800000002</v>
      </c>
      <c r="M222" s="99">
        <f t="shared" si="12"/>
        <v>2198.9</v>
      </c>
      <c r="N222" s="99">
        <f t="shared" si="12"/>
        <v>252738</v>
      </c>
      <c r="O222" s="99">
        <f t="shared" si="12"/>
        <v>0</v>
      </c>
      <c r="P222" s="99">
        <f t="shared" si="12"/>
        <v>0</v>
      </c>
      <c r="Q222" s="99">
        <f t="shared" si="12"/>
        <v>3537407.33</v>
      </c>
    </row>
    <row r="223" spans="4:17" s="19" customFormat="1" ht="13.8" x14ac:dyDescent="0.3">
      <c r="E223" s="20"/>
      <c r="F223" s="75"/>
      <c r="G223" s="21"/>
      <c r="H223" s="8"/>
      <c r="I223" s="8"/>
      <c r="J223" s="8"/>
      <c r="K223" s="8"/>
      <c r="L223" s="8"/>
      <c r="M223" s="8"/>
      <c r="N223" s="8"/>
      <c r="O223" s="8"/>
      <c r="P223" s="8"/>
      <c r="Q223" s="8"/>
    </row>
    <row r="224" spans="4:17" ht="13.8" x14ac:dyDescent="0.3">
      <c r="F224" s="15"/>
      <c r="G224" s="22"/>
    </row>
    <row r="225" spans="2:19" ht="13.8" x14ac:dyDescent="0.3">
      <c r="B225" t="s">
        <v>96</v>
      </c>
      <c r="F225" s="15"/>
      <c r="G225" s="22"/>
    </row>
    <row r="226" spans="2:19" x14ac:dyDescent="0.25">
      <c r="F226" s="15"/>
      <c r="G226" s="86" t="s">
        <v>142</v>
      </c>
    </row>
    <row r="227" spans="2:19" ht="13.8" x14ac:dyDescent="0.3">
      <c r="B227" t="s">
        <v>97</v>
      </c>
      <c r="D227" t="s">
        <v>98</v>
      </c>
      <c r="F227" s="15"/>
      <c r="G227" s="76"/>
      <c r="H227" s="55">
        <v>243200</v>
      </c>
      <c r="I227" s="56">
        <v>225689.59999999998</v>
      </c>
      <c r="J227" s="56">
        <v>0</v>
      </c>
      <c r="K227" s="56">
        <v>10000</v>
      </c>
      <c r="L227" s="56">
        <v>70000</v>
      </c>
      <c r="M227" s="56">
        <v>5000</v>
      </c>
      <c r="N227" s="56">
        <v>510000</v>
      </c>
      <c r="O227" s="56">
        <v>0</v>
      </c>
      <c r="P227" s="56">
        <v>0</v>
      </c>
      <c r="Q227" s="57">
        <v>1063889.6000000001</v>
      </c>
    </row>
    <row r="228" spans="2:19" ht="13.8" x14ac:dyDescent="0.3">
      <c r="F228" s="15"/>
      <c r="G228" s="76"/>
      <c r="H228" s="87">
        <v>229853.75</v>
      </c>
      <c r="I228" s="88">
        <v>215034.62</v>
      </c>
      <c r="J228" s="88">
        <v>0</v>
      </c>
      <c r="K228" s="88">
        <v>4937.03</v>
      </c>
      <c r="L228" s="88">
        <v>6370</v>
      </c>
      <c r="M228" s="88">
        <v>4129.71</v>
      </c>
      <c r="N228" s="88">
        <v>800953.29</v>
      </c>
      <c r="O228" s="88">
        <v>0</v>
      </c>
      <c r="P228" s="88">
        <v>0</v>
      </c>
      <c r="Q228" s="89">
        <v>1261278.3999999999</v>
      </c>
    </row>
    <row r="229" spans="2:19" ht="13.8" x14ac:dyDescent="0.3">
      <c r="F229" s="15"/>
      <c r="G229" s="22"/>
    </row>
    <row r="230" spans="2:19" ht="13.8" x14ac:dyDescent="0.3">
      <c r="B230" t="s">
        <v>147</v>
      </c>
      <c r="D230" t="s">
        <v>146</v>
      </c>
      <c r="F230" s="15"/>
      <c r="G230" s="76"/>
      <c r="H230" s="55">
        <v>0</v>
      </c>
      <c r="I230" s="56">
        <v>0</v>
      </c>
      <c r="J230" s="56">
        <v>0</v>
      </c>
      <c r="K230" s="56">
        <v>0</v>
      </c>
      <c r="L230" s="56">
        <v>0</v>
      </c>
      <c r="M230" s="56">
        <v>0</v>
      </c>
      <c r="N230" s="56">
        <v>0</v>
      </c>
      <c r="O230" s="56">
        <v>0</v>
      </c>
      <c r="P230" s="56">
        <v>0</v>
      </c>
      <c r="Q230" s="57">
        <v>0</v>
      </c>
    </row>
    <row r="231" spans="2:19" ht="13.8" x14ac:dyDescent="0.3">
      <c r="F231" s="15"/>
      <c r="G231" s="76"/>
      <c r="H231" s="87">
        <v>101.82</v>
      </c>
      <c r="I231" s="88">
        <v>97.44</v>
      </c>
      <c r="J231" s="88">
        <v>0</v>
      </c>
      <c r="K231" s="88">
        <v>0</v>
      </c>
      <c r="L231" s="88">
        <v>0</v>
      </c>
      <c r="M231" s="88">
        <v>0</v>
      </c>
      <c r="N231" s="88">
        <v>0</v>
      </c>
      <c r="O231" s="88">
        <v>0</v>
      </c>
      <c r="P231" s="88">
        <v>0</v>
      </c>
      <c r="Q231" s="89">
        <v>199.26</v>
      </c>
    </row>
    <row r="232" spans="2:19" ht="13.8" x14ac:dyDescent="0.3">
      <c r="F232" s="15"/>
      <c r="G232" s="22"/>
    </row>
    <row r="233" spans="2:19" ht="13.8" x14ac:dyDescent="0.3">
      <c r="D233" t="s">
        <v>148</v>
      </c>
      <c r="F233" s="15"/>
      <c r="G233" s="76"/>
      <c r="H233" s="55">
        <v>0</v>
      </c>
      <c r="I233" s="56">
        <v>0</v>
      </c>
      <c r="J233" s="56">
        <v>0</v>
      </c>
      <c r="K233" s="56">
        <v>0</v>
      </c>
      <c r="L233" s="56">
        <v>0</v>
      </c>
      <c r="M233" s="56">
        <v>0</v>
      </c>
      <c r="N233" s="56">
        <v>0</v>
      </c>
      <c r="O233" s="56">
        <v>0</v>
      </c>
      <c r="P233" s="56">
        <v>0</v>
      </c>
      <c r="Q233" s="57">
        <v>0</v>
      </c>
    </row>
    <row r="234" spans="2:19" ht="13.8" x14ac:dyDescent="0.3">
      <c r="F234" s="15"/>
      <c r="G234" s="76"/>
      <c r="H234" s="87">
        <v>1418.56</v>
      </c>
      <c r="I234" s="88">
        <v>1329.13</v>
      </c>
      <c r="J234" s="88">
        <v>0</v>
      </c>
      <c r="K234" s="88">
        <v>0</v>
      </c>
      <c r="L234" s="88">
        <v>0</v>
      </c>
      <c r="M234" s="88">
        <v>0</v>
      </c>
      <c r="N234" s="88">
        <v>0</v>
      </c>
      <c r="O234" s="88">
        <v>0</v>
      </c>
      <c r="P234" s="88">
        <v>0</v>
      </c>
      <c r="Q234" s="89">
        <v>2747.69</v>
      </c>
    </row>
    <row r="235" spans="2:19" ht="13.8" x14ac:dyDescent="0.3">
      <c r="F235" s="15"/>
      <c r="G235" s="22"/>
    </row>
    <row r="236" spans="2:19" s="19" customFormat="1" ht="13.8" x14ac:dyDescent="0.3">
      <c r="E236" s="20"/>
      <c r="F236" s="75" t="s">
        <v>99</v>
      </c>
      <c r="G236" s="21"/>
      <c r="H236" s="8">
        <v>243200</v>
      </c>
      <c r="I236" s="8">
        <v>225689.59999999998</v>
      </c>
      <c r="J236" s="8">
        <v>0</v>
      </c>
      <c r="K236" s="8">
        <v>10000</v>
      </c>
      <c r="L236" s="8">
        <v>70000</v>
      </c>
      <c r="M236" s="8">
        <v>5000</v>
      </c>
      <c r="N236" s="8">
        <v>510000</v>
      </c>
      <c r="O236" s="8">
        <v>0</v>
      </c>
      <c r="P236" s="8">
        <v>0</v>
      </c>
      <c r="Q236" s="8">
        <v>1063889.6000000001</v>
      </c>
    </row>
    <row r="237" spans="2:19" s="19" customFormat="1" ht="13.8" x14ac:dyDescent="0.3">
      <c r="E237" s="20"/>
      <c r="F237" s="20"/>
      <c r="G237" s="21"/>
      <c r="H237" s="99">
        <f>H228+H231+H234</f>
        <v>231374.13</v>
      </c>
      <c r="I237" s="99">
        <f t="shared" ref="I237:Q237" si="13">I228+I231+I234</f>
        <v>216461.19</v>
      </c>
      <c r="J237" s="99">
        <f t="shared" si="13"/>
        <v>0</v>
      </c>
      <c r="K237" s="99">
        <f t="shared" si="13"/>
        <v>4937.03</v>
      </c>
      <c r="L237" s="99">
        <f t="shared" si="13"/>
        <v>6370</v>
      </c>
      <c r="M237" s="99">
        <f t="shared" si="13"/>
        <v>4129.71</v>
      </c>
      <c r="N237" s="99">
        <f t="shared" si="13"/>
        <v>800953.29</v>
      </c>
      <c r="O237" s="99">
        <f t="shared" si="13"/>
        <v>0</v>
      </c>
      <c r="P237" s="99">
        <f t="shared" si="13"/>
        <v>0</v>
      </c>
      <c r="Q237" s="99">
        <f t="shared" si="13"/>
        <v>1264225.3499999999</v>
      </c>
    </row>
    <row r="238" spans="2:19" s="19" customFormat="1" ht="13.8" x14ac:dyDescent="0.3">
      <c r="E238" s="20"/>
      <c r="F238" s="20"/>
      <c r="G238" s="21"/>
      <c r="H238" s="8"/>
      <c r="I238" s="8"/>
      <c r="J238" s="8"/>
      <c r="K238" s="8"/>
      <c r="L238" s="8"/>
      <c r="M238" s="8"/>
      <c r="N238" s="8"/>
      <c r="O238" s="8"/>
      <c r="P238" s="8"/>
      <c r="Q238" s="8"/>
      <c r="S238" s="118" t="s">
        <v>151</v>
      </c>
    </row>
    <row r="239" spans="2:19" x14ac:dyDescent="0.25">
      <c r="G239" s="86" t="s">
        <v>142</v>
      </c>
      <c r="S239" s="118" t="s">
        <v>155</v>
      </c>
    </row>
    <row r="240" spans="2:19" s="19" customFormat="1" x14ac:dyDescent="0.25">
      <c r="E240" s="20"/>
      <c r="F240" s="20" t="s">
        <v>100</v>
      </c>
      <c r="H240" s="8">
        <f>4929769.74881517+355340</f>
        <v>5285109.7488151696</v>
      </c>
      <c r="I240" s="8">
        <v>4790385.65171564</v>
      </c>
      <c r="J240" s="8">
        <v>2826377.33</v>
      </c>
      <c r="K240" s="8">
        <v>234865</v>
      </c>
      <c r="L240" s="8">
        <v>9779664.120000001</v>
      </c>
      <c r="M240" s="8">
        <v>46650</v>
      </c>
      <c r="N240" s="8">
        <v>800750</v>
      </c>
      <c r="O240" s="8">
        <v>69182401.695223004</v>
      </c>
      <c r="P240" s="8">
        <v>0</v>
      </c>
      <c r="Q240" s="8">
        <v>99562723.53775382</v>
      </c>
      <c r="S240" s="118" t="s">
        <v>156</v>
      </c>
    </row>
    <row r="241" spans="5:19" s="19" customFormat="1" x14ac:dyDescent="0.25">
      <c r="E241" s="20"/>
      <c r="F241" s="20"/>
      <c r="H241" s="99">
        <f t="shared" ref="H241:Q241" si="14">H59+H118+H130+H143+H201+H222+H237</f>
        <v>6813152.669999999</v>
      </c>
      <c r="I241" s="99">
        <f t="shared" si="14"/>
        <v>6391128.1600000011</v>
      </c>
      <c r="J241" s="99">
        <f t="shared" si="14"/>
        <v>1993012.57</v>
      </c>
      <c r="K241" s="99">
        <f t="shared" si="14"/>
        <v>187121.93000000002</v>
      </c>
      <c r="L241" s="99">
        <f t="shared" si="14"/>
        <v>10870197.26</v>
      </c>
      <c r="M241" s="99">
        <f t="shared" si="14"/>
        <v>95377.260000000009</v>
      </c>
      <c r="N241" s="99">
        <f t="shared" si="14"/>
        <v>1199694.04</v>
      </c>
      <c r="O241" s="99">
        <f t="shared" si="14"/>
        <v>63724837.460000001</v>
      </c>
      <c r="P241" s="99">
        <f t="shared" si="14"/>
        <v>-187925.63999999998</v>
      </c>
      <c r="Q241" s="99">
        <f t="shared" si="14"/>
        <v>91086595.87999998</v>
      </c>
      <c r="S241" s="173">
        <f>O241/Q241</f>
        <v>0.69960719076550937</v>
      </c>
    </row>
    <row r="242" spans="5:19" s="19" customFormat="1" x14ac:dyDescent="0.25">
      <c r="E242" s="20"/>
      <c r="F242" s="20"/>
      <c r="H242" s="8"/>
      <c r="I242" s="8"/>
      <c r="J242" s="8"/>
      <c r="K242" s="8"/>
      <c r="L242" s="8"/>
      <c r="M242" s="8"/>
      <c r="N242" s="8"/>
      <c r="O242" s="8"/>
      <c r="P242" s="8"/>
      <c r="Q242" s="8"/>
    </row>
    <row r="243" spans="5:19" x14ac:dyDescent="0.25">
      <c r="E243" s="20"/>
      <c r="F243" s="20"/>
      <c r="G243" s="23"/>
      <c r="H243" s="24"/>
      <c r="I243" s="24"/>
      <c r="J243" s="24"/>
      <c r="K243" s="24"/>
      <c r="L243" s="24"/>
      <c r="M243" s="24"/>
      <c r="N243" s="24"/>
      <c r="O243" s="24"/>
      <c r="P243" s="24"/>
      <c r="Q243" s="24"/>
    </row>
    <row r="245" spans="5:19" s="41" customFormat="1" ht="153" x14ac:dyDescent="0.25">
      <c r="E245" s="42"/>
      <c r="F245" s="43" t="s">
        <v>101</v>
      </c>
      <c r="G245" s="44"/>
      <c r="H245" s="45" t="s">
        <v>102</v>
      </c>
      <c r="I245" s="46" t="s">
        <v>133</v>
      </c>
      <c r="J245" s="45" t="s">
        <v>103</v>
      </c>
      <c r="K245" s="45" t="s">
        <v>104</v>
      </c>
      <c r="L245" s="45" t="s">
        <v>105</v>
      </c>
      <c r="M245" s="45" t="s">
        <v>106</v>
      </c>
      <c r="N245" s="45" t="s">
        <v>107</v>
      </c>
      <c r="O245" s="45" t="s">
        <v>108</v>
      </c>
      <c r="P245" s="45" t="s">
        <v>109</v>
      </c>
      <c r="Q245" s="47"/>
    </row>
    <row r="248" spans="5:19" x14ac:dyDescent="0.25">
      <c r="M248" s="48"/>
    </row>
  </sheetData>
  <mergeCells count="1">
    <mergeCell ref="D7:F7"/>
  </mergeCells>
  <pageMargins left="0.7" right="0.7" top="0.75" bottom="0.75" header="0.3" footer="0.3"/>
  <pageSetup paperSize="17" scale="65" orientation="landscape" r:id="rId1"/>
  <headerFooter>
    <oddFooter>&amp;L&amp;P of &amp;N&amp;C&amp;D&amp;R&amp;G</oddFooter>
  </headerFooter>
  <rowBreaks count="4" manualBreakCount="4">
    <brk id="60" max="16383" man="1"/>
    <brk id="119" max="16383" man="1"/>
    <brk id="144" max="16383" man="1"/>
    <brk id="202" max="16383" man="1"/>
  </rowBreaks>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96"/>
  <sheetViews>
    <sheetView showGridLines="0" workbookViewId="0">
      <selection activeCell="A4" sqref="A4"/>
    </sheetView>
  </sheetViews>
  <sheetFormatPr defaultColWidth="9.109375" defaultRowHeight="13.2" x14ac:dyDescent="0.25"/>
  <cols>
    <col min="1" max="1" width="1.6640625" style="15" customWidth="1"/>
    <col min="2" max="2" width="8.109375" style="15" customWidth="1"/>
    <col min="3" max="3" width="19.6640625" style="15" customWidth="1"/>
    <col min="4" max="5" width="3.44140625" style="15" customWidth="1"/>
    <col min="6" max="6" width="31.33203125" style="15" customWidth="1"/>
    <col min="7" max="7" width="19.33203125" style="15" customWidth="1"/>
    <col min="8" max="8" width="22.5546875" style="48" customWidth="1"/>
    <col min="9" max="9" width="16.44140625" style="48" customWidth="1"/>
    <col min="10" max="10" width="15.44140625" style="48" customWidth="1"/>
    <col min="11" max="11" width="18.44140625" style="48" customWidth="1"/>
    <col min="12" max="12" width="24.88671875" style="48" customWidth="1"/>
    <col min="13" max="13" width="13.44140625" style="48" customWidth="1"/>
    <col min="14" max="14" width="15.44140625" style="48" customWidth="1"/>
    <col min="15" max="15" width="17.109375" style="48" customWidth="1"/>
    <col min="16" max="16" width="12.5546875" style="48" customWidth="1"/>
    <col min="17" max="17" width="16.6640625" style="48" customWidth="1"/>
    <col min="18" max="18" width="2.44140625" style="15" customWidth="1"/>
    <col min="19" max="19" width="42.6640625" style="15" customWidth="1"/>
    <col min="20" max="16384" width="9.109375" style="15"/>
  </cols>
  <sheetData>
    <row r="1" spans="1:19" customFormat="1" x14ac:dyDescent="0.25">
      <c r="F1" s="159"/>
      <c r="G1" s="2"/>
      <c r="H1" s="2"/>
      <c r="I1" s="2"/>
      <c r="J1" s="2"/>
      <c r="K1" s="2"/>
      <c r="L1" s="2"/>
      <c r="M1" s="2"/>
      <c r="N1" s="2"/>
      <c r="O1" s="2"/>
      <c r="P1" s="2"/>
    </row>
    <row r="2" spans="1:19" customFormat="1" ht="28.2" x14ac:dyDescent="0.5">
      <c r="A2" s="141" t="s">
        <v>138</v>
      </c>
      <c r="B2" s="1"/>
      <c r="F2" s="159"/>
      <c r="G2" s="160"/>
      <c r="H2" s="161"/>
      <c r="I2" s="161"/>
      <c r="J2" s="161"/>
      <c r="K2" s="2"/>
      <c r="L2" s="2"/>
      <c r="M2" s="2"/>
      <c r="N2" s="2"/>
      <c r="O2" s="2"/>
      <c r="P2" s="2"/>
    </row>
    <row r="3" spans="1:19" customFormat="1" ht="15" x14ac:dyDescent="0.25">
      <c r="A3" s="142" t="s">
        <v>160</v>
      </c>
      <c r="B3" s="3"/>
      <c r="F3" s="4"/>
      <c r="G3" s="143" t="s">
        <v>139</v>
      </c>
      <c r="H3" s="144"/>
      <c r="I3" s="144"/>
      <c r="J3" s="145"/>
      <c r="M3" s="2"/>
      <c r="N3" s="2"/>
      <c r="O3" s="2"/>
      <c r="P3" s="2"/>
    </row>
    <row r="4" spans="1:19" customFormat="1" ht="15.6" x14ac:dyDescent="0.3">
      <c r="A4" s="142"/>
      <c r="B4" s="112" t="s">
        <v>110</v>
      </c>
      <c r="F4" s="4"/>
      <c r="G4" s="146" t="s">
        <v>140</v>
      </c>
      <c r="H4" s="147"/>
      <c r="I4" s="148"/>
      <c r="J4" s="149"/>
      <c r="M4" s="2"/>
      <c r="N4" s="2"/>
      <c r="O4" s="2"/>
      <c r="P4" s="2"/>
    </row>
    <row r="5" spans="1:19" customFormat="1" ht="15" x14ac:dyDescent="0.25">
      <c r="B5" s="3"/>
      <c r="F5" s="4"/>
      <c r="G5" s="150" t="s">
        <v>141</v>
      </c>
      <c r="H5" s="151"/>
      <c r="I5" s="152"/>
      <c r="J5" s="153"/>
      <c r="M5" s="2"/>
      <c r="N5" s="2"/>
      <c r="O5" s="2"/>
      <c r="P5" s="2"/>
    </row>
    <row r="6" spans="1:19" customFormat="1" x14ac:dyDescent="0.25">
      <c r="F6" s="159"/>
      <c r="G6" s="2"/>
      <c r="H6" s="2"/>
      <c r="I6" s="2"/>
      <c r="J6" s="2"/>
      <c r="K6" s="2"/>
      <c r="L6" s="2"/>
      <c r="M6" s="2"/>
      <c r="N6" s="2"/>
      <c r="O6" s="2"/>
      <c r="P6" s="2"/>
    </row>
    <row r="7" spans="1:19" ht="15" x14ac:dyDescent="0.25">
      <c r="C7" s="111"/>
      <c r="G7" s="4"/>
      <c r="H7" s="5"/>
    </row>
    <row r="8" spans="1:19" x14ac:dyDescent="0.25">
      <c r="H8" s="113" t="s">
        <v>1</v>
      </c>
    </row>
    <row r="9" spans="1:19" ht="27.6" x14ac:dyDescent="0.3">
      <c r="B9" s="15" t="s">
        <v>2</v>
      </c>
      <c r="C9" s="15" t="s">
        <v>3</v>
      </c>
      <c r="D9" s="178" t="s">
        <v>111</v>
      </c>
      <c r="E9" s="178"/>
      <c r="F9" s="178"/>
      <c r="G9" s="114"/>
      <c r="H9" s="115" t="s">
        <v>5</v>
      </c>
      <c r="I9" s="115" t="s">
        <v>6</v>
      </c>
      <c r="J9" s="115" t="s">
        <v>7</v>
      </c>
      <c r="K9" s="116" t="s">
        <v>8</v>
      </c>
      <c r="L9" s="115" t="s">
        <v>9</v>
      </c>
      <c r="M9" s="115" t="s">
        <v>10</v>
      </c>
      <c r="N9" s="115" t="s">
        <v>11</v>
      </c>
      <c r="O9" s="115" t="s">
        <v>12</v>
      </c>
      <c r="P9" s="115" t="s">
        <v>13</v>
      </c>
      <c r="Q9" s="115" t="s">
        <v>14</v>
      </c>
      <c r="S9" s="49"/>
    </row>
    <row r="10" spans="1:19" s="18" customFormat="1" ht="13.8" x14ac:dyDescent="0.3">
      <c r="B10" s="109" t="s">
        <v>15</v>
      </c>
      <c r="D10" s="165"/>
      <c r="E10" s="165"/>
      <c r="F10" s="165"/>
      <c r="G10" s="166"/>
      <c r="H10" s="13"/>
      <c r="I10" s="13"/>
      <c r="J10" s="13"/>
      <c r="K10" s="164"/>
      <c r="L10" s="13"/>
      <c r="M10" s="13"/>
      <c r="N10" s="13"/>
      <c r="O10" s="13"/>
      <c r="P10" s="13"/>
      <c r="Q10" s="13"/>
      <c r="S10" s="49"/>
    </row>
    <row r="11" spans="1:19" x14ac:dyDescent="0.25">
      <c r="G11" s="86" t="s">
        <v>142</v>
      </c>
    </row>
    <row r="12" spans="1:19" ht="13.8" x14ac:dyDescent="0.3">
      <c r="B12" s="15" t="s">
        <v>112</v>
      </c>
      <c r="D12" s="15" t="s">
        <v>17</v>
      </c>
      <c r="G12" s="22"/>
      <c r="H12" s="55">
        <f>7400+1760</f>
        <v>9160</v>
      </c>
      <c r="I12" s="56">
        <v>8500.48</v>
      </c>
      <c r="J12" s="56">
        <v>5400</v>
      </c>
      <c r="K12" s="56">
        <v>500</v>
      </c>
      <c r="L12" s="56">
        <v>2500</v>
      </c>
      <c r="M12" s="56">
        <v>150</v>
      </c>
      <c r="N12" s="56">
        <v>150</v>
      </c>
      <c r="O12" s="56">
        <v>411065.03324999998</v>
      </c>
      <c r="P12" s="56">
        <v>0</v>
      </c>
      <c r="Q12" s="57">
        <v>437425.51324999996</v>
      </c>
    </row>
    <row r="13" spans="1:19" ht="13.8" x14ac:dyDescent="0.3">
      <c r="G13" s="22"/>
      <c r="H13" s="87">
        <v>7535.59</v>
      </c>
      <c r="I13" s="88">
        <v>7060.68</v>
      </c>
      <c r="J13" s="88">
        <v>4867.22</v>
      </c>
      <c r="K13" s="88">
        <v>627.69000000000005</v>
      </c>
      <c r="L13" s="88">
        <v>1087.5</v>
      </c>
      <c r="M13" s="88">
        <v>1560.14</v>
      </c>
      <c r="N13" s="88">
        <v>-25500</v>
      </c>
      <c r="O13" s="88">
        <v>833890.78</v>
      </c>
      <c r="P13" s="88">
        <v>0</v>
      </c>
      <c r="Q13" s="89">
        <v>831129.59999999998</v>
      </c>
    </row>
    <row r="14" spans="1:19" ht="13.8" x14ac:dyDescent="0.3">
      <c r="G14" s="22"/>
    </row>
    <row r="15" spans="1:19" ht="13.8" x14ac:dyDescent="0.3">
      <c r="B15" s="15" t="s">
        <v>113</v>
      </c>
      <c r="D15" s="15" t="s">
        <v>19</v>
      </c>
      <c r="G15" s="22"/>
      <c r="H15" s="55">
        <f>0+0</f>
        <v>0</v>
      </c>
      <c r="I15" s="56">
        <v>0</v>
      </c>
      <c r="J15" s="56">
        <v>0</v>
      </c>
      <c r="K15" s="56">
        <v>0</v>
      </c>
      <c r="L15" s="56">
        <v>0</v>
      </c>
      <c r="M15" s="56">
        <v>0</v>
      </c>
      <c r="N15" s="56">
        <v>0</v>
      </c>
      <c r="O15" s="56">
        <v>0</v>
      </c>
      <c r="P15" s="56">
        <v>0</v>
      </c>
      <c r="Q15" s="57">
        <v>0</v>
      </c>
    </row>
    <row r="16" spans="1:19" ht="13.8" x14ac:dyDescent="0.3">
      <c r="G16" s="22"/>
      <c r="H16" s="87">
        <v>0</v>
      </c>
      <c r="I16" s="88">
        <v>0</v>
      </c>
      <c r="J16" s="88">
        <v>0</v>
      </c>
      <c r="K16" s="88">
        <v>0</v>
      </c>
      <c r="L16" s="88">
        <v>0</v>
      </c>
      <c r="M16" s="88">
        <v>0</v>
      </c>
      <c r="N16" s="88">
        <v>0</v>
      </c>
      <c r="O16" s="88">
        <v>0</v>
      </c>
      <c r="P16" s="88">
        <v>0</v>
      </c>
      <c r="Q16" s="89">
        <v>0</v>
      </c>
    </row>
    <row r="17" spans="2:17" ht="13.8" x14ac:dyDescent="0.3">
      <c r="G17" s="22"/>
    </row>
    <row r="18" spans="2:17" ht="13.8" x14ac:dyDescent="0.3">
      <c r="B18" s="15" t="s">
        <v>113</v>
      </c>
      <c r="D18" s="15" t="s">
        <v>20</v>
      </c>
      <c r="G18" s="22"/>
      <c r="H18" s="55">
        <f>13600+3200</f>
        <v>16800</v>
      </c>
      <c r="I18" s="56">
        <v>15590.4</v>
      </c>
      <c r="J18" s="56">
        <v>25000</v>
      </c>
      <c r="K18" s="56">
        <v>1200</v>
      </c>
      <c r="L18" s="56">
        <v>0</v>
      </c>
      <c r="M18" s="56">
        <v>1000</v>
      </c>
      <c r="N18" s="56">
        <v>500</v>
      </c>
      <c r="O18" s="56">
        <v>227026</v>
      </c>
      <c r="P18" s="56">
        <v>0</v>
      </c>
      <c r="Q18" s="57">
        <v>287116.40000000002</v>
      </c>
    </row>
    <row r="19" spans="2:17" ht="13.8" x14ac:dyDescent="0.3">
      <c r="G19" s="22"/>
      <c r="H19" s="87">
        <v>14331.04</v>
      </c>
      <c r="I19" s="88">
        <v>13448.03</v>
      </c>
      <c r="J19" s="88">
        <v>18684.669999999998</v>
      </c>
      <c r="K19" s="88">
        <v>241.95</v>
      </c>
      <c r="L19" s="88">
        <v>66.67</v>
      </c>
      <c r="M19" s="88">
        <v>0</v>
      </c>
      <c r="N19" s="88">
        <v>0</v>
      </c>
      <c r="O19" s="88">
        <v>246138.27</v>
      </c>
      <c r="P19" s="88">
        <v>0</v>
      </c>
      <c r="Q19" s="89">
        <v>292910.63</v>
      </c>
    </row>
    <row r="20" spans="2:17" ht="13.8" x14ac:dyDescent="0.3">
      <c r="G20" s="22"/>
    </row>
    <row r="21" spans="2:17" ht="13.8" x14ac:dyDescent="0.3">
      <c r="B21" s="15" t="s">
        <v>113</v>
      </c>
      <c r="D21" s="15" t="s">
        <v>21</v>
      </c>
      <c r="G21" s="22"/>
      <c r="H21" s="55">
        <f>24800+11200</f>
        <v>36000</v>
      </c>
      <c r="I21" s="56">
        <v>33408</v>
      </c>
      <c r="J21" s="56">
        <v>37500</v>
      </c>
      <c r="K21" s="56">
        <v>1000</v>
      </c>
      <c r="L21" s="56">
        <v>224900</v>
      </c>
      <c r="M21" s="56">
        <v>100</v>
      </c>
      <c r="N21" s="56">
        <v>1000</v>
      </c>
      <c r="O21" s="56">
        <v>2369639</v>
      </c>
      <c r="P21" s="56">
        <v>0</v>
      </c>
      <c r="Q21" s="57">
        <v>2703547</v>
      </c>
    </row>
    <row r="22" spans="2:17" ht="13.8" x14ac:dyDescent="0.3">
      <c r="G22" s="22"/>
      <c r="H22" s="87">
        <v>29254.52</v>
      </c>
      <c r="I22" s="88">
        <v>27363.5</v>
      </c>
      <c r="J22" s="88">
        <v>26769.72</v>
      </c>
      <c r="K22" s="88">
        <v>938.41</v>
      </c>
      <c r="L22" s="88">
        <v>285031.11</v>
      </c>
      <c r="M22" s="88">
        <v>0</v>
      </c>
      <c r="N22" s="88">
        <v>0</v>
      </c>
      <c r="O22" s="88">
        <v>2462173.5299999998</v>
      </c>
      <c r="P22" s="88">
        <v>0</v>
      </c>
      <c r="Q22" s="89">
        <v>2831530.79</v>
      </c>
    </row>
    <row r="23" spans="2:17" ht="13.8" x14ac:dyDescent="0.3">
      <c r="G23" s="22"/>
    </row>
    <row r="24" spans="2:17" ht="13.8" x14ac:dyDescent="0.3">
      <c r="B24" s="15" t="s">
        <v>113</v>
      </c>
      <c r="D24" s="15" t="s">
        <v>22</v>
      </c>
      <c r="G24" s="22"/>
      <c r="H24" s="55">
        <f>29600+14400</f>
        <v>44000</v>
      </c>
      <c r="I24" s="56">
        <v>40832</v>
      </c>
      <c r="J24" s="56">
        <v>225000</v>
      </c>
      <c r="K24" s="56">
        <v>3000</v>
      </c>
      <c r="L24" s="56">
        <v>10000</v>
      </c>
      <c r="M24" s="56">
        <v>1000</v>
      </c>
      <c r="N24" s="56">
        <v>500</v>
      </c>
      <c r="O24" s="56">
        <v>1917874.6</v>
      </c>
      <c r="P24" s="56">
        <v>0</v>
      </c>
      <c r="Q24" s="57">
        <v>2242206.6</v>
      </c>
    </row>
    <row r="25" spans="2:17" ht="13.8" x14ac:dyDescent="0.3">
      <c r="G25" s="22"/>
      <c r="H25" s="87">
        <v>38607.519999999997</v>
      </c>
      <c r="I25" s="88">
        <v>36205.699999999997</v>
      </c>
      <c r="J25" s="88">
        <v>173864.03</v>
      </c>
      <c r="K25" s="88">
        <v>245.49</v>
      </c>
      <c r="L25" s="88">
        <v>2990.14</v>
      </c>
      <c r="M25" s="88">
        <v>18.690000000000001</v>
      </c>
      <c r="N25" s="88">
        <v>0</v>
      </c>
      <c r="O25" s="88">
        <v>2278485.8199999998</v>
      </c>
      <c r="P25" s="88">
        <v>0</v>
      </c>
      <c r="Q25" s="89">
        <v>2530417.39</v>
      </c>
    </row>
    <row r="26" spans="2:17" ht="13.8" x14ac:dyDescent="0.3">
      <c r="G26" s="22"/>
    </row>
    <row r="27" spans="2:17" ht="13.8" x14ac:dyDescent="0.3">
      <c r="B27" s="86" t="s">
        <v>113</v>
      </c>
      <c r="C27" s="86" t="s">
        <v>23</v>
      </c>
      <c r="D27" s="86" t="s">
        <v>24</v>
      </c>
      <c r="E27" s="86"/>
      <c r="F27" s="86"/>
      <c r="G27" s="22"/>
      <c r="H27" s="55">
        <f>7200+5600</f>
        <v>12800</v>
      </c>
      <c r="I27" s="56">
        <v>11878.4</v>
      </c>
      <c r="J27" s="56">
        <v>15000</v>
      </c>
      <c r="K27" s="56">
        <v>250</v>
      </c>
      <c r="L27" s="56">
        <v>60000</v>
      </c>
      <c r="M27" s="56">
        <v>0</v>
      </c>
      <c r="N27" s="56">
        <v>0</v>
      </c>
      <c r="O27" s="56">
        <v>0</v>
      </c>
      <c r="P27" s="56">
        <v>0</v>
      </c>
      <c r="Q27" s="57">
        <v>99928.4</v>
      </c>
    </row>
    <row r="28" spans="2:17" ht="13.8" x14ac:dyDescent="0.3">
      <c r="B28" s="86"/>
      <c r="C28" s="86"/>
      <c r="D28" s="86"/>
      <c r="E28" s="86"/>
      <c r="F28" s="86"/>
      <c r="G28" s="22"/>
      <c r="H28" s="87">
        <v>7064.94</v>
      </c>
      <c r="I28" s="88">
        <v>6679.38</v>
      </c>
      <c r="J28" s="88">
        <v>0</v>
      </c>
      <c r="K28" s="88">
        <v>244.92</v>
      </c>
      <c r="L28" s="88">
        <v>0</v>
      </c>
      <c r="M28" s="88">
        <v>0</v>
      </c>
      <c r="N28" s="88">
        <v>0</v>
      </c>
      <c r="O28" s="88">
        <v>0</v>
      </c>
      <c r="P28" s="88">
        <v>0</v>
      </c>
      <c r="Q28" s="89">
        <v>13989.24</v>
      </c>
    </row>
    <row r="29" spans="2:17" ht="13.8" x14ac:dyDescent="0.3">
      <c r="B29" s="86"/>
      <c r="C29" s="86"/>
      <c r="D29" s="86"/>
      <c r="E29" s="86"/>
      <c r="F29" s="86"/>
      <c r="G29" s="22"/>
    </row>
    <row r="30" spans="2:17" ht="13.8" x14ac:dyDescent="0.3">
      <c r="B30" s="15" t="s">
        <v>113</v>
      </c>
      <c r="D30" s="15" t="s">
        <v>26</v>
      </c>
      <c r="G30" s="22"/>
      <c r="H30" s="55">
        <f>12080+3200</f>
        <v>15280</v>
      </c>
      <c r="I30" s="56">
        <v>14179.84</v>
      </c>
      <c r="J30" s="56">
        <v>80915</v>
      </c>
      <c r="K30" s="56">
        <v>300</v>
      </c>
      <c r="L30" s="56">
        <v>9435</v>
      </c>
      <c r="M30" s="56">
        <v>300</v>
      </c>
      <c r="N30" s="56">
        <v>300</v>
      </c>
      <c r="O30" s="56">
        <v>172754.95858137001</v>
      </c>
      <c r="P30" s="56">
        <v>0</v>
      </c>
      <c r="Q30" s="57">
        <v>293464.79858137004</v>
      </c>
    </row>
    <row r="31" spans="2:17" ht="13.8" x14ac:dyDescent="0.3">
      <c r="G31" s="22"/>
      <c r="H31" s="87">
        <v>12823.55</v>
      </c>
      <c r="I31" s="88">
        <v>12030.91</v>
      </c>
      <c r="J31" s="88">
        <v>60521.29</v>
      </c>
      <c r="K31" s="88">
        <v>21.65</v>
      </c>
      <c r="L31" s="88">
        <v>1447.77</v>
      </c>
      <c r="M31" s="88">
        <v>0</v>
      </c>
      <c r="N31" s="88">
        <v>-4243.76</v>
      </c>
      <c r="O31" s="88">
        <v>201067.77</v>
      </c>
      <c r="P31" s="88">
        <v>-380.24</v>
      </c>
      <c r="Q31" s="89">
        <v>283288.93999999994</v>
      </c>
    </row>
    <row r="32" spans="2:17" ht="13.8" x14ac:dyDescent="0.3">
      <c r="G32" s="22"/>
    </row>
    <row r="33" spans="2:17" ht="13.8" x14ac:dyDescent="0.3">
      <c r="B33" s="15" t="s">
        <v>113</v>
      </c>
      <c r="D33" s="15" t="s">
        <v>25</v>
      </c>
      <c r="G33" s="22"/>
      <c r="H33" s="55">
        <f>0+0</f>
        <v>0</v>
      </c>
      <c r="I33" s="56">
        <v>0</v>
      </c>
      <c r="J33" s="56">
        <v>0</v>
      </c>
      <c r="K33" s="56">
        <v>0</v>
      </c>
      <c r="L33" s="56">
        <v>0</v>
      </c>
      <c r="M33" s="56">
        <v>0</v>
      </c>
      <c r="N33" s="56">
        <v>0</v>
      </c>
      <c r="O33" s="56">
        <v>0</v>
      </c>
      <c r="P33" s="56">
        <v>0</v>
      </c>
      <c r="Q33" s="57">
        <v>0</v>
      </c>
    </row>
    <row r="34" spans="2:17" ht="13.8" x14ac:dyDescent="0.3">
      <c r="G34" s="22"/>
      <c r="H34" s="87">
        <v>0</v>
      </c>
      <c r="I34" s="88">
        <v>0</v>
      </c>
      <c r="J34" s="88">
        <v>0</v>
      </c>
      <c r="K34" s="88">
        <v>0</v>
      </c>
      <c r="L34" s="88">
        <v>0</v>
      </c>
      <c r="M34" s="88">
        <v>0</v>
      </c>
      <c r="N34" s="88">
        <v>0</v>
      </c>
      <c r="O34" s="88">
        <v>0</v>
      </c>
      <c r="P34" s="88">
        <v>0</v>
      </c>
      <c r="Q34" s="89">
        <v>0</v>
      </c>
    </row>
    <row r="35" spans="2:17" ht="13.8" x14ac:dyDescent="0.3">
      <c r="G35" s="22"/>
    </row>
    <row r="36" spans="2:17" ht="13.8" x14ac:dyDescent="0.3">
      <c r="B36" s="15" t="s">
        <v>113</v>
      </c>
      <c r="D36" s="15" t="s">
        <v>114</v>
      </c>
      <c r="G36" s="22"/>
      <c r="H36" s="55">
        <f>26800+4800</f>
        <v>31600</v>
      </c>
      <c r="I36" s="56">
        <v>29324.799999999996</v>
      </c>
      <c r="J36" s="56">
        <v>32000</v>
      </c>
      <c r="K36" s="56">
        <v>1000</v>
      </c>
      <c r="L36" s="56">
        <v>60000</v>
      </c>
      <c r="M36" s="56">
        <v>500</v>
      </c>
      <c r="N36" s="56">
        <v>500</v>
      </c>
      <c r="O36" s="56">
        <v>450000</v>
      </c>
      <c r="P36" s="56">
        <v>0</v>
      </c>
      <c r="Q36" s="57">
        <v>604924.80000000005</v>
      </c>
    </row>
    <row r="37" spans="2:17" ht="13.8" x14ac:dyDescent="0.3">
      <c r="G37" s="22"/>
      <c r="H37" s="87">
        <v>4024.33</v>
      </c>
      <c r="I37" s="88">
        <v>3914.26</v>
      </c>
      <c r="J37" s="88">
        <v>23952.01</v>
      </c>
      <c r="K37" s="88">
        <v>1727.97</v>
      </c>
      <c r="L37" s="88">
        <v>15024.58</v>
      </c>
      <c r="M37" s="88">
        <v>43.92</v>
      </c>
      <c r="N37" s="88">
        <v>-7584.38</v>
      </c>
      <c r="O37" s="88">
        <v>666495.81000000006</v>
      </c>
      <c r="P37" s="88">
        <v>0</v>
      </c>
      <c r="Q37" s="89">
        <v>707598.5</v>
      </c>
    </row>
    <row r="38" spans="2:17" ht="13.8" x14ac:dyDescent="0.3">
      <c r="G38" s="22"/>
    </row>
    <row r="39" spans="2:17" ht="13.8" x14ac:dyDescent="0.3">
      <c r="B39" s="15" t="s">
        <v>113</v>
      </c>
      <c r="D39" s="15" t="s">
        <v>28</v>
      </c>
      <c r="G39" s="22"/>
      <c r="H39" s="55">
        <f>22400+4000</f>
        <v>26400</v>
      </c>
      <c r="I39" s="56">
        <v>24499.199999999997</v>
      </c>
      <c r="J39" s="56">
        <v>10142.77</v>
      </c>
      <c r="K39" s="56">
        <v>250</v>
      </c>
      <c r="L39" s="56">
        <v>25243</v>
      </c>
      <c r="M39" s="56">
        <v>100</v>
      </c>
      <c r="N39" s="56">
        <v>150</v>
      </c>
      <c r="O39" s="56">
        <v>13899.999999999998</v>
      </c>
      <c r="P39" s="56">
        <v>0</v>
      </c>
      <c r="Q39" s="57">
        <v>100684.97</v>
      </c>
    </row>
    <row r="40" spans="2:17" ht="13.8" x14ac:dyDescent="0.3">
      <c r="G40" s="22"/>
      <c r="H40" s="87">
        <v>13720.33</v>
      </c>
      <c r="I40" s="88">
        <v>12804.52</v>
      </c>
      <c r="J40" s="88">
        <v>0</v>
      </c>
      <c r="K40" s="88">
        <v>216.34</v>
      </c>
      <c r="L40" s="88">
        <v>91607.96</v>
      </c>
      <c r="M40" s="88">
        <v>0</v>
      </c>
      <c r="N40" s="88">
        <v>0</v>
      </c>
      <c r="O40" s="88">
        <v>95145.049999999988</v>
      </c>
      <c r="P40" s="88">
        <v>0</v>
      </c>
      <c r="Q40" s="89">
        <v>213494.19999999998</v>
      </c>
    </row>
    <row r="41" spans="2:17" ht="13.8" x14ac:dyDescent="0.3">
      <c r="G41" s="22"/>
    </row>
    <row r="42" spans="2:17" ht="13.8" x14ac:dyDescent="0.3">
      <c r="B42" s="15" t="s">
        <v>115</v>
      </c>
      <c r="C42" s="117"/>
      <c r="D42" s="15" t="s">
        <v>31</v>
      </c>
      <c r="G42" s="22"/>
      <c r="H42" s="55">
        <f>6080+2400</f>
        <v>8480</v>
      </c>
      <c r="I42" s="56">
        <v>7869.44</v>
      </c>
      <c r="J42" s="56">
        <v>48000</v>
      </c>
      <c r="K42" s="56">
        <v>1500</v>
      </c>
      <c r="L42" s="56">
        <v>0</v>
      </c>
      <c r="M42" s="56">
        <v>1000</v>
      </c>
      <c r="N42" s="56">
        <v>0</v>
      </c>
      <c r="O42" s="56">
        <v>28750</v>
      </c>
      <c r="P42" s="56">
        <v>0</v>
      </c>
      <c r="Q42" s="57">
        <v>95599.44</v>
      </c>
    </row>
    <row r="43" spans="2:17" ht="13.8" x14ac:dyDescent="0.3">
      <c r="C43" s="117"/>
      <c r="G43" s="22"/>
      <c r="H43" s="87">
        <v>9337.2999999999993</v>
      </c>
      <c r="I43" s="88">
        <v>8743.44</v>
      </c>
      <c r="J43" s="88">
        <v>2548</v>
      </c>
      <c r="K43" s="88">
        <v>497.22</v>
      </c>
      <c r="L43" s="88">
        <v>2212</v>
      </c>
      <c r="M43" s="88">
        <v>48.29</v>
      </c>
      <c r="N43" s="88">
        <v>25</v>
      </c>
      <c r="O43" s="88">
        <v>0</v>
      </c>
      <c r="P43" s="88">
        <v>0</v>
      </c>
      <c r="Q43" s="89">
        <v>23411.25</v>
      </c>
    </row>
    <row r="44" spans="2:17" ht="13.8" x14ac:dyDescent="0.3">
      <c r="C44" s="117"/>
      <c r="G44" s="22"/>
    </row>
    <row r="45" spans="2:17" ht="13.8" x14ac:dyDescent="0.3">
      <c r="B45" s="15" t="s">
        <v>116</v>
      </c>
      <c r="C45" s="117"/>
      <c r="D45" s="18" t="s">
        <v>34</v>
      </c>
      <c r="G45" s="22"/>
      <c r="H45" s="55">
        <f>49000+14400</f>
        <v>63400</v>
      </c>
      <c r="I45" s="56">
        <v>58835.199999999997</v>
      </c>
      <c r="J45" s="56">
        <v>3600</v>
      </c>
      <c r="K45" s="56">
        <v>1000</v>
      </c>
      <c r="L45" s="56">
        <v>165000</v>
      </c>
      <c r="M45" s="56">
        <v>500</v>
      </c>
      <c r="N45" s="56">
        <v>500</v>
      </c>
      <c r="O45" s="56">
        <v>363884</v>
      </c>
      <c r="P45" s="56">
        <v>0</v>
      </c>
      <c r="Q45" s="57">
        <v>656719.19999999995</v>
      </c>
    </row>
    <row r="46" spans="2:17" ht="13.8" x14ac:dyDescent="0.3">
      <c r="C46" s="117"/>
      <c r="D46" s="18"/>
      <c r="G46" s="22"/>
      <c r="H46" s="87">
        <v>24403.88</v>
      </c>
      <c r="I46" s="88">
        <v>22893.56</v>
      </c>
      <c r="J46" s="88">
        <v>2260.66</v>
      </c>
      <c r="K46" s="88">
        <v>1964.91</v>
      </c>
      <c r="L46" s="88">
        <v>56365.57</v>
      </c>
      <c r="M46" s="88">
        <v>1961.86</v>
      </c>
      <c r="N46" s="88">
        <v>0</v>
      </c>
      <c r="O46" s="88">
        <v>129979.56</v>
      </c>
      <c r="P46" s="88">
        <v>0</v>
      </c>
      <c r="Q46" s="89">
        <v>239830</v>
      </c>
    </row>
    <row r="47" spans="2:17" ht="13.8" x14ac:dyDescent="0.3">
      <c r="C47" s="117"/>
      <c r="D47" s="18"/>
      <c r="G47" s="22"/>
    </row>
    <row r="48" spans="2:17" ht="13.8" x14ac:dyDescent="0.3">
      <c r="B48" s="15" t="s">
        <v>117</v>
      </c>
      <c r="C48" s="117"/>
      <c r="D48" s="15" t="s">
        <v>36</v>
      </c>
      <c r="G48" s="22"/>
      <c r="H48" s="55">
        <f>33900+4000</f>
        <v>37900</v>
      </c>
      <c r="I48" s="56">
        <v>35171.199999999997</v>
      </c>
      <c r="J48" s="56">
        <v>13000</v>
      </c>
      <c r="K48" s="56">
        <v>1000</v>
      </c>
      <c r="L48" s="56">
        <v>75000</v>
      </c>
      <c r="M48" s="56">
        <v>1500</v>
      </c>
      <c r="N48" s="56">
        <v>0</v>
      </c>
      <c r="O48" s="56">
        <v>282525</v>
      </c>
      <c r="P48" s="56">
        <v>0</v>
      </c>
      <c r="Q48" s="57">
        <v>446096.2</v>
      </c>
    </row>
    <row r="49" spans="2:19" ht="13.8" x14ac:dyDescent="0.3">
      <c r="C49" s="117"/>
      <c r="G49" s="22"/>
      <c r="H49" s="87">
        <v>40645.18</v>
      </c>
      <c r="I49" s="88">
        <v>38333.49</v>
      </c>
      <c r="J49" s="88">
        <v>2849.11</v>
      </c>
      <c r="K49" s="88">
        <v>232.82</v>
      </c>
      <c r="L49" s="88">
        <v>36548</v>
      </c>
      <c r="M49" s="88">
        <v>109.22</v>
      </c>
      <c r="N49" s="88">
        <v>28.14</v>
      </c>
      <c r="O49" s="88">
        <v>246961.05</v>
      </c>
      <c r="P49" s="88">
        <v>0</v>
      </c>
      <c r="Q49" s="89">
        <v>365707.00999999995</v>
      </c>
    </row>
    <row r="50" spans="2:19" ht="13.8" x14ac:dyDescent="0.3">
      <c r="C50" s="117"/>
      <c r="G50" s="22"/>
    </row>
    <row r="51" spans="2:19" s="109" customFormat="1" x14ac:dyDescent="0.25">
      <c r="E51" s="75"/>
      <c r="F51" s="75" t="s">
        <v>37</v>
      </c>
      <c r="H51" s="113">
        <f>232860+68960</f>
        <v>301820</v>
      </c>
      <c r="I51" s="113">
        <v>280088.96000000002</v>
      </c>
      <c r="J51" s="113">
        <v>495557.77</v>
      </c>
      <c r="K51" s="113">
        <v>11000</v>
      </c>
      <c r="L51" s="113">
        <v>632078</v>
      </c>
      <c r="M51" s="113">
        <v>6150</v>
      </c>
      <c r="N51" s="113">
        <v>3600</v>
      </c>
      <c r="O51" s="113">
        <v>6237418.5918313703</v>
      </c>
      <c r="P51" s="113">
        <v>0</v>
      </c>
      <c r="Q51" s="113">
        <v>7967713.3218313716</v>
      </c>
    </row>
    <row r="52" spans="2:19" x14ac:dyDescent="0.25">
      <c r="H52" s="97">
        <f>H13+H16+H19+H22+H25+H28+H31+H34+H37+H40+H43+H46+H49</f>
        <v>201748.18</v>
      </c>
      <c r="I52" s="97">
        <f t="shared" ref="I52:Q52" si="0">I13+I16+I19+I22+I25+I28+I31+I34+I37+I40+I43+I46+I49</f>
        <v>189477.47</v>
      </c>
      <c r="J52" s="97">
        <f t="shared" si="0"/>
        <v>316316.70999999996</v>
      </c>
      <c r="K52" s="97">
        <f t="shared" si="0"/>
        <v>6959.37</v>
      </c>
      <c r="L52" s="97">
        <f t="shared" si="0"/>
        <v>492381.30000000005</v>
      </c>
      <c r="M52" s="97">
        <f t="shared" si="0"/>
        <v>3742.12</v>
      </c>
      <c r="N52" s="97">
        <f t="shared" si="0"/>
        <v>-37275</v>
      </c>
      <c r="O52" s="97">
        <f t="shared" si="0"/>
        <v>7160337.6399999997</v>
      </c>
      <c r="P52" s="97">
        <f t="shared" si="0"/>
        <v>-380.24</v>
      </c>
      <c r="Q52" s="97">
        <f t="shared" si="0"/>
        <v>8333307.5499999998</v>
      </c>
    </row>
    <row r="53" spans="2:19" s="118" customFormat="1" ht="11.4" x14ac:dyDescent="0.2">
      <c r="G53" s="23"/>
      <c r="H53" s="24"/>
      <c r="I53" s="24"/>
      <c r="J53" s="24"/>
      <c r="K53" s="24"/>
      <c r="L53" s="24"/>
      <c r="M53" s="24"/>
      <c r="N53" s="171" t="s">
        <v>150</v>
      </c>
      <c r="O53" s="172">
        <f>O52/Q52</f>
        <v>0.85924317529838434</v>
      </c>
      <c r="P53" s="24"/>
      <c r="Q53" s="24"/>
    </row>
    <row r="55" spans="2:19" x14ac:dyDescent="0.25">
      <c r="B55" s="109" t="s">
        <v>118</v>
      </c>
    </row>
    <row r="56" spans="2:19" x14ac:dyDescent="0.25">
      <c r="G56" s="86" t="s">
        <v>142</v>
      </c>
    </row>
    <row r="57" spans="2:19" ht="13.8" x14ac:dyDescent="0.3">
      <c r="B57" s="15" t="s">
        <v>119</v>
      </c>
      <c r="D57" s="15" t="s">
        <v>40</v>
      </c>
      <c r="G57" s="22"/>
      <c r="H57" s="55">
        <f>195000+8200</f>
        <v>203200</v>
      </c>
      <c r="I57" s="56">
        <v>186600</v>
      </c>
      <c r="J57" s="56">
        <v>6700</v>
      </c>
      <c r="K57" s="56">
        <v>12300</v>
      </c>
      <c r="L57" s="56">
        <v>8300</v>
      </c>
      <c r="M57" s="56">
        <v>0</v>
      </c>
      <c r="N57" s="56">
        <v>0</v>
      </c>
      <c r="O57" s="56">
        <v>1200000</v>
      </c>
      <c r="P57" s="56">
        <v>0</v>
      </c>
      <c r="Q57" s="57">
        <v>1617100</v>
      </c>
    </row>
    <row r="58" spans="2:19" ht="13.8" x14ac:dyDescent="0.3">
      <c r="G58" s="22"/>
      <c r="H58" s="87">
        <v>156417.32</v>
      </c>
      <c r="I58" s="88">
        <v>146636.51</v>
      </c>
      <c r="J58" s="88">
        <v>64.59</v>
      </c>
      <c r="K58" s="88">
        <v>6840.8</v>
      </c>
      <c r="L58" s="88">
        <v>0</v>
      </c>
      <c r="M58" s="88">
        <v>223.95</v>
      </c>
      <c r="N58" s="88">
        <v>19.5</v>
      </c>
      <c r="O58" s="88">
        <v>1494919.16</v>
      </c>
      <c r="P58" s="88">
        <v>0</v>
      </c>
      <c r="Q58" s="89">
        <v>1805121.83</v>
      </c>
    </row>
    <row r="59" spans="2:19" ht="13.8" x14ac:dyDescent="0.3">
      <c r="G59" s="22"/>
    </row>
    <row r="60" spans="2:19" ht="13.8" x14ac:dyDescent="0.3">
      <c r="B60" s="15" t="s">
        <v>120</v>
      </c>
      <c r="D60" s="15" t="s">
        <v>43</v>
      </c>
      <c r="G60" s="22"/>
      <c r="H60" s="55">
        <f>44000+1000</f>
        <v>45000</v>
      </c>
      <c r="I60" s="56">
        <v>41520</v>
      </c>
      <c r="J60" s="56">
        <v>1000</v>
      </c>
      <c r="K60" s="56">
        <v>2000</v>
      </c>
      <c r="L60" s="56">
        <v>9500</v>
      </c>
      <c r="M60" s="56">
        <v>2000</v>
      </c>
      <c r="N60" s="56">
        <v>0</v>
      </c>
      <c r="O60" s="56">
        <v>398440</v>
      </c>
      <c r="P60" s="56">
        <v>0</v>
      </c>
      <c r="Q60" s="57">
        <v>499460</v>
      </c>
    </row>
    <row r="61" spans="2:19" ht="13.8" x14ac:dyDescent="0.3">
      <c r="G61" s="22"/>
      <c r="H61" s="87">
        <v>14324.42</v>
      </c>
      <c r="I61" s="88">
        <v>13456.44</v>
      </c>
      <c r="J61" s="88">
        <v>4.5</v>
      </c>
      <c r="K61" s="88">
        <v>1530.65</v>
      </c>
      <c r="L61" s="88">
        <v>29788.76</v>
      </c>
      <c r="M61" s="88">
        <v>1001.7</v>
      </c>
      <c r="N61" s="88">
        <v>7500</v>
      </c>
      <c r="O61" s="88">
        <v>509711</v>
      </c>
      <c r="P61" s="88">
        <v>0</v>
      </c>
      <c r="Q61" s="89">
        <v>577317.47</v>
      </c>
    </row>
    <row r="62" spans="2:19" ht="13.8" x14ac:dyDescent="0.3">
      <c r="G62" s="22"/>
    </row>
    <row r="63" spans="2:19" ht="13.8" x14ac:dyDescent="0.3">
      <c r="D63" s="15" t="s">
        <v>44</v>
      </c>
      <c r="G63" s="22"/>
      <c r="H63" s="55">
        <v>179000</v>
      </c>
      <c r="I63" s="56">
        <v>166112.24</v>
      </c>
      <c r="J63" s="56">
        <v>2000</v>
      </c>
      <c r="K63" s="56">
        <v>5000</v>
      </c>
      <c r="L63" s="56">
        <v>10000</v>
      </c>
      <c r="M63" s="56">
        <v>2000</v>
      </c>
      <c r="N63" s="56">
        <v>5000</v>
      </c>
      <c r="O63" s="56">
        <v>192000</v>
      </c>
      <c r="P63" s="56">
        <v>0</v>
      </c>
      <c r="Q63" s="57">
        <v>561112.24</v>
      </c>
    </row>
    <row r="64" spans="2:19" ht="13.8" x14ac:dyDescent="0.3">
      <c r="G64" s="22"/>
      <c r="H64" s="96">
        <f>H67+H70</f>
        <v>180880.89</v>
      </c>
      <c r="I64" s="97">
        <f t="shared" ref="I64:Q64" si="1">I67+I70</f>
        <v>169817.17</v>
      </c>
      <c r="J64" s="97">
        <f t="shared" si="1"/>
        <v>387.03</v>
      </c>
      <c r="K64" s="97">
        <f t="shared" si="1"/>
        <v>5795.39</v>
      </c>
      <c r="L64" s="97">
        <f t="shared" si="1"/>
        <v>11951.58</v>
      </c>
      <c r="M64" s="97">
        <f t="shared" si="1"/>
        <v>272.18</v>
      </c>
      <c r="N64" s="97">
        <f t="shared" si="1"/>
        <v>0</v>
      </c>
      <c r="O64" s="97">
        <f t="shared" si="1"/>
        <v>68157.5</v>
      </c>
      <c r="P64" s="97">
        <f t="shared" si="1"/>
        <v>0</v>
      </c>
      <c r="Q64" s="98">
        <f t="shared" si="1"/>
        <v>437261.74</v>
      </c>
      <c r="S64" s="176"/>
    </row>
    <row r="65" spans="2:17" ht="13.8" x14ac:dyDescent="0.3">
      <c r="G65" s="22"/>
      <c r="H65" s="58"/>
      <c r="Q65" s="59"/>
    </row>
    <row r="66" spans="2:17" s="78" customFormat="1" ht="13.8" x14ac:dyDescent="0.3">
      <c r="B66" s="78" t="s">
        <v>121</v>
      </c>
      <c r="D66" s="119" t="s">
        <v>46</v>
      </c>
      <c r="G66" s="50"/>
      <c r="H66" s="66">
        <v>164000</v>
      </c>
      <c r="I66" s="67">
        <v>152192</v>
      </c>
      <c r="J66" s="67">
        <v>2000</v>
      </c>
      <c r="K66" s="67">
        <v>5000</v>
      </c>
      <c r="L66" s="67">
        <v>5000</v>
      </c>
      <c r="M66" s="67">
        <v>2000</v>
      </c>
      <c r="N66" s="67">
        <v>5000</v>
      </c>
      <c r="O66" s="67">
        <v>192000</v>
      </c>
      <c r="P66" s="67">
        <v>0</v>
      </c>
      <c r="Q66" s="68">
        <v>527192</v>
      </c>
    </row>
    <row r="67" spans="2:17" s="78" customFormat="1" ht="13.8" x14ac:dyDescent="0.3">
      <c r="D67" s="119"/>
      <c r="G67" s="50"/>
      <c r="H67" s="69">
        <v>180880.89</v>
      </c>
      <c r="I67" s="70">
        <v>169817.17</v>
      </c>
      <c r="J67" s="70">
        <v>387.03</v>
      </c>
      <c r="K67" s="70">
        <v>5795.39</v>
      </c>
      <c r="L67" s="70">
        <v>11951.58</v>
      </c>
      <c r="M67" s="70">
        <v>272.18</v>
      </c>
      <c r="N67" s="70">
        <v>0</v>
      </c>
      <c r="O67" s="70">
        <v>68157.5</v>
      </c>
      <c r="P67" s="70">
        <v>0</v>
      </c>
      <c r="Q67" s="71">
        <v>437261.74</v>
      </c>
    </row>
    <row r="68" spans="2:17" s="78" customFormat="1" ht="13.8" x14ac:dyDescent="0.3">
      <c r="D68" s="119"/>
      <c r="G68" s="50"/>
      <c r="H68" s="66"/>
      <c r="I68" s="67"/>
      <c r="J68" s="67"/>
      <c r="K68" s="67"/>
      <c r="L68" s="67"/>
      <c r="M68" s="67"/>
      <c r="N68" s="67"/>
      <c r="O68" s="67"/>
      <c r="P68" s="67"/>
      <c r="Q68" s="68"/>
    </row>
    <row r="69" spans="2:17" s="78" customFormat="1" ht="13.8" x14ac:dyDescent="0.3">
      <c r="D69" s="119" t="s">
        <v>48</v>
      </c>
      <c r="G69" s="22"/>
      <c r="H69" s="66">
        <v>15000</v>
      </c>
      <c r="I69" s="67">
        <v>13920.24</v>
      </c>
      <c r="J69" s="67">
        <v>0</v>
      </c>
      <c r="K69" s="67">
        <v>0</v>
      </c>
      <c r="L69" s="67">
        <v>5000</v>
      </c>
      <c r="M69" s="67">
        <v>0</v>
      </c>
      <c r="N69" s="67">
        <v>0</v>
      </c>
      <c r="O69" s="67">
        <v>0</v>
      </c>
      <c r="P69" s="67">
        <v>0</v>
      </c>
      <c r="Q69" s="68">
        <v>33920.239999999998</v>
      </c>
    </row>
    <row r="70" spans="2:17" s="78" customFormat="1" ht="13.8" x14ac:dyDescent="0.3">
      <c r="D70" s="119"/>
      <c r="G70" s="22"/>
      <c r="H70" s="72">
        <v>0</v>
      </c>
      <c r="I70" s="73">
        <v>0</v>
      </c>
      <c r="J70" s="73">
        <v>0</v>
      </c>
      <c r="K70" s="73">
        <v>0</v>
      </c>
      <c r="L70" s="73">
        <v>0</v>
      </c>
      <c r="M70" s="73">
        <v>0</v>
      </c>
      <c r="N70" s="73">
        <v>0</v>
      </c>
      <c r="O70" s="73">
        <v>0</v>
      </c>
      <c r="P70" s="73">
        <v>0</v>
      </c>
      <c r="Q70" s="74">
        <v>0</v>
      </c>
    </row>
    <row r="71" spans="2:17" s="133" customFormat="1" ht="13.8" x14ac:dyDescent="0.3">
      <c r="D71" s="121"/>
      <c r="G71" s="22"/>
      <c r="H71" s="134"/>
      <c r="I71" s="134"/>
      <c r="J71" s="134"/>
      <c r="K71" s="134"/>
      <c r="L71" s="134"/>
      <c r="M71" s="134"/>
      <c r="N71" s="134"/>
      <c r="O71" s="134"/>
      <c r="P71" s="134"/>
      <c r="Q71" s="134"/>
    </row>
    <row r="72" spans="2:17" s="78" customFormat="1" ht="13.8" x14ac:dyDescent="0.3">
      <c r="D72" s="119"/>
      <c r="G72" s="22"/>
      <c r="H72" s="135">
        <v>0</v>
      </c>
      <c r="I72" s="107">
        <v>0</v>
      </c>
      <c r="J72" s="107">
        <v>0</v>
      </c>
      <c r="K72" s="107">
        <v>0</v>
      </c>
      <c r="L72" s="107">
        <v>0</v>
      </c>
      <c r="M72" s="107">
        <v>0</v>
      </c>
      <c r="N72" s="107">
        <v>0</v>
      </c>
      <c r="O72" s="107">
        <v>0</v>
      </c>
      <c r="P72" s="107">
        <v>0</v>
      </c>
      <c r="Q72" s="136">
        <v>0</v>
      </c>
    </row>
    <row r="73" spans="2:17" ht="13.8" x14ac:dyDescent="0.3">
      <c r="B73" s="15" t="s">
        <v>122</v>
      </c>
      <c r="D73" s="15" t="s">
        <v>54</v>
      </c>
      <c r="G73" s="22"/>
      <c r="H73" s="87">
        <v>0</v>
      </c>
      <c r="I73" s="88">
        <v>0</v>
      </c>
      <c r="J73" s="88">
        <v>0</v>
      </c>
      <c r="K73" s="88">
        <v>0</v>
      </c>
      <c r="L73" s="88">
        <v>0</v>
      </c>
      <c r="M73" s="88">
        <v>0</v>
      </c>
      <c r="N73" s="88">
        <v>0</v>
      </c>
      <c r="O73" s="88">
        <v>0</v>
      </c>
      <c r="P73" s="88">
        <v>0</v>
      </c>
      <c r="Q73" s="89">
        <v>0</v>
      </c>
    </row>
    <row r="74" spans="2:17" ht="13.8" x14ac:dyDescent="0.3">
      <c r="G74" s="22"/>
    </row>
    <row r="75" spans="2:17" ht="13.8" x14ac:dyDescent="0.3">
      <c r="G75" s="22"/>
    </row>
    <row r="76" spans="2:17" ht="13.8" x14ac:dyDescent="0.3">
      <c r="B76" s="15" t="s">
        <v>123</v>
      </c>
      <c r="D76" s="15" t="s">
        <v>56</v>
      </c>
      <c r="G76" s="22"/>
      <c r="H76" s="55">
        <f>94000+2000</f>
        <v>96000</v>
      </c>
      <c r="I76" s="56">
        <v>89088</v>
      </c>
      <c r="J76" s="56">
        <v>35000</v>
      </c>
      <c r="K76" s="56">
        <v>6000</v>
      </c>
      <c r="L76" s="56">
        <v>269315</v>
      </c>
      <c r="M76" s="56">
        <v>1000</v>
      </c>
      <c r="N76" s="56">
        <v>0</v>
      </c>
      <c r="O76" s="56">
        <v>618527.19999999995</v>
      </c>
      <c r="P76" s="56">
        <v>0</v>
      </c>
      <c r="Q76" s="57">
        <v>1114930.2</v>
      </c>
    </row>
    <row r="77" spans="2:17" ht="13.8" x14ac:dyDescent="0.3">
      <c r="G77" s="22"/>
      <c r="H77" s="96">
        <f>H80+H83+H86+H89</f>
        <v>84691.88</v>
      </c>
      <c r="I77" s="97">
        <f t="shared" ref="I77:Q77" si="2">I80+I83+I86+I89</f>
        <v>79362.239999999991</v>
      </c>
      <c r="J77" s="97">
        <f t="shared" si="2"/>
        <v>2174.79</v>
      </c>
      <c r="K77" s="97">
        <f t="shared" si="2"/>
        <v>3616.8099999999995</v>
      </c>
      <c r="L77" s="97">
        <f t="shared" si="2"/>
        <v>202216.38</v>
      </c>
      <c r="M77" s="97">
        <f t="shared" si="2"/>
        <v>392.6</v>
      </c>
      <c r="N77" s="97">
        <f t="shared" si="2"/>
        <v>337.5</v>
      </c>
      <c r="O77" s="97">
        <f t="shared" si="2"/>
        <v>595276.32999999996</v>
      </c>
      <c r="P77" s="97">
        <f t="shared" si="2"/>
        <v>0</v>
      </c>
      <c r="Q77" s="98">
        <f t="shared" si="2"/>
        <v>968068.52999999991</v>
      </c>
    </row>
    <row r="78" spans="2:17" ht="13.8" x14ac:dyDescent="0.3">
      <c r="G78" s="22"/>
      <c r="H78" s="58"/>
      <c r="Q78" s="59"/>
    </row>
    <row r="79" spans="2:17" s="78" customFormat="1" ht="13.8" x14ac:dyDescent="0.3">
      <c r="B79" s="78" t="s">
        <v>123</v>
      </c>
      <c r="C79" s="120"/>
      <c r="D79" s="121" t="s">
        <v>124</v>
      </c>
      <c r="G79" s="50"/>
      <c r="H79" s="66">
        <v>29600</v>
      </c>
      <c r="I79" s="67">
        <v>27468.799999999999</v>
      </c>
      <c r="J79" s="67">
        <v>15000</v>
      </c>
      <c r="K79" s="67">
        <v>3500</v>
      </c>
      <c r="L79" s="67">
        <v>0</v>
      </c>
      <c r="M79" s="67">
        <v>0</v>
      </c>
      <c r="N79" s="67">
        <v>0</v>
      </c>
      <c r="O79" s="67">
        <v>185604</v>
      </c>
      <c r="P79" s="67">
        <v>0</v>
      </c>
      <c r="Q79" s="68">
        <v>261172.8</v>
      </c>
    </row>
    <row r="80" spans="2:17" s="78" customFormat="1" ht="13.8" x14ac:dyDescent="0.3">
      <c r="C80" s="120"/>
      <c r="D80" s="121"/>
      <c r="G80" s="50"/>
      <c r="H80" s="90">
        <v>25966.28</v>
      </c>
      <c r="I80" s="91">
        <v>24260.04</v>
      </c>
      <c r="J80" s="91">
        <v>1078.45</v>
      </c>
      <c r="K80" s="91">
        <v>2369.6999999999998</v>
      </c>
      <c r="L80" s="91">
        <v>156.25</v>
      </c>
      <c r="M80" s="91">
        <v>227.1</v>
      </c>
      <c r="N80" s="91">
        <v>75</v>
      </c>
      <c r="O80" s="91">
        <v>217820</v>
      </c>
      <c r="P80" s="91">
        <v>0</v>
      </c>
      <c r="Q80" s="92">
        <v>271952.82</v>
      </c>
    </row>
    <row r="81" spans="2:17" s="78" customFormat="1" ht="13.8" x14ac:dyDescent="0.3">
      <c r="C81" s="120"/>
      <c r="D81" s="121"/>
      <c r="G81" s="50"/>
      <c r="H81" s="66"/>
      <c r="I81" s="67"/>
      <c r="J81" s="67"/>
      <c r="K81" s="67"/>
      <c r="L81" s="67"/>
      <c r="M81" s="67"/>
      <c r="N81" s="67"/>
      <c r="O81" s="67"/>
      <c r="P81" s="67"/>
      <c r="Q81" s="68"/>
    </row>
    <row r="82" spans="2:17" s="78" customFormat="1" ht="13.8" x14ac:dyDescent="0.3">
      <c r="B82" s="78" t="s">
        <v>123</v>
      </c>
      <c r="C82" s="120"/>
      <c r="D82" s="121" t="s">
        <v>58</v>
      </c>
      <c r="G82" s="50"/>
      <c r="H82" s="66">
        <v>14800</v>
      </c>
      <c r="I82" s="67">
        <v>13734.4</v>
      </c>
      <c r="J82" s="67">
        <v>0</v>
      </c>
      <c r="K82" s="67">
        <v>0</v>
      </c>
      <c r="L82" s="67">
        <v>0</v>
      </c>
      <c r="M82" s="67">
        <v>0</v>
      </c>
      <c r="N82" s="67">
        <v>0</v>
      </c>
      <c r="O82" s="67">
        <v>50000</v>
      </c>
      <c r="P82" s="67">
        <v>0</v>
      </c>
      <c r="Q82" s="68">
        <v>78534.399999999994</v>
      </c>
    </row>
    <row r="83" spans="2:17" s="78" customFormat="1" ht="13.8" x14ac:dyDescent="0.3">
      <c r="C83" s="120"/>
      <c r="D83" s="121"/>
      <c r="G83" s="50"/>
      <c r="H83" s="90">
        <v>15377.26</v>
      </c>
      <c r="I83" s="91">
        <v>14540.89</v>
      </c>
      <c r="J83" s="91">
        <v>0</v>
      </c>
      <c r="K83" s="91">
        <v>203.66</v>
      </c>
      <c r="L83" s="91">
        <v>8943.42</v>
      </c>
      <c r="M83" s="91">
        <v>0</v>
      </c>
      <c r="N83" s="91">
        <v>0</v>
      </c>
      <c r="O83" s="91">
        <v>18027</v>
      </c>
      <c r="P83" s="91">
        <v>0</v>
      </c>
      <c r="Q83" s="92">
        <v>57092.229999999996</v>
      </c>
    </row>
    <row r="84" spans="2:17" s="78" customFormat="1" ht="13.8" x14ac:dyDescent="0.3">
      <c r="C84" s="120"/>
      <c r="D84" s="121"/>
      <c r="G84" s="50"/>
      <c r="H84" s="66"/>
      <c r="I84" s="67"/>
      <c r="J84" s="67"/>
      <c r="K84" s="67"/>
      <c r="L84" s="67"/>
      <c r="M84" s="67"/>
      <c r="N84" s="67"/>
      <c r="O84" s="67"/>
      <c r="P84" s="67"/>
      <c r="Q84" s="68"/>
    </row>
    <row r="85" spans="2:17" s="78" customFormat="1" ht="13.8" x14ac:dyDescent="0.3">
      <c r="B85" s="86" t="s">
        <v>55</v>
      </c>
      <c r="C85" s="122" t="s">
        <v>23</v>
      </c>
      <c r="D85" s="123" t="s">
        <v>149</v>
      </c>
      <c r="E85" s="86"/>
      <c r="F85" s="86"/>
      <c r="G85" s="22"/>
      <c r="H85" s="66">
        <f>8800+2000</f>
        <v>10800</v>
      </c>
      <c r="I85" s="67">
        <v>10022.4</v>
      </c>
      <c r="J85" s="67">
        <v>20000</v>
      </c>
      <c r="K85" s="67">
        <v>500</v>
      </c>
      <c r="L85" s="67">
        <v>250000</v>
      </c>
      <c r="M85" s="67">
        <v>0</v>
      </c>
      <c r="N85" s="67">
        <v>0</v>
      </c>
      <c r="O85" s="67">
        <v>300000</v>
      </c>
      <c r="P85" s="67">
        <v>0</v>
      </c>
      <c r="Q85" s="68">
        <v>591322.4</v>
      </c>
    </row>
    <row r="86" spans="2:17" s="78" customFormat="1" ht="13.8" x14ac:dyDescent="0.3">
      <c r="B86" s="86"/>
      <c r="C86" s="122"/>
      <c r="D86" s="123"/>
      <c r="E86" s="86"/>
      <c r="F86" s="86"/>
      <c r="G86" s="22"/>
      <c r="H86" s="90">
        <v>6305.68</v>
      </c>
      <c r="I86" s="91">
        <v>5916.78</v>
      </c>
      <c r="J86" s="91">
        <v>654.09</v>
      </c>
      <c r="K86" s="91">
        <v>58.83</v>
      </c>
      <c r="L86" s="91">
        <v>147137.53</v>
      </c>
      <c r="M86" s="91">
        <v>78.099999999999994</v>
      </c>
      <c r="N86" s="91">
        <v>0</v>
      </c>
      <c r="O86" s="91">
        <v>296552.90999999997</v>
      </c>
      <c r="P86" s="91">
        <v>0</v>
      </c>
      <c r="Q86" s="92">
        <v>456703.92000000004</v>
      </c>
    </row>
    <row r="87" spans="2:17" s="78" customFormat="1" ht="13.8" x14ac:dyDescent="0.3">
      <c r="B87" s="86"/>
      <c r="C87" s="122"/>
      <c r="D87" s="123"/>
      <c r="E87" s="86"/>
      <c r="F87" s="86"/>
      <c r="G87" s="22"/>
      <c r="H87" s="137"/>
      <c r="I87" s="124"/>
      <c r="J87" s="124"/>
      <c r="K87" s="124"/>
      <c r="L87" s="124"/>
      <c r="M87" s="124"/>
      <c r="N87" s="124"/>
      <c r="O87" s="124"/>
      <c r="P87" s="124"/>
      <c r="Q87" s="138"/>
    </row>
    <row r="88" spans="2:17" s="78" customFormat="1" ht="13.8" x14ac:dyDescent="0.3">
      <c r="C88" s="120"/>
      <c r="D88" s="121" t="s">
        <v>59</v>
      </c>
      <c r="G88" s="50"/>
      <c r="H88" s="66">
        <v>40800</v>
      </c>
      <c r="I88" s="67">
        <v>37862.399999999994</v>
      </c>
      <c r="J88" s="67">
        <v>0</v>
      </c>
      <c r="K88" s="67">
        <v>2000</v>
      </c>
      <c r="L88" s="67">
        <v>19315</v>
      </c>
      <c r="M88" s="67">
        <v>1000</v>
      </c>
      <c r="N88" s="67">
        <v>0</v>
      </c>
      <c r="O88" s="67">
        <v>82923.199999999997</v>
      </c>
      <c r="P88" s="67">
        <v>0</v>
      </c>
      <c r="Q88" s="68">
        <v>183900.59999999998</v>
      </c>
    </row>
    <row r="89" spans="2:17" s="78" customFormat="1" ht="13.8" x14ac:dyDescent="0.3">
      <c r="C89" s="120"/>
      <c r="D89" s="121"/>
      <c r="G89" s="50"/>
      <c r="H89" s="93">
        <v>37042.659999999996</v>
      </c>
      <c r="I89" s="94">
        <v>34644.53</v>
      </c>
      <c r="J89" s="94">
        <v>442.25</v>
      </c>
      <c r="K89" s="94">
        <v>984.62</v>
      </c>
      <c r="L89" s="94">
        <v>45979.18</v>
      </c>
      <c r="M89" s="94">
        <v>87.4</v>
      </c>
      <c r="N89" s="94">
        <v>262.5</v>
      </c>
      <c r="O89" s="94">
        <v>62876.42</v>
      </c>
      <c r="P89" s="94">
        <v>0</v>
      </c>
      <c r="Q89" s="95">
        <v>182319.55999999997</v>
      </c>
    </row>
    <row r="90" spans="2:17" s="126" customFormat="1" ht="12" x14ac:dyDescent="0.25">
      <c r="B90" s="125"/>
      <c r="C90" s="125"/>
      <c r="E90" s="127"/>
      <c r="F90" s="125"/>
      <c r="G90" s="51"/>
      <c r="H90" s="128"/>
      <c r="I90" s="128"/>
      <c r="J90" s="128"/>
      <c r="K90" s="128"/>
      <c r="L90" s="128"/>
      <c r="M90" s="128"/>
      <c r="N90" s="128"/>
      <c r="O90" s="128"/>
      <c r="P90" s="128"/>
      <c r="Q90" s="128"/>
    </row>
    <row r="91" spans="2:17" s="109" customFormat="1" x14ac:dyDescent="0.25">
      <c r="E91" s="75"/>
      <c r="F91" s="75" t="s">
        <v>60</v>
      </c>
      <c r="H91" s="113">
        <f>512000+11200</f>
        <v>523200</v>
      </c>
      <c r="I91" s="113">
        <v>483320.24</v>
      </c>
      <c r="J91" s="113">
        <v>44700</v>
      </c>
      <c r="K91" s="113">
        <v>25300</v>
      </c>
      <c r="L91" s="113">
        <v>297115</v>
      </c>
      <c r="M91" s="113">
        <v>5000</v>
      </c>
      <c r="N91" s="113">
        <v>5000</v>
      </c>
      <c r="O91" s="113">
        <v>2408967.2000000002</v>
      </c>
      <c r="P91" s="113">
        <v>0</v>
      </c>
      <c r="Q91" s="113">
        <v>3792602.4400000004</v>
      </c>
    </row>
    <row r="92" spans="2:17" x14ac:dyDescent="0.25">
      <c r="H92" s="97">
        <f t="shared" ref="H92:Q92" si="3">H58+H61+H64+H73+H77</f>
        <v>436314.51</v>
      </c>
      <c r="I92" s="97">
        <f t="shared" si="3"/>
        <v>409272.36</v>
      </c>
      <c r="J92" s="97">
        <f t="shared" si="3"/>
        <v>2630.91</v>
      </c>
      <c r="K92" s="97">
        <f t="shared" si="3"/>
        <v>17783.650000000001</v>
      </c>
      <c r="L92" s="97">
        <f t="shared" si="3"/>
        <v>243956.72</v>
      </c>
      <c r="M92" s="97">
        <f t="shared" si="3"/>
        <v>1890.4300000000003</v>
      </c>
      <c r="N92" s="97">
        <f t="shared" si="3"/>
        <v>7857</v>
      </c>
      <c r="O92" s="97">
        <f t="shared" si="3"/>
        <v>2668063.9899999998</v>
      </c>
      <c r="P92" s="97">
        <f t="shared" si="3"/>
        <v>0</v>
      </c>
      <c r="Q92" s="97">
        <f t="shared" si="3"/>
        <v>3787769.57</v>
      </c>
    </row>
    <row r="93" spans="2:17" s="118" customFormat="1" ht="11.4" x14ac:dyDescent="0.2">
      <c r="G93" s="23"/>
      <c r="H93" s="24"/>
      <c r="I93" s="24"/>
      <c r="J93" s="24"/>
      <c r="K93" s="24"/>
      <c r="L93" s="24"/>
      <c r="M93" s="24"/>
      <c r="N93" s="171" t="s">
        <v>150</v>
      </c>
      <c r="O93" s="172">
        <f>O92/Q92</f>
        <v>0.7043892033801834</v>
      </c>
      <c r="P93" s="24"/>
      <c r="Q93" s="24"/>
    </row>
    <row r="95" spans="2:17" s="129" customFormat="1" x14ac:dyDescent="0.25">
      <c r="B95" s="129" t="s">
        <v>61</v>
      </c>
      <c r="D95" s="130"/>
      <c r="E95" s="130"/>
      <c r="F95" s="130"/>
      <c r="G95" s="52"/>
      <c r="H95" s="53"/>
      <c r="I95" s="53"/>
      <c r="J95" s="53"/>
      <c r="K95" s="53"/>
      <c r="L95" s="53"/>
      <c r="M95" s="53"/>
      <c r="N95" s="53"/>
      <c r="O95" s="53"/>
      <c r="P95" s="53"/>
      <c r="Q95" s="53"/>
    </row>
    <row r="96" spans="2:17" s="129" customFormat="1" x14ac:dyDescent="0.25">
      <c r="D96" s="130"/>
      <c r="E96" s="130"/>
      <c r="F96" s="130"/>
      <c r="G96" s="86" t="s">
        <v>142</v>
      </c>
      <c r="H96" s="53"/>
      <c r="I96" s="53"/>
      <c r="J96" s="53"/>
      <c r="K96" s="53"/>
      <c r="L96" s="53"/>
      <c r="M96" s="53"/>
      <c r="N96" s="53"/>
      <c r="O96" s="53"/>
      <c r="P96" s="53"/>
      <c r="Q96" s="53"/>
    </row>
    <row r="97" spans="2:19" ht="13.8" x14ac:dyDescent="0.3">
      <c r="B97" s="15" t="s">
        <v>125</v>
      </c>
      <c r="D97" s="15" t="s">
        <v>63</v>
      </c>
      <c r="G97" s="110"/>
      <c r="H97" s="55">
        <v>0</v>
      </c>
      <c r="I97" s="56">
        <v>0</v>
      </c>
      <c r="J97" s="56">
        <v>0</v>
      </c>
      <c r="K97" s="56">
        <v>0</v>
      </c>
      <c r="L97" s="56">
        <v>0</v>
      </c>
      <c r="M97" s="56">
        <v>0</v>
      </c>
      <c r="N97" s="56">
        <v>0</v>
      </c>
      <c r="O97" s="56">
        <v>0</v>
      </c>
      <c r="P97" s="56">
        <v>0</v>
      </c>
      <c r="Q97" s="57">
        <v>0</v>
      </c>
    </row>
    <row r="98" spans="2:19" ht="13.8" x14ac:dyDescent="0.3">
      <c r="G98" s="110"/>
      <c r="H98" s="87">
        <v>0</v>
      </c>
      <c r="I98" s="88">
        <v>0</v>
      </c>
      <c r="J98" s="88">
        <v>0</v>
      </c>
      <c r="K98" s="88">
        <v>0</v>
      </c>
      <c r="L98" s="88">
        <v>0</v>
      </c>
      <c r="M98" s="88">
        <v>0</v>
      </c>
      <c r="N98" s="88">
        <v>0</v>
      </c>
      <c r="O98" s="88">
        <v>0</v>
      </c>
      <c r="P98" s="88">
        <v>0</v>
      </c>
      <c r="Q98" s="89">
        <v>0</v>
      </c>
    </row>
    <row r="99" spans="2:19" ht="13.8" x14ac:dyDescent="0.3">
      <c r="G99" s="110"/>
    </row>
    <row r="100" spans="2:19" ht="13.8" x14ac:dyDescent="0.3">
      <c r="B100" s="15" t="s">
        <v>125</v>
      </c>
      <c r="D100" s="15" t="s">
        <v>64</v>
      </c>
      <c r="G100" s="22"/>
      <c r="H100" s="55">
        <v>0</v>
      </c>
      <c r="I100" s="56">
        <v>0</v>
      </c>
      <c r="J100" s="56">
        <v>0</v>
      </c>
      <c r="K100" s="56">
        <v>0</v>
      </c>
      <c r="L100" s="56">
        <v>0</v>
      </c>
      <c r="M100" s="56">
        <v>0</v>
      </c>
      <c r="N100" s="56">
        <v>0</v>
      </c>
      <c r="O100" s="56">
        <v>11925</v>
      </c>
      <c r="P100" s="56">
        <v>0</v>
      </c>
      <c r="Q100" s="57">
        <v>11925</v>
      </c>
    </row>
    <row r="101" spans="2:19" ht="13.8" x14ac:dyDescent="0.3">
      <c r="G101" s="22"/>
      <c r="H101" s="87">
        <v>0</v>
      </c>
      <c r="I101" s="88">
        <v>0</v>
      </c>
      <c r="J101" s="88">
        <v>0</v>
      </c>
      <c r="K101" s="88">
        <v>0</v>
      </c>
      <c r="L101" s="88">
        <v>0</v>
      </c>
      <c r="M101" s="88">
        <v>0</v>
      </c>
      <c r="N101" s="88">
        <v>0</v>
      </c>
      <c r="O101" s="88">
        <v>0</v>
      </c>
      <c r="P101" s="88">
        <v>0</v>
      </c>
      <c r="Q101" s="89">
        <v>0</v>
      </c>
    </row>
    <row r="102" spans="2:19" ht="13.8" x14ac:dyDescent="0.3">
      <c r="G102" s="22"/>
    </row>
    <row r="103" spans="2:19" x14ac:dyDescent="0.25">
      <c r="F103" s="75" t="s">
        <v>65</v>
      </c>
      <c r="H103" s="113">
        <v>0</v>
      </c>
      <c r="I103" s="113">
        <v>0</v>
      </c>
      <c r="J103" s="113">
        <v>0</v>
      </c>
      <c r="K103" s="113">
        <v>0</v>
      </c>
      <c r="L103" s="113">
        <v>0</v>
      </c>
      <c r="M103" s="113">
        <v>0</v>
      </c>
      <c r="N103" s="113">
        <v>0</v>
      </c>
      <c r="O103" s="113">
        <v>11925</v>
      </c>
      <c r="P103" s="113">
        <v>0</v>
      </c>
      <c r="Q103" s="113">
        <v>11925</v>
      </c>
    </row>
    <row r="104" spans="2:19" x14ac:dyDescent="0.25">
      <c r="F104" s="75"/>
      <c r="H104" s="131">
        <f>H98+H101</f>
        <v>0</v>
      </c>
      <c r="I104" s="131">
        <f t="shared" ref="I104:Q104" si="4">I98+I101</f>
        <v>0</v>
      </c>
      <c r="J104" s="131">
        <f t="shared" si="4"/>
        <v>0</v>
      </c>
      <c r="K104" s="131">
        <f t="shared" si="4"/>
        <v>0</v>
      </c>
      <c r="L104" s="131">
        <f t="shared" si="4"/>
        <v>0</v>
      </c>
      <c r="M104" s="131">
        <f t="shared" si="4"/>
        <v>0</v>
      </c>
      <c r="N104" s="131">
        <f t="shared" si="4"/>
        <v>0</v>
      </c>
      <c r="O104" s="131">
        <f t="shared" si="4"/>
        <v>0</v>
      </c>
      <c r="P104" s="131">
        <f t="shared" si="4"/>
        <v>0</v>
      </c>
      <c r="Q104" s="131">
        <f t="shared" si="4"/>
        <v>0</v>
      </c>
    </row>
    <row r="105" spans="2:19" s="118" customFormat="1" ht="11.4" x14ac:dyDescent="0.2">
      <c r="G105" s="23"/>
      <c r="H105" s="24"/>
      <c r="I105" s="24"/>
      <c r="J105" s="24"/>
      <c r="K105" s="24"/>
      <c r="L105" s="24"/>
      <c r="M105" s="24"/>
      <c r="N105" s="171" t="s">
        <v>150</v>
      </c>
      <c r="O105" s="172">
        <v>0</v>
      </c>
      <c r="P105" s="24"/>
      <c r="Q105" s="24"/>
    </row>
    <row r="106" spans="2:19" x14ac:dyDescent="0.25">
      <c r="F106" s="75"/>
    </row>
    <row r="107" spans="2:19" x14ac:dyDescent="0.25">
      <c r="B107" s="109" t="s">
        <v>66</v>
      </c>
    </row>
    <row r="108" spans="2:19" x14ac:dyDescent="0.25">
      <c r="G108" s="86" t="s">
        <v>142</v>
      </c>
    </row>
    <row r="109" spans="2:19" ht="13.8" x14ac:dyDescent="0.3">
      <c r="D109" s="15" t="s">
        <v>126</v>
      </c>
      <c r="G109" s="22"/>
      <c r="H109" s="55">
        <v>0</v>
      </c>
      <c r="I109" s="56">
        <v>0</v>
      </c>
      <c r="J109" s="56">
        <v>0</v>
      </c>
      <c r="K109" s="56">
        <v>0</v>
      </c>
      <c r="L109" s="56">
        <v>2006136</v>
      </c>
      <c r="M109" s="56">
        <v>0</v>
      </c>
      <c r="N109" s="56">
        <v>0</v>
      </c>
      <c r="O109" s="56">
        <v>0</v>
      </c>
      <c r="P109" s="56">
        <v>0</v>
      </c>
      <c r="Q109" s="57">
        <v>2006136</v>
      </c>
      <c r="S109" s="118" t="s">
        <v>151</v>
      </c>
    </row>
    <row r="110" spans="2:19" ht="13.8" x14ac:dyDescent="0.3">
      <c r="G110" s="22"/>
      <c r="H110" s="87">
        <v>7260.79</v>
      </c>
      <c r="I110" s="88">
        <v>6919.03</v>
      </c>
      <c r="J110" s="88">
        <v>0</v>
      </c>
      <c r="K110" s="88">
        <v>927.29</v>
      </c>
      <c r="L110" s="88">
        <v>2267391.75</v>
      </c>
      <c r="M110" s="88">
        <v>0</v>
      </c>
      <c r="N110" s="88">
        <v>0</v>
      </c>
      <c r="O110" s="88">
        <v>0</v>
      </c>
      <c r="P110" s="88">
        <v>0</v>
      </c>
      <c r="Q110" s="89">
        <v>2282498.86</v>
      </c>
      <c r="S110" s="118" t="s">
        <v>152</v>
      </c>
    </row>
    <row r="111" spans="2:19" ht="13.8" x14ac:dyDescent="0.3">
      <c r="G111" s="22"/>
      <c r="S111" s="118" t="s">
        <v>153</v>
      </c>
    </row>
    <row r="112" spans="2:19" x14ac:dyDescent="0.25">
      <c r="E112" s="75"/>
      <c r="F112" s="75" t="s">
        <v>71</v>
      </c>
      <c r="H112" s="113">
        <v>0</v>
      </c>
      <c r="I112" s="113">
        <v>0</v>
      </c>
      <c r="J112" s="113">
        <v>0</v>
      </c>
      <c r="K112" s="113">
        <v>0</v>
      </c>
      <c r="L112" s="113">
        <v>2006136</v>
      </c>
      <c r="M112" s="113">
        <v>0</v>
      </c>
      <c r="N112" s="113">
        <v>0</v>
      </c>
      <c r="O112" s="113">
        <v>0</v>
      </c>
      <c r="P112" s="15"/>
      <c r="Q112" s="113">
        <v>2006136</v>
      </c>
      <c r="S112" s="173">
        <f>(O52+O92+O104+O113)/(Q52+Q92+Q104+Q113)</f>
        <v>0.68235843957411468</v>
      </c>
    </row>
    <row r="113" spans="2:19" x14ac:dyDescent="0.25">
      <c r="E113" s="75"/>
      <c r="F113" s="75"/>
      <c r="H113" s="131">
        <f>H110</f>
        <v>7260.79</v>
      </c>
      <c r="I113" s="131">
        <f t="shared" ref="I113:Q113" si="5">I110</f>
        <v>6919.03</v>
      </c>
      <c r="J113" s="131">
        <f t="shared" si="5"/>
        <v>0</v>
      </c>
      <c r="K113" s="131">
        <f t="shared" si="5"/>
        <v>927.29</v>
      </c>
      <c r="L113" s="131">
        <f t="shared" si="5"/>
        <v>2267391.75</v>
      </c>
      <c r="M113" s="131">
        <f t="shared" si="5"/>
        <v>0</v>
      </c>
      <c r="N113" s="131">
        <f t="shared" si="5"/>
        <v>0</v>
      </c>
      <c r="O113" s="131">
        <f t="shared" si="5"/>
        <v>0</v>
      </c>
      <c r="P113" s="131">
        <f t="shared" si="5"/>
        <v>0</v>
      </c>
      <c r="Q113" s="131">
        <f t="shared" si="5"/>
        <v>2282498.86</v>
      </c>
    </row>
    <row r="114" spans="2:19" s="118" customFormat="1" ht="11.4" x14ac:dyDescent="0.2">
      <c r="G114" s="23"/>
      <c r="H114" s="24"/>
      <c r="I114" s="24"/>
      <c r="J114" s="24"/>
      <c r="K114" s="24"/>
      <c r="L114" s="24"/>
      <c r="M114" s="24"/>
      <c r="N114" s="171" t="s">
        <v>150</v>
      </c>
      <c r="O114" s="172">
        <v>0</v>
      </c>
      <c r="P114" s="24"/>
      <c r="Q114" s="24"/>
      <c r="S114" s="118" t="s">
        <v>154</v>
      </c>
    </row>
    <row r="115" spans="2:19" x14ac:dyDescent="0.25">
      <c r="S115" s="173">
        <f>(O52+O92)/(Q52+Q92)</f>
        <v>0.81085216542207761</v>
      </c>
    </row>
    <row r="116" spans="2:19" x14ac:dyDescent="0.25">
      <c r="B116" s="109" t="s">
        <v>72</v>
      </c>
    </row>
    <row r="117" spans="2:19" x14ac:dyDescent="0.25">
      <c r="G117" s="86" t="s">
        <v>142</v>
      </c>
    </row>
    <row r="118" spans="2:19" ht="13.8" x14ac:dyDescent="0.3">
      <c r="D118" s="15" t="s">
        <v>73</v>
      </c>
      <c r="G118" s="22"/>
      <c r="H118" s="55">
        <v>62660</v>
      </c>
      <c r="I118" s="56">
        <v>58148.479999999996</v>
      </c>
      <c r="J118" s="56">
        <v>0</v>
      </c>
      <c r="K118" s="56">
        <v>1560</v>
      </c>
      <c r="L118" s="56">
        <v>42250</v>
      </c>
      <c r="M118" s="56">
        <v>0</v>
      </c>
      <c r="N118" s="56">
        <v>0</v>
      </c>
      <c r="O118" s="56">
        <v>0</v>
      </c>
      <c r="P118" s="56">
        <v>0</v>
      </c>
      <c r="Q118" s="57">
        <v>164618.47999999998</v>
      </c>
    </row>
    <row r="119" spans="2:19" ht="13.8" x14ac:dyDescent="0.3">
      <c r="G119" s="22"/>
      <c r="H119" s="87">
        <v>60119.9</v>
      </c>
      <c r="I119" s="88">
        <v>56393.3</v>
      </c>
      <c r="J119" s="88">
        <v>0</v>
      </c>
      <c r="K119" s="88">
        <v>282.39</v>
      </c>
      <c r="L119" s="88">
        <v>33030.400000000001</v>
      </c>
      <c r="M119" s="88">
        <v>109.18</v>
      </c>
      <c r="N119" s="88">
        <v>0</v>
      </c>
      <c r="O119" s="88">
        <v>0</v>
      </c>
      <c r="P119" s="88">
        <v>0</v>
      </c>
      <c r="Q119" s="89">
        <v>149935.16999999998</v>
      </c>
    </row>
    <row r="120" spans="2:19" ht="13.8" x14ac:dyDescent="0.3">
      <c r="G120" s="22"/>
    </row>
    <row r="121" spans="2:19" ht="13.8" x14ac:dyDescent="0.3">
      <c r="D121" s="15" t="s">
        <v>74</v>
      </c>
      <c r="G121" s="22"/>
      <c r="H121" s="55">
        <v>41200</v>
      </c>
      <c r="I121" s="56">
        <v>38233.599999999999</v>
      </c>
      <c r="J121" s="56">
        <v>0</v>
      </c>
      <c r="K121" s="56">
        <v>3300</v>
      </c>
      <c r="L121" s="56">
        <v>0</v>
      </c>
      <c r="M121" s="56">
        <v>750</v>
      </c>
      <c r="N121" s="56">
        <v>0</v>
      </c>
      <c r="O121" s="56">
        <v>0</v>
      </c>
      <c r="P121" s="56">
        <v>0</v>
      </c>
      <c r="Q121" s="57">
        <v>83483.600000000006</v>
      </c>
    </row>
    <row r="122" spans="2:19" ht="13.8" x14ac:dyDescent="0.3">
      <c r="G122" s="22"/>
      <c r="H122" s="87">
        <v>35084.720000000001</v>
      </c>
      <c r="I122" s="88">
        <v>32696.47</v>
      </c>
      <c r="J122" s="88">
        <v>0</v>
      </c>
      <c r="K122" s="88">
        <v>0</v>
      </c>
      <c r="L122" s="88">
        <v>4909.08</v>
      </c>
      <c r="M122" s="88">
        <v>0</v>
      </c>
      <c r="N122" s="88">
        <v>0</v>
      </c>
      <c r="O122" s="88">
        <v>0</v>
      </c>
      <c r="P122" s="88">
        <v>0</v>
      </c>
      <c r="Q122" s="89">
        <v>72690.27</v>
      </c>
    </row>
    <row r="123" spans="2:19" ht="13.8" x14ac:dyDescent="0.3">
      <c r="G123" s="22"/>
    </row>
    <row r="124" spans="2:19" ht="13.8" x14ac:dyDescent="0.3">
      <c r="D124" s="15" t="s">
        <v>75</v>
      </c>
      <c r="G124" s="22"/>
      <c r="H124" s="55">
        <v>33920</v>
      </c>
      <c r="I124" s="56">
        <v>31477.759999999998</v>
      </c>
      <c r="J124" s="56">
        <v>0</v>
      </c>
      <c r="K124" s="56">
        <v>1850</v>
      </c>
      <c r="L124" s="56">
        <v>11700</v>
      </c>
      <c r="M124" s="56">
        <v>900</v>
      </c>
      <c r="N124" s="56">
        <v>0</v>
      </c>
      <c r="O124" s="56">
        <v>0</v>
      </c>
      <c r="P124" s="56">
        <v>0</v>
      </c>
      <c r="Q124" s="57">
        <v>79847.759999999995</v>
      </c>
    </row>
    <row r="125" spans="2:19" ht="13.8" x14ac:dyDescent="0.3">
      <c r="G125" s="22"/>
      <c r="H125" s="87">
        <v>29123.79</v>
      </c>
      <c r="I125" s="88">
        <v>27339.02</v>
      </c>
      <c r="J125" s="88">
        <v>0</v>
      </c>
      <c r="K125" s="88">
        <v>117</v>
      </c>
      <c r="L125" s="88">
        <v>18758.900000000001</v>
      </c>
      <c r="M125" s="88">
        <v>85.65</v>
      </c>
      <c r="N125" s="88">
        <v>0</v>
      </c>
      <c r="O125" s="88">
        <v>0</v>
      </c>
      <c r="P125" s="88">
        <v>0</v>
      </c>
      <c r="Q125" s="89">
        <v>75424.36</v>
      </c>
    </row>
    <row r="126" spans="2:19" ht="13.8" x14ac:dyDescent="0.3">
      <c r="G126" s="22"/>
    </row>
    <row r="127" spans="2:19" ht="13.8" x14ac:dyDescent="0.3">
      <c r="D127" s="52" t="s">
        <v>76</v>
      </c>
      <c r="E127" s="18"/>
      <c r="F127" s="18"/>
      <c r="G127" s="22"/>
      <c r="H127" s="55">
        <v>31200</v>
      </c>
      <c r="I127" s="56">
        <v>28953.599999999999</v>
      </c>
      <c r="J127" s="56">
        <v>0</v>
      </c>
      <c r="K127" s="56">
        <v>2000</v>
      </c>
      <c r="L127" s="56">
        <v>0</v>
      </c>
      <c r="M127" s="56">
        <v>0</v>
      </c>
      <c r="N127" s="56">
        <v>0</v>
      </c>
      <c r="O127" s="56">
        <v>0</v>
      </c>
      <c r="P127" s="56">
        <v>0</v>
      </c>
      <c r="Q127" s="57">
        <v>62153.599999999999</v>
      </c>
    </row>
    <row r="128" spans="2:19" ht="13.8" x14ac:dyDescent="0.3">
      <c r="D128" s="52"/>
      <c r="E128" s="18"/>
      <c r="F128" s="18"/>
      <c r="G128" s="22"/>
      <c r="H128" s="87">
        <v>27660.32</v>
      </c>
      <c r="I128" s="88">
        <v>29622.76</v>
      </c>
      <c r="J128" s="88">
        <v>0</v>
      </c>
      <c r="K128" s="88">
        <v>416.67</v>
      </c>
      <c r="L128" s="88">
        <v>0</v>
      </c>
      <c r="M128" s="88">
        <v>84.25</v>
      </c>
      <c r="N128" s="88">
        <v>0</v>
      </c>
      <c r="O128" s="88">
        <v>0</v>
      </c>
      <c r="P128" s="88">
        <v>0</v>
      </c>
      <c r="Q128" s="89">
        <v>57784</v>
      </c>
    </row>
    <row r="129" spans="4:17" ht="13.8" x14ac:dyDescent="0.3">
      <c r="D129" s="52"/>
      <c r="E129" s="18"/>
      <c r="F129" s="18"/>
      <c r="G129" s="22"/>
    </row>
    <row r="130" spans="4:17" ht="13.8" x14ac:dyDescent="0.3">
      <c r="D130" s="18" t="s">
        <v>77</v>
      </c>
      <c r="E130" s="18"/>
      <c r="F130" s="18"/>
      <c r="G130" s="22"/>
      <c r="H130" s="55">
        <v>0</v>
      </c>
      <c r="I130" s="56">
        <v>0</v>
      </c>
      <c r="J130" s="56">
        <v>0</v>
      </c>
      <c r="K130" s="56">
        <v>0</v>
      </c>
      <c r="L130" s="56">
        <v>0</v>
      </c>
      <c r="M130" s="56">
        <v>22000</v>
      </c>
      <c r="N130" s="56">
        <v>0</v>
      </c>
      <c r="O130" s="56">
        <v>0</v>
      </c>
      <c r="P130" s="56">
        <v>0</v>
      </c>
      <c r="Q130" s="57">
        <v>22000</v>
      </c>
    </row>
    <row r="131" spans="4:17" ht="13.8" x14ac:dyDescent="0.3">
      <c r="D131" s="18"/>
      <c r="E131" s="18"/>
      <c r="F131" s="18"/>
      <c r="G131" s="22"/>
      <c r="H131" s="87">
        <v>0</v>
      </c>
      <c r="I131" s="88">
        <v>0</v>
      </c>
      <c r="J131" s="88">
        <v>0</v>
      </c>
      <c r="K131" s="88">
        <v>0</v>
      </c>
      <c r="L131" s="88">
        <v>7438.08</v>
      </c>
      <c r="M131" s="88">
        <v>0</v>
      </c>
      <c r="N131" s="88">
        <v>10978.5</v>
      </c>
      <c r="O131" s="88">
        <v>0</v>
      </c>
      <c r="P131" s="88">
        <v>0</v>
      </c>
      <c r="Q131" s="89">
        <v>18416.580000000002</v>
      </c>
    </row>
    <row r="132" spans="4:17" ht="13.8" x14ac:dyDescent="0.3">
      <c r="D132" s="18"/>
      <c r="E132" s="18"/>
      <c r="F132" s="18"/>
      <c r="G132" s="22"/>
    </row>
    <row r="133" spans="4:17" ht="13.8" x14ac:dyDescent="0.3">
      <c r="D133" s="18" t="s">
        <v>78</v>
      </c>
      <c r="E133" s="18"/>
      <c r="F133" s="18"/>
      <c r="G133" s="22"/>
      <c r="H133" s="55">
        <f>70400+3200</f>
        <v>73600</v>
      </c>
      <c r="I133" s="56">
        <v>68300.799999999988</v>
      </c>
      <c r="J133" s="56">
        <v>20000</v>
      </c>
      <c r="K133" s="56">
        <v>5000</v>
      </c>
      <c r="L133" s="56">
        <v>80000</v>
      </c>
      <c r="M133" s="56">
        <v>1500</v>
      </c>
      <c r="N133" s="56">
        <v>0</v>
      </c>
      <c r="O133" s="56">
        <v>0</v>
      </c>
      <c r="P133" s="56">
        <v>-282400.8</v>
      </c>
      <c r="Q133" s="57">
        <v>-34000</v>
      </c>
    </row>
    <row r="134" spans="4:17" ht="13.8" x14ac:dyDescent="0.3">
      <c r="D134" s="18"/>
      <c r="E134" s="18"/>
      <c r="F134" s="18"/>
      <c r="G134" s="22"/>
      <c r="H134" s="87">
        <v>67942.25</v>
      </c>
      <c r="I134" s="88">
        <v>63808.04</v>
      </c>
      <c r="J134" s="88">
        <v>13872.48</v>
      </c>
      <c r="K134" s="88">
        <v>1630.39</v>
      </c>
      <c r="L134" s="88">
        <v>0</v>
      </c>
      <c r="M134" s="88">
        <v>1027.29</v>
      </c>
      <c r="N134" s="88">
        <v>440</v>
      </c>
      <c r="O134" s="88">
        <v>0</v>
      </c>
      <c r="P134" s="88">
        <v>-282522.34000000003</v>
      </c>
      <c r="Q134" s="89">
        <v>-133801.89000000004</v>
      </c>
    </row>
    <row r="135" spans="4:17" ht="13.8" x14ac:dyDescent="0.3">
      <c r="D135" s="18"/>
      <c r="E135" s="18"/>
      <c r="F135" s="18"/>
      <c r="G135" s="22"/>
    </row>
    <row r="136" spans="4:17" s="78" customFormat="1" ht="13.8" x14ac:dyDescent="0.3">
      <c r="D136" s="15" t="s">
        <v>79</v>
      </c>
      <c r="G136" s="50"/>
      <c r="H136" s="103">
        <v>31300</v>
      </c>
      <c r="I136" s="104">
        <v>29046.399999999998</v>
      </c>
      <c r="J136" s="104">
        <v>0</v>
      </c>
      <c r="K136" s="104">
        <v>0</v>
      </c>
      <c r="L136" s="104">
        <v>33000</v>
      </c>
      <c r="M136" s="104">
        <v>0</v>
      </c>
      <c r="N136" s="104">
        <v>0</v>
      </c>
      <c r="O136" s="104">
        <v>0</v>
      </c>
      <c r="P136" s="104">
        <v>0</v>
      </c>
      <c r="Q136" s="105">
        <v>93346.4</v>
      </c>
    </row>
    <row r="137" spans="4:17" s="78" customFormat="1" ht="13.8" x14ac:dyDescent="0.3">
      <c r="D137" s="15"/>
      <c r="G137" s="50"/>
      <c r="H137" s="87">
        <v>16733.72</v>
      </c>
      <c r="I137" s="88">
        <v>15669.73</v>
      </c>
      <c r="J137" s="88">
        <v>0</v>
      </c>
      <c r="K137" s="88">
        <v>0</v>
      </c>
      <c r="L137" s="88">
        <v>0</v>
      </c>
      <c r="M137" s="88">
        <v>0</v>
      </c>
      <c r="N137" s="88">
        <v>0</v>
      </c>
      <c r="O137" s="88">
        <v>0</v>
      </c>
      <c r="P137" s="88">
        <v>0</v>
      </c>
      <c r="Q137" s="89">
        <v>32403.45</v>
      </c>
    </row>
    <row r="138" spans="4:17" s="78" customFormat="1" ht="13.8" x14ac:dyDescent="0.3">
      <c r="D138" s="15"/>
      <c r="G138" s="50"/>
      <c r="H138" s="67"/>
      <c r="I138" s="67"/>
      <c r="J138" s="67"/>
      <c r="K138" s="67"/>
      <c r="L138" s="67"/>
      <c r="M138" s="67"/>
      <c r="N138" s="67"/>
      <c r="O138" s="67"/>
      <c r="P138" s="67"/>
      <c r="Q138" s="67"/>
    </row>
    <row r="139" spans="4:17" s="78" customFormat="1" ht="13.8" x14ac:dyDescent="0.3">
      <c r="D139" s="15" t="s">
        <v>80</v>
      </c>
      <c r="G139" s="50"/>
      <c r="H139" s="103">
        <v>97760</v>
      </c>
      <c r="I139" s="104">
        <v>67258.87999999999</v>
      </c>
      <c r="J139" s="104">
        <v>0</v>
      </c>
      <c r="K139" s="104">
        <v>7832</v>
      </c>
      <c r="L139" s="104">
        <v>200</v>
      </c>
      <c r="M139" s="104">
        <v>453</v>
      </c>
      <c r="N139" s="104">
        <v>202</v>
      </c>
      <c r="O139" s="104">
        <v>0</v>
      </c>
      <c r="P139" s="104">
        <v>0</v>
      </c>
      <c r="Q139" s="105">
        <v>173705.88</v>
      </c>
    </row>
    <row r="140" spans="4:17" s="78" customFormat="1" ht="13.8" x14ac:dyDescent="0.3">
      <c r="D140" s="15"/>
      <c r="G140" s="50"/>
      <c r="H140" s="87">
        <v>68674.289999999994</v>
      </c>
      <c r="I140" s="88">
        <v>64492.34</v>
      </c>
      <c r="J140" s="88">
        <v>0</v>
      </c>
      <c r="K140" s="88">
        <v>674.64</v>
      </c>
      <c r="L140" s="88">
        <v>0</v>
      </c>
      <c r="M140" s="88">
        <v>1641.94</v>
      </c>
      <c r="N140" s="88">
        <v>0</v>
      </c>
      <c r="O140" s="88">
        <v>0</v>
      </c>
      <c r="P140" s="88">
        <v>0</v>
      </c>
      <c r="Q140" s="89">
        <v>135483.21</v>
      </c>
    </row>
    <row r="141" spans="4:17" s="78" customFormat="1" ht="13.8" x14ac:dyDescent="0.3">
      <c r="D141" s="15"/>
      <c r="G141" s="50"/>
      <c r="H141" s="67"/>
      <c r="I141" s="67"/>
      <c r="J141" s="67"/>
      <c r="K141" s="67"/>
      <c r="L141" s="67"/>
      <c r="M141" s="67"/>
      <c r="N141" s="67"/>
      <c r="O141" s="67"/>
      <c r="P141" s="67"/>
      <c r="Q141" s="67"/>
    </row>
    <row r="142" spans="4:17" ht="13.8" x14ac:dyDescent="0.3">
      <c r="D142" s="15" t="s">
        <v>81</v>
      </c>
      <c r="G142" s="22"/>
      <c r="H142" s="55">
        <f>61800+2000</f>
        <v>63800</v>
      </c>
      <c r="I142" s="56">
        <v>43894.399999999994</v>
      </c>
      <c r="J142" s="56">
        <v>19370</v>
      </c>
      <c r="K142" s="56">
        <v>5200</v>
      </c>
      <c r="L142" s="56">
        <v>6500</v>
      </c>
      <c r="M142" s="56">
        <v>1755</v>
      </c>
      <c r="N142" s="56">
        <v>0</v>
      </c>
      <c r="O142" s="56">
        <v>0</v>
      </c>
      <c r="P142" s="56">
        <v>0</v>
      </c>
      <c r="Q142" s="57">
        <v>140519.4</v>
      </c>
    </row>
    <row r="143" spans="4:17" ht="13.8" x14ac:dyDescent="0.3">
      <c r="G143" s="22"/>
      <c r="H143" s="87">
        <v>54915.35</v>
      </c>
      <c r="I143" s="88">
        <v>51508.21</v>
      </c>
      <c r="J143" s="88">
        <v>1432.22</v>
      </c>
      <c r="K143" s="88">
        <v>605.22</v>
      </c>
      <c r="L143" s="88">
        <v>14711.93</v>
      </c>
      <c r="M143" s="88">
        <v>577.26</v>
      </c>
      <c r="N143" s="88">
        <v>0</v>
      </c>
      <c r="O143" s="88">
        <v>0</v>
      </c>
      <c r="P143" s="88">
        <v>0</v>
      </c>
      <c r="Q143" s="89">
        <v>123750.19</v>
      </c>
    </row>
    <row r="144" spans="4:17" ht="13.8" x14ac:dyDescent="0.3">
      <c r="G144" s="22"/>
    </row>
    <row r="145" spans="2:17" s="78" customFormat="1" ht="13.8" x14ac:dyDescent="0.3">
      <c r="D145" s="15" t="s">
        <v>82</v>
      </c>
      <c r="G145" s="22"/>
      <c r="H145" s="103">
        <f>H148+H151+H154</f>
        <v>15520</v>
      </c>
      <c r="I145" s="104">
        <f>I148+I151+I154</f>
        <v>10677.759999999998</v>
      </c>
      <c r="J145" s="104">
        <f t="shared" ref="J145:P145" si="6">J148+J151+J154</f>
        <v>0</v>
      </c>
      <c r="K145" s="104">
        <f t="shared" si="6"/>
        <v>0</v>
      </c>
      <c r="L145" s="104">
        <f t="shared" si="6"/>
        <v>62006</v>
      </c>
      <c r="M145" s="104">
        <f t="shared" si="6"/>
        <v>0</v>
      </c>
      <c r="N145" s="104">
        <f t="shared" si="6"/>
        <v>0</v>
      </c>
      <c r="O145" s="104">
        <f t="shared" si="6"/>
        <v>0</v>
      </c>
      <c r="P145" s="104">
        <f t="shared" si="6"/>
        <v>0</v>
      </c>
      <c r="Q145" s="105">
        <f>Q148+Q151+Q154</f>
        <v>88203.76</v>
      </c>
    </row>
    <row r="146" spans="2:17" s="78" customFormat="1" ht="13.8" x14ac:dyDescent="0.3">
      <c r="D146" s="15"/>
      <c r="G146" s="22"/>
      <c r="H146" s="139">
        <f>H149+H152+H155</f>
        <v>17487.259999999998</v>
      </c>
      <c r="I146" s="132">
        <f>I149+I152+I155</f>
        <v>16500.259999999998</v>
      </c>
      <c r="J146" s="132">
        <f t="shared" ref="J146:P146" si="7">J149+J152+J155</f>
        <v>0</v>
      </c>
      <c r="K146" s="132">
        <f t="shared" si="7"/>
        <v>4.2</v>
      </c>
      <c r="L146" s="132">
        <f t="shared" si="7"/>
        <v>168163.37</v>
      </c>
      <c r="M146" s="132">
        <f t="shared" si="7"/>
        <v>0</v>
      </c>
      <c r="N146" s="132">
        <f t="shared" si="7"/>
        <v>0</v>
      </c>
      <c r="O146" s="132">
        <f t="shared" si="7"/>
        <v>29568.660000000003</v>
      </c>
      <c r="P146" s="132">
        <f t="shared" si="7"/>
        <v>0</v>
      </c>
      <c r="Q146" s="140">
        <f>Q149+Q152+Q155</f>
        <v>231723.75000000003</v>
      </c>
    </row>
    <row r="147" spans="2:17" s="78" customFormat="1" ht="13.8" x14ac:dyDescent="0.3">
      <c r="D147" s="15"/>
      <c r="G147" s="22"/>
      <c r="H147" s="66"/>
      <c r="I147" s="67"/>
      <c r="J147" s="67"/>
      <c r="K147" s="67"/>
      <c r="L147" s="67"/>
      <c r="M147" s="67"/>
      <c r="N147" s="67"/>
      <c r="O147" s="67"/>
      <c r="P147" s="67"/>
      <c r="Q147" s="68"/>
    </row>
    <row r="148" spans="2:17" s="78" customFormat="1" ht="13.8" x14ac:dyDescent="0.3">
      <c r="B148" s="78" t="s">
        <v>123</v>
      </c>
      <c r="C148" s="120"/>
      <c r="D148" s="121" t="s">
        <v>135</v>
      </c>
      <c r="G148" s="50"/>
      <c r="H148" s="168">
        <v>15520</v>
      </c>
      <c r="I148" s="169">
        <v>10677.759999999998</v>
      </c>
      <c r="J148" s="169">
        <v>0</v>
      </c>
      <c r="K148" s="169">
        <v>0</v>
      </c>
      <c r="L148" s="169">
        <v>62006</v>
      </c>
      <c r="M148" s="169">
        <v>0</v>
      </c>
      <c r="N148" s="169">
        <v>0</v>
      </c>
      <c r="O148" s="169">
        <v>0</v>
      </c>
      <c r="P148" s="169">
        <v>0</v>
      </c>
      <c r="Q148" s="170">
        <v>88203.76</v>
      </c>
    </row>
    <row r="149" spans="2:17" s="78" customFormat="1" ht="13.8" x14ac:dyDescent="0.3">
      <c r="C149" s="120"/>
      <c r="D149" s="121"/>
      <c r="G149" s="50"/>
      <c r="H149" s="90">
        <v>17062.96</v>
      </c>
      <c r="I149" s="91">
        <v>16053.05</v>
      </c>
      <c r="J149" s="91">
        <v>0</v>
      </c>
      <c r="K149" s="91">
        <v>4.2</v>
      </c>
      <c r="L149" s="91">
        <v>65196.27</v>
      </c>
      <c r="M149" s="91">
        <v>0</v>
      </c>
      <c r="N149" s="91">
        <v>0</v>
      </c>
      <c r="O149" s="91">
        <v>0</v>
      </c>
      <c r="P149" s="91">
        <v>0</v>
      </c>
      <c r="Q149" s="92">
        <v>98316.479999999996</v>
      </c>
    </row>
    <row r="150" spans="2:17" s="78" customFormat="1" ht="13.8" x14ac:dyDescent="0.3">
      <c r="C150" s="120"/>
      <c r="D150" s="121"/>
      <c r="G150" s="50"/>
      <c r="H150" s="66"/>
      <c r="I150" s="67"/>
      <c r="J150" s="67"/>
      <c r="K150" s="67"/>
      <c r="L150" s="67"/>
      <c r="M150" s="67"/>
      <c r="N150" s="67"/>
      <c r="O150" s="67"/>
      <c r="P150" s="67"/>
      <c r="Q150" s="68"/>
    </row>
    <row r="151" spans="2:17" s="78" customFormat="1" ht="13.8" x14ac:dyDescent="0.3">
      <c r="B151" s="78" t="s">
        <v>123</v>
      </c>
      <c r="C151" s="120"/>
      <c r="D151" s="121" t="s">
        <v>134</v>
      </c>
      <c r="G151" s="50"/>
      <c r="H151" s="66"/>
      <c r="I151" s="67"/>
      <c r="J151" s="67"/>
      <c r="K151" s="67"/>
      <c r="L151" s="67"/>
      <c r="M151" s="67"/>
      <c r="N151" s="67"/>
      <c r="O151" s="67"/>
      <c r="P151" s="67"/>
      <c r="Q151" s="68"/>
    </row>
    <row r="152" spans="2:17" s="78" customFormat="1" ht="13.8" x14ac:dyDescent="0.3">
      <c r="C152" s="120"/>
      <c r="D152" s="121"/>
      <c r="G152" s="50"/>
      <c r="H152" s="90">
        <v>424.3</v>
      </c>
      <c r="I152" s="91">
        <v>447.21</v>
      </c>
      <c r="J152" s="91">
        <v>0</v>
      </c>
      <c r="K152" s="91">
        <v>0</v>
      </c>
      <c r="L152" s="91">
        <v>102967.1</v>
      </c>
      <c r="M152" s="91">
        <v>0</v>
      </c>
      <c r="N152" s="91">
        <v>0</v>
      </c>
      <c r="O152" s="91">
        <v>33801.620000000003</v>
      </c>
      <c r="P152" s="91">
        <v>0</v>
      </c>
      <c r="Q152" s="92">
        <v>137640.23000000001</v>
      </c>
    </row>
    <row r="153" spans="2:17" s="78" customFormat="1" ht="13.8" x14ac:dyDescent="0.3">
      <c r="C153" s="120"/>
      <c r="D153" s="121"/>
      <c r="G153" s="50"/>
      <c r="H153" s="66"/>
      <c r="I153" s="67"/>
      <c r="J153" s="67"/>
      <c r="K153" s="67"/>
      <c r="L153" s="67"/>
      <c r="M153" s="67"/>
      <c r="N153" s="67"/>
      <c r="O153" s="67"/>
      <c r="P153" s="67"/>
      <c r="Q153" s="68"/>
    </row>
    <row r="154" spans="2:17" s="78" customFormat="1" ht="13.8" x14ac:dyDescent="0.3">
      <c r="B154" s="78" t="s">
        <v>123</v>
      </c>
      <c r="C154" s="120"/>
      <c r="D154" s="121" t="s">
        <v>136</v>
      </c>
      <c r="G154" s="50"/>
      <c r="H154" s="66"/>
      <c r="I154" s="67"/>
      <c r="J154" s="67"/>
      <c r="K154" s="67"/>
      <c r="L154" s="67"/>
      <c r="M154" s="67"/>
      <c r="N154" s="67"/>
      <c r="O154" s="67"/>
      <c r="P154" s="67"/>
      <c r="Q154" s="68"/>
    </row>
    <row r="155" spans="2:17" s="78" customFormat="1" ht="13.8" x14ac:dyDescent="0.3">
      <c r="C155" s="120"/>
      <c r="D155" s="121"/>
      <c r="G155" s="50"/>
      <c r="H155" s="93">
        <v>0</v>
      </c>
      <c r="I155" s="94">
        <v>0</v>
      </c>
      <c r="J155" s="94">
        <v>0</v>
      </c>
      <c r="K155" s="94">
        <v>0</v>
      </c>
      <c r="L155" s="94">
        <v>0</v>
      </c>
      <c r="M155" s="94">
        <v>0</v>
      </c>
      <c r="N155" s="94">
        <v>0</v>
      </c>
      <c r="O155" s="94">
        <v>-4232.96</v>
      </c>
      <c r="P155" s="94">
        <v>0</v>
      </c>
      <c r="Q155" s="95">
        <v>-4232.96</v>
      </c>
    </row>
    <row r="156" spans="2:17" s="78" customFormat="1" ht="13.8" x14ac:dyDescent="0.3">
      <c r="C156" s="120"/>
      <c r="D156" s="121"/>
      <c r="G156" s="50"/>
      <c r="H156" s="67"/>
      <c r="I156" s="67"/>
      <c r="J156" s="67"/>
      <c r="K156" s="67"/>
      <c r="L156" s="67"/>
      <c r="M156" s="67"/>
      <c r="N156" s="67"/>
      <c r="O156" s="67"/>
      <c r="P156" s="67"/>
      <c r="Q156" s="67"/>
    </row>
    <row r="157" spans="2:17" s="78" customFormat="1" ht="13.8" x14ac:dyDescent="0.3">
      <c r="D157" s="15" t="s">
        <v>83</v>
      </c>
      <c r="G157" s="50"/>
      <c r="H157" s="135">
        <v>21856</v>
      </c>
      <c r="I157" s="107">
        <v>15036.927999999998</v>
      </c>
      <c r="J157" s="107">
        <v>0</v>
      </c>
      <c r="K157" s="107">
        <v>0</v>
      </c>
      <c r="L157" s="107">
        <v>2080</v>
      </c>
      <c r="M157" s="107">
        <v>0</v>
      </c>
      <c r="N157" s="107">
        <v>0</v>
      </c>
      <c r="O157" s="107">
        <v>0</v>
      </c>
      <c r="P157" s="107">
        <v>0</v>
      </c>
      <c r="Q157" s="136">
        <v>38972.928</v>
      </c>
    </row>
    <row r="158" spans="2:17" s="78" customFormat="1" ht="13.8" x14ac:dyDescent="0.3">
      <c r="D158" s="15"/>
      <c r="G158" s="50"/>
      <c r="H158" s="100">
        <v>16023.91</v>
      </c>
      <c r="I158" s="101">
        <v>15069.64</v>
      </c>
      <c r="J158" s="101">
        <v>0</v>
      </c>
      <c r="K158" s="101">
        <v>1.0900000000000001</v>
      </c>
      <c r="L158" s="101">
        <v>2034</v>
      </c>
      <c r="M158" s="101">
        <v>0</v>
      </c>
      <c r="N158" s="101">
        <v>0</v>
      </c>
      <c r="O158" s="101">
        <v>0</v>
      </c>
      <c r="P158" s="101">
        <v>0</v>
      </c>
      <c r="Q158" s="102">
        <v>33128.639999999999</v>
      </c>
    </row>
    <row r="159" spans="2:17" s="78" customFormat="1" ht="13.8" x14ac:dyDescent="0.3">
      <c r="D159" s="15"/>
      <c r="G159" s="50"/>
      <c r="H159" s="67"/>
      <c r="I159" s="67"/>
      <c r="J159" s="67"/>
      <c r="K159" s="67"/>
      <c r="L159" s="67"/>
      <c r="M159" s="67"/>
      <c r="N159" s="67"/>
      <c r="O159" s="67"/>
      <c r="P159" s="67"/>
      <c r="Q159" s="67"/>
    </row>
    <row r="160" spans="2:17" s="78" customFormat="1" ht="13.8" x14ac:dyDescent="0.3">
      <c r="D160" s="15" t="s">
        <v>84</v>
      </c>
      <c r="G160" s="50"/>
      <c r="H160" s="135">
        <f>57800+200</f>
        <v>58000</v>
      </c>
      <c r="I160" s="107">
        <v>39903.999999999993</v>
      </c>
      <c r="J160" s="107">
        <v>1040</v>
      </c>
      <c r="K160" s="107">
        <v>595</v>
      </c>
      <c r="L160" s="107">
        <v>16500</v>
      </c>
      <c r="M160" s="107">
        <v>715</v>
      </c>
      <c r="N160" s="107">
        <v>0</v>
      </c>
      <c r="O160" s="107">
        <v>0</v>
      </c>
      <c r="P160" s="107">
        <v>0</v>
      </c>
      <c r="Q160" s="136">
        <v>116754</v>
      </c>
    </row>
    <row r="161" spans="2:17" s="78" customFormat="1" ht="13.8" x14ac:dyDescent="0.3">
      <c r="D161" s="15"/>
      <c r="G161" s="50"/>
      <c r="H161" s="100">
        <v>46916.32</v>
      </c>
      <c r="I161" s="101">
        <v>43271.06</v>
      </c>
      <c r="J161" s="101">
        <v>0</v>
      </c>
      <c r="K161" s="101">
        <v>2075.38</v>
      </c>
      <c r="L161" s="101">
        <v>14103.51</v>
      </c>
      <c r="M161" s="101">
        <v>306.20999999999998</v>
      </c>
      <c r="N161" s="101">
        <v>213.75</v>
      </c>
      <c r="O161" s="101">
        <v>755.01</v>
      </c>
      <c r="P161" s="101">
        <v>0</v>
      </c>
      <c r="Q161" s="102">
        <v>107641.23999999999</v>
      </c>
    </row>
    <row r="162" spans="2:17" s="78" customFormat="1" ht="13.8" x14ac:dyDescent="0.3">
      <c r="D162" s="15"/>
      <c r="G162" s="50"/>
      <c r="H162" s="67"/>
      <c r="I162" s="67"/>
      <c r="J162" s="67"/>
      <c r="K162" s="67"/>
      <c r="L162" s="67"/>
      <c r="M162" s="67"/>
      <c r="N162" s="67"/>
      <c r="O162" s="67"/>
      <c r="P162" s="67"/>
      <c r="Q162" s="67"/>
    </row>
    <row r="163" spans="2:17" s="78" customFormat="1" ht="13.8" x14ac:dyDescent="0.3">
      <c r="D163" s="15" t="s">
        <v>85</v>
      </c>
      <c r="G163" s="50"/>
      <c r="H163" s="135">
        <v>2400</v>
      </c>
      <c r="I163" s="107">
        <v>1651.1999999999998</v>
      </c>
      <c r="J163" s="107">
        <v>2000</v>
      </c>
      <c r="K163" s="107">
        <v>0</v>
      </c>
      <c r="L163" s="107">
        <v>390</v>
      </c>
      <c r="M163" s="107">
        <v>3380</v>
      </c>
      <c r="N163" s="107">
        <v>0</v>
      </c>
      <c r="O163" s="107">
        <v>0</v>
      </c>
      <c r="P163" s="107">
        <v>0</v>
      </c>
      <c r="Q163" s="136">
        <v>9821.2000000000007</v>
      </c>
    </row>
    <row r="164" spans="2:17" s="78" customFormat="1" ht="13.8" x14ac:dyDescent="0.3">
      <c r="D164" s="15"/>
      <c r="G164" s="50"/>
      <c r="H164" s="100">
        <v>2117.36</v>
      </c>
      <c r="I164" s="101">
        <v>1970.9</v>
      </c>
      <c r="J164" s="101">
        <v>300.82</v>
      </c>
      <c r="K164" s="101">
        <v>0</v>
      </c>
      <c r="L164" s="101">
        <v>48.1</v>
      </c>
      <c r="M164" s="101">
        <v>276.85000000000002</v>
      </c>
      <c r="N164" s="101">
        <v>0</v>
      </c>
      <c r="O164" s="101">
        <v>0</v>
      </c>
      <c r="P164" s="101">
        <v>0</v>
      </c>
      <c r="Q164" s="102">
        <v>4714.0300000000007</v>
      </c>
    </row>
    <row r="165" spans="2:17" s="78" customFormat="1" ht="13.8" x14ac:dyDescent="0.3">
      <c r="D165" s="15"/>
      <c r="G165" s="50"/>
      <c r="H165" s="67"/>
      <c r="I165" s="67"/>
      <c r="J165" s="67"/>
      <c r="K165" s="67"/>
      <c r="L165" s="67"/>
      <c r="M165" s="67"/>
      <c r="N165" s="67"/>
      <c r="O165" s="67"/>
      <c r="P165" s="67"/>
      <c r="Q165" s="67"/>
    </row>
    <row r="166" spans="2:17" s="78" customFormat="1" ht="13.8" x14ac:dyDescent="0.3">
      <c r="B166" s="78" t="s">
        <v>127</v>
      </c>
      <c r="D166" s="15" t="s">
        <v>87</v>
      </c>
      <c r="G166" s="50"/>
      <c r="H166" s="135">
        <v>0</v>
      </c>
      <c r="I166" s="107">
        <v>0</v>
      </c>
      <c r="J166" s="107">
        <v>0</v>
      </c>
      <c r="K166" s="107">
        <v>0</v>
      </c>
      <c r="L166" s="107">
        <v>1300</v>
      </c>
      <c r="M166" s="107">
        <v>0</v>
      </c>
      <c r="N166" s="107">
        <v>0</v>
      </c>
      <c r="O166" s="107">
        <v>0</v>
      </c>
      <c r="P166" s="107">
        <v>0</v>
      </c>
      <c r="Q166" s="136">
        <v>1300</v>
      </c>
    </row>
    <row r="167" spans="2:17" s="78" customFormat="1" ht="13.8" x14ac:dyDescent="0.3">
      <c r="D167" s="15"/>
      <c r="G167" s="50"/>
      <c r="H167" s="100">
        <v>0</v>
      </c>
      <c r="I167" s="101">
        <v>0</v>
      </c>
      <c r="J167" s="101">
        <v>0</v>
      </c>
      <c r="K167" s="101">
        <v>0</v>
      </c>
      <c r="L167" s="101">
        <v>0</v>
      </c>
      <c r="M167" s="101">
        <v>0</v>
      </c>
      <c r="N167" s="101">
        <v>0</v>
      </c>
      <c r="O167" s="101">
        <v>0</v>
      </c>
      <c r="P167" s="101">
        <v>0</v>
      </c>
      <c r="Q167" s="102">
        <v>0</v>
      </c>
    </row>
    <row r="168" spans="2:17" s="78" customFormat="1" ht="13.8" x14ac:dyDescent="0.3">
      <c r="D168" s="15"/>
      <c r="G168" s="50"/>
      <c r="H168" s="67"/>
      <c r="I168" s="67"/>
      <c r="J168" s="67"/>
      <c r="K168" s="67"/>
      <c r="L168" s="67"/>
      <c r="M168" s="67"/>
      <c r="N168" s="67"/>
      <c r="O168" s="67"/>
      <c r="P168" s="67"/>
      <c r="Q168" s="67"/>
    </row>
    <row r="169" spans="2:17" s="109" customFormat="1" ht="13.8" x14ac:dyDescent="0.3">
      <c r="E169" s="75"/>
      <c r="F169" s="75" t="s">
        <v>88</v>
      </c>
      <c r="G169" s="21"/>
      <c r="H169" s="113">
        <f>527816+5400</f>
        <v>533216</v>
      </c>
      <c r="I169" s="113">
        <v>432583.80799999996</v>
      </c>
      <c r="J169" s="113">
        <v>42410</v>
      </c>
      <c r="K169" s="113">
        <v>27337</v>
      </c>
      <c r="L169" s="113">
        <v>255926</v>
      </c>
      <c r="M169" s="113">
        <v>31453</v>
      </c>
      <c r="N169" s="113">
        <v>202</v>
      </c>
      <c r="O169" s="113">
        <v>0</v>
      </c>
      <c r="P169" s="113">
        <v>-282400.8</v>
      </c>
      <c r="Q169" s="113">
        <v>1040727.0079999999</v>
      </c>
    </row>
    <row r="170" spans="2:17" ht="13.8" x14ac:dyDescent="0.3">
      <c r="G170" s="22"/>
      <c r="H170" s="97">
        <f>H119+H122+H125+H128+H131+H134+H137+H140+H143+H146+H158+H161+H164+H167</f>
        <v>442799.18999999994</v>
      </c>
      <c r="I170" s="97">
        <f t="shared" ref="I170:P170" si="8">I119+I122+I125+I128+I131+I134+I137+I140+I143+I146+I158+I161+I164+I167</f>
        <v>418341.7300000001</v>
      </c>
      <c r="J170" s="97">
        <f t="shared" si="8"/>
        <v>15605.519999999999</v>
      </c>
      <c r="K170" s="97">
        <f t="shared" si="8"/>
        <v>5806.98</v>
      </c>
      <c r="L170" s="97">
        <f t="shared" si="8"/>
        <v>263197.37</v>
      </c>
      <c r="M170" s="97">
        <f t="shared" si="8"/>
        <v>4108.63</v>
      </c>
      <c r="N170" s="97">
        <f t="shared" si="8"/>
        <v>11632.25</v>
      </c>
      <c r="O170" s="97">
        <f t="shared" si="8"/>
        <v>30323.670000000002</v>
      </c>
      <c r="P170" s="97">
        <f t="shared" si="8"/>
        <v>-282522.34000000003</v>
      </c>
      <c r="Q170" s="97">
        <f>Q119+Q122+Q125+Q128+Q131+Q134+Q137+Q140+Q143+Q146+Q158+Q161+Q164+Q167</f>
        <v>909292.99999999988</v>
      </c>
    </row>
    <row r="171" spans="2:17" s="118" customFormat="1" ht="11.4" x14ac:dyDescent="0.2">
      <c r="G171" s="23"/>
      <c r="H171" s="24"/>
      <c r="I171" s="24"/>
      <c r="J171" s="24"/>
      <c r="K171" s="24"/>
      <c r="L171" s="24"/>
      <c r="M171" s="24"/>
      <c r="N171" s="24"/>
      <c r="O171" s="24"/>
      <c r="P171" s="24"/>
      <c r="Q171" s="24"/>
    </row>
    <row r="172" spans="2:17" ht="13.8" x14ac:dyDescent="0.3">
      <c r="G172" s="22"/>
    </row>
    <row r="173" spans="2:17" ht="13.8" x14ac:dyDescent="0.3">
      <c r="B173" s="109" t="s">
        <v>128</v>
      </c>
      <c r="G173" s="22"/>
    </row>
    <row r="174" spans="2:17" x14ac:dyDescent="0.25">
      <c r="G174" s="86" t="s">
        <v>142</v>
      </c>
    </row>
    <row r="175" spans="2:17" ht="13.8" x14ac:dyDescent="0.3">
      <c r="D175" s="15" t="s">
        <v>90</v>
      </c>
      <c r="G175" s="22"/>
      <c r="H175" s="55">
        <v>13000</v>
      </c>
      <c r="I175" s="56">
        <v>8944</v>
      </c>
      <c r="J175" s="56">
        <v>0</v>
      </c>
      <c r="K175" s="56">
        <v>130</v>
      </c>
      <c r="L175" s="56">
        <v>53040</v>
      </c>
      <c r="M175" s="56">
        <v>0</v>
      </c>
      <c r="N175" s="56">
        <v>0</v>
      </c>
      <c r="O175" s="56">
        <v>0</v>
      </c>
      <c r="P175" s="56">
        <v>0</v>
      </c>
      <c r="Q175" s="57">
        <v>75114</v>
      </c>
    </row>
    <row r="176" spans="2:17" ht="13.8" x14ac:dyDescent="0.3">
      <c r="G176" s="22"/>
      <c r="H176" s="87">
        <v>9442.2900000000009</v>
      </c>
      <c r="I176" s="88">
        <v>8894.27</v>
      </c>
      <c r="J176" s="88">
        <v>0</v>
      </c>
      <c r="K176" s="88">
        <v>0</v>
      </c>
      <c r="L176" s="88">
        <v>42302.91</v>
      </c>
      <c r="M176" s="88">
        <v>0</v>
      </c>
      <c r="N176" s="88">
        <v>0</v>
      </c>
      <c r="O176" s="88">
        <v>0</v>
      </c>
      <c r="P176" s="88">
        <v>0</v>
      </c>
      <c r="Q176" s="89">
        <v>60639.47</v>
      </c>
    </row>
    <row r="177" spans="4:19" ht="13.8" x14ac:dyDescent="0.3">
      <c r="G177" s="22"/>
    </row>
    <row r="178" spans="4:19" ht="13.8" x14ac:dyDescent="0.3">
      <c r="D178" s="15" t="s">
        <v>91</v>
      </c>
      <c r="G178" s="22"/>
      <c r="H178" s="55">
        <v>34632</v>
      </c>
      <c r="I178" s="56">
        <v>23826.815999999999</v>
      </c>
      <c r="J178" s="56">
        <v>0</v>
      </c>
      <c r="K178" s="56">
        <v>2605</v>
      </c>
      <c r="L178" s="56">
        <v>20800</v>
      </c>
      <c r="M178" s="56">
        <v>0</v>
      </c>
      <c r="N178" s="56">
        <v>0</v>
      </c>
      <c r="O178" s="56">
        <v>0</v>
      </c>
      <c r="P178" s="56">
        <v>0</v>
      </c>
      <c r="Q178" s="57">
        <v>81863.815999999992</v>
      </c>
    </row>
    <row r="179" spans="4:19" ht="13.8" x14ac:dyDescent="0.3">
      <c r="G179" s="22"/>
      <c r="H179" s="87">
        <v>32286.69</v>
      </c>
      <c r="I179" s="88">
        <v>30165.040000000001</v>
      </c>
      <c r="J179" s="88">
        <v>0</v>
      </c>
      <c r="K179" s="88">
        <v>466.69</v>
      </c>
      <c r="L179" s="88">
        <v>3734.06</v>
      </c>
      <c r="M179" s="88">
        <v>0</v>
      </c>
      <c r="N179" s="88">
        <v>0</v>
      </c>
      <c r="O179" s="88">
        <v>0</v>
      </c>
      <c r="P179" s="88">
        <v>0</v>
      </c>
      <c r="Q179" s="89">
        <v>66652.479999999996</v>
      </c>
    </row>
    <row r="180" spans="4:19" ht="13.8" x14ac:dyDescent="0.3">
      <c r="G180" s="22"/>
    </row>
    <row r="181" spans="4:19" ht="13.8" x14ac:dyDescent="0.3">
      <c r="D181" s="15" t="s">
        <v>92</v>
      </c>
      <c r="G181" s="22"/>
      <c r="H181" s="55">
        <v>20800</v>
      </c>
      <c r="I181" s="56">
        <v>14310.4</v>
      </c>
      <c r="J181" s="56">
        <v>0</v>
      </c>
      <c r="K181" s="56">
        <v>0</v>
      </c>
      <c r="L181" s="56">
        <v>268.12</v>
      </c>
      <c r="M181" s="56">
        <v>0</v>
      </c>
      <c r="N181" s="56">
        <v>0</v>
      </c>
      <c r="O181" s="56">
        <v>0</v>
      </c>
      <c r="P181" s="56">
        <v>0</v>
      </c>
      <c r="Q181" s="57">
        <v>35378.520000000004</v>
      </c>
    </row>
    <row r="182" spans="4:19" ht="13.8" x14ac:dyDescent="0.3">
      <c r="G182" s="22"/>
      <c r="H182" s="87">
        <v>11845.3</v>
      </c>
      <c r="I182" s="88">
        <v>11145.78</v>
      </c>
      <c r="J182" s="88">
        <v>0</v>
      </c>
      <c r="K182" s="88">
        <v>0</v>
      </c>
      <c r="L182" s="88">
        <v>7599.29</v>
      </c>
      <c r="M182" s="88">
        <v>0</v>
      </c>
      <c r="N182" s="88">
        <v>0</v>
      </c>
      <c r="O182" s="88">
        <v>0</v>
      </c>
      <c r="P182" s="88">
        <v>0</v>
      </c>
      <c r="Q182" s="89">
        <v>30590.370000000003</v>
      </c>
    </row>
    <row r="183" spans="4:19" ht="13.8" x14ac:dyDescent="0.3">
      <c r="G183" s="22"/>
    </row>
    <row r="184" spans="4:19" ht="13.8" x14ac:dyDescent="0.3">
      <c r="D184" s="15" t="s">
        <v>93</v>
      </c>
      <c r="G184" s="22"/>
      <c r="H184" s="55">
        <v>24544</v>
      </c>
      <c r="I184" s="56">
        <v>22776.831999999995</v>
      </c>
      <c r="J184" s="56">
        <v>0</v>
      </c>
      <c r="K184" s="56">
        <v>910</v>
      </c>
      <c r="L184" s="56">
        <v>216043.75</v>
      </c>
      <c r="M184" s="56">
        <v>0</v>
      </c>
      <c r="N184" s="56">
        <v>0</v>
      </c>
      <c r="O184" s="56">
        <v>0</v>
      </c>
      <c r="P184" s="56">
        <v>0</v>
      </c>
      <c r="Q184" s="57">
        <v>264274.58199999999</v>
      </c>
    </row>
    <row r="185" spans="4:19" ht="13.8" x14ac:dyDescent="0.3">
      <c r="G185" s="22"/>
      <c r="H185" s="87">
        <v>17370.509999999998</v>
      </c>
      <c r="I185" s="88">
        <v>16290.39</v>
      </c>
      <c r="J185" s="88">
        <v>0</v>
      </c>
      <c r="K185" s="88">
        <v>189.2</v>
      </c>
      <c r="L185" s="88">
        <v>285596.53999999998</v>
      </c>
      <c r="M185" s="88">
        <v>0</v>
      </c>
      <c r="N185" s="88">
        <v>0</v>
      </c>
      <c r="O185" s="88">
        <v>0</v>
      </c>
      <c r="P185" s="88">
        <v>0</v>
      </c>
      <c r="Q185" s="89">
        <v>319446.64</v>
      </c>
    </row>
    <row r="186" spans="4:19" ht="13.8" x14ac:dyDescent="0.3">
      <c r="G186" s="22"/>
    </row>
    <row r="187" spans="4:19" s="109" customFormat="1" ht="13.8" x14ac:dyDescent="0.3">
      <c r="E187" s="75"/>
      <c r="F187" s="75" t="s">
        <v>95</v>
      </c>
      <c r="G187" s="21"/>
      <c r="H187" s="113">
        <v>92976</v>
      </c>
      <c r="I187" s="113">
        <v>69858.047999999995</v>
      </c>
      <c r="J187" s="113">
        <v>0</v>
      </c>
      <c r="K187" s="113">
        <v>3645</v>
      </c>
      <c r="L187" s="113">
        <v>290151.87</v>
      </c>
      <c r="M187" s="113">
        <v>0</v>
      </c>
      <c r="N187" s="113">
        <v>0</v>
      </c>
      <c r="O187" s="113">
        <v>0</v>
      </c>
      <c r="P187" s="113">
        <v>0</v>
      </c>
      <c r="Q187" s="113">
        <v>456630.91800000001</v>
      </c>
    </row>
    <row r="188" spans="4:19" s="109" customFormat="1" ht="13.8" x14ac:dyDescent="0.3">
      <c r="E188" s="75"/>
      <c r="F188" s="75"/>
      <c r="G188" s="21"/>
      <c r="H188" s="97">
        <f>H176+H179+H182+H185</f>
        <v>70944.789999999994</v>
      </c>
      <c r="I188" s="97">
        <f t="shared" ref="I188:Q188" si="9">I176+I179+I182+I185</f>
        <v>66495.48</v>
      </c>
      <c r="J188" s="97">
        <f t="shared" si="9"/>
        <v>0</v>
      </c>
      <c r="K188" s="97">
        <f t="shared" si="9"/>
        <v>655.89</v>
      </c>
      <c r="L188" s="97">
        <f t="shared" si="9"/>
        <v>339232.8</v>
      </c>
      <c r="M188" s="97">
        <f t="shared" si="9"/>
        <v>0</v>
      </c>
      <c r="N188" s="97">
        <f t="shared" si="9"/>
        <v>0</v>
      </c>
      <c r="O188" s="97">
        <f t="shared" si="9"/>
        <v>0</v>
      </c>
      <c r="P188" s="97">
        <f t="shared" si="9"/>
        <v>0</v>
      </c>
      <c r="Q188" s="97">
        <f t="shared" si="9"/>
        <v>477328.96</v>
      </c>
    </row>
    <row r="189" spans="4:19" s="109" customFormat="1" ht="13.8" x14ac:dyDescent="0.3">
      <c r="E189" s="75"/>
      <c r="F189" s="75"/>
      <c r="G189" s="21"/>
      <c r="H189" s="113"/>
      <c r="I189" s="113"/>
      <c r="J189" s="113"/>
      <c r="K189" s="113"/>
      <c r="L189" s="113"/>
      <c r="M189" s="113"/>
      <c r="N189" s="113"/>
      <c r="O189" s="113"/>
      <c r="P189" s="113"/>
      <c r="Q189" s="113"/>
    </row>
    <row r="190" spans="4:19" s="118" customFormat="1" ht="11.4" x14ac:dyDescent="0.2">
      <c r="G190" s="23"/>
      <c r="H190" s="24"/>
      <c r="I190" s="24"/>
      <c r="J190" s="24"/>
      <c r="K190" s="24"/>
      <c r="L190" s="24"/>
      <c r="M190" s="24"/>
      <c r="N190" s="24"/>
      <c r="O190" s="24"/>
      <c r="P190" s="24"/>
      <c r="Q190" s="24"/>
      <c r="S190" s="118" t="s">
        <v>151</v>
      </c>
    </row>
    <row r="191" spans="4:19" x14ac:dyDescent="0.25">
      <c r="G191" s="86" t="s">
        <v>142</v>
      </c>
      <c r="S191" s="118" t="s">
        <v>155</v>
      </c>
    </row>
    <row r="192" spans="4:19" s="109" customFormat="1" x14ac:dyDescent="0.25">
      <c r="E192" s="75"/>
      <c r="F192" s="75" t="s">
        <v>129</v>
      </c>
      <c r="H192" s="113">
        <f>1365652+85560</f>
        <v>1451212</v>
      </c>
      <c r="I192" s="113">
        <v>1265851.0559999999</v>
      </c>
      <c r="J192" s="113">
        <v>582667.77</v>
      </c>
      <c r="K192" s="113">
        <v>67282</v>
      </c>
      <c r="L192" s="113">
        <v>3481406.87</v>
      </c>
      <c r="M192" s="113">
        <v>42603</v>
      </c>
      <c r="N192" s="113">
        <v>8802</v>
      </c>
      <c r="O192" s="113">
        <v>8658310.7918313704</v>
      </c>
      <c r="P192" s="113">
        <v>-282400.8</v>
      </c>
      <c r="Q192" s="113">
        <v>15275734.687831372</v>
      </c>
      <c r="S192" s="118" t="s">
        <v>156</v>
      </c>
    </row>
    <row r="193" spans="5:19" s="109" customFormat="1" x14ac:dyDescent="0.25">
      <c r="E193" s="75"/>
      <c r="F193" s="75"/>
      <c r="H193" s="97">
        <f t="shared" ref="H193:Q193" si="10">H52+H92+H104+H113+H170+H188</f>
        <v>1159067.46</v>
      </c>
      <c r="I193" s="97">
        <f t="shared" si="10"/>
        <v>1090506.07</v>
      </c>
      <c r="J193" s="97">
        <f t="shared" si="10"/>
        <v>334553.13999999996</v>
      </c>
      <c r="K193" s="97">
        <f t="shared" si="10"/>
        <v>32133.18</v>
      </c>
      <c r="L193" s="97">
        <f t="shared" si="10"/>
        <v>3606159.94</v>
      </c>
      <c r="M193" s="97">
        <f t="shared" si="10"/>
        <v>9741.18</v>
      </c>
      <c r="N193" s="97">
        <f t="shared" si="10"/>
        <v>-17785.75</v>
      </c>
      <c r="O193" s="97">
        <f t="shared" si="10"/>
        <v>9858725.2999999989</v>
      </c>
      <c r="P193" s="97">
        <f t="shared" si="10"/>
        <v>-282902.58</v>
      </c>
      <c r="Q193" s="97">
        <f t="shared" si="10"/>
        <v>15790197.939999999</v>
      </c>
      <c r="S193" s="173">
        <f>O193/Q193</f>
        <v>0.62435729668883422</v>
      </c>
    </row>
    <row r="194" spans="5:19" s="118" customFormat="1" ht="11.4" x14ac:dyDescent="0.2">
      <c r="G194" s="23"/>
      <c r="H194" s="24"/>
      <c r="I194" s="24"/>
      <c r="J194" s="24"/>
      <c r="K194" s="24"/>
      <c r="L194" s="24"/>
      <c r="M194" s="24"/>
      <c r="N194" s="24"/>
      <c r="O194" s="24"/>
      <c r="P194" s="24"/>
      <c r="Q194" s="24"/>
      <c r="S194" s="118" t="s">
        <v>157</v>
      </c>
    </row>
    <row r="195" spans="5:19" x14ac:dyDescent="0.25">
      <c r="S195" s="174" t="s">
        <v>158</v>
      </c>
    </row>
    <row r="196" spans="5:19" s="41" customFormat="1" ht="163.19999999999999" x14ac:dyDescent="0.25">
      <c r="E196" s="42"/>
      <c r="F196" s="43" t="s">
        <v>101</v>
      </c>
      <c r="G196" s="44"/>
      <c r="H196" s="45" t="s">
        <v>137</v>
      </c>
      <c r="I196" s="46" t="s">
        <v>130</v>
      </c>
      <c r="J196" s="45" t="s">
        <v>103</v>
      </c>
      <c r="K196" s="45" t="s">
        <v>104</v>
      </c>
      <c r="L196" s="45" t="s">
        <v>105</v>
      </c>
      <c r="M196" s="45" t="s">
        <v>106</v>
      </c>
      <c r="N196" s="45" t="s">
        <v>107</v>
      </c>
      <c r="O196" s="45" t="s">
        <v>108</v>
      </c>
      <c r="P196" s="45" t="s">
        <v>109</v>
      </c>
      <c r="Q196" s="47"/>
      <c r="S196" s="175">
        <f>(O193-O113)/(Q193-Q113)</f>
        <v>0.72985970753503038</v>
      </c>
    </row>
  </sheetData>
  <mergeCells count="1">
    <mergeCell ref="D9:F9"/>
  </mergeCells>
  <pageMargins left="0.7" right="0.7" top="0.75" bottom="0.75" header="0.3" footer="0.3"/>
  <pageSetup paperSize="17" scale="68" orientation="landscape" r:id="rId1"/>
  <headerFooter>
    <oddFooter>&amp;L&amp;P of &amp;N&amp;C&amp;D&amp;R&amp;G</oddFooter>
  </headerFooter>
  <rowBreaks count="4" manualBreakCount="4">
    <brk id="53" max="16383" man="1"/>
    <brk id="93" max="16383" man="1"/>
    <brk id="114" max="16383" man="1"/>
    <brk id="171" max="16383" man="1"/>
  </rowBreaks>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2" x14ac:dyDescent="0.2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1AB1BA8C9C5C5540BD7B93A1D6758338" ma:contentTypeVersion="104" ma:contentTypeDescription="" ma:contentTypeScope="" ma:versionID="0726c319a30ba202483da3ae796884a6">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a73172a68e7f9fac6748cf5da6db34b2"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haredContentType xmlns="Microsoft.SharePoint.Taxonomy.ContentTypeSync" SourceId="1af0c028-e016-4365-948e-cc2e26d65303" ContentTypeId="0x0101006E56B4D1795A2E4DB2F0B01679ED314A" PreviousValue="true"/>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UG</Prefix>
    <DocumentSetType xmlns="dc463f71-b30c-4ab2-9473-d307f9d35888">Compliance</DocumentSetType>
    <Visibility xmlns="dc463f71-b30c-4ab2-9473-d307f9d35888">Full Visibility</Visibility>
    <IsConfidential xmlns="dc463f71-b30c-4ab2-9473-d307f9d35888">false</IsConfidential>
    <AgendaOrder xmlns="dc463f71-b30c-4ab2-9473-d307f9d35888">false</AgendaOrder>
    <CaseType xmlns="dc463f71-b30c-4ab2-9473-d307f9d35888">Staff Investigation</CaseType>
    <IndustryCode xmlns="dc463f71-b30c-4ab2-9473-d307f9d35888">150</IndustryCode>
    <CaseStatus xmlns="dc463f71-b30c-4ab2-9473-d307f9d35888">Closed</CaseStatus>
    <OpenedDate xmlns="dc463f71-b30c-4ab2-9473-d307f9d35888">2017-11-01T07:00:00+00:00</OpenedDate>
    <SignificantOrder xmlns="dc463f71-b30c-4ab2-9473-d307f9d35888">false</SignificantOrder>
    <Date1 xmlns="dc463f71-b30c-4ab2-9473-d307f9d35888">2019-04-01T07:00:00+00:00</Date1>
    <IsDocumentOrder xmlns="dc463f71-b30c-4ab2-9473-d307f9d35888">false</IsDocumentOrder>
    <IsHighlyConfidential xmlns="dc463f71-b30c-4ab2-9473-d307f9d35888">false</IsHighlyConfidential>
    <CaseCompanyNames xmlns="dc463f71-b30c-4ab2-9473-d307f9d35888">Puget Sound Energy</CaseCompanyNames>
    <Nickname xmlns="http://schemas.microsoft.com/sharepoint/v3" xsi:nil="true"/>
    <DocketNumber xmlns="dc463f71-b30c-4ab2-9473-d307f9d35888">171088</DocketNumber>
    <DelegatedOrder xmlns="dc463f71-b30c-4ab2-9473-d307f9d35888">false</DelegatedOrder>
  </documentManagement>
</p:properties>
</file>

<file path=customXml/itemProps1.xml><?xml version="1.0" encoding="utf-8"?>
<ds:datastoreItem xmlns:ds="http://schemas.openxmlformats.org/officeDocument/2006/customXml" ds:itemID="{7D6ECC88-92E1-464C-99C2-FB633C87CF0C}"/>
</file>

<file path=customXml/itemProps2.xml><?xml version="1.0" encoding="utf-8"?>
<ds:datastoreItem xmlns:ds="http://schemas.openxmlformats.org/officeDocument/2006/customXml" ds:itemID="{10262B7F-C338-4EF7-9ADC-9CBE607D8238}"/>
</file>

<file path=customXml/itemProps3.xml><?xml version="1.0" encoding="utf-8"?>
<ds:datastoreItem xmlns:ds="http://schemas.openxmlformats.org/officeDocument/2006/customXml" ds:itemID="{461BBA0D-0D29-4E0B-8339-94C6B76599F5}"/>
</file>

<file path=customXml/itemProps4.xml><?xml version="1.0" encoding="utf-8"?>
<ds:datastoreItem xmlns:ds="http://schemas.openxmlformats.org/officeDocument/2006/customXml" ds:itemID="{8517A232-055C-4FB2-A824-B7AD3A98299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2018 Electric </vt:lpstr>
      <vt:lpstr>2018 Gas</vt:lpstr>
      <vt:lpstr>Sheet3</vt:lpstr>
      <vt:lpstr>'2018 Electric '!Print_Titles</vt:lpstr>
      <vt:lpstr>'2018 Gas'!Print_Titles</vt:lpstr>
    </vt:vector>
  </TitlesOfParts>
  <Company>Puget Sound Energy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Andy Hemstreet</dc:creator>
  <cp:lastModifiedBy>Andy Hemstreet</cp:lastModifiedBy>
  <cp:lastPrinted>2019-01-14T16:33:35Z</cp:lastPrinted>
  <dcterms:created xsi:type="dcterms:W3CDTF">2018-10-26T17:53:46Z</dcterms:created>
  <dcterms:modified xsi:type="dcterms:W3CDTF">2019-02-27T15:34:58Z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0x0101006E56B4D1795A2E4DB2F0B01679ED314A001AB1BA8C9C5C5540BD7B93A1D6758338</vt:lpwstr>
  </property>
  <property fmtid="{D5CDD505-2E9C-101B-9397-08002B2CF9AE}" pid="3" name="_docset_NoMedatataSyncRequired">
    <vt:lpwstr>False</vt:lpwstr>
  </property>
  <property fmtid="{D5CDD505-2E9C-101B-9397-08002B2CF9AE}" pid="4" name="IsEFSEC">
    <vt:bool>false</vt:bool>
  </property>
</Properties>
</file>