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3.xml" ContentType="application/vnd.openxmlformats-officedocument.drawingml.chart+xml"/>
  <Override PartName="/xl/drawings/drawing2.xml" ContentType="application/vnd.openxmlformats-officedocument.drawing+xml"/>
  <Override PartName="/xl/worksheets/sheet1.xml" ContentType="application/vnd.openxmlformats-officedocument.spreadsheetml.worksheet+xml"/>
  <Override PartName="/xl/theme/theme1.xml" ContentType="application/vnd.openxmlformats-officedocument.theme+xml"/>
  <Override PartName="/xl/charts/chart1.xml" ContentType="application/vnd.openxmlformats-officedocument.drawingml.char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2.xml" ContentType="application/vnd.openxmlformats-officedocument.drawingml.chart+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 yWindow="-12" windowWidth="10080" windowHeight="8904" firstSheet="5" activeTab="7"/>
  </bookViews>
  <sheets>
    <sheet name="Agency Budget" sheetId="7" r:id="rId1"/>
    <sheet name="Utility Budget" sheetId="2" r:id="rId2"/>
    <sheet name="Administration" sheetId="3" r:id="rId3"/>
    <sheet name="Conservation Measures" sheetId="5" r:id="rId4"/>
    <sheet name="Health &amp; Safety Measures" sheetId="4" r:id="rId5"/>
    <sheet name="Conservation Potential" sheetId="6" r:id="rId6"/>
    <sheet name="2009 % Revenue" sheetId="9" r:id="rId7"/>
    <sheet name="Sheet1" sheetId="8" r:id="rId8"/>
  </sheets>
  <externalReferences>
    <externalReference r:id="rId9"/>
  </externalReferences>
  <definedNames>
    <definedName name="OLE_LINK1" localSheetId="3">'Conservation Measures'!$A$3</definedName>
    <definedName name="_xlnm.Print_Titles" localSheetId="2">Administration!$1:$2</definedName>
    <definedName name="_xlnm.Print_Titles" localSheetId="3">'Conservation Measures'!$1:$2</definedName>
    <definedName name="_xlnm.Print_Titles" localSheetId="1">'Utility Budget'!$1:$1</definedName>
  </definedNames>
  <calcPr calcId="125725"/>
</workbook>
</file>

<file path=xl/calcChain.xml><?xml version="1.0" encoding="utf-8"?>
<calcChain xmlns="http://schemas.openxmlformats.org/spreadsheetml/2006/main">
  <c r="I9" i="7"/>
  <c r="E9"/>
  <c r="I7"/>
  <c r="G7" s="1"/>
  <c r="F40" i="9"/>
  <c r="E40"/>
  <c r="D40"/>
  <c r="C40"/>
  <c r="B40"/>
  <c r="B41" s="1"/>
  <c r="F35"/>
  <c r="E35"/>
  <c r="D35"/>
  <c r="E30"/>
  <c r="C42" s="1"/>
  <c r="D30"/>
  <c r="E42" s="1"/>
  <c r="C30"/>
  <c r="D42" s="1"/>
  <c r="B30"/>
  <c r="B42" s="1"/>
  <c r="E28"/>
  <c r="D28"/>
  <c r="E41" s="1"/>
  <c r="C28"/>
  <c r="D41" s="1"/>
  <c r="B28"/>
  <c r="F27"/>
  <c r="E25"/>
  <c r="D25"/>
  <c r="C25"/>
  <c r="B25"/>
  <c r="F25" s="1"/>
  <c r="E23"/>
  <c r="E24" s="1"/>
  <c r="D23"/>
  <c r="D24" s="1"/>
  <c r="E37" s="1"/>
  <c r="C23"/>
  <c r="D36" s="1"/>
  <c r="B23"/>
  <c r="B24" s="1"/>
  <c r="E21"/>
  <c r="E22" s="1"/>
  <c r="E26" s="1"/>
  <c r="E32" s="1"/>
  <c r="D21"/>
  <c r="D22" s="1"/>
  <c r="C21"/>
  <c r="D38" s="1"/>
  <c r="B21"/>
  <c r="B22" s="1"/>
  <c r="B26" s="1"/>
  <c r="B32" s="1"/>
  <c r="D14"/>
  <c r="C14"/>
  <c r="F42" s="1"/>
  <c r="B14"/>
  <c r="F14" s="1"/>
  <c r="D12"/>
  <c r="C12"/>
  <c r="F41" s="1"/>
  <c r="B12"/>
  <c r="F11"/>
  <c r="F12" s="1"/>
  <c r="D9"/>
  <c r="C9"/>
  <c r="B9"/>
  <c r="F9" s="1"/>
  <c r="F10" s="1"/>
  <c r="F16" s="1"/>
  <c r="D7"/>
  <c r="D8" s="1"/>
  <c r="C7"/>
  <c r="F36" s="1"/>
  <c r="F44" s="1"/>
  <c r="B7"/>
  <c r="B36" s="1"/>
  <c r="D5"/>
  <c r="D6" s="1"/>
  <c r="D10" s="1"/>
  <c r="D16" s="1"/>
  <c r="C5"/>
  <c r="F38" s="1"/>
  <c r="B5"/>
  <c r="B38" s="1"/>
  <c r="E5" i="6"/>
  <c r="F5"/>
  <c r="H7" i="7"/>
  <c r="C7"/>
  <c r="B7"/>
  <c r="C8"/>
  <c r="D8"/>
  <c r="F8"/>
  <c r="H8"/>
  <c r="I8"/>
  <c r="J8"/>
  <c r="K8"/>
  <c r="B8"/>
  <c r="C3" i="2"/>
  <c r="D3"/>
  <c r="E3"/>
  <c r="C4"/>
  <c r="D4"/>
  <c r="E4"/>
  <c r="C5"/>
  <c r="C7"/>
  <c r="C8"/>
  <c r="C9"/>
  <c r="C11"/>
  <c r="D11"/>
  <c r="B9"/>
  <c r="B5"/>
  <c r="B4"/>
  <c r="B7"/>
  <c r="B8"/>
  <c r="B11"/>
  <c r="B3"/>
  <c r="E27"/>
  <c r="D49"/>
  <c r="C49"/>
  <c r="B49"/>
  <c r="C47"/>
  <c r="C16" i="7"/>
  <c r="B16"/>
  <c r="C26" i="2"/>
  <c r="C25" s="1"/>
  <c r="F10" i="6"/>
  <c r="F14" s="1"/>
  <c r="E10"/>
  <c r="E25" i="2"/>
  <c r="D25"/>
  <c r="C3" i="6"/>
  <c r="E5" i="2"/>
  <c r="D5"/>
  <c r="C38"/>
  <c r="B38"/>
  <c r="E47"/>
  <c r="D47"/>
  <c r="E7" i="7" l="1"/>
  <c r="E8" s="1"/>
  <c r="G8"/>
  <c r="D26" i="9"/>
  <c r="D32" s="1"/>
  <c r="E39"/>
  <c r="B39"/>
  <c r="B44"/>
  <c r="B37"/>
  <c r="D44"/>
  <c r="G42"/>
  <c r="C41"/>
  <c r="F5"/>
  <c r="F6" s="1"/>
  <c r="C6"/>
  <c r="F7"/>
  <c r="F8" s="1"/>
  <c r="C8"/>
  <c r="F37" s="1"/>
  <c r="F21"/>
  <c r="C22"/>
  <c r="F23"/>
  <c r="C24"/>
  <c r="D37" s="1"/>
  <c r="F30"/>
  <c r="F28" s="1"/>
  <c r="C36"/>
  <c r="E36"/>
  <c r="C38"/>
  <c r="C39" s="1"/>
  <c r="E38"/>
  <c r="G40"/>
  <c r="G41" s="1"/>
  <c r="B6"/>
  <c r="B8"/>
  <c r="B47" i="2"/>
  <c r="B10" i="6"/>
  <c r="D14"/>
  <c r="E14"/>
  <c r="C44" i="9" l="1"/>
  <c r="C37"/>
  <c r="B10"/>
  <c r="B16" s="1"/>
  <c r="E44"/>
  <c r="F24"/>
  <c r="F22"/>
  <c r="G36"/>
  <c r="F26"/>
  <c r="F32" s="1"/>
  <c r="D39"/>
  <c r="C26"/>
  <c r="C32" s="1"/>
  <c r="F39"/>
  <c r="C10"/>
  <c r="C16" s="1"/>
  <c r="G38"/>
  <c r="G39" s="1"/>
  <c r="K10" i="7"/>
  <c r="I10"/>
  <c r="G10"/>
  <c r="E10"/>
  <c r="C10" i="6"/>
  <c r="C5"/>
  <c r="I10"/>
  <c r="G10"/>
  <c r="G14" s="1"/>
  <c r="J9"/>
  <c r="J10" s="1"/>
  <c r="H3"/>
  <c r="G4"/>
  <c r="G5" s="1"/>
  <c r="H5" s="1"/>
  <c r="C14" i="2"/>
  <c r="D14"/>
  <c r="E14"/>
  <c r="B14"/>
  <c r="D27"/>
  <c r="B4" i="6"/>
  <c r="B5" s="1"/>
  <c r="B14" s="1"/>
  <c r="G44" i="9" l="1"/>
  <c r="G37"/>
  <c r="C14" i="6"/>
</calcChain>
</file>

<file path=xl/comments1.xml><?xml version="1.0" encoding="utf-8"?>
<comments xmlns="http://schemas.openxmlformats.org/spreadsheetml/2006/main">
  <authors>
    <author>Deb Reynolds</author>
  </authors>
  <commentList>
    <comment ref="E7" authorId="0">
      <text>
        <r>
          <rPr>
            <b/>
            <sz val="10"/>
            <color indexed="81"/>
            <rFont val="Tahoma"/>
            <family val="2"/>
          </rPr>
          <t>Deb Reynolds:</t>
        </r>
        <r>
          <rPr>
            <sz val="10"/>
            <color indexed="81"/>
            <rFont val="Tahoma"/>
            <family val="2"/>
          </rPr>
          <t xml:space="preserve">
Total expenditures - health &amp; safety estimate - program support</t>
        </r>
      </text>
    </comment>
    <comment ref="G7" authorId="0">
      <text>
        <r>
          <rPr>
            <b/>
            <sz val="10"/>
            <color indexed="81"/>
            <rFont val="Tahoma"/>
            <family val="2"/>
          </rPr>
          <t>Deb Reynolds:</t>
        </r>
        <r>
          <rPr>
            <sz val="10"/>
            <color indexed="81"/>
            <rFont val="Tahoma"/>
            <family val="2"/>
          </rPr>
          <t xml:space="preserve">
= Disbursement to CAP agencies - 15% for admin - HHS measures</t>
        </r>
      </text>
    </comment>
    <comment ref="I7" authorId="0">
      <text>
        <r>
          <rPr>
            <b/>
            <sz val="10"/>
            <color indexed="81"/>
            <rFont val="Tahoma"/>
            <family val="2"/>
          </rPr>
          <t>Deb Reynolds:</t>
        </r>
        <r>
          <rPr>
            <sz val="10"/>
            <color indexed="81"/>
            <rFont val="Tahoma"/>
            <family val="2"/>
          </rPr>
          <t xml:space="preserve">
85% of budget number  $607,459</t>
        </r>
      </text>
    </comment>
  </commentList>
</comments>
</file>

<file path=xl/comments2.xml><?xml version="1.0" encoding="utf-8"?>
<comments xmlns="http://schemas.openxmlformats.org/spreadsheetml/2006/main">
  <authors>
    <author>Deb Reynolds</author>
  </authors>
  <commentList>
    <comment ref="D5" authorId="0">
      <text>
        <r>
          <rPr>
            <b/>
            <sz val="10"/>
            <color indexed="81"/>
            <rFont val="Tahoma"/>
            <family val="2"/>
          </rPr>
          <t>Deb Reynolds:</t>
        </r>
        <r>
          <rPr>
            <sz val="10"/>
            <color indexed="81"/>
            <rFont val="Tahoma"/>
            <family val="2"/>
          </rPr>
          <t xml:space="preserve">
target for 2011</t>
        </r>
      </text>
    </comment>
    <comment ref="C10" authorId="0">
      <text>
        <r>
          <rPr>
            <b/>
            <sz val="10"/>
            <color indexed="81"/>
            <rFont val="Tahoma"/>
            <family val="2"/>
          </rPr>
          <t>Deb Reynolds:</t>
        </r>
        <r>
          <rPr>
            <sz val="10"/>
            <color indexed="81"/>
            <rFont val="Tahoma"/>
            <family val="2"/>
          </rPr>
          <t xml:space="preserve">
Response suggested 20% of potential. This uses 20% of 2009 residential customers.</t>
        </r>
      </text>
    </comment>
    <comment ref="D10" authorId="0">
      <text>
        <r>
          <rPr>
            <b/>
            <sz val="10"/>
            <color indexed="81"/>
            <rFont val="Tahoma"/>
            <family val="2"/>
          </rPr>
          <t>Deb Reynolds:</t>
        </r>
        <r>
          <rPr>
            <sz val="10"/>
            <color indexed="81"/>
            <rFont val="Tahoma"/>
            <family val="2"/>
          </rPr>
          <t xml:space="preserve">
Page 12 of Energy Efficiency Plan. This is about 11% of NWN's residential customer base.</t>
        </r>
      </text>
    </comment>
    <comment ref="E10" authorId="0">
      <text>
        <r>
          <rPr>
            <b/>
            <sz val="10"/>
            <color indexed="81"/>
            <rFont val="Tahoma"/>
            <family val="2"/>
          </rPr>
          <t>Deb Reynolds:</t>
        </r>
        <r>
          <rPr>
            <sz val="10"/>
            <color indexed="81"/>
            <rFont val="Tahoma"/>
            <family val="2"/>
          </rPr>
          <t xml:space="preserve">
20% of Avista's 2009 residential electric customers</t>
        </r>
      </text>
    </comment>
    <comment ref="E18" authorId="0">
      <text>
        <r>
          <rPr>
            <b/>
            <sz val="10"/>
            <color indexed="81"/>
            <rFont val="Tahoma"/>
            <family val="2"/>
          </rPr>
          <t>Deb Reynolds:</t>
        </r>
        <r>
          <rPr>
            <sz val="10"/>
            <color indexed="81"/>
            <rFont val="Tahoma"/>
            <family val="2"/>
          </rPr>
          <t xml:space="preserve">
1st year economic potential 2012</t>
        </r>
      </text>
    </comment>
  </commentList>
</comments>
</file>

<file path=xl/comments3.xml><?xml version="1.0" encoding="utf-8"?>
<comments xmlns="http://schemas.openxmlformats.org/spreadsheetml/2006/main">
  <authors>
    <author>Deb Reynolds</author>
  </authors>
  <commentList>
    <comment ref="A14" authorId="0">
      <text>
        <r>
          <rPr>
            <b/>
            <sz val="10"/>
            <color indexed="81"/>
            <rFont val="Tahoma"/>
            <family val="2"/>
          </rPr>
          <t>Deb Reynolds:</t>
        </r>
        <r>
          <rPr>
            <sz val="10"/>
            <color indexed="81"/>
            <rFont val="Tahoma"/>
            <family val="2"/>
          </rPr>
          <t xml:space="preserve">
Annual report statistics DR res+com+lights</t>
        </r>
      </text>
    </comment>
    <comment ref="C27" authorId="0">
      <text>
        <r>
          <rPr>
            <b/>
            <sz val="10"/>
            <color indexed="81"/>
            <rFont val="Tahoma"/>
            <family val="2"/>
          </rPr>
          <t>Deb Reynolds:</t>
        </r>
        <r>
          <rPr>
            <sz val="10"/>
            <color indexed="81"/>
            <rFont val="Tahoma"/>
            <family val="2"/>
          </rPr>
          <t xml:space="preserve">
Same as last year.</t>
        </r>
      </text>
    </comment>
    <comment ref="D27" authorId="0">
      <text>
        <r>
          <rPr>
            <b/>
            <sz val="10"/>
            <color indexed="81"/>
            <rFont val="Tahoma"/>
            <family val="2"/>
          </rPr>
          <t>Deb Reynolds:</t>
        </r>
        <r>
          <rPr>
            <sz val="10"/>
            <color indexed="81"/>
            <rFont val="Tahoma"/>
            <family val="2"/>
          </rPr>
          <t xml:space="preserve">
proposed</t>
        </r>
      </text>
    </comment>
  </commentList>
</comments>
</file>

<file path=xl/sharedStrings.xml><?xml version="1.0" encoding="utf-8"?>
<sst xmlns="http://schemas.openxmlformats.org/spreadsheetml/2006/main" count="330" uniqueCount="219">
  <si>
    <t>Pacificorp</t>
  </si>
  <si>
    <t>PacifiCorp</t>
  </si>
  <si>
    <t>Low Income Conservation Budget</t>
  </si>
  <si>
    <t>Total Utility Disbursement to CAP</t>
  </si>
  <si>
    <t>Percentage of DSM Budget</t>
  </si>
  <si>
    <t>Electric space heating duct insulation and sealing in unheated spaces;</t>
  </si>
  <si>
    <t>Timed thermostats on centrally controlled electric heat systems and heat anticipating thermostats for zonal electric heating systems;</t>
  </si>
  <si>
    <t>Compact fluorescent light bulbs, limit of 10 per home in fixtures in use 2 or more hours per day;</t>
  </si>
  <si>
    <t>Weather-stripping and caulking including blower door assisted air sealing and duct sealing in electrically heated homes;</t>
  </si>
  <si>
    <t>Dehumidifiers in electrically heated homes;</t>
  </si>
  <si>
    <t>Total homes weatherized</t>
  </si>
  <si>
    <t>years</t>
  </si>
  <si>
    <t>Question 5 - List of the types of conservation measures installed.</t>
  </si>
  <si>
    <t>Question 4 - Provide an explanation of administration of low-income conservation programs.</t>
  </si>
  <si>
    <t>Tariffs</t>
  </si>
  <si>
    <t>Rebate limits</t>
  </si>
  <si>
    <t>Eligibility</t>
  </si>
  <si>
    <t>Agencies</t>
  </si>
  <si>
    <t>Blue Mountain Action Council in Walla Walla, Northwest Community Action Center in Toppenish and Opportunities Industrialization Center of Washington in Yakima</t>
  </si>
  <si>
    <t>Low-income Weatherization Program Description Schedule 114. System Benefits Charge Adjustment Schedule 191</t>
  </si>
  <si>
    <t xml:space="preserve">Pacific Power provides a rebate of 50 percent of the cost of installing approved measures when the Agencies have state Matchmaker program funding available, and 100 percent of costs when the funding is not available. </t>
  </si>
  <si>
    <t xml:space="preserve">Agencies bill the Company for an administrative cost reimbursement calculated as 15 percent of the rebate requested on each completed home.   </t>
  </si>
  <si>
    <t>Reimbursements on related home repairs are available up to 15 percent of the annual reimbursement on energy efficiency measures received.</t>
  </si>
  <si>
    <t>Admin costs</t>
  </si>
  <si>
    <t>Repair limits</t>
  </si>
  <si>
    <t>Services are available to homeowners and renters residing in single-family homes, manufactured homes and apartments.</t>
  </si>
  <si>
    <t>Blue Mountain Action Council</t>
  </si>
  <si>
    <t>Northwest Community Action Center</t>
  </si>
  <si>
    <t>Opportunity Industrialization Center Yakima</t>
  </si>
  <si>
    <t>Northwest Natural</t>
  </si>
  <si>
    <t>The lesser of $525 or 15% of job cost</t>
  </si>
  <si>
    <t>90% of cost-effective measures up to $3500/home</t>
  </si>
  <si>
    <t>An average of $440/home may be spent on H&amp;S</t>
  </si>
  <si>
    <t>Infiltration (Shell Sealing)</t>
  </si>
  <si>
    <t>Direct Vent Space heater</t>
  </si>
  <si>
    <t>Space Heater</t>
  </si>
  <si>
    <t>HE Water Heater (EF=.62)</t>
  </si>
  <si>
    <t>NWN</t>
  </si>
  <si>
    <t>Schedule I</t>
  </si>
  <si>
    <t>Clark County Community Services and Washington Gorge Action Porgram</t>
  </si>
  <si>
    <t>Cost Effectiveness</t>
  </si>
  <si>
    <t>TREAT audit required on each home</t>
  </si>
  <si>
    <t>SIR analysis required on each home ratio must be 1.0 or better</t>
  </si>
  <si>
    <t>Clark County Community Services</t>
  </si>
  <si>
    <t xml:space="preserve">shell measures such as attic, wall, and floor insulation; </t>
  </si>
  <si>
    <t xml:space="preserve">base-load measures such as  refrigerator replacement, incandescent light bulb and fixture change-outs; </t>
  </si>
  <si>
    <t xml:space="preserve">energy-related water efficiency measures such as hot water tank wraps; showerheads, flow restrictors; </t>
  </si>
  <si>
    <t xml:space="preserve">heating system treatments such as  furnace tune-ups, furnace replacement, duct sealing and insulation; </t>
  </si>
  <si>
    <t>diagnostically-driven air leakage control; and</t>
  </si>
  <si>
    <t>low-cost/no-cost energy-saving measures</t>
  </si>
  <si>
    <t>The Energy Project</t>
  </si>
  <si>
    <t>electrical knob-and-tube wiring and minor energy-related electrical repair;</t>
  </si>
  <si>
    <t xml:space="preserve">diagnostic testing for indoor air quality; </t>
  </si>
  <si>
    <t>heating system repair or replacement;</t>
  </si>
  <si>
    <t>combustion safety testing;</t>
  </si>
  <si>
    <t>repair of a solid fuel burning appliance (not allowed by BPA);</t>
  </si>
  <si>
    <t>smoke detectors;</t>
  </si>
  <si>
    <t>carbon monoxide detectors;</t>
  </si>
  <si>
    <t xml:space="preserve">window repair or replacement; and </t>
  </si>
  <si>
    <t xml:space="preserve">lead-safe weatherization (required when lead containing materials will be disturbed by the installation).  </t>
  </si>
  <si>
    <t xml:space="preserve">Schedule 114 allows for Agencies to bill the Company for reimbursement on home repairs.  </t>
  </si>
  <si>
    <t>All</t>
  </si>
  <si>
    <t>Varies</t>
  </si>
  <si>
    <t>Up to 15 percent of the annual reimbursement on energy efficiency measures received.</t>
  </si>
  <si>
    <t>&lt;= 200% Federal poverty or &lt;= 80% State median income</t>
  </si>
  <si>
    <t>CE includes</t>
  </si>
  <si>
    <t>CE excludes</t>
  </si>
  <si>
    <t>Repairs required to protect Wx measure (roof, etc)</t>
  </si>
  <si>
    <t>Health &amp; safety measures (CO monitors)</t>
  </si>
  <si>
    <t>Health &amp; Safety limits</t>
  </si>
  <si>
    <t>Apprise 2007</t>
  </si>
  <si>
    <t>&lt;=200%</t>
  </si>
  <si>
    <t>&lt;=125%</t>
  </si>
  <si>
    <t>Service Area Qualifying Homes</t>
  </si>
  <si>
    <t>Program</t>
  </si>
  <si>
    <t>Budget</t>
  </si>
  <si>
    <t>Expenditures</t>
  </si>
  <si>
    <t>NA</t>
  </si>
  <si>
    <t>Total</t>
  </si>
  <si>
    <t>% of Budget</t>
  </si>
  <si>
    <t>* This is a multi-year budget which has been "normalized" to 12 months.</t>
  </si>
  <si>
    <t>Cascade</t>
  </si>
  <si>
    <t>Duct Sealing and Insulation</t>
  </si>
  <si>
    <t>Air Infiltration Reduction</t>
  </si>
  <si>
    <t>Low Income Weatherization Incentive Program Sheet 301</t>
  </si>
  <si>
    <t>None?</t>
  </si>
  <si>
    <t>Treat audit or Commerce's approved measure list</t>
  </si>
  <si>
    <t>The lesser amount of the sum of the first year therm savings (100% of avoided cost) OR the sum of the installed cost plus $225 energy audit fee</t>
  </si>
  <si>
    <t>Spokane Neighborhood Action Partners</t>
  </si>
  <si>
    <t>Community Action Partnership</t>
  </si>
  <si>
    <t>Rural Resources Community Action</t>
  </si>
  <si>
    <t>Washington Gorge Action Programs</t>
  </si>
  <si>
    <t>NWN, Avista</t>
  </si>
  <si>
    <t>PacifiCorp, Avista</t>
  </si>
  <si>
    <t>Community Action Center of Whitman County</t>
  </si>
  <si>
    <t>Avista</t>
  </si>
  <si>
    <t>Air infiltration</t>
  </si>
  <si>
    <t>Programmable thermostat</t>
  </si>
  <si>
    <t>Other measures that may not be listed</t>
  </si>
  <si>
    <t>Repair plumbing leaks</t>
  </si>
  <si>
    <t>Install CO Detector</t>
  </si>
  <si>
    <t>MWh</t>
  </si>
  <si>
    <t>Therms</t>
  </si>
  <si>
    <t>PSE</t>
  </si>
  <si>
    <t>Schedule 91 and 191 Energy Efficiency Rider</t>
  </si>
  <si>
    <t>Spokane Neighborhood Action Partners (SNAP), Community Action Partnership (Lewiston, ID, serving the area of Clarkston, WA), Rural Resources Community Action, Opportunities Industrialization Center (OIC) of Washington, Washington Gorge Action Programs, Community Action Center of Whitman County</t>
  </si>
  <si>
    <t>100% of the installed cost</t>
  </si>
  <si>
    <t>15% of installed cost</t>
  </si>
  <si>
    <t>Health and safety treated the same as repair.</t>
  </si>
  <si>
    <t>Avista maintains a list of approved measures.</t>
  </si>
  <si>
    <t>CFL Screw-in Lamps</t>
  </si>
  <si>
    <t>Setback Thermostat</t>
  </si>
  <si>
    <t>Water Heater Replacement</t>
  </si>
  <si>
    <t>Carbon Monoxide Detector</t>
  </si>
  <si>
    <t>In-home energy education</t>
  </si>
  <si>
    <t>Zonal Space Heater Replacement</t>
  </si>
  <si>
    <t>Smoke Alarm</t>
  </si>
  <si>
    <t>Heat Anticipating Thermostat</t>
  </si>
  <si>
    <t>Ground Vapor Barrier</t>
  </si>
  <si>
    <t>Water Heater Repair</t>
  </si>
  <si>
    <t>Health Related Repairs</t>
  </si>
  <si>
    <t>Available for repairs - 15%</t>
  </si>
  <si>
    <t>Available for repairs - $0</t>
  </si>
  <si>
    <t>Available for repairs - varies</t>
  </si>
  <si>
    <t>Available for repairs - 10%</t>
  </si>
  <si>
    <t>Homes weatherized</t>
  </si>
  <si>
    <t>Percentage of Revenue</t>
  </si>
  <si>
    <t>Actual spending</t>
  </si>
  <si>
    <t>Opportunity Council</t>
  </si>
  <si>
    <t>Olympic CAP</t>
  </si>
  <si>
    <t>City of Seattle Office of Housing</t>
  </si>
  <si>
    <t>King County Housing Authority</t>
  </si>
  <si>
    <t>Kitsap Community Resources</t>
  </si>
  <si>
    <t>HopeSource</t>
  </si>
  <si>
    <t>Metropolitan Development Council</t>
  </si>
  <si>
    <t>Pierce County CAA</t>
  </si>
  <si>
    <t>Housing Authority of Skagit County</t>
  </si>
  <si>
    <t>Snohomish County Human Service Department</t>
  </si>
  <si>
    <t>Community Action Council of Lewis, Mason and Thurston counties</t>
  </si>
  <si>
    <t>Electric</t>
  </si>
  <si>
    <t>Gas</t>
  </si>
  <si>
    <t>Electric &amp; Gas</t>
  </si>
  <si>
    <t>Total LI spending</t>
  </si>
  <si>
    <t>ALL COMPANIES</t>
  </si>
  <si>
    <t>Average Percentage of DSM Budget</t>
  </si>
  <si>
    <t>PSE - combined gas &amp; electric</t>
  </si>
  <si>
    <t>includes increase in multifamily</t>
  </si>
  <si>
    <t>larger due to ENRON and REC settlements</t>
  </si>
  <si>
    <t>Avista - combined gas &amp; electric</t>
  </si>
  <si>
    <t>What can we do better or differently?</t>
  </si>
  <si>
    <t>Other questions</t>
  </si>
  <si>
    <t>Can we compare throughput of regular conservation to low income programs?</t>
  </si>
  <si>
    <t>Question 6 - List of types of health and human safety measures installed.</t>
  </si>
  <si>
    <t>Question 8 - Best information available on conservation potential for low-income customers.</t>
  </si>
  <si>
    <t xml:space="preserve">Years until all eligible homes </t>
  </si>
  <si>
    <t xml:space="preserve">      weatherized (assumes this is even possible)</t>
  </si>
  <si>
    <t>ave homes/year</t>
  </si>
  <si>
    <t>of Energy Project</t>
  </si>
  <si>
    <t xml:space="preserve">              (Assumes 20% of each company's 2009 residential customers)</t>
  </si>
  <si>
    <t xml:space="preserve">Statewide Qualifying Homes  </t>
  </si>
  <si>
    <t>(converted statewide number to service area number assuming IOUs serve 40% of electric customers)</t>
  </si>
  <si>
    <t>Budget available for repairs</t>
  </si>
  <si>
    <t>Total low-income conservation spending</t>
  </si>
  <si>
    <t>Average Low-income conservation spending as a Percentage of Revenue</t>
  </si>
  <si>
    <t>Can we find a common definition of low income?</t>
  </si>
  <si>
    <t>Should we be using an alternative measurement?</t>
  </si>
  <si>
    <t>Question 1 - For low-income agencies, a complete budget for low-income conservation including housing repair, health and safety assistance and spending as a proportion of total conservation budget.</t>
  </si>
  <si>
    <t>Question 2 - For each utility, a complete budget for low-income conservation including housing repair, health and safety assistance and spending as a proportion of total conservation budget.</t>
  </si>
  <si>
    <t>PROGRAM COMPARISON</t>
  </si>
  <si>
    <r>
      <rPr>
        <b/>
        <sz val="11"/>
        <color indexed="8"/>
        <rFont val="Calibri"/>
        <family val="2"/>
      </rPr>
      <t>2009</t>
    </r>
    <r>
      <rPr>
        <sz val="11"/>
        <color theme="1"/>
        <rFont val="Calibri"/>
        <family val="2"/>
        <scheme val="minor"/>
      </rPr>
      <t xml:space="preserve"> Electric Special Programs</t>
    </r>
  </si>
  <si>
    <t>Pacific</t>
  </si>
  <si>
    <t>All electric companies</t>
  </si>
  <si>
    <t>Conservation</t>
  </si>
  <si>
    <t>Low Income Conservation</t>
  </si>
  <si>
    <t>Total Conservation</t>
  </si>
  <si>
    <t>Low Income Bill Assistance</t>
  </si>
  <si>
    <t>Total Revenue</t>
  </si>
  <si>
    <t>Portion of Revenue for Special Programs</t>
  </si>
  <si>
    <r>
      <rPr>
        <b/>
        <sz val="11"/>
        <color indexed="8"/>
        <rFont val="Calibri"/>
        <family val="2"/>
      </rPr>
      <t>2009</t>
    </r>
    <r>
      <rPr>
        <sz val="11"/>
        <color theme="1"/>
        <rFont val="Calibri"/>
        <family val="2"/>
        <scheme val="minor"/>
      </rPr>
      <t xml:space="preserve"> Natural Gas Special Programs</t>
    </r>
  </si>
  <si>
    <t>All Gas companies</t>
  </si>
  <si>
    <t>Total Revenue (Res+com+ind)</t>
  </si>
  <si>
    <t>DUAL FUEL ANALYSIS</t>
  </si>
  <si>
    <t>All companies</t>
  </si>
  <si>
    <t>Bill Assistance</t>
  </si>
  <si>
    <t>Combined Revenue</t>
  </si>
  <si>
    <t>Admin Budget</t>
  </si>
  <si>
    <t>Admin Expenditures</t>
  </si>
  <si>
    <t>Program Support Budget</t>
  </si>
  <si>
    <t>Program Support Expenditures</t>
  </si>
  <si>
    <t>Health &amp; Safety Budget</t>
  </si>
  <si>
    <t>Health &amp; Safety Expenditures</t>
  </si>
  <si>
    <t>WX-Related Repairs Budget</t>
  </si>
  <si>
    <t>WX-Related Repairs Expenditures</t>
  </si>
  <si>
    <t>BPA</t>
  </si>
  <si>
    <t>WA Energy Matchmaker</t>
  </si>
  <si>
    <t>Non-low-income Conservation</t>
  </si>
  <si>
    <t>Low-income Conservation</t>
  </si>
  <si>
    <t>UTC-regulated</t>
  </si>
  <si>
    <t>US Dept. of Energy</t>
  </si>
  <si>
    <t>US Dept. of Health &amp; Human Services</t>
  </si>
  <si>
    <t>Attic/Ceiling Insulation; Floor Insulation; Wall Insulation</t>
  </si>
  <si>
    <t xml:space="preserve">90% High Efficiency Furnace; Furnace Tune-up; Duct Insulation; Duct Sealing; </t>
  </si>
  <si>
    <t>Hot Water Pipe Insulation; Faucet Aerators</t>
  </si>
  <si>
    <t>Ground cover and water pipe insulation when installed with floor insulation; Energy efficient showerheads and aerators when electric water heaters are in use;</t>
  </si>
  <si>
    <t>Ceiling, floor and wall insulation in electrically heated homes if cost effective; Thermal doors in electrically heated homes; Class 40 replacement windows in electrically heated homes if cost effective</t>
  </si>
  <si>
    <t>Attic ventilation when installed with ceiling insulation; Replacement of electric water heaters if cost effective; Fluorescent light fixtures; Refrigerators when the model in use has monitored results showing annual usage of 1,500 kWh or more;</t>
  </si>
  <si>
    <t>Insulation (floor, wall, ceiling); Energy Star windows; Energy Star doors</t>
  </si>
  <si>
    <t>Electric to natural gas furnace; Duct sealing &amp; insulation; Natural gas furnaces</t>
  </si>
  <si>
    <t>Electric to natural gas water heater; Energy Star Refrigerators; Natural gas water heaters</t>
  </si>
  <si>
    <t>Ceiling Insulation R‐2; Ceiling Insulation R‐12; Floor Insulation; Wall Insulation; Windows</t>
  </si>
  <si>
    <t>Duct Insulation; Duct Sealing</t>
  </si>
  <si>
    <t>Ceiling Insulation; Floor Insulation; Wall Insulation; Windows</t>
  </si>
  <si>
    <t>Doorsweep; Structure Sealing; Weatherstrip</t>
  </si>
  <si>
    <t xml:space="preserve">Aerator; Shower Head; Pipe Insulation; Water heater wrap; </t>
  </si>
  <si>
    <t>Refrigerator Replacement; Water Heater Replacement; CFL fixtures (indoor); CFL fixtures (outdoor)</t>
  </si>
  <si>
    <t>Timer on bath fans; Replace dryer vent; Repair kitchen fan damper</t>
  </si>
  <si>
    <t>Furnace Repair and Maintenance; Furnace Replacement</t>
  </si>
  <si>
    <t xml:space="preserve">Combustion safety testing; </t>
  </si>
  <si>
    <t>Mechanical ventilation</t>
  </si>
</sst>
</file>

<file path=xl/styles.xml><?xml version="1.0" encoding="utf-8"?>
<styleSheet xmlns="http://schemas.openxmlformats.org/spreadsheetml/2006/main">
  <numFmts count="7">
    <numFmt numFmtId="5" formatCode="&quot;$&quot;#,##0_);\(&quot;$&quot;#,##0\)"/>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s>
  <fonts count="8">
    <font>
      <sz val="11"/>
      <color theme="1"/>
      <name val="Calibri"/>
      <family val="2"/>
      <scheme val="minor"/>
    </font>
    <font>
      <sz val="11"/>
      <color theme="1"/>
      <name val="Calibri"/>
      <family val="2"/>
      <scheme val="minor"/>
    </font>
    <font>
      <sz val="10"/>
      <color indexed="81"/>
      <name val="Tahoma"/>
      <family val="2"/>
    </font>
    <font>
      <b/>
      <sz val="10"/>
      <color indexed="81"/>
      <name val="Tahoma"/>
      <family val="2"/>
    </font>
    <font>
      <sz val="14"/>
      <color theme="1"/>
      <name val="Calibri"/>
      <family val="2"/>
      <scheme val="minor"/>
    </font>
    <font>
      <b/>
      <sz val="11"/>
      <color theme="1"/>
      <name val="Calibri"/>
      <family val="2"/>
      <scheme val="minor"/>
    </font>
    <font>
      <sz val="16"/>
      <color theme="1"/>
      <name val="Calibri"/>
      <family val="2"/>
      <scheme val="minor"/>
    </font>
    <font>
      <b/>
      <sz val="11"/>
      <color indexed="8"/>
      <name val="Calibri"/>
      <family val="2"/>
    </font>
  </fonts>
  <fills count="3">
    <fill>
      <patternFill patternType="none"/>
    </fill>
    <fill>
      <patternFill patternType="gray125"/>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82">
    <xf numFmtId="0" fontId="0" fillId="0" borderId="0" xfId="0"/>
    <xf numFmtId="0" fontId="0" fillId="0" borderId="0" xfId="0" applyAlignment="1">
      <alignment wrapText="1"/>
    </xf>
    <xf numFmtId="44" fontId="0" fillId="0" borderId="0" xfId="1" applyFont="1"/>
    <xf numFmtId="164" fontId="0" fillId="0" borderId="0" xfId="1" applyNumberFormat="1" applyFont="1"/>
    <xf numFmtId="9" fontId="0" fillId="0" borderId="0" xfId="2" applyFont="1"/>
    <xf numFmtId="0" fontId="0" fillId="0" borderId="0" xfId="0" applyFont="1" applyAlignment="1">
      <alignment wrapText="1"/>
    </xf>
    <xf numFmtId="165" fontId="0" fillId="0" borderId="0" xfId="3" applyNumberFormat="1" applyFont="1"/>
    <xf numFmtId="164" fontId="0" fillId="0" borderId="0" xfId="0" applyNumberFormat="1"/>
    <xf numFmtId="10" fontId="0" fillId="0" borderId="0" xfId="2" applyNumberFormat="1" applyFont="1"/>
    <xf numFmtId="10" fontId="0" fillId="0" borderId="0" xfId="0" applyNumberFormat="1"/>
    <xf numFmtId="166" fontId="1" fillId="0" borderId="0" xfId="2" applyNumberFormat="1" applyFont="1"/>
    <xf numFmtId="44" fontId="0" fillId="0" borderId="0" xfId="0" applyNumberFormat="1"/>
    <xf numFmtId="0" fontId="0" fillId="0" borderId="1" xfId="0" applyBorder="1"/>
    <xf numFmtId="0" fontId="0" fillId="0" borderId="6" xfId="0" applyBorder="1" applyAlignment="1">
      <alignment wrapText="1"/>
    </xf>
    <xf numFmtId="0" fontId="0" fillId="0" borderId="0" xfId="0" applyBorder="1"/>
    <xf numFmtId="0" fontId="0" fillId="0" borderId="2" xfId="0" applyBorder="1" applyAlignment="1">
      <alignment wrapText="1"/>
    </xf>
    <xf numFmtId="0" fontId="0" fillId="0" borderId="2" xfId="0" applyBorder="1"/>
    <xf numFmtId="165" fontId="0" fillId="0" borderId="3" xfId="3" applyNumberFormat="1" applyFont="1" applyBorder="1"/>
    <xf numFmtId="1" fontId="0" fillId="0" borderId="4" xfId="0" applyNumberFormat="1" applyBorder="1"/>
    <xf numFmtId="1" fontId="0" fillId="0" borderId="5" xfId="0" applyNumberFormat="1" applyBorder="1"/>
    <xf numFmtId="165" fontId="0" fillId="0" borderId="8" xfId="3" applyNumberFormat="1" applyFont="1" applyBorder="1"/>
    <xf numFmtId="165" fontId="0" fillId="0" borderId="1" xfId="3" applyNumberFormat="1" applyFont="1" applyBorder="1"/>
    <xf numFmtId="165" fontId="0" fillId="0" borderId="9" xfId="3" applyNumberFormat="1" applyFont="1" applyBorder="1"/>
    <xf numFmtId="165" fontId="0" fillId="0" borderId="10" xfId="3" applyNumberFormat="1" applyFont="1" applyBorder="1"/>
    <xf numFmtId="165" fontId="0" fillId="0" borderId="11" xfId="3" applyNumberFormat="1" applyFont="1" applyBorder="1"/>
    <xf numFmtId="1" fontId="0" fillId="0" borderId="11" xfId="0" applyNumberFormat="1" applyBorder="1"/>
    <xf numFmtId="165" fontId="0" fillId="0" borderId="12" xfId="3" applyNumberFormat="1" applyFont="1" applyBorder="1"/>
    <xf numFmtId="165" fontId="0" fillId="0" borderId="0" xfId="3" applyNumberFormat="1" applyFont="1" applyBorder="1"/>
    <xf numFmtId="1" fontId="0" fillId="0" borderId="0" xfId="0" applyNumberFormat="1" applyBorder="1"/>
    <xf numFmtId="165" fontId="0" fillId="0" borderId="4" xfId="3" applyNumberFormat="1" applyFont="1" applyBorder="1"/>
    <xf numFmtId="0" fontId="0" fillId="0" borderId="3" xfId="0" applyBorder="1"/>
    <xf numFmtId="0" fontId="0" fillId="0" borderId="4" xfId="0" applyBorder="1"/>
    <xf numFmtId="0" fontId="0" fillId="0" borderId="5" xfId="0" applyBorder="1"/>
    <xf numFmtId="0" fontId="0" fillId="0" borderId="6" xfId="0" applyBorder="1"/>
    <xf numFmtId="164" fontId="0" fillId="0" borderId="0" xfId="0" applyNumberFormat="1" applyBorder="1"/>
    <xf numFmtId="164" fontId="0" fillId="0" borderId="7" xfId="0" applyNumberFormat="1" applyBorder="1"/>
    <xf numFmtId="9" fontId="0" fillId="0" borderId="0" xfId="2" applyFont="1" applyBorder="1"/>
    <xf numFmtId="9" fontId="0" fillId="0" borderId="7" xfId="2" applyFont="1" applyBorder="1"/>
    <xf numFmtId="10" fontId="0" fillId="0" borderId="0" xfId="2" applyNumberFormat="1" applyFont="1" applyBorder="1"/>
    <xf numFmtId="10" fontId="0" fillId="0" borderId="7" xfId="2" applyNumberFormat="1" applyFont="1" applyBorder="1"/>
    <xf numFmtId="0" fontId="0" fillId="0" borderId="8" xfId="0" applyBorder="1"/>
    <xf numFmtId="0" fontId="0" fillId="0" borderId="1" xfId="0" applyNumberFormat="1" applyBorder="1"/>
    <xf numFmtId="0" fontId="0" fillId="0" borderId="9" xfId="0" applyNumberFormat="1" applyBorder="1"/>
    <xf numFmtId="164" fontId="0" fillId="0" borderId="0" xfId="1" applyNumberFormat="1" applyFont="1" applyBorder="1"/>
    <xf numFmtId="164" fontId="0" fillId="0" borderId="7" xfId="1" applyNumberFormat="1" applyFont="1" applyBorder="1"/>
    <xf numFmtId="0" fontId="0" fillId="0" borderId="7" xfId="0" applyBorder="1"/>
    <xf numFmtId="0" fontId="0" fillId="0" borderId="1" xfId="1" applyNumberFormat="1" applyFont="1" applyBorder="1"/>
    <xf numFmtId="0" fontId="0" fillId="0" borderId="9" xfId="0" applyBorder="1"/>
    <xf numFmtId="166" fontId="0" fillId="0" borderId="0" xfId="2" applyNumberFormat="1" applyFont="1" applyBorder="1"/>
    <xf numFmtId="166" fontId="1" fillId="0" borderId="7" xfId="2" applyNumberFormat="1" applyFont="1" applyBorder="1"/>
    <xf numFmtId="0" fontId="0" fillId="0" borderId="9" xfId="1" applyNumberFormat="1" applyFont="1" applyBorder="1"/>
    <xf numFmtId="166" fontId="0" fillId="0" borderId="7" xfId="2" applyNumberFormat="1" applyFont="1" applyBorder="1"/>
    <xf numFmtId="10" fontId="0" fillId="0" borderId="0" xfId="0" applyNumberFormat="1" applyBorder="1"/>
    <xf numFmtId="10" fontId="0" fillId="0" borderId="7" xfId="0" applyNumberFormat="1" applyBorder="1"/>
    <xf numFmtId="0" fontId="0" fillId="2" borderId="10" xfId="0" applyFill="1" applyBorder="1"/>
    <xf numFmtId="164" fontId="0" fillId="2" borderId="11" xfId="1" applyNumberFormat="1" applyFont="1" applyFill="1" applyBorder="1"/>
    <xf numFmtId="164" fontId="0" fillId="2" borderId="12" xfId="1" applyNumberFormat="1" applyFont="1" applyFill="1" applyBorder="1"/>
    <xf numFmtId="0" fontId="0" fillId="0" borderId="0" xfId="0" applyFont="1" applyBorder="1" applyAlignment="1">
      <alignment wrapText="1"/>
    </xf>
    <xf numFmtId="0" fontId="0" fillId="0" borderId="2" xfId="0" applyBorder="1" applyAlignment="1">
      <alignment horizontal="left" wrapText="1"/>
    </xf>
    <xf numFmtId="0" fontId="0" fillId="0" borderId="2" xfId="0" applyFont="1" applyBorder="1" applyAlignment="1">
      <alignment wrapText="1"/>
    </xf>
    <xf numFmtId="0" fontId="0" fillId="0" borderId="2" xfId="0" applyNumberFormat="1" applyBorder="1" applyAlignment="1">
      <alignment wrapText="1"/>
    </xf>
    <xf numFmtId="6" fontId="0" fillId="0" borderId="2" xfId="0" applyNumberFormat="1" applyBorder="1" applyAlignment="1">
      <alignment wrapText="1"/>
    </xf>
    <xf numFmtId="0" fontId="4" fillId="0" borderId="0" xfId="0" applyFont="1"/>
    <xf numFmtId="0" fontId="5" fillId="0" borderId="0" xfId="0" applyFont="1"/>
    <xf numFmtId="10" fontId="1" fillId="0" borderId="0" xfId="2" applyNumberFormat="1" applyFont="1"/>
    <xf numFmtId="10" fontId="1" fillId="2" borderId="0" xfId="2" applyNumberFormat="1" applyFont="1" applyFill="1"/>
    <xf numFmtId="164" fontId="1" fillId="0" borderId="0" xfId="1" applyNumberFormat="1" applyFont="1"/>
    <xf numFmtId="5" fontId="0" fillId="0" borderId="0" xfId="0" applyNumberFormat="1"/>
    <xf numFmtId="10" fontId="0" fillId="2" borderId="0" xfId="0" applyNumberFormat="1" applyFill="1"/>
    <xf numFmtId="10" fontId="0" fillId="2" borderId="0" xfId="2" applyNumberFormat="1" applyFont="1" applyFill="1"/>
    <xf numFmtId="3" fontId="0" fillId="0" borderId="0" xfId="0" applyNumberFormat="1" applyAlignment="1">
      <alignment wrapText="1"/>
    </xf>
    <xf numFmtId="0" fontId="4" fillId="0" borderId="10" xfId="0" applyFont="1" applyBorder="1" applyAlignment="1">
      <alignment horizontal="center" wrapText="1"/>
    </xf>
    <xf numFmtId="0" fontId="4" fillId="0" borderId="11" xfId="0" applyFont="1" applyBorder="1" applyAlignment="1">
      <alignment horizontal="center" wrapText="1"/>
    </xf>
    <xf numFmtId="0" fontId="4" fillId="0" borderId="12" xfId="0" applyFont="1" applyBorder="1" applyAlignment="1">
      <alignment horizontal="center" wrapText="1"/>
    </xf>
    <xf numFmtId="0" fontId="4" fillId="0" borderId="0" xfId="0" applyFont="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4" fillId="0" borderId="2" xfId="0" applyFont="1" applyBorder="1" applyAlignment="1">
      <alignment horizontal="center" wrapText="1"/>
    </xf>
    <xf numFmtId="0" fontId="6" fillId="0" borderId="2" xfId="0" applyFont="1" applyBorder="1" applyAlignment="1">
      <alignment horizontal="center" wrapText="1"/>
    </xf>
    <xf numFmtId="165" fontId="4" fillId="0" borderId="0" xfId="3" applyNumberFormat="1" applyFont="1" applyAlignment="1">
      <alignment horizontal="center"/>
    </xf>
    <xf numFmtId="165" fontId="0" fillId="0" borderId="0" xfId="3" applyNumberFormat="1" applyFont="1" applyAlignment="1">
      <alignment horizontal="center" wrapText="1"/>
    </xf>
    <xf numFmtId="0" fontId="0" fillId="0" borderId="0" xfId="0" applyBorder="1" applyAlignment="1">
      <alignment wrapText="1"/>
    </xf>
  </cellXfs>
  <cellStyles count="4">
    <cellStyle name="Comma" xfId="3" builtinId="3"/>
    <cellStyle name="Currency" xfId="1" builtinId="4"/>
    <cellStyle name="Normal" xfId="0" builtinId="0"/>
    <cellStyle name="Percent" xfId="2"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2009 Weatherization Budget</a:t>
            </a:r>
          </a:p>
        </c:rich>
      </c:tx>
      <c:layout/>
    </c:title>
    <c:plotArea>
      <c:layout/>
      <c:pieChart>
        <c:varyColors val="1"/>
        <c:ser>
          <c:idx val="0"/>
          <c:order val="0"/>
          <c:tx>
            <c:strRef>
              <c:f>'Agency Budget'!$B$2</c:f>
              <c:strCache>
                <c:ptCount val="1"/>
                <c:pt idx="0">
                  <c:v>Budget</c:v>
                </c:pt>
              </c:strCache>
            </c:strRef>
          </c:tx>
          <c:dLbls>
            <c:showCatName val="1"/>
            <c:showPercent val="1"/>
            <c:showLeaderLines val="1"/>
          </c:dLbls>
          <c:cat>
            <c:strRef>
              <c:f>'Agency Budget'!$A$3:$A$7</c:f>
              <c:strCache>
                <c:ptCount val="5"/>
                <c:pt idx="0">
                  <c:v>US Dept. of Energy</c:v>
                </c:pt>
                <c:pt idx="1">
                  <c:v>US Dept. of Health &amp; Human Services</c:v>
                </c:pt>
                <c:pt idx="2">
                  <c:v>WA Energy Matchmaker</c:v>
                </c:pt>
                <c:pt idx="3">
                  <c:v>BPA</c:v>
                </c:pt>
                <c:pt idx="4">
                  <c:v>UTC-regulated</c:v>
                </c:pt>
              </c:strCache>
            </c:strRef>
          </c:cat>
          <c:val>
            <c:numRef>
              <c:f>'Agency Budget'!$B$3:$B$7</c:f>
              <c:numCache>
                <c:formatCode>_("$"* #,##0_);_("$"* \(#,##0\);_("$"* "-"??_);_(@_)</c:formatCode>
                <c:ptCount val="5"/>
                <c:pt idx="0">
                  <c:v>4476296</c:v>
                </c:pt>
                <c:pt idx="1">
                  <c:v>13690137.5</c:v>
                </c:pt>
                <c:pt idx="2">
                  <c:v>5039316</c:v>
                </c:pt>
                <c:pt idx="3">
                  <c:v>1953890</c:v>
                </c:pt>
                <c:pt idx="4">
                  <c:v>6008850</c:v>
                </c:pt>
              </c:numCache>
            </c:numRef>
          </c:val>
        </c:ser>
        <c:ser>
          <c:idx val="1"/>
          <c:order val="1"/>
          <c:tx>
            <c:strRef>
              <c:f>'Agency Budget'!$C$2</c:f>
              <c:strCache>
                <c:ptCount val="1"/>
                <c:pt idx="0">
                  <c:v>Expenditures</c:v>
                </c:pt>
              </c:strCache>
            </c:strRef>
          </c:tx>
          <c:dLbls>
            <c:showCatName val="1"/>
            <c:showPercent val="1"/>
            <c:showLeaderLines val="1"/>
          </c:dLbls>
          <c:cat>
            <c:strRef>
              <c:f>'Agency Budget'!$A$3:$A$7</c:f>
              <c:strCache>
                <c:ptCount val="5"/>
                <c:pt idx="0">
                  <c:v>US Dept. of Energy</c:v>
                </c:pt>
                <c:pt idx="1">
                  <c:v>US Dept. of Health &amp; Human Services</c:v>
                </c:pt>
                <c:pt idx="2">
                  <c:v>WA Energy Matchmaker</c:v>
                </c:pt>
                <c:pt idx="3">
                  <c:v>BPA</c:v>
                </c:pt>
                <c:pt idx="4">
                  <c:v>UTC-regulated</c:v>
                </c:pt>
              </c:strCache>
            </c:strRef>
          </c:cat>
          <c:val>
            <c:numRef>
              <c:f>'Agency Budget'!$C$3:$C$7</c:f>
              <c:numCache>
                <c:formatCode>_("$"* #,##0_);_("$"* \(#,##0\);_("$"* "-"??_);_(@_)</c:formatCode>
                <c:ptCount val="5"/>
                <c:pt idx="0">
                  <c:v>4436100.3099999996</c:v>
                </c:pt>
                <c:pt idx="1">
                  <c:v>13065754.09</c:v>
                </c:pt>
                <c:pt idx="2">
                  <c:v>5016416</c:v>
                </c:pt>
                <c:pt idx="3">
                  <c:v>1910312</c:v>
                </c:pt>
                <c:pt idx="4">
                  <c:v>5119945</c:v>
                </c:pt>
              </c:numCache>
            </c:numRef>
          </c:val>
        </c:ser>
        <c:dLbls>
          <c:showCatName val="1"/>
          <c:showPercent val="1"/>
        </c:dLbls>
        <c:firstSliceAng val="0"/>
      </c:pieChart>
    </c:plotArea>
    <c:plotVisOnly val="1"/>
  </c:chart>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2009</a:t>
            </a:r>
            <a:r>
              <a:rPr lang="en-US" baseline="0"/>
              <a:t> Proportion of Weatherization Expenditures by Type</a:t>
            </a:r>
            <a:endParaRPr lang="en-US"/>
          </a:p>
        </c:rich>
      </c:tx>
      <c:layout/>
    </c:title>
    <c:plotArea>
      <c:layout/>
      <c:barChart>
        <c:barDir val="col"/>
        <c:grouping val="percentStacked"/>
        <c:ser>
          <c:idx val="3"/>
          <c:order val="0"/>
          <c:tx>
            <c:strRef>
              <c:f>'Agency Budget'!$E$2</c:f>
              <c:strCache>
                <c:ptCount val="1"/>
                <c:pt idx="0">
                  <c:v>Admin Expenditures</c:v>
                </c:pt>
              </c:strCache>
            </c:strRef>
          </c:tx>
          <c:cat>
            <c:strRef>
              <c:f>'Agency Budget'!$A$3:$A$8</c:f>
              <c:strCache>
                <c:ptCount val="6"/>
                <c:pt idx="0">
                  <c:v>US Dept. of Energy</c:v>
                </c:pt>
                <c:pt idx="1">
                  <c:v>US Dept. of Health &amp; Human Services</c:v>
                </c:pt>
                <c:pt idx="2">
                  <c:v>WA Energy Matchmaker</c:v>
                </c:pt>
                <c:pt idx="3">
                  <c:v>BPA</c:v>
                </c:pt>
                <c:pt idx="4">
                  <c:v>UTC-regulated</c:v>
                </c:pt>
                <c:pt idx="5">
                  <c:v>Total</c:v>
                </c:pt>
              </c:strCache>
            </c:strRef>
          </c:cat>
          <c:val>
            <c:numRef>
              <c:f>'Agency Budget'!$E$3:$E$8</c:f>
              <c:numCache>
                <c:formatCode>_("$"* #,##0_);_("$"* \(#,##0\);_("$"* "-"??_);_(@_)</c:formatCode>
                <c:ptCount val="6"/>
                <c:pt idx="0">
                  <c:v>498200.8</c:v>
                </c:pt>
                <c:pt idx="1">
                  <c:v>962671.47499999998</c:v>
                </c:pt>
                <c:pt idx="2">
                  <c:v>527365</c:v>
                </c:pt>
                <c:pt idx="3">
                  <c:v>213324</c:v>
                </c:pt>
                <c:pt idx="4">
                  <c:v>1225584</c:v>
                </c:pt>
                <c:pt idx="5">
                  <c:v>3427145.2749999999</c:v>
                </c:pt>
              </c:numCache>
            </c:numRef>
          </c:val>
        </c:ser>
        <c:ser>
          <c:idx val="5"/>
          <c:order val="1"/>
          <c:tx>
            <c:strRef>
              <c:f>'Agency Budget'!$G$2</c:f>
              <c:strCache>
                <c:ptCount val="1"/>
                <c:pt idx="0">
                  <c:v>Program Support Expenditures</c:v>
                </c:pt>
              </c:strCache>
            </c:strRef>
          </c:tx>
          <c:spPr>
            <a:solidFill>
              <a:schemeClr val="accent5">
                <a:lumMod val="60000"/>
                <a:lumOff val="40000"/>
              </a:schemeClr>
            </a:solidFill>
          </c:spPr>
          <c:cat>
            <c:strRef>
              <c:f>'Agency Budget'!$A$3:$A$8</c:f>
              <c:strCache>
                <c:ptCount val="6"/>
                <c:pt idx="0">
                  <c:v>US Dept. of Energy</c:v>
                </c:pt>
                <c:pt idx="1">
                  <c:v>US Dept. of Health &amp; Human Services</c:v>
                </c:pt>
                <c:pt idx="2">
                  <c:v>WA Energy Matchmaker</c:v>
                </c:pt>
                <c:pt idx="3">
                  <c:v>BPA</c:v>
                </c:pt>
                <c:pt idx="4">
                  <c:v>UTC-regulated</c:v>
                </c:pt>
                <c:pt idx="5">
                  <c:v>Total</c:v>
                </c:pt>
              </c:strCache>
            </c:strRef>
          </c:cat>
          <c:val>
            <c:numRef>
              <c:f>'Agency Budget'!$G$3:$G$8</c:f>
              <c:numCache>
                <c:formatCode>_("$"* #,##0_);_("$"* \(#,##0\);_("$"* "-"??_);_(@_)</c:formatCode>
                <c:ptCount val="6"/>
                <c:pt idx="0">
                  <c:v>2926709.4699999997</c:v>
                </c:pt>
                <c:pt idx="1">
                  <c:v>5504933.0549999997</c:v>
                </c:pt>
                <c:pt idx="2">
                  <c:v>3342086</c:v>
                </c:pt>
                <c:pt idx="3">
                  <c:v>1334941</c:v>
                </c:pt>
                <c:pt idx="4">
                  <c:v>3378021.0625</c:v>
                </c:pt>
                <c:pt idx="5">
                  <c:v>16486690.587499999</c:v>
                </c:pt>
              </c:numCache>
            </c:numRef>
          </c:val>
        </c:ser>
        <c:ser>
          <c:idx val="7"/>
          <c:order val="2"/>
          <c:tx>
            <c:strRef>
              <c:f>'Agency Budget'!$I$2</c:f>
              <c:strCache>
                <c:ptCount val="1"/>
                <c:pt idx="0">
                  <c:v>Health &amp; Safety Expenditures</c:v>
                </c:pt>
              </c:strCache>
            </c:strRef>
          </c:tx>
          <c:cat>
            <c:strRef>
              <c:f>'Agency Budget'!$A$3:$A$8</c:f>
              <c:strCache>
                <c:ptCount val="6"/>
                <c:pt idx="0">
                  <c:v>US Dept. of Energy</c:v>
                </c:pt>
                <c:pt idx="1">
                  <c:v>US Dept. of Health &amp; Human Services</c:v>
                </c:pt>
                <c:pt idx="2">
                  <c:v>WA Energy Matchmaker</c:v>
                </c:pt>
                <c:pt idx="3">
                  <c:v>BPA</c:v>
                </c:pt>
                <c:pt idx="4">
                  <c:v>UTC-regulated</c:v>
                </c:pt>
                <c:pt idx="5">
                  <c:v>Total</c:v>
                </c:pt>
              </c:strCache>
            </c:strRef>
          </c:cat>
          <c:val>
            <c:numRef>
              <c:f>'Agency Budget'!$I$3:$I$8</c:f>
              <c:numCache>
                <c:formatCode>_("$"* #,##0_);_("$"* \(#,##0\);_("$"* "-"??_);_(@_)</c:formatCode>
                <c:ptCount val="6"/>
                <c:pt idx="0">
                  <c:v>413170.38</c:v>
                </c:pt>
                <c:pt idx="1">
                  <c:v>789606.80500000005</c:v>
                </c:pt>
                <c:pt idx="2">
                  <c:v>516930</c:v>
                </c:pt>
                <c:pt idx="3">
                  <c:v>152019</c:v>
                </c:pt>
                <c:pt idx="4">
                  <c:v>516339.9375</c:v>
                </c:pt>
                <c:pt idx="5">
                  <c:v>2388066.1225000001</c:v>
                </c:pt>
              </c:numCache>
            </c:numRef>
          </c:val>
        </c:ser>
        <c:ser>
          <c:idx val="9"/>
          <c:order val="3"/>
          <c:tx>
            <c:strRef>
              <c:f>'Agency Budget'!$K$2</c:f>
              <c:strCache>
                <c:ptCount val="1"/>
                <c:pt idx="0">
                  <c:v>WX-Related Repairs Expenditures</c:v>
                </c:pt>
              </c:strCache>
            </c:strRef>
          </c:tx>
          <c:spPr>
            <a:solidFill>
              <a:schemeClr val="accent2">
                <a:lumMod val="40000"/>
                <a:lumOff val="60000"/>
              </a:schemeClr>
            </a:solidFill>
          </c:spPr>
          <c:cat>
            <c:strRef>
              <c:f>'Agency Budget'!$A$3:$A$8</c:f>
              <c:strCache>
                <c:ptCount val="6"/>
                <c:pt idx="0">
                  <c:v>US Dept. of Energy</c:v>
                </c:pt>
                <c:pt idx="1">
                  <c:v>US Dept. of Health &amp; Human Services</c:v>
                </c:pt>
                <c:pt idx="2">
                  <c:v>WA Energy Matchmaker</c:v>
                </c:pt>
                <c:pt idx="3">
                  <c:v>BPA</c:v>
                </c:pt>
                <c:pt idx="4">
                  <c:v>UTC-regulated</c:v>
                </c:pt>
                <c:pt idx="5">
                  <c:v>Total</c:v>
                </c:pt>
              </c:strCache>
            </c:strRef>
          </c:cat>
          <c:val>
            <c:numRef>
              <c:f>'Agency Budget'!$K$3:$K$8</c:f>
              <c:numCache>
                <c:formatCode>_("$"* #,##0_);_("$"* \(#,##0\);_("$"* "-"??_);_(@_)</c:formatCode>
                <c:ptCount val="6"/>
                <c:pt idx="0">
                  <c:v>209145.56</c:v>
                </c:pt>
                <c:pt idx="1">
                  <c:v>898257.89999999967</c:v>
                </c:pt>
                <c:pt idx="2">
                  <c:v>555657</c:v>
                </c:pt>
                <c:pt idx="3">
                  <c:v>136061</c:v>
                </c:pt>
                <c:pt idx="5">
                  <c:v>1799121.4599999997</c:v>
                </c:pt>
              </c:numCache>
            </c:numRef>
          </c:val>
        </c:ser>
        <c:gapWidth val="55"/>
        <c:overlap val="100"/>
        <c:axId val="88218624"/>
        <c:axId val="88224512"/>
      </c:barChart>
      <c:catAx>
        <c:axId val="88218624"/>
        <c:scaling>
          <c:orientation val="minMax"/>
        </c:scaling>
        <c:axPos val="b"/>
        <c:majorTickMark val="none"/>
        <c:tickLblPos val="nextTo"/>
        <c:crossAx val="88224512"/>
        <c:crosses val="autoZero"/>
        <c:auto val="1"/>
        <c:lblAlgn val="ctr"/>
        <c:lblOffset val="100"/>
      </c:catAx>
      <c:valAx>
        <c:axId val="88224512"/>
        <c:scaling>
          <c:orientation val="minMax"/>
        </c:scaling>
        <c:axPos val="l"/>
        <c:majorGridlines/>
        <c:numFmt formatCode="0%" sourceLinked="1"/>
        <c:majorTickMark val="none"/>
        <c:tickLblPos val="nextTo"/>
        <c:crossAx val="88218624"/>
        <c:crosses val="autoZero"/>
        <c:crossBetween val="between"/>
      </c:valAx>
    </c:plotArea>
    <c:legend>
      <c:legendPos val="r"/>
      <c:layout/>
    </c:legend>
    <c:plotVisOnly val="1"/>
  </c:chart>
  <c:printSettings>
    <c:headerFooter/>
    <c:pageMargins b="0.75000000000000044" l="0.7000000000000004" r="0.7000000000000004" t="0.75000000000000044" header="0.30000000000000021" footer="0.3000000000000002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2009</a:t>
            </a:r>
            <a:r>
              <a:rPr lang="en-US" baseline="0"/>
              <a:t> Percent of revenue spent on special programs</a:t>
            </a:r>
            <a:endParaRPr lang="en-US"/>
          </a:p>
        </c:rich>
      </c:tx>
      <c:layout/>
    </c:title>
    <c:plotArea>
      <c:layout/>
      <c:barChart>
        <c:barDir val="col"/>
        <c:grouping val="stacked"/>
        <c:ser>
          <c:idx val="5"/>
          <c:order val="0"/>
          <c:tx>
            <c:strRef>
              <c:f>'2009 % Revenue'!$A$40</c:f>
              <c:strCache>
                <c:ptCount val="1"/>
                <c:pt idx="0">
                  <c:v>Bill Assistance</c:v>
                </c:pt>
              </c:strCache>
            </c:strRef>
          </c:tx>
          <c:cat>
            <c:strRef>
              <c:f>'2009 % Revenue'!$B$35:$F$35</c:f>
              <c:strCache>
                <c:ptCount val="5"/>
                <c:pt idx="0">
                  <c:v>Avista</c:v>
                </c:pt>
                <c:pt idx="1">
                  <c:v>PSE</c:v>
                </c:pt>
                <c:pt idx="2">
                  <c:v>Cascade</c:v>
                </c:pt>
                <c:pt idx="3">
                  <c:v>NWN</c:v>
                </c:pt>
                <c:pt idx="4">
                  <c:v>Pacific</c:v>
                </c:pt>
              </c:strCache>
            </c:strRef>
          </c:cat>
          <c:val>
            <c:numRef>
              <c:f>'2009 % Revenue'!$B$41:$F$41</c:f>
              <c:numCache>
                <c:formatCode>0.00%</c:formatCode>
                <c:ptCount val="5"/>
                <c:pt idx="0">
                  <c:v>6.4160928328502531E-3</c:v>
                </c:pt>
                <c:pt idx="1">
                  <c:v>4.6967947109632646E-3</c:v>
                </c:pt>
                <c:pt idx="2">
                  <c:v>2.7745759110231047E-3</c:v>
                </c:pt>
                <c:pt idx="3">
                  <c:v>5.4890810102727451E-3</c:v>
                </c:pt>
                <c:pt idx="4">
                  <c:v>4.2554327585837609E-3</c:v>
                </c:pt>
              </c:numCache>
            </c:numRef>
          </c:val>
        </c:ser>
        <c:ser>
          <c:idx val="1"/>
          <c:order val="1"/>
          <c:tx>
            <c:strRef>
              <c:f>'2009 % Revenue'!$A$36</c:f>
              <c:strCache>
                <c:ptCount val="1"/>
                <c:pt idx="0">
                  <c:v>Low-income Conservation</c:v>
                </c:pt>
              </c:strCache>
            </c:strRef>
          </c:tx>
          <c:cat>
            <c:strRef>
              <c:f>'2009 % Revenue'!$B$35:$F$35</c:f>
              <c:strCache>
                <c:ptCount val="5"/>
                <c:pt idx="0">
                  <c:v>Avista</c:v>
                </c:pt>
                <c:pt idx="1">
                  <c:v>PSE</c:v>
                </c:pt>
                <c:pt idx="2">
                  <c:v>Cascade</c:v>
                </c:pt>
                <c:pt idx="3">
                  <c:v>NWN</c:v>
                </c:pt>
                <c:pt idx="4">
                  <c:v>Pacific</c:v>
                </c:pt>
              </c:strCache>
            </c:strRef>
          </c:cat>
          <c:val>
            <c:numRef>
              <c:f>'2009 % Revenue'!$B$37:$F$37</c:f>
              <c:numCache>
                <c:formatCode>0.00%</c:formatCode>
                <c:ptCount val="5"/>
                <c:pt idx="0">
                  <c:v>2.0364850973002865E-3</c:v>
                </c:pt>
                <c:pt idx="1">
                  <c:v>8.2997371142001157E-4</c:v>
                </c:pt>
                <c:pt idx="2">
                  <c:v>8.0543781020130144E-4</c:v>
                </c:pt>
                <c:pt idx="3">
                  <c:v>3.625488106548691E-4</c:v>
                </c:pt>
                <c:pt idx="4">
                  <c:v>1.8565133749078914E-3</c:v>
                </c:pt>
              </c:numCache>
            </c:numRef>
          </c:val>
        </c:ser>
        <c:ser>
          <c:idx val="3"/>
          <c:order val="2"/>
          <c:tx>
            <c:strRef>
              <c:f>'2009 % Revenue'!$A$38</c:f>
              <c:strCache>
                <c:ptCount val="1"/>
                <c:pt idx="0">
                  <c:v>Non-low-income Conservation</c:v>
                </c:pt>
              </c:strCache>
            </c:strRef>
          </c:tx>
          <c:cat>
            <c:strRef>
              <c:f>'2009 % Revenue'!$B$35:$F$35</c:f>
              <c:strCache>
                <c:ptCount val="5"/>
                <c:pt idx="0">
                  <c:v>Avista</c:v>
                </c:pt>
                <c:pt idx="1">
                  <c:v>PSE</c:v>
                </c:pt>
                <c:pt idx="2">
                  <c:v>Cascade</c:v>
                </c:pt>
                <c:pt idx="3">
                  <c:v>NWN</c:v>
                </c:pt>
                <c:pt idx="4">
                  <c:v>Pacific</c:v>
                </c:pt>
              </c:strCache>
            </c:strRef>
          </c:cat>
          <c:val>
            <c:numRef>
              <c:f>'2009 % Revenue'!$B$39:$F$39</c:f>
              <c:numCache>
                <c:formatCode>0.00%</c:formatCode>
                <c:ptCount val="5"/>
                <c:pt idx="0">
                  <c:v>2.3611461557417182E-2</c:v>
                </c:pt>
                <c:pt idx="1">
                  <c:v>2.607474103868259E-2</c:v>
                </c:pt>
                <c:pt idx="2">
                  <c:v>9.792261177412491E-3</c:v>
                </c:pt>
                <c:pt idx="3">
                  <c:v>9.5980074516170937E-4</c:v>
                </c:pt>
                <c:pt idx="4">
                  <c:v>1.9696559497968388E-2</c:v>
                </c:pt>
              </c:numCache>
            </c:numRef>
          </c:val>
        </c:ser>
        <c:gapWidth val="55"/>
        <c:overlap val="100"/>
        <c:axId val="88566016"/>
        <c:axId val="88592384"/>
      </c:barChart>
      <c:catAx>
        <c:axId val="88566016"/>
        <c:scaling>
          <c:orientation val="minMax"/>
        </c:scaling>
        <c:axPos val="b"/>
        <c:numFmt formatCode="General" sourceLinked="1"/>
        <c:majorTickMark val="none"/>
        <c:tickLblPos val="nextTo"/>
        <c:crossAx val="88592384"/>
        <c:crosses val="autoZero"/>
        <c:auto val="1"/>
        <c:lblAlgn val="ctr"/>
        <c:lblOffset val="100"/>
      </c:catAx>
      <c:valAx>
        <c:axId val="88592384"/>
        <c:scaling>
          <c:orientation val="minMax"/>
        </c:scaling>
        <c:axPos val="l"/>
        <c:majorGridlines/>
        <c:numFmt formatCode="0.0%" sourceLinked="0"/>
        <c:majorTickMark val="none"/>
        <c:tickLblPos val="nextTo"/>
        <c:crossAx val="88566016"/>
        <c:crosses val="autoZero"/>
        <c:crossBetween val="between"/>
      </c:valAx>
    </c:plotArea>
    <c:legend>
      <c:legendPos val="r"/>
      <c:layout/>
    </c:legend>
    <c:plotVisOnly val="1"/>
  </c:chart>
  <c:printSettings>
    <c:headerFooter/>
    <c:pageMargins b="0.75000000000000078" l="0.70000000000000062" r="0.70000000000000062" t="0.75000000000000078" header="0.30000000000000032" footer="0.30000000000000032"/>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312420</xdr:colOff>
      <xdr:row>33</xdr:row>
      <xdr:rowOff>121920</xdr:rowOff>
    </xdr:from>
    <xdr:to>
      <xdr:col>3</xdr:col>
      <xdr:colOff>449580</xdr:colOff>
      <xdr:row>48</xdr:row>
      <xdr:rowOff>121920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640080</xdr:colOff>
      <xdr:row>33</xdr:row>
      <xdr:rowOff>76200</xdr:rowOff>
    </xdr:from>
    <xdr:to>
      <xdr:col>10</xdr:col>
      <xdr:colOff>53340</xdr:colOff>
      <xdr:row>51</xdr:row>
      <xdr:rowOff>60960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899160</xdr:colOff>
      <xdr:row>44</xdr:row>
      <xdr:rowOff>114300</xdr:rowOff>
    </xdr:from>
    <xdr:to>
      <xdr:col>4</xdr:col>
      <xdr:colOff>876300</xdr:colOff>
      <xdr:row>59</xdr:row>
      <xdr:rowOff>114300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Energy/program%20compariso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10 % Revenue"/>
      <sheetName val="2009 % Revenue"/>
      <sheetName val="2008 % Revenue"/>
      <sheetName val="2007 % Revenue"/>
      <sheetName val="Electric cons"/>
      <sheetName val="Gas cons"/>
      <sheetName val="Low Income Assistance Compared"/>
      <sheetName val="2007 Average Use per Customer"/>
      <sheetName val="2007 Sales by Class"/>
    </sheetNames>
    <sheetDataSet>
      <sheetData sheetId="0"/>
      <sheetData sheetId="1"/>
      <sheetData sheetId="2"/>
      <sheetData sheetId="3"/>
      <sheetData sheetId="4">
        <row r="4">
          <cell r="K4">
            <v>11263715</v>
          </cell>
        </row>
        <row r="5">
          <cell r="K5">
            <v>6123246</v>
          </cell>
        </row>
        <row r="6">
          <cell r="K6">
            <v>69617976</v>
          </cell>
        </row>
        <row r="19">
          <cell r="K19">
            <v>706746</v>
          </cell>
        </row>
        <row r="20">
          <cell r="K20">
            <v>527437</v>
          </cell>
        </row>
        <row r="21">
          <cell r="K21">
            <v>2143410</v>
          </cell>
        </row>
      </sheetData>
      <sheetData sheetId="5">
        <row r="4">
          <cell r="K4">
            <v>5608828</v>
          </cell>
        </row>
        <row r="5">
          <cell r="K5">
            <v>3194226</v>
          </cell>
        </row>
        <row r="6">
          <cell r="K6">
            <v>132498</v>
          </cell>
        </row>
        <row r="7">
          <cell r="K7">
            <v>17053024</v>
          </cell>
        </row>
        <row r="18">
          <cell r="K18">
            <v>632959</v>
          </cell>
        </row>
        <row r="19">
          <cell r="K19">
            <v>242765</v>
          </cell>
        </row>
        <row r="20">
          <cell r="K20">
            <v>36327</v>
          </cell>
        </row>
        <row r="21">
          <cell r="K21">
            <v>530272</v>
          </cell>
        </row>
      </sheetData>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pageSetUpPr fitToPage="1"/>
  </sheetPr>
  <dimension ref="A1:K33"/>
  <sheetViews>
    <sheetView topLeftCell="B4" workbookViewId="0">
      <selection activeCell="G11" sqref="G11"/>
    </sheetView>
  </sheetViews>
  <sheetFormatPr defaultRowHeight="14.4"/>
  <cols>
    <col min="1" max="1" width="37.5546875" customWidth="1"/>
    <col min="2" max="2" width="14.6640625" bestFit="1" customWidth="1"/>
    <col min="3" max="3" width="12.44140625" customWidth="1"/>
    <col min="4" max="4" width="13.6640625" bestFit="1" customWidth="1"/>
    <col min="5" max="5" width="12.109375" customWidth="1"/>
    <col min="6" max="6" width="13.6640625" bestFit="1" customWidth="1"/>
    <col min="7" max="7" width="12.33203125" customWidth="1"/>
    <col min="8" max="8" width="13.6640625" bestFit="1" customWidth="1"/>
    <col min="9" max="9" width="12.44140625" customWidth="1"/>
    <col min="10" max="10" width="11" customWidth="1"/>
    <col min="11" max="11" width="12.44140625" customWidth="1"/>
  </cols>
  <sheetData>
    <row r="1" spans="1:11" ht="42" customHeight="1">
      <c r="A1" s="71" t="s">
        <v>166</v>
      </c>
      <c r="B1" s="72"/>
      <c r="C1" s="72"/>
      <c r="D1" s="72"/>
      <c r="E1" s="72"/>
      <c r="F1" s="72"/>
      <c r="G1" s="72"/>
      <c r="H1" s="72"/>
      <c r="I1" s="72"/>
      <c r="J1" s="72"/>
      <c r="K1" s="73"/>
    </row>
    <row r="2" spans="1:11" ht="43.2">
      <c r="A2" t="s">
        <v>74</v>
      </c>
      <c r="B2" s="70" t="s">
        <v>75</v>
      </c>
      <c r="C2" s="70" t="s">
        <v>76</v>
      </c>
      <c r="D2" s="70" t="s">
        <v>185</v>
      </c>
      <c r="E2" s="70" t="s">
        <v>186</v>
      </c>
      <c r="F2" s="70" t="s">
        <v>187</v>
      </c>
      <c r="G2" s="70" t="s">
        <v>188</v>
      </c>
      <c r="H2" s="70" t="s">
        <v>189</v>
      </c>
      <c r="I2" s="70" t="s">
        <v>190</v>
      </c>
      <c r="J2" s="70" t="s">
        <v>191</v>
      </c>
      <c r="K2" s="70" t="s">
        <v>192</v>
      </c>
    </row>
    <row r="3" spans="1:11">
      <c r="A3" t="s">
        <v>198</v>
      </c>
      <c r="B3" s="3">
        <v>4476296</v>
      </c>
      <c r="C3" s="3">
        <v>4436100.3099999996</v>
      </c>
      <c r="D3" s="3">
        <v>522966</v>
      </c>
      <c r="E3" s="3">
        <v>498200.8</v>
      </c>
      <c r="F3" s="3">
        <v>2833007.39</v>
      </c>
      <c r="G3" s="3">
        <v>2926709.4699999997</v>
      </c>
      <c r="H3" s="3">
        <v>487150.92</v>
      </c>
      <c r="I3" s="3">
        <v>413170.38</v>
      </c>
      <c r="J3" s="3">
        <v>201351.69</v>
      </c>
      <c r="K3" s="3">
        <v>209145.56</v>
      </c>
    </row>
    <row r="4" spans="1:11">
      <c r="A4" t="s">
        <v>199</v>
      </c>
      <c r="B4" s="3">
        <v>13690137.5</v>
      </c>
      <c r="C4" s="3">
        <v>13065754.09</v>
      </c>
      <c r="D4" s="3">
        <v>1098004.165</v>
      </c>
      <c r="E4" s="3">
        <v>962671.47499999998</v>
      </c>
      <c r="F4" s="3">
        <v>5461194.5549999997</v>
      </c>
      <c r="G4" s="3">
        <v>5504933.0549999997</v>
      </c>
      <c r="H4" s="3">
        <v>789606.80500000005</v>
      </c>
      <c r="I4" s="3">
        <v>789606.80500000005</v>
      </c>
      <c r="J4" s="3">
        <v>898257.89999999979</v>
      </c>
      <c r="K4" s="3">
        <v>898257.89999999967</v>
      </c>
    </row>
    <row r="5" spans="1:11">
      <c r="A5" t="s">
        <v>194</v>
      </c>
      <c r="B5" s="3">
        <v>5039316</v>
      </c>
      <c r="C5" s="3">
        <v>5016416</v>
      </c>
      <c r="D5" s="3" t="s">
        <v>77</v>
      </c>
      <c r="E5" s="3">
        <v>527365</v>
      </c>
      <c r="F5" s="3" t="s">
        <v>77</v>
      </c>
      <c r="G5" s="3">
        <v>3342086</v>
      </c>
      <c r="H5" s="3" t="s">
        <v>77</v>
      </c>
      <c r="I5" s="3">
        <v>516930</v>
      </c>
      <c r="J5" s="3" t="s">
        <v>77</v>
      </c>
      <c r="K5" s="3">
        <v>555657</v>
      </c>
    </row>
    <row r="6" spans="1:11">
      <c r="A6" t="s">
        <v>193</v>
      </c>
      <c r="B6" s="3">
        <v>1953890</v>
      </c>
      <c r="C6" s="3">
        <v>1910312</v>
      </c>
      <c r="D6" s="3">
        <v>232682</v>
      </c>
      <c r="E6" s="3">
        <v>213324</v>
      </c>
      <c r="F6" s="3">
        <v>1295769</v>
      </c>
      <c r="G6" s="3">
        <v>1334941</v>
      </c>
      <c r="H6" s="3">
        <v>152011</v>
      </c>
      <c r="I6" s="3">
        <v>152019</v>
      </c>
      <c r="J6" s="3">
        <v>172594</v>
      </c>
      <c r="K6" s="3">
        <v>136061</v>
      </c>
    </row>
    <row r="7" spans="1:11">
      <c r="A7" s="54" t="s">
        <v>197</v>
      </c>
      <c r="B7" s="55">
        <f>'Utility Budget'!C4</f>
        <v>6008850</v>
      </c>
      <c r="C7" s="55">
        <f>'Utility Budget'!C8</f>
        <v>5119945</v>
      </c>
      <c r="D7" s="55"/>
      <c r="E7" s="55">
        <f>C7-G7-I7</f>
        <v>1225584</v>
      </c>
      <c r="F7" s="55"/>
      <c r="G7" s="55">
        <f>3894361-I7</f>
        <v>3378021.0625</v>
      </c>
      <c r="H7" s="55">
        <f>'Utility Budget'!C3</f>
        <v>607458.75</v>
      </c>
      <c r="I7" s="55">
        <f>H7*0.85</f>
        <v>516339.9375</v>
      </c>
      <c r="J7" s="55"/>
      <c r="K7" s="56"/>
    </row>
    <row r="8" spans="1:11">
      <c r="A8" t="s">
        <v>78</v>
      </c>
      <c r="B8" s="3">
        <f>SUM(B3:B7)</f>
        <v>31168489.5</v>
      </c>
      <c r="C8" s="3">
        <f t="shared" ref="C8:K8" si="0">SUM(C3:C7)</f>
        <v>29548527.399999999</v>
      </c>
      <c r="D8" s="3">
        <f t="shared" si="0"/>
        <v>1853652.165</v>
      </c>
      <c r="E8" s="3">
        <f t="shared" si="0"/>
        <v>3427145.2749999999</v>
      </c>
      <c r="F8" s="3">
        <f t="shared" si="0"/>
        <v>9589970.9450000003</v>
      </c>
      <c r="G8" s="3">
        <f t="shared" si="0"/>
        <v>16486690.587499999</v>
      </c>
      <c r="H8" s="3">
        <f t="shared" si="0"/>
        <v>2036227.4750000001</v>
      </c>
      <c r="I8" s="3">
        <f t="shared" si="0"/>
        <v>2388066.1225000001</v>
      </c>
      <c r="J8" s="3">
        <f t="shared" si="0"/>
        <v>1272203.5899999999</v>
      </c>
      <c r="K8" s="3">
        <f t="shared" si="0"/>
        <v>1799121.4599999997</v>
      </c>
    </row>
    <row r="9" spans="1:11">
      <c r="B9" s="7"/>
      <c r="C9" s="7"/>
      <c r="D9" s="7"/>
      <c r="E9" s="4">
        <f>E7/B7</f>
        <v>0.20396315434733767</v>
      </c>
      <c r="F9" s="7"/>
      <c r="G9" s="7"/>
      <c r="H9" s="7"/>
      <c r="I9" s="4">
        <f>I7/B7</f>
        <v>8.5929909633290891E-2</v>
      </c>
      <c r="J9" s="7"/>
      <c r="K9" s="7"/>
    </row>
    <row r="10" spans="1:11">
      <c r="A10" t="s">
        <v>79</v>
      </c>
      <c r="E10" s="4">
        <f>E8/B8</f>
        <v>0.10995544955747695</v>
      </c>
      <c r="F10" s="4"/>
      <c r="G10" s="4">
        <f>G8/B8</f>
        <v>0.52895378800759651</v>
      </c>
      <c r="H10" s="4"/>
      <c r="I10" s="4">
        <f>I8/B8</f>
        <v>7.6617961306722937E-2</v>
      </c>
      <c r="J10" s="4"/>
      <c r="K10" s="4">
        <f>K8/B8</f>
        <v>5.7722446254573859E-2</v>
      </c>
    </row>
    <row r="11" spans="1:11">
      <c r="E11" s="7"/>
    </row>
    <row r="12" spans="1:11">
      <c r="A12" t="s">
        <v>80</v>
      </c>
    </row>
    <row r="13" spans="1:11" hidden="1">
      <c r="B13">
        <v>2008</v>
      </c>
      <c r="C13">
        <v>2009</v>
      </c>
    </row>
    <row r="14" spans="1:11" hidden="1">
      <c r="A14" t="s">
        <v>26</v>
      </c>
      <c r="B14" s="2">
        <v>36374.160000000003</v>
      </c>
      <c r="C14" s="2">
        <v>45827.03</v>
      </c>
      <c r="F14" t="s">
        <v>139</v>
      </c>
      <c r="G14" t="s">
        <v>1</v>
      </c>
    </row>
    <row r="15" spans="1:11" hidden="1">
      <c r="A15" t="s">
        <v>27</v>
      </c>
      <c r="B15" s="2">
        <v>109958.52</v>
      </c>
      <c r="C15" s="2">
        <v>222952.9</v>
      </c>
      <c r="F15" t="s">
        <v>139</v>
      </c>
      <c r="G15" t="s">
        <v>1</v>
      </c>
    </row>
    <row r="16" spans="1:11" hidden="1">
      <c r="A16" t="s">
        <v>28</v>
      </c>
      <c r="B16" s="2">
        <f>532700.31+89789</f>
        <v>622489.31000000006</v>
      </c>
      <c r="C16" s="2">
        <f>491985.84+103107</f>
        <v>595092.84000000008</v>
      </c>
      <c r="G16" t="s">
        <v>93</v>
      </c>
    </row>
    <row r="17" spans="1:7" hidden="1">
      <c r="A17" t="s">
        <v>43</v>
      </c>
      <c r="B17" s="2">
        <v>0</v>
      </c>
      <c r="C17" s="2">
        <v>36327</v>
      </c>
      <c r="F17" t="s">
        <v>140</v>
      </c>
      <c r="G17" t="s">
        <v>37</v>
      </c>
    </row>
    <row r="18" spans="1:7" hidden="1">
      <c r="A18" t="s">
        <v>91</v>
      </c>
      <c r="B18" s="2">
        <v>0</v>
      </c>
      <c r="C18" s="2">
        <v>0</v>
      </c>
      <c r="G18" t="s">
        <v>92</v>
      </c>
    </row>
    <row r="19" spans="1:7" hidden="1">
      <c r="A19" t="s">
        <v>88</v>
      </c>
      <c r="B19" s="2">
        <v>722939</v>
      </c>
      <c r="C19" s="2">
        <v>924152</v>
      </c>
      <c r="F19" t="s">
        <v>141</v>
      </c>
      <c r="G19" t="s">
        <v>95</v>
      </c>
    </row>
    <row r="20" spans="1:7" hidden="1">
      <c r="A20" t="s">
        <v>89</v>
      </c>
      <c r="B20" s="2">
        <v>127372</v>
      </c>
      <c r="C20" s="2">
        <v>150071</v>
      </c>
      <c r="G20" t="s">
        <v>95</v>
      </c>
    </row>
    <row r="21" spans="1:7" hidden="1">
      <c r="A21" t="s">
        <v>90</v>
      </c>
      <c r="B21" s="2">
        <v>24278</v>
      </c>
      <c r="C21" s="2">
        <v>23080</v>
      </c>
      <c r="G21" t="s">
        <v>95</v>
      </c>
    </row>
    <row r="22" spans="1:7" hidden="1">
      <c r="A22" t="s">
        <v>94</v>
      </c>
      <c r="B22" s="2">
        <v>95441</v>
      </c>
      <c r="C22" s="2">
        <v>106908</v>
      </c>
      <c r="G22" t="s">
        <v>95</v>
      </c>
    </row>
    <row r="23" spans="1:7" hidden="1">
      <c r="A23" t="s">
        <v>128</v>
      </c>
      <c r="F23" t="s">
        <v>139</v>
      </c>
      <c r="G23" t="s">
        <v>103</v>
      </c>
    </row>
    <row r="24" spans="1:7" hidden="1">
      <c r="A24" t="s">
        <v>129</v>
      </c>
      <c r="F24" t="s">
        <v>139</v>
      </c>
      <c r="G24" t="s">
        <v>103</v>
      </c>
    </row>
    <row r="25" spans="1:7" hidden="1">
      <c r="A25" t="s">
        <v>130</v>
      </c>
      <c r="F25" t="s">
        <v>140</v>
      </c>
      <c r="G25" t="s">
        <v>103</v>
      </c>
    </row>
    <row r="26" spans="1:7" hidden="1">
      <c r="A26" t="s">
        <v>131</v>
      </c>
      <c r="F26" t="s">
        <v>141</v>
      </c>
      <c r="G26" t="s">
        <v>103</v>
      </c>
    </row>
    <row r="27" spans="1:7" hidden="1">
      <c r="A27" t="s">
        <v>132</v>
      </c>
      <c r="F27" t="s">
        <v>139</v>
      </c>
      <c r="G27" t="s">
        <v>103</v>
      </c>
    </row>
    <row r="28" spans="1:7" hidden="1">
      <c r="A28" t="s">
        <v>133</v>
      </c>
      <c r="F28" t="s">
        <v>139</v>
      </c>
      <c r="G28" t="s">
        <v>103</v>
      </c>
    </row>
    <row r="29" spans="1:7" hidden="1">
      <c r="A29" t="s">
        <v>134</v>
      </c>
      <c r="F29" t="s">
        <v>140</v>
      </c>
      <c r="G29" t="s">
        <v>103</v>
      </c>
    </row>
    <row r="30" spans="1:7" hidden="1">
      <c r="A30" t="s">
        <v>135</v>
      </c>
      <c r="F30" t="s">
        <v>141</v>
      </c>
      <c r="G30" t="s">
        <v>103</v>
      </c>
    </row>
    <row r="31" spans="1:7" hidden="1">
      <c r="A31" t="s">
        <v>136</v>
      </c>
      <c r="F31" t="s">
        <v>139</v>
      </c>
      <c r="G31" t="s">
        <v>103</v>
      </c>
    </row>
    <row r="32" spans="1:7" hidden="1">
      <c r="A32" t="s">
        <v>137</v>
      </c>
      <c r="F32" t="s">
        <v>140</v>
      </c>
      <c r="G32" t="s">
        <v>103</v>
      </c>
    </row>
    <row r="33" spans="1:7" hidden="1">
      <c r="A33" t="s">
        <v>138</v>
      </c>
      <c r="F33" t="s">
        <v>141</v>
      </c>
      <c r="G33" t="s">
        <v>103</v>
      </c>
    </row>
  </sheetData>
  <mergeCells count="1">
    <mergeCell ref="A1:K1"/>
  </mergeCells>
  <pageMargins left="0.7" right="0.7" top="0.75" bottom="0.75" header="0.3" footer="0.3"/>
  <pageSetup scale="73" orientation="landscape" r:id="rId1"/>
  <drawing r:id="rId2"/>
  <legacyDrawing r:id="rId3"/>
</worksheet>
</file>

<file path=xl/worksheets/sheet2.xml><?xml version="1.0" encoding="utf-8"?>
<worksheet xmlns="http://schemas.openxmlformats.org/spreadsheetml/2006/main" xmlns:r="http://schemas.openxmlformats.org/officeDocument/2006/relationships">
  <dimension ref="A1:H67"/>
  <sheetViews>
    <sheetView topLeftCell="A4" zoomScaleNormal="100" workbookViewId="0">
      <selection sqref="A1:E1"/>
    </sheetView>
  </sheetViews>
  <sheetFormatPr defaultRowHeight="14.4"/>
  <cols>
    <col min="1" max="1" width="33.5546875" customWidth="1"/>
    <col min="2" max="5" width="13.6640625" bestFit="1" customWidth="1"/>
    <col min="8" max="8" width="10.109375" bestFit="1" customWidth="1"/>
  </cols>
  <sheetData>
    <row r="1" spans="1:8" ht="68.400000000000006" customHeight="1">
      <c r="A1" s="74" t="s">
        <v>167</v>
      </c>
      <c r="B1" s="74"/>
      <c r="C1" s="74"/>
      <c r="D1" s="74"/>
      <c r="E1" s="74"/>
    </row>
    <row r="2" spans="1:8">
      <c r="A2" s="30" t="s">
        <v>143</v>
      </c>
      <c r="B2" s="31">
        <v>2008</v>
      </c>
      <c r="C2" s="31">
        <v>2009</v>
      </c>
      <c r="D2" s="31">
        <v>2010</v>
      </c>
      <c r="E2" s="32">
        <v>2011</v>
      </c>
    </row>
    <row r="3" spans="1:8">
      <c r="A3" s="33" t="s">
        <v>161</v>
      </c>
      <c r="B3" s="34">
        <f>B14+B25+B36+B47+B58</f>
        <v>565761.25</v>
      </c>
      <c r="C3" s="34">
        <f t="shared" ref="C3:E3" si="0">C14+C25+C36+C47+C58</f>
        <v>607458.75</v>
      </c>
      <c r="D3" s="34">
        <f t="shared" si="0"/>
        <v>2375100</v>
      </c>
      <c r="E3" s="35">
        <f t="shared" si="0"/>
        <v>2166200</v>
      </c>
    </row>
    <row r="4" spans="1:8">
      <c r="A4" s="33" t="s">
        <v>2</v>
      </c>
      <c r="B4" s="34">
        <f t="shared" ref="B4:E11" si="1">B15+B26+B37+B48+B59</f>
        <v>4420475</v>
      </c>
      <c r="C4" s="34">
        <f t="shared" si="1"/>
        <v>6008850</v>
      </c>
      <c r="D4" s="34">
        <f t="shared" si="1"/>
        <v>9005930</v>
      </c>
      <c r="E4" s="35">
        <f t="shared" si="1"/>
        <v>6462350</v>
      </c>
    </row>
    <row r="5" spans="1:8">
      <c r="A5" s="33" t="s">
        <v>144</v>
      </c>
      <c r="B5" s="36">
        <f>(B16+B27+B38+B49+B60)/5</f>
        <v>6.354458006506597E-2</v>
      </c>
      <c r="C5" s="36">
        <f t="shared" ref="C5:E5" si="2">(C16+C27+C38+C49+C60)/5</f>
        <v>8.4639637622287739E-2</v>
      </c>
      <c r="D5" s="36">
        <f t="shared" si="2"/>
        <v>6.7852897415956376E-2</v>
      </c>
      <c r="E5" s="37">
        <f t="shared" si="2"/>
        <v>6.0888235441704096E-2</v>
      </c>
    </row>
    <row r="6" spans="1:8">
      <c r="A6" s="33"/>
      <c r="B6" s="34"/>
      <c r="C6" s="34"/>
      <c r="D6" s="34"/>
      <c r="E6" s="35"/>
    </row>
    <row r="7" spans="1:8">
      <c r="A7" s="33" t="s">
        <v>3</v>
      </c>
      <c r="B7" s="34">
        <f t="shared" si="1"/>
        <v>3280196.31</v>
      </c>
      <c r="C7" s="34">
        <f t="shared" si="1"/>
        <v>4581601.84</v>
      </c>
      <c r="D7" s="34"/>
      <c r="E7" s="35"/>
    </row>
    <row r="8" spans="1:8">
      <c r="A8" s="33" t="s">
        <v>162</v>
      </c>
      <c r="B8" s="34">
        <f t="shared" si="1"/>
        <v>3805942</v>
      </c>
      <c r="C8" s="34">
        <f t="shared" si="1"/>
        <v>5119945</v>
      </c>
      <c r="D8" s="34"/>
      <c r="E8" s="35"/>
    </row>
    <row r="9" spans="1:8" ht="28.8">
      <c r="A9" s="13" t="s">
        <v>163</v>
      </c>
      <c r="B9" s="38">
        <f>(B20+B31+B42+B53+B64)/5</f>
        <v>9.7999999999999997E-4</v>
      </c>
      <c r="C9" s="38">
        <f t="shared" ref="C9" si="3">(C20+C31+C42+C53+C64)/5</f>
        <v>1.1800000000000001E-3</v>
      </c>
      <c r="D9" s="38"/>
      <c r="E9" s="39"/>
    </row>
    <row r="10" spans="1:8">
      <c r="A10" s="33"/>
      <c r="B10" s="34"/>
      <c r="C10" s="34"/>
      <c r="D10" s="34"/>
      <c r="E10" s="35"/>
    </row>
    <row r="11" spans="1:8">
      <c r="A11" s="40" t="s">
        <v>125</v>
      </c>
      <c r="B11" s="41">
        <f t="shared" si="1"/>
        <v>1377</v>
      </c>
      <c r="C11" s="41">
        <f t="shared" si="1"/>
        <v>2245</v>
      </c>
      <c r="D11" s="41">
        <f t="shared" si="1"/>
        <v>2821</v>
      </c>
      <c r="E11" s="42"/>
      <c r="H11" s="11"/>
    </row>
    <row r="13" spans="1:8">
      <c r="A13" s="30" t="s">
        <v>1</v>
      </c>
      <c r="B13" s="31"/>
      <c r="C13" s="31"/>
      <c r="D13" s="31"/>
      <c r="E13" s="32"/>
    </row>
    <row r="14" spans="1:8">
      <c r="A14" s="33" t="s">
        <v>121</v>
      </c>
      <c r="B14" s="43">
        <f>B15*0.15</f>
        <v>152561.25</v>
      </c>
      <c r="C14" s="43">
        <f>C15*0.15</f>
        <v>152561.25</v>
      </c>
      <c r="D14" s="43">
        <f>D15*0.15</f>
        <v>150000</v>
      </c>
      <c r="E14" s="44">
        <f>E15*0.15</f>
        <v>150000</v>
      </c>
    </row>
    <row r="15" spans="1:8">
      <c r="A15" s="33" t="s">
        <v>2</v>
      </c>
      <c r="B15" s="43">
        <v>1017075</v>
      </c>
      <c r="C15" s="43">
        <v>1017075</v>
      </c>
      <c r="D15" s="43">
        <v>1000000</v>
      </c>
      <c r="E15" s="44">
        <v>1000000</v>
      </c>
    </row>
    <row r="16" spans="1:8">
      <c r="A16" s="33" t="s">
        <v>4</v>
      </c>
      <c r="B16" s="36">
        <v>0.13400000000000001</v>
      </c>
      <c r="C16" s="36">
        <v>0.13500000000000001</v>
      </c>
      <c r="D16" s="36">
        <v>0.112</v>
      </c>
      <c r="E16" s="37">
        <v>0.121</v>
      </c>
    </row>
    <row r="17" spans="1:5">
      <c r="A17" s="33"/>
      <c r="B17" s="36"/>
      <c r="C17" s="36"/>
      <c r="D17" s="36"/>
      <c r="E17" s="37"/>
    </row>
    <row r="18" spans="1:5">
      <c r="A18" s="33" t="s">
        <v>3</v>
      </c>
      <c r="B18" s="43">
        <v>532700.31000000006</v>
      </c>
      <c r="C18" s="43">
        <v>491985.84</v>
      </c>
      <c r="D18" s="14"/>
      <c r="E18" s="45"/>
    </row>
    <row r="19" spans="1:5">
      <c r="A19" s="33" t="s">
        <v>142</v>
      </c>
      <c r="B19" s="43">
        <v>571926</v>
      </c>
      <c r="C19" s="43">
        <v>527437</v>
      </c>
      <c r="D19" s="14"/>
      <c r="E19" s="45"/>
    </row>
    <row r="20" spans="1:5">
      <c r="A20" s="33" t="s">
        <v>126</v>
      </c>
      <c r="B20" s="38">
        <v>2.3E-3</v>
      </c>
      <c r="C20" s="38">
        <v>1.9E-3</v>
      </c>
      <c r="D20" s="14"/>
      <c r="E20" s="45"/>
    </row>
    <row r="21" spans="1:5">
      <c r="A21" s="33"/>
      <c r="B21" s="14"/>
      <c r="C21" s="14"/>
      <c r="D21" s="14"/>
      <c r="E21" s="45"/>
    </row>
    <row r="22" spans="1:5">
      <c r="A22" s="40" t="s">
        <v>125</v>
      </c>
      <c r="B22" s="46">
        <v>253</v>
      </c>
      <c r="C22" s="46">
        <v>131</v>
      </c>
      <c r="D22" s="12">
        <v>100</v>
      </c>
      <c r="E22" s="47"/>
    </row>
    <row r="24" spans="1:5">
      <c r="A24" s="30" t="s">
        <v>29</v>
      </c>
      <c r="B24" s="31"/>
      <c r="C24" s="31"/>
      <c r="D24" s="31"/>
      <c r="E24" s="32"/>
    </row>
    <row r="25" spans="1:5">
      <c r="A25" s="33" t="s">
        <v>124</v>
      </c>
      <c r="B25" s="14">
        <v>0</v>
      </c>
      <c r="C25" s="34">
        <f>C26*0.1</f>
        <v>6697.5</v>
      </c>
      <c r="D25" s="34">
        <f>440*20</f>
        <v>8800</v>
      </c>
      <c r="E25" s="35">
        <f>440*30</f>
        <v>13200</v>
      </c>
    </row>
    <row r="26" spans="1:5">
      <c r="A26" s="33" t="s">
        <v>2</v>
      </c>
      <c r="B26" s="43">
        <v>0</v>
      </c>
      <c r="C26" s="43">
        <f>15*4465</f>
        <v>66975</v>
      </c>
      <c r="D26" s="43">
        <v>89330</v>
      </c>
      <c r="E26" s="44">
        <v>133950</v>
      </c>
    </row>
    <row r="27" spans="1:5">
      <c r="A27" s="33" t="s">
        <v>4</v>
      </c>
      <c r="B27" s="36">
        <v>0</v>
      </c>
      <c r="C27" s="48">
        <v>0.06</v>
      </c>
      <c r="D27" s="48">
        <f>D26/(997900+D26)</f>
        <v>8.2162927807363673E-2</v>
      </c>
      <c r="E27" s="49">
        <f>E26/(1380616+E26)</f>
        <v>8.8441177208520461E-2</v>
      </c>
    </row>
    <row r="28" spans="1:5">
      <c r="A28" s="33"/>
      <c r="B28" s="36"/>
      <c r="C28" s="48"/>
      <c r="D28" s="48"/>
      <c r="E28" s="49"/>
    </row>
    <row r="29" spans="1:5">
      <c r="A29" s="33" t="s">
        <v>3</v>
      </c>
      <c r="B29" s="43">
        <v>0</v>
      </c>
      <c r="C29" s="43">
        <v>36327</v>
      </c>
      <c r="D29" s="43">
        <v>64703</v>
      </c>
      <c r="E29" s="45"/>
    </row>
    <row r="30" spans="1:5">
      <c r="A30" s="33" t="s">
        <v>142</v>
      </c>
      <c r="B30" s="43"/>
      <c r="C30" s="43">
        <v>36327</v>
      </c>
      <c r="D30" s="43">
        <v>64703</v>
      </c>
      <c r="E30" s="45"/>
    </row>
    <row r="31" spans="1:5">
      <c r="A31" s="33" t="s">
        <v>126</v>
      </c>
      <c r="B31" s="36">
        <v>0</v>
      </c>
      <c r="C31" s="38">
        <v>4.0000000000000002E-4</v>
      </c>
      <c r="D31" s="14"/>
      <c r="E31" s="45"/>
    </row>
    <row r="32" spans="1:5">
      <c r="A32" s="33"/>
      <c r="B32" s="14"/>
      <c r="C32" s="14"/>
      <c r="D32" s="14"/>
      <c r="E32" s="45"/>
    </row>
    <row r="33" spans="1:5">
      <c r="A33" s="40" t="s">
        <v>125</v>
      </c>
      <c r="B33" s="46">
        <v>0</v>
      </c>
      <c r="C33" s="46">
        <v>15</v>
      </c>
      <c r="D33" s="46">
        <v>16</v>
      </c>
      <c r="E33" s="50">
        <v>30</v>
      </c>
    </row>
    <row r="35" spans="1:5">
      <c r="A35" s="30" t="s">
        <v>81</v>
      </c>
      <c r="B35" s="31"/>
      <c r="C35" s="31"/>
      <c r="D35" s="31"/>
      <c r="E35" s="32"/>
    </row>
    <row r="36" spans="1:5">
      <c r="A36" s="33" t="s">
        <v>122</v>
      </c>
      <c r="B36" s="43">
        <v>0</v>
      </c>
      <c r="C36" s="43">
        <v>0</v>
      </c>
      <c r="D36" s="43">
        <v>0</v>
      </c>
      <c r="E36" s="44">
        <v>0</v>
      </c>
    </row>
    <row r="37" spans="1:5">
      <c r="A37" s="33" t="s">
        <v>2</v>
      </c>
      <c r="B37" s="43">
        <v>171400</v>
      </c>
      <c r="C37" s="43">
        <v>342800</v>
      </c>
      <c r="D37" s="43">
        <v>463600</v>
      </c>
      <c r="E37" s="44">
        <v>466400</v>
      </c>
    </row>
    <row r="38" spans="1:5">
      <c r="A38" s="33" t="s">
        <v>4</v>
      </c>
      <c r="B38" s="36">
        <f>B37/(916496+1465991)</f>
        <v>7.1941630741321982E-2</v>
      </c>
      <c r="C38" s="36">
        <f>C37/(1778861+1415365)</f>
        <v>0.10731864307660134</v>
      </c>
      <c r="D38" s="36"/>
      <c r="E38" s="37"/>
    </row>
    <row r="39" spans="1:5">
      <c r="A39" s="33"/>
      <c r="B39" s="36"/>
      <c r="C39" s="36"/>
      <c r="D39" s="36"/>
      <c r="E39" s="37"/>
    </row>
    <row r="40" spans="1:5">
      <c r="A40" s="33" t="s">
        <v>3</v>
      </c>
      <c r="B40" s="43">
        <v>95344</v>
      </c>
      <c r="C40" s="43">
        <v>168378</v>
      </c>
      <c r="D40" s="14"/>
      <c r="E40" s="45"/>
    </row>
    <row r="41" spans="1:5">
      <c r="A41" s="33" t="s">
        <v>142</v>
      </c>
      <c r="B41" s="43">
        <v>192706</v>
      </c>
      <c r="C41" s="43">
        <v>242765</v>
      </c>
      <c r="D41" s="14"/>
      <c r="E41" s="45"/>
    </row>
    <row r="42" spans="1:5">
      <c r="A42" s="33" t="s">
        <v>126</v>
      </c>
      <c r="B42" s="38">
        <v>6.9999999999999999E-4</v>
      </c>
      <c r="C42" s="38">
        <v>8.0000000000000004E-4</v>
      </c>
      <c r="D42" s="14"/>
      <c r="E42" s="45"/>
    </row>
    <row r="43" spans="1:5">
      <c r="A43" s="33"/>
      <c r="B43" s="14"/>
      <c r="C43" s="14"/>
      <c r="D43" s="14"/>
      <c r="E43" s="45"/>
    </row>
    <row r="44" spans="1:5">
      <c r="A44" s="40" t="s">
        <v>125</v>
      </c>
      <c r="B44" s="46">
        <v>43</v>
      </c>
      <c r="C44" s="46">
        <v>54</v>
      </c>
      <c r="D44" s="12"/>
      <c r="E44" s="47"/>
    </row>
    <row r="46" spans="1:5">
      <c r="A46" s="30" t="s">
        <v>148</v>
      </c>
      <c r="B46" s="31"/>
      <c r="C46" s="31"/>
      <c r="D46" s="31"/>
      <c r="E46" s="32"/>
    </row>
    <row r="47" spans="1:5">
      <c r="A47" s="33" t="s">
        <v>121</v>
      </c>
      <c r="B47" s="43">
        <f>B48*0.1</f>
        <v>113200</v>
      </c>
      <c r="C47" s="43">
        <f>C48*0.1</f>
        <v>148200</v>
      </c>
      <c r="D47" s="43">
        <f>D48*0.15</f>
        <v>222300</v>
      </c>
      <c r="E47" s="44">
        <f>E48*0.15</f>
        <v>300000</v>
      </c>
    </row>
    <row r="48" spans="1:5">
      <c r="A48" s="33" t="s">
        <v>2</v>
      </c>
      <c r="B48" s="43">
        <v>1132000</v>
      </c>
      <c r="C48" s="43">
        <v>1482000</v>
      </c>
      <c r="D48" s="43">
        <v>1482000</v>
      </c>
      <c r="E48" s="44">
        <v>2000000</v>
      </c>
    </row>
    <row r="49" spans="1:5">
      <c r="A49" s="33" t="s">
        <v>4</v>
      </c>
      <c r="B49" s="48">
        <f>B48/13196354</f>
        <v>8.5781269584007822E-2</v>
      </c>
      <c r="C49" s="48">
        <f>C48/16488735</f>
        <v>8.9879545034837416E-2</v>
      </c>
      <c r="D49" s="48">
        <f>D48/17621552</f>
        <v>8.4101559272418233E-2</v>
      </c>
      <c r="E49" s="51">
        <v>7.0000000000000007E-2</v>
      </c>
    </row>
    <row r="50" spans="1:5">
      <c r="A50" s="33"/>
      <c r="B50" s="48"/>
      <c r="C50" s="48"/>
      <c r="D50" s="48"/>
      <c r="E50" s="51"/>
    </row>
    <row r="51" spans="1:5">
      <c r="A51" s="33" t="s">
        <v>3</v>
      </c>
      <c r="B51" s="43">
        <v>1059819</v>
      </c>
      <c r="C51" s="43">
        <v>1307318</v>
      </c>
      <c r="D51" s="43">
        <v>1488097</v>
      </c>
      <c r="E51" s="45"/>
    </row>
    <row r="52" spans="1:5">
      <c r="A52" s="33" t="s">
        <v>142</v>
      </c>
      <c r="B52" s="43">
        <v>1059819</v>
      </c>
      <c r="C52" s="43">
        <v>1339705</v>
      </c>
      <c r="D52" s="43">
        <v>1488097</v>
      </c>
      <c r="E52" s="45"/>
    </row>
    <row r="53" spans="1:5">
      <c r="A53" s="33" t="s">
        <v>126</v>
      </c>
      <c r="B53" s="38">
        <v>1.4E-3</v>
      </c>
      <c r="C53" s="52">
        <v>2E-3</v>
      </c>
      <c r="D53" s="52"/>
      <c r="E53" s="53"/>
    </row>
    <row r="54" spans="1:5">
      <c r="A54" s="33"/>
      <c r="B54" s="14"/>
      <c r="C54" s="14"/>
      <c r="D54" s="14"/>
      <c r="E54" s="45"/>
    </row>
    <row r="55" spans="1:5">
      <c r="A55" s="40" t="s">
        <v>125</v>
      </c>
      <c r="B55" s="46">
        <v>343</v>
      </c>
      <c r="C55" s="46">
        <v>363</v>
      </c>
      <c r="D55" s="12">
        <v>420</v>
      </c>
      <c r="E55" s="47"/>
    </row>
    <row r="57" spans="1:5">
      <c r="A57" s="30" t="s">
        <v>145</v>
      </c>
      <c r="B57" s="31"/>
      <c r="C57" s="31"/>
      <c r="D57" s="75" t="s">
        <v>147</v>
      </c>
      <c r="E57" s="76"/>
    </row>
    <row r="58" spans="1:5">
      <c r="A58" s="33" t="s">
        <v>123</v>
      </c>
      <c r="B58" s="43">
        <v>300000</v>
      </c>
      <c r="C58" s="43">
        <v>300000</v>
      </c>
      <c r="D58" s="43">
        <v>1994000</v>
      </c>
      <c r="E58" s="44">
        <v>1703000</v>
      </c>
    </row>
    <row r="59" spans="1:5">
      <c r="A59" s="33" t="s">
        <v>2</v>
      </c>
      <c r="B59" s="43">
        <v>2100000</v>
      </c>
      <c r="C59" s="43">
        <v>3100000</v>
      </c>
      <c r="D59" s="43">
        <v>5971000</v>
      </c>
      <c r="E59" s="44">
        <v>2862000</v>
      </c>
    </row>
    <row r="60" spans="1:5">
      <c r="A60" s="33" t="s">
        <v>4</v>
      </c>
      <c r="B60" s="48">
        <v>2.5999999999999999E-2</v>
      </c>
      <c r="C60" s="48">
        <v>3.1E-2</v>
      </c>
      <c r="D60" s="48">
        <v>6.0999999999999999E-2</v>
      </c>
      <c r="E60" s="51">
        <v>2.5000000000000001E-2</v>
      </c>
    </row>
    <row r="61" spans="1:5">
      <c r="A61" s="33"/>
      <c r="B61" s="48"/>
      <c r="C61" s="48"/>
      <c r="D61" s="48"/>
      <c r="E61" s="51"/>
    </row>
    <row r="62" spans="1:5">
      <c r="A62" s="33" t="s">
        <v>3</v>
      </c>
      <c r="B62" s="43">
        <v>1592333</v>
      </c>
      <c r="C62" s="43">
        <v>2577593</v>
      </c>
      <c r="D62" s="43">
        <v>5617403</v>
      </c>
      <c r="E62" s="45"/>
    </row>
    <row r="63" spans="1:5">
      <c r="A63" s="33" t="s">
        <v>127</v>
      </c>
      <c r="B63" s="43">
        <v>1981491</v>
      </c>
      <c r="C63" s="43">
        <v>2973711</v>
      </c>
      <c r="D63" s="43">
        <v>5971167</v>
      </c>
      <c r="E63" s="45"/>
    </row>
    <row r="64" spans="1:5">
      <c r="A64" s="33" t="s">
        <v>126</v>
      </c>
      <c r="B64" s="38">
        <v>5.0000000000000001E-4</v>
      </c>
      <c r="C64" s="38">
        <v>8.0000000000000004E-4</v>
      </c>
      <c r="D64" s="52"/>
      <c r="E64" s="53"/>
    </row>
    <row r="65" spans="1:5">
      <c r="A65" s="33"/>
      <c r="B65" s="14"/>
      <c r="C65" s="14"/>
      <c r="D65" s="14"/>
      <c r="E65" s="45"/>
    </row>
    <row r="66" spans="1:5">
      <c r="A66" s="33" t="s">
        <v>125</v>
      </c>
      <c r="B66" s="14">
        <v>738</v>
      </c>
      <c r="C66" s="14">
        <v>1682</v>
      </c>
      <c r="D66" s="14">
        <v>2285</v>
      </c>
      <c r="E66" s="45"/>
    </row>
    <row r="67" spans="1:5">
      <c r="A67" s="40"/>
      <c r="B67" s="12"/>
      <c r="C67" s="12"/>
      <c r="D67" s="12" t="s">
        <v>146</v>
      </c>
      <c r="E67" s="47"/>
    </row>
  </sheetData>
  <mergeCells count="2">
    <mergeCell ref="A1:E1"/>
    <mergeCell ref="D57:E57"/>
  </mergeCells>
  <pageMargins left="0.7" right="0.7" top="0.75" bottom="0.75" header="0.3" footer="0.3"/>
  <pageSetup orientation="portrait" r:id="rId1"/>
  <rowBreaks count="1" manualBreakCount="1">
    <brk id="33" max="16383" man="1"/>
  </rowBreaks>
</worksheet>
</file>

<file path=xl/worksheets/sheet3.xml><?xml version="1.0" encoding="utf-8"?>
<worksheet xmlns="http://schemas.openxmlformats.org/spreadsheetml/2006/main" xmlns:r="http://schemas.openxmlformats.org/officeDocument/2006/relationships">
  <sheetPr>
    <pageSetUpPr fitToPage="1"/>
  </sheetPr>
  <dimension ref="A1:F14"/>
  <sheetViews>
    <sheetView topLeftCell="A7" workbookViewId="0">
      <selection sqref="A1:F1"/>
    </sheetView>
  </sheetViews>
  <sheetFormatPr defaultRowHeight="14.4"/>
  <cols>
    <col min="1" max="1" width="8.88671875" style="5"/>
    <col min="2" max="2" width="36.6640625" style="5" customWidth="1"/>
    <col min="3" max="3" width="20.88671875" style="5" customWidth="1"/>
    <col min="4" max="4" width="21.33203125" customWidth="1"/>
    <col min="5" max="5" width="28.77734375" customWidth="1"/>
    <col min="6" max="6" width="21" style="5" customWidth="1"/>
    <col min="7" max="7" width="8.88671875" style="5"/>
    <col min="8" max="8" width="11.5546875" style="5" bestFit="1" customWidth="1"/>
    <col min="9" max="16384" width="8.88671875" style="5"/>
  </cols>
  <sheetData>
    <row r="1" spans="1:6" ht="31.8" customHeight="1">
      <c r="A1" s="77" t="s">
        <v>13</v>
      </c>
      <c r="B1" s="77"/>
      <c r="C1" s="77"/>
      <c r="D1" s="77"/>
      <c r="E1" s="77"/>
      <c r="F1" s="77"/>
    </row>
    <row r="2" spans="1:6" ht="38.4" customHeight="1">
      <c r="A2" s="58"/>
      <c r="B2" s="58" t="s">
        <v>0</v>
      </c>
      <c r="C2" s="58" t="s">
        <v>29</v>
      </c>
      <c r="D2" s="16" t="s">
        <v>81</v>
      </c>
      <c r="E2" s="58" t="s">
        <v>95</v>
      </c>
      <c r="F2" s="58" t="s">
        <v>50</v>
      </c>
    </row>
    <row r="3" spans="1:6" ht="72.599999999999994" customHeight="1">
      <c r="A3" s="15" t="s">
        <v>14</v>
      </c>
      <c r="B3" s="15" t="s">
        <v>19</v>
      </c>
      <c r="C3" s="15" t="s">
        <v>38</v>
      </c>
      <c r="D3" s="15" t="s">
        <v>84</v>
      </c>
      <c r="E3" s="15" t="s">
        <v>104</v>
      </c>
      <c r="F3" s="59"/>
    </row>
    <row r="4" spans="1:6" ht="168" customHeight="1">
      <c r="A4" s="15" t="s">
        <v>17</v>
      </c>
      <c r="B4" s="15" t="s">
        <v>18</v>
      </c>
      <c r="C4" s="15" t="s">
        <v>39</v>
      </c>
      <c r="D4" s="16"/>
      <c r="E4" s="15" t="s">
        <v>105</v>
      </c>
      <c r="F4" s="15" t="s">
        <v>61</v>
      </c>
    </row>
    <row r="5" spans="1:6" ht="100.8">
      <c r="A5" s="15" t="s">
        <v>15</v>
      </c>
      <c r="B5" s="15" t="s">
        <v>20</v>
      </c>
      <c r="C5" s="15" t="s">
        <v>31</v>
      </c>
      <c r="D5" s="15" t="s">
        <v>87</v>
      </c>
      <c r="E5" s="15" t="s">
        <v>106</v>
      </c>
      <c r="F5" s="15" t="s">
        <v>62</v>
      </c>
    </row>
    <row r="6" spans="1:6" ht="57.6">
      <c r="A6" s="15" t="s">
        <v>23</v>
      </c>
      <c r="B6" s="60" t="s">
        <v>21</v>
      </c>
      <c r="C6" s="15" t="s">
        <v>30</v>
      </c>
      <c r="D6" s="15" t="s">
        <v>85</v>
      </c>
      <c r="E6" s="15" t="s">
        <v>107</v>
      </c>
      <c r="F6" s="15" t="s">
        <v>62</v>
      </c>
    </row>
    <row r="7" spans="1:6" ht="77.400000000000006" customHeight="1">
      <c r="A7" s="15" t="s">
        <v>24</v>
      </c>
      <c r="B7" s="59" t="s">
        <v>22</v>
      </c>
      <c r="C7" s="15" t="s">
        <v>32</v>
      </c>
      <c r="D7" s="61">
        <v>0</v>
      </c>
      <c r="E7" s="15" t="s">
        <v>63</v>
      </c>
      <c r="F7" s="15" t="s">
        <v>63</v>
      </c>
    </row>
    <row r="8" spans="1:6" ht="43.2">
      <c r="A8" s="15" t="s">
        <v>69</v>
      </c>
      <c r="B8" s="59"/>
      <c r="C8" s="59"/>
      <c r="D8" s="61">
        <v>0</v>
      </c>
      <c r="E8" s="15" t="s">
        <v>108</v>
      </c>
      <c r="F8" s="59"/>
    </row>
    <row r="9" spans="1:6" ht="43.2">
      <c r="A9" s="15" t="s">
        <v>16</v>
      </c>
      <c r="B9" s="15" t="s">
        <v>25</v>
      </c>
      <c r="C9" s="59"/>
      <c r="D9" s="16"/>
      <c r="E9" s="16"/>
      <c r="F9" s="15" t="s">
        <v>64</v>
      </c>
    </row>
    <row r="10" spans="1:6" ht="43.2">
      <c r="A10" s="15" t="s">
        <v>40</v>
      </c>
      <c r="B10" s="15" t="s">
        <v>41</v>
      </c>
      <c r="C10" s="15" t="s">
        <v>42</v>
      </c>
      <c r="D10" s="15" t="s">
        <v>86</v>
      </c>
      <c r="E10" s="15" t="s">
        <v>109</v>
      </c>
      <c r="F10" s="15" t="s">
        <v>42</v>
      </c>
    </row>
    <row r="11" spans="1:6" ht="43.2">
      <c r="A11" s="15" t="s">
        <v>65</v>
      </c>
      <c r="B11" s="59"/>
      <c r="C11" s="59"/>
      <c r="D11" s="16"/>
      <c r="E11" s="16"/>
      <c r="F11" s="15" t="s">
        <v>67</v>
      </c>
    </row>
    <row r="12" spans="1:6" ht="28.8">
      <c r="A12" s="15" t="s">
        <v>66</v>
      </c>
      <c r="B12" s="59"/>
      <c r="C12" s="59"/>
      <c r="D12" s="16"/>
      <c r="E12" s="16"/>
      <c r="F12" s="15" t="s">
        <v>68</v>
      </c>
    </row>
    <row r="14" spans="1:6">
      <c r="A14" s="57"/>
      <c r="B14" s="57"/>
      <c r="C14" s="57"/>
      <c r="D14" s="14"/>
      <c r="E14" s="14"/>
      <c r="F14" s="57"/>
    </row>
  </sheetData>
  <mergeCells count="1">
    <mergeCell ref="A1:F1"/>
  </mergeCells>
  <pageMargins left="0.7" right="0.7" top="0.75" bottom="0.75" header="0.3" footer="0.3"/>
  <pageSetup scale="88" fitToHeight="0" orientation="landscape" r:id="rId1"/>
</worksheet>
</file>

<file path=xl/worksheets/sheet4.xml><?xml version="1.0" encoding="utf-8"?>
<worksheet xmlns="http://schemas.openxmlformats.org/spreadsheetml/2006/main" xmlns:r="http://schemas.openxmlformats.org/officeDocument/2006/relationships">
  <dimension ref="A1:F23"/>
  <sheetViews>
    <sheetView workbookViewId="0">
      <selection activeCell="B10" sqref="B10"/>
    </sheetView>
  </sheetViews>
  <sheetFormatPr defaultColWidth="18.109375" defaultRowHeight="14.4"/>
  <cols>
    <col min="1" max="1" width="18.109375" style="1"/>
    <col min="2" max="2" width="24.21875" style="1" customWidth="1"/>
    <col min="3" max="3" width="18.109375" style="1"/>
    <col min="5" max="16384" width="18.109375" style="1"/>
  </cols>
  <sheetData>
    <row r="1" spans="1:6" ht="24.6" customHeight="1">
      <c r="A1" s="78" t="s">
        <v>12</v>
      </c>
      <c r="B1" s="78"/>
      <c r="C1" s="78"/>
      <c r="D1" s="78"/>
      <c r="E1" s="78"/>
      <c r="F1" s="78"/>
    </row>
    <row r="2" spans="1:6">
      <c r="A2" s="15" t="s">
        <v>50</v>
      </c>
      <c r="B2" s="15" t="s">
        <v>1</v>
      </c>
      <c r="C2" s="15" t="s">
        <v>29</v>
      </c>
      <c r="D2" s="15" t="s">
        <v>81</v>
      </c>
      <c r="E2" s="15" t="s">
        <v>95</v>
      </c>
      <c r="F2" s="15" t="s">
        <v>103</v>
      </c>
    </row>
    <row r="3" spans="1:6" ht="129.6">
      <c r="A3" s="15" t="s">
        <v>44</v>
      </c>
      <c r="B3" s="15" t="s">
        <v>204</v>
      </c>
      <c r="C3" s="15" t="s">
        <v>209</v>
      </c>
      <c r="D3" s="15" t="s">
        <v>200</v>
      </c>
      <c r="E3" s="15" t="s">
        <v>206</v>
      </c>
      <c r="F3" s="15" t="s">
        <v>211</v>
      </c>
    </row>
    <row r="4" spans="1:6" ht="144">
      <c r="A4" s="15" t="s">
        <v>45</v>
      </c>
      <c r="B4" s="15" t="s">
        <v>205</v>
      </c>
      <c r="C4" s="15" t="s">
        <v>36</v>
      </c>
      <c r="D4" s="15"/>
      <c r="E4" s="15" t="s">
        <v>208</v>
      </c>
      <c r="F4" s="15" t="s">
        <v>214</v>
      </c>
    </row>
    <row r="5" spans="1:6" ht="100.8">
      <c r="A5" s="15" t="s">
        <v>46</v>
      </c>
      <c r="B5" s="15" t="s">
        <v>203</v>
      </c>
      <c r="C5" s="15" t="s">
        <v>202</v>
      </c>
      <c r="D5" s="15"/>
      <c r="E5" s="15"/>
      <c r="F5" s="15" t="s">
        <v>213</v>
      </c>
    </row>
    <row r="6" spans="1:6" ht="100.8">
      <c r="A6" s="15" t="s">
        <v>47</v>
      </c>
      <c r="B6" s="15" t="s">
        <v>5</v>
      </c>
      <c r="C6" s="15" t="s">
        <v>201</v>
      </c>
      <c r="D6" s="15" t="s">
        <v>82</v>
      </c>
      <c r="E6" s="15" t="s">
        <v>207</v>
      </c>
      <c r="F6" s="15" t="s">
        <v>210</v>
      </c>
    </row>
    <row r="7" spans="1:6" ht="72">
      <c r="A7" s="15" t="s">
        <v>48</v>
      </c>
      <c r="B7" s="15" t="s">
        <v>8</v>
      </c>
      <c r="C7" s="15" t="s">
        <v>33</v>
      </c>
      <c r="D7" s="15" t="s">
        <v>83</v>
      </c>
      <c r="E7" s="15" t="s">
        <v>96</v>
      </c>
      <c r="F7" s="15" t="s">
        <v>212</v>
      </c>
    </row>
    <row r="8" spans="1:6" ht="57.6">
      <c r="A8" s="15" t="s">
        <v>49</v>
      </c>
      <c r="B8" s="15" t="s">
        <v>7</v>
      </c>
      <c r="C8" s="15"/>
      <c r="D8" s="16"/>
      <c r="E8" s="15"/>
      <c r="F8" s="15" t="s">
        <v>110</v>
      </c>
    </row>
    <row r="9" spans="1:6" ht="28.8">
      <c r="A9" s="15"/>
      <c r="B9" s="15" t="s">
        <v>9</v>
      </c>
      <c r="C9" s="15"/>
      <c r="D9" s="16"/>
      <c r="E9" s="15"/>
      <c r="F9" s="15"/>
    </row>
    <row r="10" spans="1:6" ht="86.4">
      <c r="A10" s="15"/>
      <c r="B10" s="15" t="s">
        <v>6</v>
      </c>
      <c r="C10" s="15"/>
      <c r="D10" s="16"/>
      <c r="E10" s="15" t="s">
        <v>97</v>
      </c>
      <c r="F10" s="15" t="s">
        <v>111</v>
      </c>
    </row>
    <row r="11" spans="1:6">
      <c r="A11" s="15"/>
      <c r="B11" s="15"/>
      <c r="C11" s="15" t="s">
        <v>35</v>
      </c>
      <c r="D11" s="16"/>
      <c r="E11" s="15"/>
      <c r="F11" s="15"/>
    </row>
    <row r="12" spans="1:6" ht="28.8">
      <c r="A12" s="15"/>
      <c r="B12" s="15"/>
      <c r="C12" s="15" t="s">
        <v>34</v>
      </c>
      <c r="D12" s="16"/>
      <c r="E12" s="15"/>
      <c r="F12" s="15"/>
    </row>
    <row r="13" spans="1:6" ht="28.8">
      <c r="A13" s="15"/>
      <c r="B13" s="15"/>
      <c r="C13" s="15"/>
      <c r="D13" s="16"/>
      <c r="E13" s="15" t="s">
        <v>98</v>
      </c>
      <c r="F13" s="15"/>
    </row>
    <row r="14" spans="1:6">
      <c r="A14" s="81"/>
      <c r="B14" s="81"/>
      <c r="C14" s="81"/>
      <c r="D14" s="14"/>
      <c r="E14" s="81"/>
      <c r="F14" s="81"/>
    </row>
    <row r="15" spans="1:6">
      <c r="A15" s="81"/>
      <c r="B15" s="81"/>
      <c r="C15" s="81"/>
      <c r="D15" s="14"/>
      <c r="E15" s="81"/>
      <c r="F15" s="81"/>
    </row>
    <row r="16" spans="1:6">
      <c r="A16" s="81"/>
      <c r="B16" s="81"/>
      <c r="C16" s="81"/>
      <c r="D16" s="14"/>
      <c r="E16" s="81"/>
      <c r="F16" s="81"/>
    </row>
    <row r="17" spans="1:6">
      <c r="A17" s="81"/>
      <c r="B17" s="81"/>
      <c r="C17" s="81"/>
      <c r="D17" s="14"/>
      <c r="E17" s="81"/>
      <c r="F17" s="81"/>
    </row>
    <row r="18" spans="1:6">
      <c r="A18" s="81"/>
      <c r="B18" s="81"/>
      <c r="C18" s="81"/>
      <c r="D18" s="14"/>
      <c r="E18" s="81"/>
      <c r="F18" s="81"/>
    </row>
    <row r="19" spans="1:6">
      <c r="A19" s="81"/>
      <c r="B19" s="81"/>
      <c r="C19" s="81"/>
      <c r="D19" s="14"/>
      <c r="E19" s="81"/>
      <c r="F19" s="81"/>
    </row>
    <row r="20" spans="1:6">
      <c r="A20" s="81"/>
      <c r="B20" s="81"/>
      <c r="C20" s="81"/>
      <c r="D20" s="14"/>
      <c r="E20" s="81"/>
      <c r="F20" s="81"/>
    </row>
    <row r="21" spans="1:6">
      <c r="A21" s="81"/>
      <c r="B21" s="81"/>
      <c r="C21" s="81"/>
      <c r="D21" s="14"/>
      <c r="E21" s="81"/>
      <c r="F21" s="81"/>
    </row>
    <row r="22" spans="1:6">
      <c r="A22" s="81"/>
      <c r="B22" s="81"/>
      <c r="C22" s="81"/>
      <c r="D22" s="14"/>
      <c r="E22" s="81"/>
      <c r="F22" s="81"/>
    </row>
    <row r="23" spans="1:6">
      <c r="A23" s="81"/>
      <c r="B23" s="81"/>
      <c r="C23" s="81"/>
      <c r="D23" s="14"/>
      <c r="E23" s="81"/>
      <c r="F23" s="81"/>
    </row>
  </sheetData>
  <mergeCells count="1">
    <mergeCell ref="A1:F1"/>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D19"/>
  <sheetViews>
    <sheetView workbookViewId="0">
      <selection activeCell="B19" sqref="B19"/>
    </sheetView>
  </sheetViews>
  <sheetFormatPr defaultRowHeight="14.4"/>
  <cols>
    <col min="1" max="1" width="20.77734375" style="1" customWidth="1"/>
    <col min="2" max="2" width="14.33203125" style="1" customWidth="1"/>
    <col min="3" max="3" width="24.44140625" customWidth="1"/>
    <col min="4" max="4" width="19.88671875" style="1" customWidth="1"/>
    <col min="5" max="16384" width="8.88671875" style="1"/>
  </cols>
  <sheetData>
    <row r="1" spans="1:4" ht="18">
      <c r="A1" s="77" t="s">
        <v>152</v>
      </c>
      <c r="B1" s="77"/>
      <c r="C1" s="77"/>
      <c r="D1" s="77"/>
    </row>
    <row r="2" spans="1:4">
      <c r="A2" s="15" t="s">
        <v>50</v>
      </c>
      <c r="B2" s="15" t="s">
        <v>95</v>
      </c>
      <c r="C2" s="15" t="s">
        <v>103</v>
      </c>
      <c r="D2" s="15" t="s">
        <v>1</v>
      </c>
    </row>
    <row r="3" spans="1:4" ht="72">
      <c r="A3" s="15"/>
      <c r="B3" s="15"/>
      <c r="C3" s="15"/>
      <c r="D3" s="15" t="s">
        <v>60</v>
      </c>
    </row>
    <row r="4" spans="1:4" ht="57.6">
      <c r="A4" s="15" t="s">
        <v>51</v>
      </c>
      <c r="B4" s="15"/>
      <c r="C4" s="15"/>
      <c r="D4" s="15"/>
    </row>
    <row r="5" spans="1:4" ht="72">
      <c r="A5" s="15" t="s">
        <v>52</v>
      </c>
      <c r="B5" s="15" t="s">
        <v>215</v>
      </c>
      <c r="C5" s="15" t="s">
        <v>218</v>
      </c>
      <c r="D5" s="15"/>
    </row>
    <row r="6" spans="1:4" ht="43.2">
      <c r="A6" s="15" t="s">
        <v>53</v>
      </c>
      <c r="B6" s="15"/>
      <c r="C6" s="15" t="s">
        <v>216</v>
      </c>
      <c r="D6" s="15"/>
    </row>
    <row r="7" spans="1:4" ht="28.8">
      <c r="A7" s="15" t="s">
        <v>54</v>
      </c>
      <c r="B7" s="15"/>
      <c r="C7" s="15" t="s">
        <v>217</v>
      </c>
      <c r="D7" s="15"/>
    </row>
    <row r="8" spans="1:4" ht="43.2">
      <c r="A8" s="15" t="s">
        <v>55</v>
      </c>
      <c r="B8" s="15"/>
      <c r="C8" s="15"/>
      <c r="D8" s="15"/>
    </row>
    <row r="9" spans="1:4">
      <c r="A9" s="15" t="s">
        <v>56</v>
      </c>
      <c r="B9" s="15"/>
      <c r="C9" s="15" t="s">
        <v>116</v>
      </c>
      <c r="D9" s="15"/>
    </row>
    <row r="10" spans="1:4" ht="28.8">
      <c r="A10" s="15" t="s">
        <v>57</v>
      </c>
      <c r="B10" s="15" t="s">
        <v>100</v>
      </c>
      <c r="C10" s="15" t="s">
        <v>113</v>
      </c>
      <c r="D10" s="15"/>
    </row>
    <row r="11" spans="1:4" ht="28.8">
      <c r="A11" s="15" t="s">
        <v>58</v>
      </c>
      <c r="B11" s="15"/>
      <c r="C11" s="15"/>
      <c r="D11" s="15"/>
    </row>
    <row r="12" spans="1:4" ht="86.4">
      <c r="A12" s="15" t="s">
        <v>59</v>
      </c>
      <c r="B12" s="15"/>
      <c r="C12" s="15"/>
      <c r="D12" s="15"/>
    </row>
    <row r="13" spans="1:4" ht="28.8">
      <c r="A13" s="15"/>
      <c r="B13" s="15" t="s">
        <v>99</v>
      </c>
      <c r="C13" s="16" t="s">
        <v>118</v>
      </c>
      <c r="D13" s="15"/>
    </row>
    <row r="14" spans="1:4">
      <c r="A14" s="15"/>
      <c r="B14" s="15"/>
      <c r="C14" s="16" t="s">
        <v>112</v>
      </c>
      <c r="D14" s="15"/>
    </row>
    <row r="15" spans="1:4">
      <c r="A15" s="15"/>
      <c r="B15" s="15"/>
      <c r="C15" s="16" t="s">
        <v>119</v>
      </c>
      <c r="D15" s="15"/>
    </row>
    <row r="16" spans="1:4">
      <c r="A16" s="15"/>
      <c r="B16" s="15"/>
      <c r="C16" s="16" t="s">
        <v>120</v>
      </c>
      <c r="D16" s="15"/>
    </row>
    <row r="17" spans="1:4">
      <c r="A17" s="15"/>
      <c r="B17" s="15"/>
      <c r="C17" s="15" t="s">
        <v>114</v>
      </c>
      <c r="D17" s="15"/>
    </row>
    <row r="18" spans="1:4" ht="28.8">
      <c r="A18" s="15"/>
      <c r="B18" s="15"/>
      <c r="C18" s="15" t="s">
        <v>115</v>
      </c>
      <c r="D18" s="15"/>
    </row>
    <row r="19" spans="1:4" ht="28.8">
      <c r="A19" s="15"/>
      <c r="B19" s="15"/>
      <c r="C19" s="15" t="s">
        <v>117</v>
      </c>
      <c r="D19" s="15"/>
    </row>
  </sheetData>
  <mergeCells count="1">
    <mergeCell ref="A1:D1"/>
  </mergeCells>
  <pageMargins left="0.7" right="0.7" top="0.75" bottom="0.75" header="0.3" footer="0.3"/>
  <pageSetup fitToHeight="0" orientation="portrait" r:id="rId1"/>
</worksheet>
</file>

<file path=xl/worksheets/sheet6.xml><?xml version="1.0" encoding="utf-8"?>
<worksheet xmlns="http://schemas.openxmlformats.org/spreadsheetml/2006/main" xmlns:r="http://schemas.openxmlformats.org/officeDocument/2006/relationships">
  <sheetPr>
    <pageSetUpPr fitToPage="1"/>
  </sheetPr>
  <dimension ref="A1:J19"/>
  <sheetViews>
    <sheetView workbookViewId="0">
      <selection activeCell="C20" sqref="C20"/>
    </sheetView>
  </sheetViews>
  <sheetFormatPr defaultRowHeight="14.4"/>
  <cols>
    <col min="1" max="1" width="26.21875" style="6" customWidth="1"/>
    <col min="2" max="2" width="9.109375" style="6" bestFit="1" customWidth="1"/>
    <col min="3" max="3" width="10.109375" style="6" customWidth="1"/>
    <col min="4" max="4" width="9.109375" style="6" bestFit="1" customWidth="1"/>
    <col min="7" max="7" width="16.77734375" style="6" customWidth="1"/>
    <col min="8" max="16384" width="8.88671875" style="6"/>
  </cols>
  <sheetData>
    <row r="1" spans="1:10" ht="18">
      <c r="A1" s="79" t="s">
        <v>153</v>
      </c>
      <c r="B1" s="79"/>
      <c r="C1" s="79"/>
      <c r="D1" s="79"/>
      <c r="E1" s="79"/>
      <c r="F1" s="79"/>
      <c r="G1" s="79"/>
      <c r="H1" s="79"/>
      <c r="I1" s="79"/>
      <c r="J1" s="79"/>
    </row>
    <row r="2" spans="1:10">
      <c r="B2" s="6" t="s">
        <v>0</v>
      </c>
      <c r="C2" s="6" t="s">
        <v>81</v>
      </c>
      <c r="D2" s="6" t="s">
        <v>37</v>
      </c>
      <c r="E2" s="6" t="s">
        <v>95</v>
      </c>
      <c r="F2" s="6" t="s">
        <v>103</v>
      </c>
      <c r="G2" s="6" t="s">
        <v>50</v>
      </c>
      <c r="H2" s="4">
        <v>0.4</v>
      </c>
      <c r="I2" s="6" t="s">
        <v>157</v>
      </c>
    </row>
    <row r="3" spans="1:10">
      <c r="A3" s="6" t="s">
        <v>10</v>
      </c>
      <c r="B3" s="6">
        <v>6792</v>
      </c>
      <c r="C3" s="6">
        <f>46+54</f>
        <v>100</v>
      </c>
      <c r="G3" s="6">
        <v>55294</v>
      </c>
      <c r="H3" s="6">
        <f>G3*H2</f>
        <v>22117.600000000002</v>
      </c>
    </row>
    <row r="4" spans="1:10">
      <c r="A4" s="6" t="s">
        <v>11</v>
      </c>
      <c r="B4" s="6">
        <f>2010-1986</f>
        <v>24</v>
      </c>
      <c r="C4" s="6">
        <v>2</v>
      </c>
      <c r="G4" s="6">
        <f>2010-1995</f>
        <v>15</v>
      </c>
    </row>
    <row r="5" spans="1:10">
      <c r="A5" s="23" t="s">
        <v>156</v>
      </c>
      <c r="B5" s="24">
        <f>B3/B4</f>
        <v>283</v>
      </c>
      <c r="C5" s="24">
        <f>C3/C4</f>
        <v>50</v>
      </c>
      <c r="D5" s="24">
        <v>30</v>
      </c>
      <c r="E5" s="25">
        <f>(343+363+420)/3</f>
        <v>375.33333333333331</v>
      </c>
      <c r="F5" s="25">
        <f>(738+1682+2285)/3</f>
        <v>1568.3333333333333</v>
      </c>
      <c r="G5" s="24">
        <f>G3/G4</f>
        <v>3686.2666666666669</v>
      </c>
      <c r="H5" s="24">
        <f>G5*H2</f>
        <v>1474.5066666666669</v>
      </c>
      <c r="I5" s="24"/>
      <c r="J5" s="26"/>
    </row>
    <row r="6" spans="1:10">
      <c r="A6" s="27"/>
      <c r="B6" s="27"/>
      <c r="C6" s="27"/>
      <c r="D6" s="27"/>
      <c r="E6" s="28"/>
      <c r="F6" s="28"/>
      <c r="G6" s="27"/>
      <c r="H6" s="29"/>
      <c r="I6" s="29"/>
      <c r="J6" s="29"/>
    </row>
    <row r="7" spans="1:10">
      <c r="A7" s="27"/>
      <c r="B7" s="6" t="s">
        <v>0</v>
      </c>
      <c r="C7" s="6" t="s">
        <v>81</v>
      </c>
      <c r="D7" s="6" t="s">
        <v>37</v>
      </c>
      <c r="E7" s="6" t="s">
        <v>95</v>
      </c>
      <c r="F7" s="6" t="s">
        <v>103</v>
      </c>
      <c r="G7" s="6" t="s">
        <v>50</v>
      </c>
      <c r="H7" s="21"/>
      <c r="I7" s="21" t="s">
        <v>70</v>
      </c>
      <c r="J7" s="21"/>
    </row>
    <row r="8" spans="1:10">
      <c r="G8" s="24" t="s">
        <v>71</v>
      </c>
      <c r="H8" s="21"/>
      <c r="I8" s="21" t="s">
        <v>72</v>
      </c>
      <c r="J8" s="21" t="s">
        <v>71</v>
      </c>
    </row>
    <row r="9" spans="1:10">
      <c r="A9" s="6" t="s">
        <v>159</v>
      </c>
      <c r="G9" s="6">
        <v>657000</v>
      </c>
      <c r="I9" s="6">
        <v>353000</v>
      </c>
      <c r="J9" s="6">
        <f>I9+99000</f>
        <v>452000</v>
      </c>
    </row>
    <row r="10" spans="1:10">
      <c r="A10" s="6" t="s">
        <v>73</v>
      </c>
      <c r="B10" s="6">
        <f>102939*0.2</f>
        <v>20587.800000000003</v>
      </c>
      <c r="C10" s="6">
        <f>166760*0.2</f>
        <v>33352</v>
      </c>
      <c r="D10" s="6">
        <v>6960</v>
      </c>
      <c r="E10" s="6">
        <f>209267*0.2</f>
        <v>41853.4</v>
      </c>
      <c r="F10" s="6">
        <f>947299*0.2</f>
        <v>189459.80000000002</v>
      </c>
      <c r="G10" s="6">
        <f>G9*0.4</f>
        <v>262800</v>
      </c>
      <c r="I10" s="6">
        <f t="shared" ref="I10:J10" si="0">I9*0.4</f>
        <v>141200</v>
      </c>
      <c r="J10" s="6">
        <f t="shared" si="0"/>
        <v>180800</v>
      </c>
    </row>
    <row r="11" spans="1:10" ht="36.6" customHeight="1">
      <c r="A11" s="6" t="s">
        <v>158</v>
      </c>
      <c r="D11" s="4"/>
      <c r="F11" s="80" t="s">
        <v>160</v>
      </c>
      <c r="G11" s="80"/>
      <c r="H11" s="80"/>
      <c r="I11" s="80"/>
      <c r="J11" s="80"/>
    </row>
    <row r="12" spans="1:10">
      <c r="D12" s="4"/>
    </row>
    <row r="13" spans="1:10">
      <c r="B13" s="6" t="s">
        <v>0</v>
      </c>
      <c r="C13" s="6" t="s">
        <v>81</v>
      </c>
      <c r="D13" s="6" t="s">
        <v>37</v>
      </c>
      <c r="E13" s="6" t="s">
        <v>95</v>
      </c>
      <c r="F13" s="6" t="s">
        <v>103</v>
      </c>
      <c r="G13" s="6" t="s">
        <v>50</v>
      </c>
    </row>
    <row r="14" spans="1:10">
      <c r="A14" s="17" t="s">
        <v>154</v>
      </c>
      <c r="B14" s="18">
        <f t="shared" ref="B14:G14" si="1">B10/B5</f>
        <v>72.748409893992942</v>
      </c>
      <c r="C14" s="18">
        <f t="shared" si="1"/>
        <v>667.04</v>
      </c>
      <c r="D14" s="18">
        <f t="shared" si="1"/>
        <v>232</v>
      </c>
      <c r="E14" s="18">
        <f t="shared" si="1"/>
        <v>111.50994671403198</v>
      </c>
      <c r="F14" s="18">
        <f t="shared" si="1"/>
        <v>120.80327311370884</v>
      </c>
      <c r="G14" s="19">
        <f t="shared" si="1"/>
        <v>71.291641046044774</v>
      </c>
    </row>
    <row r="15" spans="1:10">
      <c r="A15" s="20" t="s">
        <v>155</v>
      </c>
      <c r="B15" s="21"/>
      <c r="C15" s="21"/>
      <c r="D15" s="21"/>
      <c r="E15" s="12"/>
      <c r="F15" s="12"/>
      <c r="G15" s="22"/>
    </row>
    <row r="16" spans="1:10">
      <c r="A16" s="27"/>
      <c r="B16" s="27"/>
      <c r="C16" s="27"/>
      <c r="D16" s="27"/>
      <c r="E16" s="14"/>
      <c r="F16" s="14"/>
      <c r="G16" s="27"/>
    </row>
    <row r="17" spans="1:7">
      <c r="B17" s="6" t="s">
        <v>0</v>
      </c>
      <c r="C17" s="6" t="s">
        <v>81</v>
      </c>
      <c r="D17" s="6" t="s">
        <v>37</v>
      </c>
      <c r="E17" s="6" t="s">
        <v>95</v>
      </c>
      <c r="F17" s="6" t="s">
        <v>103</v>
      </c>
      <c r="G17" s="6" t="s">
        <v>50</v>
      </c>
    </row>
    <row r="18" spans="1:7">
      <c r="A18" s="6" t="s">
        <v>101</v>
      </c>
      <c r="E18" s="6">
        <v>12712</v>
      </c>
    </row>
    <row r="19" spans="1:7">
      <c r="A19" s="6" t="s">
        <v>102</v>
      </c>
      <c r="C19" s="6">
        <v>1600000</v>
      </c>
    </row>
  </sheetData>
  <mergeCells count="2">
    <mergeCell ref="A1:J1"/>
    <mergeCell ref="F11:J11"/>
  </mergeCells>
  <pageMargins left="0.7" right="0.7" top="0.75" bottom="0.75" header="0.3" footer="0.3"/>
  <pageSetup fitToHeight="0" orientation="landscape" r:id="rId1"/>
  <legacyDrawing r:id="rId2"/>
</worksheet>
</file>

<file path=xl/worksheets/sheet7.xml><?xml version="1.0" encoding="utf-8"?>
<worksheet xmlns="http://schemas.openxmlformats.org/spreadsheetml/2006/main" xmlns:r="http://schemas.openxmlformats.org/officeDocument/2006/relationships">
  <sheetPr>
    <pageSetUpPr fitToPage="1"/>
  </sheetPr>
  <dimension ref="A1:G44"/>
  <sheetViews>
    <sheetView topLeftCell="A10" workbookViewId="0">
      <selection activeCell="H51" sqref="H51"/>
    </sheetView>
  </sheetViews>
  <sheetFormatPr defaultRowHeight="14.4"/>
  <cols>
    <col min="1" max="1" width="24.5546875" customWidth="1"/>
    <col min="2" max="2" width="13.88671875" customWidth="1"/>
    <col min="3" max="3" width="14.109375" customWidth="1"/>
    <col min="4" max="4" width="14.44140625" customWidth="1"/>
    <col min="5" max="5" width="14.88671875" customWidth="1"/>
    <col min="6" max="6" width="15.44140625" customWidth="1"/>
    <col min="7" max="7" width="14.5546875" bestFit="1" customWidth="1"/>
    <col min="257" max="257" width="24.5546875" customWidth="1"/>
    <col min="258" max="258" width="13.88671875" customWidth="1"/>
    <col min="259" max="259" width="14.109375" customWidth="1"/>
    <col min="260" max="260" width="14.44140625" customWidth="1"/>
    <col min="261" max="261" width="14.88671875" customWidth="1"/>
    <col min="262" max="262" width="15.44140625" customWidth="1"/>
    <col min="263" max="263" width="14.5546875" bestFit="1" customWidth="1"/>
    <col min="513" max="513" width="24.5546875" customWidth="1"/>
    <col min="514" max="514" width="13.88671875" customWidth="1"/>
    <col min="515" max="515" width="14.109375" customWidth="1"/>
    <col min="516" max="516" width="14.44140625" customWidth="1"/>
    <col min="517" max="517" width="14.88671875" customWidth="1"/>
    <col min="518" max="518" width="15.44140625" customWidth="1"/>
    <col min="519" max="519" width="14.5546875" bestFit="1" customWidth="1"/>
    <col min="769" max="769" width="24.5546875" customWidth="1"/>
    <col min="770" max="770" width="13.88671875" customWidth="1"/>
    <col min="771" max="771" width="14.109375" customWidth="1"/>
    <col min="772" max="772" width="14.44140625" customWidth="1"/>
    <col min="773" max="773" width="14.88671875" customWidth="1"/>
    <col min="774" max="774" width="15.44140625" customWidth="1"/>
    <col min="775" max="775" width="14.5546875" bestFit="1" customWidth="1"/>
    <col min="1025" max="1025" width="24.5546875" customWidth="1"/>
    <col min="1026" max="1026" width="13.88671875" customWidth="1"/>
    <col min="1027" max="1027" width="14.109375" customWidth="1"/>
    <col min="1028" max="1028" width="14.44140625" customWidth="1"/>
    <col min="1029" max="1029" width="14.88671875" customWidth="1"/>
    <col min="1030" max="1030" width="15.44140625" customWidth="1"/>
    <col min="1031" max="1031" width="14.5546875" bestFit="1" customWidth="1"/>
    <col min="1281" max="1281" width="24.5546875" customWidth="1"/>
    <col min="1282" max="1282" width="13.88671875" customWidth="1"/>
    <col min="1283" max="1283" width="14.109375" customWidth="1"/>
    <col min="1284" max="1284" width="14.44140625" customWidth="1"/>
    <col min="1285" max="1285" width="14.88671875" customWidth="1"/>
    <col min="1286" max="1286" width="15.44140625" customWidth="1"/>
    <col min="1287" max="1287" width="14.5546875" bestFit="1" customWidth="1"/>
    <col min="1537" max="1537" width="24.5546875" customWidth="1"/>
    <col min="1538" max="1538" width="13.88671875" customWidth="1"/>
    <col min="1539" max="1539" width="14.109375" customWidth="1"/>
    <col min="1540" max="1540" width="14.44140625" customWidth="1"/>
    <col min="1541" max="1541" width="14.88671875" customWidth="1"/>
    <col min="1542" max="1542" width="15.44140625" customWidth="1"/>
    <col min="1543" max="1543" width="14.5546875" bestFit="1" customWidth="1"/>
    <col min="1793" max="1793" width="24.5546875" customWidth="1"/>
    <col min="1794" max="1794" width="13.88671875" customWidth="1"/>
    <col min="1795" max="1795" width="14.109375" customWidth="1"/>
    <col min="1796" max="1796" width="14.44140625" customWidth="1"/>
    <col min="1797" max="1797" width="14.88671875" customWidth="1"/>
    <col min="1798" max="1798" width="15.44140625" customWidth="1"/>
    <col min="1799" max="1799" width="14.5546875" bestFit="1" customWidth="1"/>
    <col min="2049" max="2049" width="24.5546875" customWidth="1"/>
    <col min="2050" max="2050" width="13.88671875" customWidth="1"/>
    <col min="2051" max="2051" width="14.109375" customWidth="1"/>
    <col min="2052" max="2052" width="14.44140625" customWidth="1"/>
    <col min="2053" max="2053" width="14.88671875" customWidth="1"/>
    <col min="2054" max="2054" width="15.44140625" customWidth="1"/>
    <col min="2055" max="2055" width="14.5546875" bestFit="1" customWidth="1"/>
    <col min="2305" max="2305" width="24.5546875" customWidth="1"/>
    <col min="2306" max="2306" width="13.88671875" customWidth="1"/>
    <col min="2307" max="2307" width="14.109375" customWidth="1"/>
    <col min="2308" max="2308" width="14.44140625" customWidth="1"/>
    <col min="2309" max="2309" width="14.88671875" customWidth="1"/>
    <col min="2310" max="2310" width="15.44140625" customWidth="1"/>
    <col min="2311" max="2311" width="14.5546875" bestFit="1" customWidth="1"/>
    <col min="2561" max="2561" width="24.5546875" customWidth="1"/>
    <col min="2562" max="2562" width="13.88671875" customWidth="1"/>
    <col min="2563" max="2563" width="14.109375" customWidth="1"/>
    <col min="2564" max="2564" width="14.44140625" customWidth="1"/>
    <col min="2565" max="2565" width="14.88671875" customWidth="1"/>
    <col min="2566" max="2566" width="15.44140625" customWidth="1"/>
    <col min="2567" max="2567" width="14.5546875" bestFit="1" customWidth="1"/>
    <col min="2817" max="2817" width="24.5546875" customWidth="1"/>
    <col min="2818" max="2818" width="13.88671875" customWidth="1"/>
    <col min="2819" max="2819" width="14.109375" customWidth="1"/>
    <col min="2820" max="2820" width="14.44140625" customWidth="1"/>
    <col min="2821" max="2821" width="14.88671875" customWidth="1"/>
    <col min="2822" max="2822" width="15.44140625" customWidth="1"/>
    <col min="2823" max="2823" width="14.5546875" bestFit="1" customWidth="1"/>
    <col min="3073" max="3073" width="24.5546875" customWidth="1"/>
    <col min="3074" max="3074" width="13.88671875" customWidth="1"/>
    <col min="3075" max="3075" width="14.109375" customWidth="1"/>
    <col min="3076" max="3076" width="14.44140625" customWidth="1"/>
    <col min="3077" max="3077" width="14.88671875" customWidth="1"/>
    <col min="3078" max="3078" width="15.44140625" customWidth="1"/>
    <col min="3079" max="3079" width="14.5546875" bestFit="1" customWidth="1"/>
    <col min="3329" max="3329" width="24.5546875" customWidth="1"/>
    <col min="3330" max="3330" width="13.88671875" customWidth="1"/>
    <col min="3331" max="3331" width="14.109375" customWidth="1"/>
    <col min="3332" max="3332" width="14.44140625" customWidth="1"/>
    <col min="3333" max="3333" width="14.88671875" customWidth="1"/>
    <col min="3334" max="3334" width="15.44140625" customWidth="1"/>
    <col min="3335" max="3335" width="14.5546875" bestFit="1" customWidth="1"/>
    <col min="3585" max="3585" width="24.5546875" customWidth="1"/>
    <col min="3586" max="3586" width="13.88671875" customWidth="1"/>
    <col min="3587" max="3587" width="14.109375" customWidth="1"/>
    <col min="3588" max="3588" width="14.44140625" customWidth="1"/>
    <col min="3589" max="3589" width="14.88671875" customWidth="1"/>
    <col min="3590" max="3590" width="15.44140625" customWidth="1"/>
    <col min="3591" max="3591" width="14.5546875" bestFit="1" customWidth="1"/>
    <col min="3841" max="3841" width="24.5546875" customWidth="1"/>
    <col min="3842" max="3842" width="13.88671875" customWidth="1"/>
    <col min="3843" max="3843" width="14.109375" customWidth="1"/>
    <col min="3844" max="3844" width="14.44140625" customWidth="1"/>
    <col min="3845" max="3845" width="14.88671875" customWidth="1"/>
    <col min="3846" max="3846" width="15.44140625" customWidth="1"/>
    <col min="3847" max="3847" width="14.5546875" bestFit="1" customWidth="1"/>
    <col min="4097" max="4097" width="24.5546875" customWidth="1"/>
    <col min="4098" max="4098" width="13.88671875" customWidth="1"/>
    <col min="4099" max="4099" width="14.109375" customWidth="1"/>
    <col min="4100" max="4100" width="14.44140625" customWidth="1"/>
    <col min="4101" max="4101" width="14.88671875" customWidth="1"/>
    <col min="4102" max="4102" width="15.44140625" customWidth="1"/>
    <col min="4103" max="4103" width="14.5546875" bestFit="1" customWidth="1"/>
    <col min="4353" max="4353" width="24.5546875" customWidth="1"/>
    <col min="4354" max="4354" width="13.88671875" customWidth="1"/>
    <col min="4355" max="4355" width="14.109375" customWidth="1"/>
    <col min="4356" max="4356" width="14.44140625" customWidth="1"/>
    <col min="4357" max="4357" width="14.88671875" customWidth="1"/>
    <col min="4358" max="4358" width="15.44140625" customWidth="1"/>
    <col min="4359" max="4359" width="14.5546875" bestFit="1" customWidth="1"/>
    <col min="4609" max="4609" width="24.5546875" customWidth="1"/>
    <col min="4610" max="4610" width="13.88671875" customWidth="1"/>
    <col min="4611" max="4611" width="14.109375" customWidth="1"/>
    <col min="4612" max="4612" width="14.44140625" customWidth="1"/>
    <col min="4613" max="4613" width="14.88671875" customWidth="1"/>
    <col min="4614" max="4614" width="15.44140625" customWidth="1"/>
    <col min="4615" max="4615" width="14.5546875" bestFit="1" customWidth="1"/>
    <col min="4865" max="4865" width="24.5546875" customWidth="1"/>
    <col min="4866" max="4866" width="13.88671875" customWidth="1"/>
    <col min="4867" max="4867" width="14.109375" customWidth="1"/>
    <col min="4868" max="4868" width="14.44140625" customWidth="1"/>
    <col min="4869" max="4869" width="14.88671875" customWidth="1"/>
    <col min="4870" max="4870" width="15.44140625" customWidth="1"/>
    <col min="4871" max="4871" width="14.5546875" bestFit="1" customWidth="1"/>
    <col min="5121" max="5121" width="24.5546875" customWidth="1"/>
    <col min="5122" max="5122" width="13.88671875" customWidth="1"/>
    <col min="5123" max="5123" width="14.109375" customWidth="1"/>
    <col min="5124" max="5124" width="14.44140625" customWidth="1"/>
    <col min="5125" max="5125" width="14.88671875" customWidth="1"/>
    <col min="5126" max="5126" width="15.44140625" customWidth="1"/>
    <col min="5127" max="5127" width="14.5546875" bestFit="1" customWidth="1"/>
    <col min="5377" max="5377" width="24.5546875" customWidth="1"/>
    <col min="5378" max="5378" width="13.88671875" customWidth="1"/>
    <col min="5379" max="5379" width="14.109375" customWidth="1"/>
    <col min="5380" max="5380" width="14.44140625" customWidth="1"/>
    <col min="5381" max="5381" width="14.88671875" customWidth="1"/>
    <col min="5382" max="5382" width="15.44140625" customWidth="1"/>
    <col min="5383" max="5383" width="14.5546875" bestFit="1" customWidth="1"/>
    <col min="5633" max="5633" width="24.5546875" customWidth="1"/>
    <col min="5634" max="5634" width="13.88671875" customWidth="1"/>
    <col min="5635" max="5635" width="14.109375" customWidth="1"/>
    <col min="5636" max="5636" width="14.44140625" customWidth="1"/>
    <col min="5637" max="5637" width="14.88671875" customWidth="1"/>
    <col min="5638" max="5638" width="15.44140625" customWidth="1"/>
    <col min="5639" max="5639" width="14.5546875" bestFit="1" customWidth="1"/>
    <col min="5889" max="5889" width="24.5546875" customWidth="1"/>
    <col min="5890" max="5890" width="13.88671875" customWidth="1"/>
    <col min="5891" max="5891" width="14.109375" customWidth="1"/>
    <col min="5892" max="5892" width="14.44140625" customWidth="1"/>
    <col min="5893" max="5893" width="14.88671875" customWidth="1"/>
    <col min="5894" max="5894" width="15.44140625" customWidth="1"/>
    <col min="5895" max="5895" width="14.5546875" bestFit="1" customWidth="1"/>
    <col min="6145" max="6145" width="24.5546875" customWidth="1"/>
    <col min="6146" max="6146" width="13.88671875" customWidth="1"/>
    <col min="6147" max="6147" width="14.109375" customWidth="1"/>
    <col min="6148" max="6148" width="14.44140625" customWidth="1"/>
    <col min="6149" max="6149" width="14.88671875" customWidth="1"/>
    <col min="6150" max="6150" width="15.44140625" customWidth="1"/>
    <col min="6151" max="6151" width="14.5546875" bestFit="1" customWidth="1"/>
    <col min="6401" max="6401" width="24.5546875" customWidth="1"/>
    <col min="6402" max="6402" width="13.88671875" customWidth="1"/>
    <col min="6403" max="6403" width="14.109375" customWidth="1"/>
    <col min="6404" max="6404" width="14.44140625" customWidth="1"/>
    <col min="6405" max="6405" width="14.88671875" customWidth="1"/>
    <col min="6406" max="6406" width="15.44140625" customWidth="1"/>
    <col min="6407" max="6407" width="14.5546875" bestFit="1" customWidth="1"/>
    <col min="6657" max="6657" width="24.5546875" customWidth="1"/>
    <col min="6658" max="6658" width="13.88671875" customWidth="1"/>
    <col min="6659" max="6659" width="14.109375" customWidth="1"/>
    <col min="6660" max="6660" width="14.44140625" customWidth="1"/>
    <col min="6661" max="6661" width="14.88671875" customWidth="1"/>
    <col min="6662" max="6662" width="15.44140625" customWidth="1"/>
    <col min="6663" max="6663" width="14.5546875" bestFit="1" customWidth="1"/>
    <col min="6913" max="6913" width="24.5546875" customWidth="1"/>
    <col min="6914" max="6914" width="13.88671875" customWidth="1"/>
    <col min="6915" max="6915" width="14.109375" customWidth="1"/>
    <col min="6916" max="6916" width="14.44140625" customWidth="1"/>
    <col min="6917" max="6917" width="14.88671875" customWidth="1"/>
    <col min="6918" max="6918" width="15.44140625" customWidth="1"/>
    <col min="6919" max="6919" width="14.5546875" bestFit="1" customWidth="1"/>
    <col min="7169" max="7169" width="24.5546875" customWidth="1"/>
    <col min="7170" max="7170" width="13.88671875" customWidth="1"/>
    <col min="7171" max="7171" width="14.109375" customWidth="1"/>
    <col min="7172" max="7172" width="14.44140625" customWidth="1"/>
    <col min="7173" max="7173" width="14.88671875" customWidth="1"/>
    <col min="7174" max="7174" width="15.44140625" customWidth="1"/>
    <col min="7175" max="7175" width="14.5546875" bestFit="1" customWidth="1"/>
    <col min="7425" max="7425" width="24.5546875" customWidth="1"/>
    <col min="7426" max="7426" width="13.88671875" customWidth="1"/>
    <col min="7427" max="7427" width="14.109375" customWidth="1"/>
    <col min="7428" max="7428" width="14.44140625" customWidth="1"/>
    <col min="7429" max="7429" width="14.88671875" customWidth="1"/>
    <col min="7430" max="7430" width="15.44140625" customWidth="1"/>
    <col min="7431" max="7431" width="14.5546875" bestFit="1" customWidth="1"/>
    <col min="7681" max="7681" width="24.5546875" customWidth="1"/>
    <col min="7682" max="7682" width="13.88671875" customWidth="1"/>
    <col min="7683" max="7683" width="14.109375" customWidth="1"/>
    <col min="7684" max="7684" width="14.44140625" customWidth="1"/>
    <col min="7685" max="7685" width="14.88671875" customWidth="1"/>
    <col min="7686" max="7686" width="15.44140625" customWidth="1"/>
    <col min="7687" max="7687" width="14.5546875" bestFit="1" customWidth="1"/>
    <col min="7937" max="7937" width="24.5546875" customWidth="1"/>
    <col min="7938" max="7938" width="13.88671875" customWidth="1"/>
    <col min="7939" max="7939" width="14.109375" customWidth="1"/>
    <col min="7940" max="7940" width="14.44140625" customWidth="1"/>
    <col min="7941" max="7941" width="14.88671875" customWidth="1"/>
    <col min="7942" max="7942" width="15.44140625" customWidth="1"/>
    <col min="7943" max="7943" width="14.5546875" bestFit="1" customWidth="1"/>
    <col min="8193" max="8193" width="24.5546875" customWidth="1"/>
    <col min="8194" max="8194" width="13.88671875" customWidth="1"/>
    <col min="8195" max="8195" width="14.109375" customWidth="1"/>
    <col min="8196" max="8196" width="14.44140625" customWidth="1"/>
    <col min="8197" max="8197" width="14.88671875" customWidth="1"/>
    <col min="8198" max="8198" width="15.44140625" customWidth="1"/>
    <col min="8199" max="8199" width="14.5546875" bestFit="1" customWidth="1"/>
    <col min="8449" max="8449" width="24.5546875" customWidth="1"/>
    <col min="8450" max="8450" width="13.88671875" customWidth="1"/>
    <col min="8451" max="8451" width="14.109375" customWidth="1"/>
    <col min="8452" max="8452" width="14.44140625" customWidth="1"/>
    <col min="8453" max="8453" width="14.88671875" customWidth="1"/>
    <col min="8454" max="8454" width="15.44140625" customWidth="1"/>
    <col min="8455" max="8455" width="14.5546875" bestFit="1" customWidth="1"/>
    <col min="8705" max="8705" width="24.5546875" customWidth="1"/>
    <col min="8706" max="8706" width="13.88671875" customWidth="1"/>
    <col min="8707" max="8707" width="14.109375" customWidth="1"/>
    <col min="8708" max="8708" width="14.44140625" customWidth="1"/>
    <col min="8709" max="8709" width="14.88671875" customWidth="1"/>
    <col min="8710" max="8710" width="15.44140625" customWidth="1"/>
    <col min="8711" max="8711" width="14.5546875" bestFit="1" customWidth="1"/>
    <col min="8961" max="8961" width="24.5546875" customWidth="1"/>
    <col min="8962" max="8962" width="13.88671875" customWidth="1"/>
    <col min="8963" max="8963" width="14.109375" customWidth="1"/>
    <col min="8964" max="8964" width="14.44140625" customWidth="1"/>
    <col min="8965" max="8965" width="14.88671875" customWidth="1"/>
    <col min="8966" max="8966" width="15.44140625" customWidth="1"/>
    <col min="8967" max="8967" width="14.5546875" bestFit="1" customWidth="1"/>
    <col min="9217" max="9217" width="24.5546875" customWidth="1"/>
    <col min="9218" max="9218" width="13.88671875" customWidth="1"/>
    <col min="9219" max="9219" width="14.109375" customWidth="1"/>
    <col min="9220" max="9220" width="14.44140625" customWidth="1"/>
    <col min="9221" max="9221" width="14.88671875" customWidth="1"/>
    <col min="9222" max="9222" width="15.44140625" customWidth="1"/>
    <col min="9223" max="9223" width="14.5546875" bestFit="1" customWidth="1"/>
    <col min="9473" max="9473" width="24.5546875" customWidth="1"/>
    <col min="9474" max="9474" width="13.88671875" customWidth="1"/>
    <col min="9475" max="9475" width="14.109375" customWidth="1"/>
    <col min="9476" max="9476" width="14.44140625" customWidth="1"/>
    <col min="9477" max="9477" width="14.88671875" customWidth="1"/>
    <col min="9478" max="9478" width="15.44140625" customWidth="1"/>
    <col min="9479" max="9479" width="14.5546875" bestFit="1" customWidth="1"/>
    <col min="9729" max="9729" width="24.5546875" customWidth="1"/>
    <col min="9730" max="9730" width="13.88671875" customWidth="1"/>
    <col min="9731" max="9731" width="14.109375" customWidth="1"/>
    <col min="9732" max="9732" width="14.44140625" customWidth="1"/>
    <col min="9733" max="9733" width="14.88671875" customWidth="1"/>
    <col min="9734" max="9734" width="15.44140625" customWidth="1"/>
    <col min="9735" max="9735" width="14.5546875" bestFit="1" customWidth="1"/>
    <col min="9985" max="9985" width="24.5546875" customWidth="1"/>
    <col min="9986" max="9986" width="13.88671875" customWidth="1"/>
    <col min="9987" max="9987" width="14.109375" customWidth="1"/>
    <col min="9988" max="9988" width="14.44140625" customWidth="1"/>
    <col min="9989" max="9989" width="14.88671875" customWidth="1"/>
    <col min="9990" max="9990" width="15.44140625" customWidth="1"/>
    <col min="9991" max="9991" width="14.5546875" bestFit="1" customWidth="1"/>
    <col min="10241" max="10241" width="24.5546875" customWidth="1"/>
    <col min="10242" max="10242" width="13.88671875" customWidth="1"/>
    <col min="10243" max="10243" width="14.109375" customWidth="1"/>
    <col min="10244" max="10244" width="14.44140625" customWidth="1"/>
    <col min="10245" max="10245" width="14.88671875" customWidth="1"/>
    <col min="10246" max="10246" width="15.44140625" customWidth="1"/>
    <col min="10247" max="10247" width="14.5546875" bestFit="1" customWidth="1"/>
    <col min="10497" max="10497" width="24.5546875" customWidth="1"/>
    <col min="10498" max="10498" width="13.88671875" customWidth="1"/>
    <col min="10499" max="10499" width="14.109375" customWidth="1"/>
    <col min="10500" max="10500" width="14.44140625" customWidth="1"/>
    <col min="10501" max="10501" width="14.88671875" customWidth="1"/>
    <col min="10502" max="10502" width="15.44140625" customWidth="1"/>
    <col min="10503" max="10503" width="14.5546875" bestFit="1" customWidth="1"/>
    <col min="10753" max="10753" width="24.5546875" customWidth="1"/>
    <col min="10754" max="10754" width="13.88671875" customWidth="1"/>
    <col min="10755" max="10755" width="14.109375" customWidth="1"/>
    <col min="10756" max="10756" width="14.44140625" customWidth="1"/>
    <col min="10757" max="10757" width="14.88671875" customWidth="1"/>
    <col min="10758" max="10758" width="15.44140625" customWidth="1"/>
    <col min="10759" max="10759" width="14.5546875" bestFit="1" customWidth="1"/>
    <col min="11009" max="11009" width="24.5546875" customWidth="1"/>
    <col min="11010" max="11010" width="13.88671875" customWidth="1"/>
    <col min="11011" max="11011" width="14.109375" customWidth="1"/>
    <col min="11012" max="11012" width="14.44140625" customWidth="1"/>
    <col min="11013" max="11013" width="14.88671875" customWidth="1"/>
    <col min="11014" max="11014" width="15.44140625" customWidth="1"/>
    <col min="11015" max="11015" width="14.5546875" bestFit="1" customWidth="1"/>
    <col min="11265" max="11265" width="24.5546875" customWidth="1"/>
    <col min="11266" max="11266" width="13.88671875" customWidth="1"/>
    <col min="11267" max="11267" width="14.109375" customWidth="1"/>
    <col min="11268" max="11268" width="14.44140625" customWidth="1"/>
    <col min="11269" max="11269" width="14.88671875" customWidth="1"/>
    <col min="11270" max="11270" width="15.44140625" customWidth="1"/>
    <col min="11271" max="11271" width="14.5546875" bestFit="1" customWidth="1"/>
    <col min="11521" max="11521" width="24.5546875" customWidth="1"/>
    <col min="11522" max="11522" width="13.88671875" customWidth="1"/>
    <col min="11523" max="11523" width="14.109375" customWidth="1"/>
    <col min="11524" max="11524" width="14.44140625" customWidth="1"/>
    <col min="11525" max="11525" width="14.88671875" customWidth="1"/>
    <col min="11526" max="11526" width="15.44140625" customWidth="1"/>
    <col min="11527" max="11527" width="14.5546875" bestFit="1" customWidth="1"/>
    <col min="11777" max="11777" width="24.5546875" customWidth="1"/>
    <col min="11778" max="11778" width="13.88671875" customWidth="1"/>
    <col min="11779" max="11779" width="14.109375" customWidth="1"/>
    <col min="11780" max="11780" width="14.44140625" customWidth="1"/>
    <col min="11781" max="11781" width="14.88671875" customWidth="1"/>
    <col min="11782" max="11782" width="15.44140625" customWidth="1"/>
    <col min="11783" max="11783" width="14.5546875" bestFit="1" customWidth="1"/>
    <col min="12033" max="12033" width="24.5546875" customWidth="1"/>
    <col min="12034" max="12034" width="13.88671875" customWidth="1"/>
    <col min="12035" max="12035" width="14.109375" customWidth="1"/>
    <col min="12036" max="12036" width="14.44140625" customWidth="1"/>
    <col min="12037" max="12037" width="14.88671875" customWidth="1"/>
    <col min="12038" max="12038" width="15.44140625" customWidth="1"/>
    <col min="12039" max="12039" width="14.5546875" bestFit="1" customWidth="1"/>
    <col min="12289" max="12289" width="24.5546875" customWidth="1"/>
    <col min="12290" max="12290" width="13.88671875" customWidth="1"/>
    <col min="12291" max="12291" width="14.109375" customWidth="1"/>
    <col min="12292" max="12292" width="14.44140625" customWidth="1"/>
    <col min="12293" max="12293" width="14.88671875" customWidth="1"/>
    <col min="12294" max="12294" width="15.44140625" customWidth="1"/>
    <col min="12295" max="12295" width="14.5546875" bestFit="1" customWidth="1"/>
    <col min="12545" max="12545" width="24.5546875" customWidth="1"/>
    <col min="12546" max="12546" width="13.88671875" customWidth="1"/>
    <col min="12547" max="12547" width="14.109375" customWidth="1"/>
    <col min="12548" max="12548" width="14.44140625" customWidth="1"/>
    <col min="12549" max="12549" width="14.88671875" customWidth="1"/>
    <col min="12550" max="12550" width="15.44140625" customWidth="1"/>
    <col min="12551" max="12551" width="14.5546875" bestFit="1" customWidth="1"/>
    <col min="12801" max="12801" width="24.5546875" customWidth="1"/>
    <col min="12802" max="12802" width="13.88671875" customWidth="1"/>
    <col min="12803" max="12803" width="14.109375" customWidth="1"/>
    <col min="12804" max="12804" width="14.44140625" customWidth="1"/>
    <col min="12805" max="12805" width="14.88671875" customWidth="1"/>
    <col min="12806" max="12806" width="15.44140625" customWidth="1"/>
    <col min="12807" max="12807" width="14.5546875" bestFit="1" customWidth="1"/>
    <col min="13057" max="13057" width="24.5546875" customWidth="1"/>
    <col min="13058" max="13058" width="13.88671875" customWidth="1"/>
    <col min="13059" max="13059" width="14.109375" customWidth="1"/>
    <col min="13060" max="13060" width="14.44140625" customWidth="1"/>
    <col min="13061" max="13061" width="14.88671875" customWidth="1"/>
    <col min="13062" max="13062" width="15.44140625" customWidth="1"/>
    <col min="13063" max="13063" width="14.5546875" bestFit="1" customWidth="1"/>
    <col min="13313" max="13313" width="24.5546875" customWidth="1"/>
    <col min="13314" max="13314" width="13.88671875" customWidth="1"/>
    <col min="13315" max="13315" width="14.109375" customWidth="1"/>
    <col min="13316" max="13316" width="14.44140625" customWidth="1"/>
    <col min="13317" max="13317" width="14.88671875" customWidth="1"/>
    <col min="13318" max="13318" width="15.44140625" customWidth="1"/>
    <col min="13319" max="13319" width="14.5546875" bestFit="1" customWidth="1"/>
    <col min="13569" max="13569" width="24.5546875" customWidth="1"/>
    <col min="13570" max="13570" width="13.88671875" customWidth="1"/>
    <col min="13571" max="13571" width="14.109375" customWidth="1"/>
    <col min="13572" max="13572" width="14.44140625" customWidth="1"/>
    <col min="13573" max="13573" width="14.88671875" customWidth="1"/>
    <col min="13574" max="13574" width="15.44140625" customWidth="1"/>
    <col min="13575" max="13575" width="14.5546875" bestFit="1" customWidth="1"/>
    <col min="13825" max="13825" width="24.5546875" customWidth="1"/>
    <col min="13826" max="13826" width="13.88671875" customWidth="1"/>
    <col min="13827" max="13827" width="14.109375" customWidth="1"/>
    <col min="13828" max="13828" width="14.44140625" customWidth="1"/>
    <col min="13829" max="13829" width="14.88671875" customWidth="1"/>
    <col min="13830" max="13830" width="15.44140625" customWidth="1"/>
    <col min="13831" max="13831" width="14.5546875" bestFit="1" customWidth="1"/>
    <col min="14081" max="14081" width="24.5546875" customWidth="1"/>
    <col min="14082" max="14082" width="13.88671875" customWidth="1"/>
    <col min="14083" max="14083" width="14.109375" customWidth="1"/>
    <col min="14084" max="14084" width="14.44140625" customWidth="1"/>
    <col min="14085" max="14085" width="14.88671875" customWidth="1"/>
    <col min="14086" max="14086" width="15.44140625" customWidth="1"/>
    <col min="14087" max="14087" width="14.5546875" bestFit="1" customWidth="1"/>
    <col min="14337" max="14337" width="24.5546875" customWidth="1"/>
    <col min="14338" max="14338" width="13.88671875" customWidth="1"/>
    <col min="14339" max="14339" width="14.109375" customWidth="1"/>
    <col min="14340" max="14340" width="14.44140625" customWidth="1"/>
    <col min="14341" max="14341" width="14.88671875" customWidth="1"/>
    <col min="14342" max="14342" width="15.44140625" customWidth="1"/>
    <col min="14343" max="14343" width="14.5546875" bestFit="1" customWidth="1"/>
    <col min="14593" max="14593" width="24.5546875" customWidth="1"/>
    <col min="14594" max="14594" width="13.88671875" customWidth="1"/>
    <col min="14595" max="14595" width="14.109375" customWidth="1"/>
    <col min="14596" max="14596" width="14.44140625" customWidth="1"/>
    <col min="14597" max="14597" width="14.88671875" customWidth="1"/>
    <col min="14598" max="14598" width="15.44140625" customWidth="1"/>
    <col min="14599" max="14599" width="14.5546875" bestFit="1" customWidth="1"/>
    <col min="14849" max="14849" width="24.5546875" customWidth="1"/>
    <col min="14850" max="14850" width="13.88671875" customWidth="1"/>
    <col min="14851" max="14851" width="14.109375" customWidth="1"/>
    <col min="14852" max="14852" width="14.44140625" customWidth="1"/>
    <col min="14853" max="14853" width="14.88671875" customWidth="1"/>
    <col min="14854" max="14854" width="15.44140625" customWidth="1"/>
    <col min="14855" max="14855" width="14.5546875" bestFit="1" customWidth="1"/>
    <col min="15105" max="15105" width="24.5546875" customWidth="1"/>
    <col min="15106" max="15106" width="13.88671875" customWidth="1"/>
    <col min="15107" max="15107" width="14.109375" customWidth="1"/>
    <col min="15108" max="15108" width="14.44140625" customWidth="1"/>
    <col min="15109" max="15109" width="14.88671875" customWidth="1"/>
    <col min="15110" max="15110" width="15.44140625" customWidth="1"/>
    <col min="15111" max="15111" width="14.5546875" bestFit="1" customWidth="1"/>
    <col min="15361" max="15361" width="24.5546875" customWidth="1"/>
    <col min="15362" max="15362" width="13.88671875" customWidth="1"/>
    <col min="15363" max="15363" width="14.109375" customWidth="1"/>
    <col min="15364" max="15364" width="14.44140625" customWidth="1"/>
    <col min="15365" max="15365" width="14.88671875" customWidth="1"/>
    <col min="15366" max="15366" width="15.44140625" customWidth="1"/>
    <col min="15367" max="15367" width="14.5546875" bestFit="1" customWidth="1"/>
    <col min="15617" max="15617" width="24.5546875" customWidth="1"/>
    <col min="15618" max="15618" width="13.88671875" customWidth="1"/>
    <col min="15619" max="15619" width="14.109375" customWidth="1"/>
    <col min="15620" max="15620" width="14.44140625" customWidth="1"/>
    <col min="15621" max="15621" width="14.88671875" customWidth="1"/>
    <col min="15622" max="15622" width="15.44140625" customWidth="1"/>
    <col min="15623" max="15623" width="14.5546875" bestFit="1" customWidth="1"/>
    <col min="15873" max="15873" width="24.5546875" customWidth="1"/>
    <col min="15874" max="15874" width="13.88671875" customWidth="1"/>
    <col min="15875" max="15875" width="14.109375" customWidth="1"/>
    <col min="15876" max="15876" width="14.44140625" customWidth="1"/>
    <col min="15877" max="15877" width="14.88671875" customWidth="1"/>
    <col min="15878" max="15878" width="15.44140625" customWidth="1"/>
    <col min="15879" max="15879" width="14.5546875" bestFit="1" customWidth="1"/>
    <col min="16129" max="16129" width="24.5546875" customWidth="1"/>
    <col min="16130" max="16130" width="13.88671875" customWidth="1"/>
    <col min="16131" max="16131" width="14.109375" customWidth="1"/>
    <col min="16132" max="16132" width="14.44140625" customWidth="1"/>
    <col min="16133" max="16133" width="14.88671875" customWidth="1"/>
    <col min="16134" max="16134" width="15.44140625" customWidth="1"/>
    <col min="16135" max="16135" width="14.5546875" bestFit="1" customWidth="1"/>
  </cols>
  <sheetData>
    <row r="1" spans="1:6">
      <c r="A1" t="s">
        <v>168</v>
      </c>
    </row>
    <row r="2" spans="1:6">
      <c r="A2" s="63"/>
    </row>
    <row r="3" spans="1:6">
      <c r="A3" t="s">
        <v>169</v>
      </c>
    </row>
    <row r="4" spans="1:6">
      <c r="B4" t="s">
        <v>95</v>
      </c>
      <c r="C4" t="s">
        <v>170</v>
      </c>
      <c r="D4" t="s">
        <v>103</v>
      </c>
      <c r="F4" t="s">
        <v>171</v>
      </c>
    </row>
    <row r="5" spans="1:6">
      <c r="A5" t="s">
        <v>172</v>
      </c>
      <c r="B5" s="7">
        <f>B9-B7</f>
        <v>10556969</v>
      </c>
      <c r="C5" s="7">
        <f>C9-C7</f>
        <v>5595809</v>
      </c>
      <c r="D5" s="7">
        <f>D9-D7</f>
        <v>67474566</v>
      </c>
      <c r="F5" s="7">
        <f>SUM(B5:D5)</f>
        <v>83627344</v>
      </c>
    </row>
    <row r="6" spans="1:6">
      <c r="B6" s="64">
        <f>B5/B14</f>
        <v>2.3044745957670212E-2</v>
      </c>
      <c r="C6" s="64">
        <f>C5/C14</f>
        <v>1.9696559497968388E-2</v>
      </c>
      <c r="D6" s="64">
        <f>D5/D14</f>
        <v>3.325492639492067E-2</v>
      </c>
      <c r="F6" s="65">
        <f>F5/$F$14</f>
        <v>3.017710895740492E-2</v>
      </c>
    </row>
    <row r="7" spans="1:6">
      <c r="A7" t="s">
        <v>173</v>
      </c>
      <c r="B7" s="66">
        <f>'[1]Electric cons'!K19</f>
        <v>706746</v>
      </c>
      <c r="C7" s="66">
        <f>'[1]Electric cons'!K20</f>
        <v>527437</v>
      </c>
      <c r="D7" s="66">
        <f>'[1]Electric cons'!K21</f>
        <v>2143410</v>
      </c>
      <c r="F7" s="7">
        <f>SUM(B7:D7)</f>
        <v>3377593</v>
      </c>
    </row>
    <row r="8" spans="1:6">
      <c r="B8" s="64">
        <f>B7/B14</f>
        <v>1.5427517146824616E-3</v>
      </c>
      <c r="C8" s="64">
        <f>C7/C14</f>
        <v>1.8565133749078914E-3</v>
      </c>
      <c r="D8" s="64">
        <f>D7/D14</f>
        <v>1.0563823676040674E-3</v>
      </c>
      <c r="F8" s="65">
        <f>F7/$F$14</f>
        <v>1.2188117797304211E-3</v>
      </c>
    </row>
    <row r="9" spans="1:6">
      <c r="A9" t="s">
        <v>174</v>
      </c>
      <c r="B9" s="66">
        <f>'[1]Electric cons'!K4</f>
        <v>11263715</v>
      </c>
      <c r="C9" s="66">
        <f>'[1]Electric cons'!K5</f>
        <v>6123246</v>
      </c>
      <c r="D9" s="66">
        <f>'[1]Electric cons'!K6</f>
        <v>69617976</v>
      </c>
      <c r="F9" s="7">
        <f>SUM(B9:D9)</f>
        <v>87004937</v>
      </c>
    </row>
    <row r="10" spans="1:6">
      <c r="B10" s="9">
        <f>B6+B8</f>
        <v>2.4587497672352673E-2</v>
      </c>
      <c r="C10" s="9">
        <f>C6+C8</f>
        <v>2.1553072872876278E-2</v>
      </c>
      <c r="D10" s="9">
        <f>D6+D8</f>
        <v>3.4311308762524736E-2</v>
      </c>
      <c r="F10" s="65">
        <f>F9/$F$14</f>
        <v>3.139592073713534E-2</v>
      </c>
    </row>
    <row r="11" spans="1:6">
      <c r="A11" t="s">
        <v>175</v>
      </c>
      <c r="B11" s="66">
        <v>2784757</v>
      </c>
      <c r="C11" s="66">
        <v>1208972</v>
      </c>
      <c r="D11" s="66">
        <v>11529986</v>
      </c>
      <c r="F11" s="7">
        <f>SUM(B11:D11)</f>
        <v>15523715</v>
      </c>
    </row>
    <row r="12" spans="1:6">
      <c r="B12" s="64">
        <f>B11/B14</f>
        <v>6.0788297871144474E-3</v>
      </c>
      <c r="C12" s="64">
        <f>C11/C14</f>
        <v>4.2554327585837609E-3</v>
      </c>
      <c r="D12" s="64">
        <f>D11/D14</f>
        <v>5.6825683882793078E-3</v>
      </c>
      <c r="F12" s="65">
        <f>F11/$F$14</f>
        <v>5.601766319144383E-3</v>
      </c>
    </row>
    <row r="14" spans="1:6">
      <c r="A14" t="s">
        <v>176</v>
      </c>
      <c r="B14" s="66">
        <f>617793068-128777370-30908283</f>
        <v>458107415</v>
      </c>
      <c r="C14" s="66">
        <f>375592165-12582931-78908399</f>
        <v>284100835</v>
      </c>
      <c r="D14" s="67">
        <f>(2234760468-214859593+9108758)</f>
        <v>2029009633</v>
      </c>
      <c r="F14" s="7">
        <f>SUM(B14:D14)</f>
        <v>2771217883</v>
      </c>
    </row>
    <row r="15" spans="1:6">
      <c r="A15" t="s">
        <v>177</v>
      </c>
    </row>
    <row r="16" spans="1:6">
      <c r="B16" s="9">
        <f>B10+B12</f>
        <v>3.0666327459467121E-2</v>
      </c>
      <c r="C16" s="9">
        <f>C10+C12</f>
        <v>2.5808505631460039E-2</v>
      </c>
      <c r="D16" s="9">
        <f>D10+D12</f>
        <v>3.9993877150804047E-2</v>
      </c>
      <c r="F16" s="9">
        <f>F10+F12</f>
        <v>3.6997687056279725E-2</v>
      </c>
    </row>
    <row r="19" spans="1:6">
      <c r="A19" t="s">
        <v>178</v>
      </c>
    </row>
    <row r="20" spans="1:6">
      <c r="B20" t="s">
        <v>95</v>
      </c>
      <c r="C20" t="s">
        <v>81</v>
      </c>
      <c r="D20" t="s">
        <v>37</v>
      </c>
      <c r="E20" t="s">
        <v>103</v>
      </c>
      <c r="F20" t="s">
        <v>179</v>
      </c>
    </row>
    <row r="21" spans="1:6">
      <c r="A21" t="s">
        <v>172</v>
      </c>
      <c r="B21" s="7">
        <f>B25-B23</f>
        <v>4975869</v>
      </c>
      <c r="C21" s="7">
        <f>C25-C23</f>
        <v>2951461</v>
      </c>
      <c r="D21" s="7">
        <f>D25-D23</f>
        <v>96171</v>
      </c>
      <c r="E21" s="7">
        <f>E25-E23</f>
        <v>16522752</v>
      </c>
      <c r="F21" s="7">
        <f>SUM(B21:E21)</f>
        <v>24546253</v>
      </c>
    </row>
    <row r="22" spans="1:6">
      <c r="B22" s="64">
        <f>B21/B30</f>
        <v>2.4911207056605576E-2</v>
      </c>
      <c r="C22" s="64">
        <f>C21/C30</f>
        <v>9.792261177412491E-3</v>
      </c>
      <c r="D22" s="64">
        <f>D21/D30</f>
        <v>9.5980074516170937E-4</v>
      </c>
      <c r="E22" s="64">
        <f>E21/E30</f>
        <v>1.3856765554280665E-2</v>
      </c>
      <c r="F22" s="68">
        <f>F21/$F$30</f>
        <v>1.3684347908858571E-2</v>
      </c>
    </row>
    <row r="23" spans="1:6">
      <c r="A23" t="s">
        <v>173</v>
      </c>
      <c r="B23" s="66">
        <f>'[1]Gas cons'!K18</f>
        <v>632959</v>
      </c>
      <c r="C23" s="66">
        <f>'[1]Gas cons'!K19</f>
        <v>242765</v>
      </c>
      <c r="D23" s="66">
        <f>'[1]Gas cons'!K20</f>
        <v>36327</v>
      </c>
      <c r="E23" s="66">
        <f>'[1]Gas cons'!K21</f>
        <v>530272</v>
      </c>
      <c r="F23" s="7">
        <f>SUM(B23:E23)</f>
        <v>1442323</v>
      </c>
    </row>
    <row r="24" spans="1:6">
      <c r="B24" s="64">
        <f>B23/B30</f>
        <v>3.1688480358590646E-3</v>
      </c>
      <c r="C24" s="64">
        <f>C23/C30</f>
        <v>8.0543781020130144E-4</v>
      </c>
      <c r="D24" s="64">
        <f>D23/D30</f>
        <v>3.625488106548691E-4</v>
      </c>
      <c r="E24" s="64">
        <f>E23/E30</f>
        <v>4.4471131588729991E-4</v>
      </c>
      <c r="F24" s="68">
        <f>F23/$F$30</f>
        <v>8.0408401758706803E-4</v>
      </c>
    </row>
    <row r="25" spans="1:6">
      <c r="A25" t="s">
        <v>174</v>
      </c>
      <c r="B25" s="66">
        <f>'[1]Gas cons'!K4</f>
        <v>5608828</v>
      </c>
      <c r="C25" s="66">
        <f>'[1]Gas cons'!K5</f>
        <v>3194226</v>
      </c>
      <c r="D25" s="66">
        <f>'[1]Gas cons'!K6</f>
        <v>132498</v>
      </c>
      <c r="E25" s="66">
        <f>'[1]Gas cons'!K7</f>
        <v>17053024</v>
      </c>
      <c r="F25" s="7">
        <f>SUM(B25:E25)</f>
        <v>25988576</v>
      </c>
    </row>
    <row r="26" spans="1:6">
      <c r="B26" s="9">
        <f>B22+B24</f>
        <v>2.808005509246464E-2</v>
      </c>
      <c r="C26" s="9">
        <f>C22+C24</f>
        <v>1.0597698987613792E-2</v>
      </c>
      <c r="D26" s="9">
        <f>D22+D24</f>
        <v>1.3223495558165785E-3</v>
      </c>
      <c r="E26" s="9">
        <f>E22+E24</f>
        <v>1.4301476870167964E-2</v>
      </c>
      <c r="F26" s="68">
        <f>F25/$F$30</f>
        <v>1.4488431926445638E-2</v>
      </c>
    </row>
    <row r="27" spans="1:6">
      <c r="A27" t="s">
        <v>175</v>
      </c>
      <c r="B27" s="66">
        <v>1436080</v>
      </c>
      <c r="C27" s="66">
        <v>836278</v>
      </c>
      <c r="D27" s="66">
        <v>550000</v>
      </c>
      <c r="E27" s="66">
        <v>3600295</v>
      </c>
      <c r="F27" s="7">
        <f>SUM(B27:E27)</f>
        <v>6422653</v>
      </c>
    </row>
    <row r="28" spans="1:6">
      <c r="B28" s="64">
        <f>B27/B30</f>
        <v>7.1895956726051539E-3</v>
      </c>
      <c r="C28" s="64">
        <f>C27/C30</f>
        <v>2.7745759110231047E-3</v>
      </c>
      <c r="D28" s="64">
        <f>D27/D30</f>
        <v>5.4890810102727451E-3</v>
      </c>
      <c r="E28" s="64">
        <f>E27/E30</f>
        <v>3.019378596328802E-3</v>
      </c>
      <c r="F28" s="68">
        <f>F27/$F$30</f>
        <v>3.5805798200594699E-3</v>
      </c>
    </row>
    <row r="30" spans="1:6">
      <c r="A30" t="s">
        <v>180</v>
      </c>
      <c r="B30" s="66">
        <f>126662310+69996827+3085058</f>
        <v>199744195</v>
      </c>
      <c r="C30" s="66">
        <f>162664926+119478601+19263977</f>
        <v>301407504</v>
      </c>
      <c r="D30" s="67">
        <f>64080550+27464165+8654207</f>
        <v>100198922</v>
      </c>
      <c r="E30" s="67">
        <f>795755566+357109773+39530674</f>
        <v>1192396013</v>
      </c>
      <c r="F30" s="7">
        <f>SUM(B30:E30)</f>
        <v>1793746634</v>
      </c>
    </row>
    <row r="31" spans="1:6">
      <c r="A31" t="s">
        <v>177</v>
      </c>
    </row>
    <row r="32" spans="1:6">
      <c r="B32" s="9">
        <f>B26+B28</f>
        <v>3.5269650765069792E-2</v>
      </c>
      <c r="C32" s="9">
        <f>C26+C28</f>
        <v>1.3372274898636897E-2</v>
      </c>
      <c r="D32" s="9">
        <f>D26+D28</f>
        <v>6.8114305660893232E-3</v>
      </c>
      <c r="E32" s="9">
        <f>E26+E28</f>
        <v>1.7320855466496768E-2</v>
      </c>
      <c r="F32" s="9">
        <f>F26+F28</f>
        <v>1.8069011746505107E-2</v>
      </c>
    </row>
    <row r="35" spans="1:7">
      <c r="A35" s="63" t="s">
        <v>181</v>
      </c>
      <c r="B35" t="s">
        <v>95</v>
      </c>
      <c r="C35" t="s">
        <v>103</v>
      </c>
      <c r="D35" t="str">
        <f>C20</f>
        <v>Cascade</v>
      </c>
      <c r="E35" t="str">
        <f>D20</f>
        <v>NWN</v>
      </c>
      <c r="F35" t="str">
        <f>C4</f>
        <v>Pacific</v>
      </c>
      <c r="G35" t="s">
        <v>182</v>
      </c>
    </row>
    <row r="36" spans="1:7">
      <c r="A36" t="s">
        <v>196</v>
      </c>
      <c r="B36" s="7">
        <f>B7+B23</f>
        <v>1339705</v>
      </c>
      <c r="C36" s="7">
        <f>D7+E23</f>
        <v>2673682</v>
      </c>
      <c r="D36" s="7">
        <f>C23</f>
        <v>242765</v>
      </c>
      <c r="E36" s="7">
        <f>D23</f>
        <v>36327</v>
      </c>
      <c r="F36" s="7">
        <f>C7</f>
        <v>527437</v>
      </c>
      <c r="G36" s="7">
        <f>SUM(B36:F36)</f>
        <v>4819916</v>
      </c>
    </row>
    <row r="37" spans="1:7">
      <c r="B37" s="64">
        <f>B36/B42</f>
        <v>2.0364850973002865E-3</v>
      </c>
      <c r="C37" s="64">
        <f>C36/C42</f>
        <v>8.2997371142001157E-4</v>
      </c>
      <c r="D37" s="8">
        <f>C24</f>
        <v>8.0543781020130144E-4</v>
      </c>
      <c r="E37" s="8">
        <f>D24</f>
        <v>3.625488106548691E-4</v>
      </c>
      <c r="F37" s="8">
        <f>C8</f>
        <v>1.8565133749078914E-3</v>
      </c>
      <c r="G37" s="69">
        <f>G36/$G$42</f>
        <v>1.0558496089182199E-3</v>
      </c>
    </row>
    <row r="38" spans="1:7">
      <c r="A38" t="s">
        <v>195</v>
      </c>
      <c r="B38" s="7">
        <f>B5+B21</f>
        <v>15532838</v>
      </c>
      <c r="C38" s="7">
        <f>D5+E21</f>
        <v>83997318</v>
      </c>
      <c r="D38" s="7">
        <f>C21</f>
        <v>2951461</v>
      </c>
      <c r="E38" s="7">
        <f>D21</f>
        <v>96171</v>
      </c>
      <c r="F38" s="7">
        <f>C5</f>
        <v>5595809</v>
      </c>
      <c r="G38" s="7">
        <f>SUM(B38:F38)</f>
        <v>108173597</v>
      </c>
    </row>
    <row r="39" spans="1:7">
      <c r="B39" s="64">
        <f>B38/B42</f>
        <v>2.3611461557417182E-2</v>
      </c>
      <c r="C39" s="64">
        <f>C38/C42</f>
        <v>2.607474103868259E-2</v>
      </c>
      <c r="D39" s="8">
        <f>C22</f>
        <v>9.792261177412491E-3</v>
      </c>
      <c r="E39" s="8">
        <f>D22</f>
        <v>9.5980074516170937E-4</v>
      </c>
      <c r="F39" s="8">
        <f>C6</f>
        <v>1.9696559497968388E-2</v>
      </c>
      <c r="G39" s="69">
        <f>G38/$G$42</f>
        <v>2.3696481450657461E-2</v>
      </c>
    </row>
    <row r="40" spans="1:7">
      <c r="A40" t="s">
        <v>183</v>
      </c>
      <c r="B40" s="7">
        <f>B11+B27</f>
        <v>4220837</v>
      </c>
      <c r="C40" s="7">
        <f>D11+E27</f>
        <v>15130281</v>
      </c>
      <c r="D40" s="7">
        <f>C27</f>
        <v>836278</v>
      </c>
      <c r="E40" s="7">
        <f>D27</f>
        <v>550000</v>
      </c>
      <c r="F40" s="7">
        <f>C11</f>
        <v>1208972</v>
      </c>
      <c r="G40" s="7">
        <f>SUM(B40:F40)</f>
        <v>21946368</v>
      </c>
    </row>
    <row r="41" spans="1:7">
      <c r="B41" s="64">
        <f>B40/B42</f>
        <v>6.4160928328502531E-3</v>
      </c>
      <c r="C41" s="64">
        <f>C40/C42</f>
        <v>4.6967947109632646E-3</v>
      </c>
      <c r="D41" s="8">
        <f>C28</f>
        <v>2.7745759110231047E-3</v>
      </c>
      <c r="E41" s="8">
        <f>D28</f>
        <v>5.4890810102727451E-3</v>
      </c>
      <c r="F41" s="8">
        <f>C12</f>
        <v>4.2554327585837609E-3</v>
      </c>
      <c r="G41" s="69">
        <f>G40/$G$42</f>
        <v>4.8075659555011606E-3</v>
      </c>
    </row>
    <row r="42" spans="1:7">
      <c r="A42" t="s">
        <v>184</v>
      </c>
      <c r="B42" s="7">
        <f>B30+B14</f>
        <v>657851610</v>
      </c>
      <c r="C42" s="67">
        <f>E30+D14</f>
        <v>3221405646</v>
      </c>
      <c r="D42" s="7">
        <f>C30</f>
        <v>301407504</v>
      </c>
      <c r="E42" s="7">
        <f>D30</f>
        <v>100198922</v>
      </c>
      <c r="F42" s="7">
        <f>C14</f>
        <v>284100835</v>
      </c>
      <c r="G42" s="7">
        <f>SUM(B42:F42)</f>
        <v>4564964517</v>
      </c>
    </row>
    <row r="43" spans="1:7">
      <c r="D43" s="8"/>
      <c r="E43" s="8"/>
      <c r="F43" s="8"/>
    </row>
    <row r="44" spans="1:7">
      <c r="B44" s="10">
        <f>(B36+B38+B40)/B42</f>
        <v>3.2064039487567718E-2</v>
      </c>
      <c r="C44" s="10">
        <f>(C36+C38+C40)/C42</f>
        <v>3.1601509461065866E-2</v>
      </c>
      <c r="D44" s="10">
        <f t="shared" ref="D44:G44" si="0">(D36+D38+D40)/D42</f>
        <v>1.3372274898636896E-2</v>
      </c>
      <c r="E44" s="10">
        <f t="shared" si="0"/>
        <v>6.8114305660893241E-3</v>
      </c>
      <c r="F44" s="10">
        <f t="shared" si="0"/>
        <v>2.5808505631460043E-2</v>
      </c>
      <c r="G44" s="10">
        <f t="shared" si="0"/>
        <v>2.9559897015076844E-2</v>
      </c>
    </row>
  </sheetData>
  <pageMargins left="0.7" right="0.7" top="0.75" bottom="0.75" header="0.3" footer="0.3"/>
  <pageSetup scale="78" orientation="portrait" r:id="rId1"/>
  <drawing r:id="rId2"/>
  <legacyDrawing r:id="rId3"/>
</worksheet>
</file>

<file path=xl/worksheets/sheet8.xml><?xml version="1.0" encoding="utf-8"?>
<worksheet xmlns="http://schemas.openxmlformats.org/spreadsheetml/2006/main" xmlns:r="http://schemas.openxmlformats.org/officeDocument/2006/relationships">
  <dimension ref="A2:B7"/>
  <sheetViews>
    <sheetView tabSelected="1" workbookViewId="0">
      <selection activeCell="B7" sqref="B7"/>
    </sheetView>
  </sheetViews>
  <sheetFormatPr defaultRowHeight="14.4"/>
  <sheetData>
    <row r="2" spans="1:2" ht="18">
      <c r="B2" s="62" t="s">
        <v>150</v>
      </c>
    </row>
    <row r="3" spans="1:2">
      <c r="A3" s="1"/>
      <c r="B3" t="s">
        <v>151</v>
      </c>
    </row>
    <row r="4" spans="1:2">
      <c r="A4" s="5"/>
      <c r="B4" t="s">
        <v>149</v>
      </c>
    </row>
    <row r="5" spans="1:2">
      <c r="A5" s="5"/>
    </row>
    <row r="6" spans="1:2">
      <c r="B6" t="s">
        <v>164</v>
      </c>
    </row>
    <row r="7" spans="1:2">
      <c r="B7" t="s">
        <v>165</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14747D5DA29F048A4FB5BA84BD73878" ma:contentTypeVersion="131" ma:contentTypeDescription="" ma:contentTypeScope="" ma:versionID="17f6dee4338bf04bf935d9653b90780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Prefix>
    <DocumentSetType xmlns="dc463f71-b30c-4ab2-9473-d307f9d35888">Document</DocumentSetType>
    <IsConfidential xmlns="dc463f71-b30c-4ab2-9473-d307f9d35888">false</IsConfidential>
    <AgendaOrder xmlns="dc463f71-b30c-4ab2-9473-d307f9d35888">false</AgendaOrder>
    <CaseType xmlns="dc463f71-b30c-4ab2-9473-d307f9d35888">Staff Investigation</CaseType>
    <IndustryCode xmlns="dc463f71-b30c-4ab2-9473-d307f9d35888">501</IndustryCode>
    <CaseStatus xmlns="dc463f71-b30c-4ab2-9473-d307f9d35888">Closed</CaseStatus>
    <OpenedDate xmlns="dc463f71-b30c-4ab2-9473-d307f9d35888">2010-12-09T08:00:00+00:00</OpenedDate>
    <Date1 xmlns="dc463f71-b30c-4ab2-9473-d307f9d35888">2011-02-02T08:00:00+00:00</Date1>
    <IsDocumentOrder xmlns="dc463f71-b30c-4ab2-9473-d307f9d35888" xsi:nil="true"/>
    <IsHighlyConfidential xmlns="dc463f71-b30c-4ab2-9473-d307f9d35888">false</IsHighlyConfidential>
    <CaseCompanyNames xmlns="dc463f71-b30c-4ab2-9473-d307f9d35888" xsi:nil="true"/>
    <DocketNumber xmlns="dc463f71-b30c-4ab2-9473-d307f9d35888">101973</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97887D53-7C80-4AAF-B252-E8AB13AB06A8}"/>
</file>

<file path=customXml/itemProps2.xml><?xml version="1.0" encoding="utf-8"?>
<ds:datastoreItem xmlns:ds="http://schemas.openxmlformats.org/officeDocument/2006/customXml" ds:itemID="{F0AF77AE-45E1-4A6B-981E-B9DC44D02DC9}"/>
</file>

<file path=customXml/itemProps3.xml><?xml version="1.0" encoding="utf-8"?>
<ds:datastoreItem xmlns:ds="http://schemas.openxmlformats.org/officeDocument/2006/customXml" ds:itemID="{8A182425-C5DE-4937-80E6-31EA000E0AC0}"/>
</file>

<file path=customXml/itemProps4.xml><?xml version="1.0" encoding="utf-8"?>
<ds:datastoreItem xmlns:ds="http://schemas.openxmlformats.org/officeDocument/2006/customXml" ds:itemID="{25D479FA-1B64-4E17-ABA1-8BE8BD9C255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Agency Budget</vt:lpstr>
      <vt:lpstr>Utility Budget</vt:lpstr>
      <vt:lpstr>Administration</vt:lpstr>
      <vt:lpstr>Conservation Measures</vt:lpstr>
      <vt:lpstr>Health &amp; Safety Measures</vt:lpstr>
      <vt:lpstr>Conservation Potential</vt:lpstr>
      <vt:lpstr>2009 % Revenue</vt:lpstr>
      <vt:lpstr>Sheet1</vt:lpstr>
      <vt:lpstr>'Conservation Measures'!OLE_LINK1</vt:lpstr>
      <vt:lpstr>Administration!Print_Titles</vt:lpstr>
      <vt:lpstr>'Conservation Measures'!Print_Titles</vt:lpstr>
      <vt:lpstr>'Utility Budget'!Print_Titles</vt:lpstr>
    </vt:vector>
  </TitlesOfParts>
  <Company>Washington Utilities and Transportation Commission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 Reynolds</dc:creator>
  <cp:lastModifiedBy>Deb Reynolds</cp:lastModifiedBy>
  <cp:lastPrinted>2011-02-10T00:10:20Z</cp:lastPrinted>
  <dcterms:created xsi:type="dcterms:W3CDTF">2011-01-14T21:40:49Z</dcterms:created>
  <dcterms:modified xsi:type="dcterms:W3CDTF">2011-02-10T00:10:54Z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0x0101006E56B4D1795A2E4DB2F0B01679ED314A00F14747D5DA29F048A4FB5BA84BD73878</vt:lpwstr>
  </property>
  <property fmtid="{D5CDD505-2E9C-101B-9397-08002B2CF9AE}" pid="3" name="_docset_NoMedatataSyncRequired">
    <vt:lpwstr>False</vt:lpwstr>
  </property>
</Properties>
</file>