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1204" sheetId="1" r:id="rId1"/>
    <sheet name="RES" sheetId="2" r:id="rId2"/>
    <sheet name="MF Cust-Annual Rpt" sheetId="3" r:id="rId3"/>
    <sheet name="ES Tons" sheetId="4" r:id="rId4"/>
    <sheet name="Issaq Tons" sheetId="5" r:id="rId5"/>
    <sheet name="ES-Issaq Pricing" sheetId="6" r:id="rId6"/>
  </sheets>
  <externalReferences>
    <externalReference r:id="rId9"/>
    <externalReference r:id="rId10"/>
  </externalReferences>
  <definedNames>
    <definedName name="_Regression_Int" localSheetId="0" hidden="1">1</definedName>
    <definedName name="_xlnm.Print_Area" localSheetId="0">'1204'!$A$4:$Z$62</definedName>
    <definedName name="_xlnm.Print_Area" localSheetId="1">'RES'!$A$5:$N$53</definedName>
    <definedName name="Print_Area_MI" localSheetId="0">'1204'!$A$1:$Z$61</definedName>
    <definedName name="_xlnm.Print_Titles" localSheetId="0">'1204'!$1:$3</definedName>
    <definedName name="_xlnm.Print_Titles" localSheetId="2">'MF Cust-Annual Rpt'!$4:$4</definedName>
    <definedName name="_xlnm.Print_Titles" localSheetId="1">'RES'!$A:$A,'RES'!$1:$4</definedName>
    <definedName name="Tukwila_Report" localSheetId="0">'[2]ST96TONS'!#REF!</definedName>
    <definedName name="Tukwila_Report" localSheetId="3">'[1]ST97TONS'!#REF!</definedName>
    <definedName name="Tukwila_Report" localSheetId="5">'[1]ST97TONS'!#REF!</definedName>
    <definedName name="Tukwila_Report" localSheetId="4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<sst xmlns="http://schemas.openxmlformats.org/spreadsheetml/2006/main" count="2922" uniqueCount="463">
  <si>
    <t>RABANCO COMPANIES-EASTSIDE DISPOSAL</t>
  </si>
  <si>
    <t>DATA COLLECTION SPREADSHEET FOR HAULERS</t>
  </si>
  <si>
    <t>MONTH:  December 2004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</si>
  <si>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</si>
  <si>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</si>
  <si>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</si>
  <si>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</si>
  <si>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</si>
  <si>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</si>
  <si>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</si>
  <si>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</si>
  <si>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</si>
  <si>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</si>
  <si>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</si>
  <si>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</si>
  <si>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</si>
  <si>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</si>
  <si>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</si>
  <si>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</si>
  <si>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</si>
  <si>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</si>
  <si>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</si>
  <si>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</si>
  <si>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</si>
  <si>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</si>
  <si>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</si>
  <si>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</si>
  <si>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</si>
  <si>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</si>
  <si>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</si>
  <si>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</si>
  <si>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</si>
  <si>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</si>
  <si>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</si>
  <si>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</si>
  <si>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</si>
  <si>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</si>
  <si>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</si>
  <si>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</si>
  <si>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</si>
  <si>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</si>
  <si>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</si>
  <si>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</si>
  <si>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</si>
  <si>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</si>
  <si>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</si>
  <si>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</si>
  <si>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</si>
  <si>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</si>
  <si>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</si>
  <si>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</si>
  <si>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</si>
  <si>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</si>
  <si>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</si>
  <si>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</si>
  <si>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</si>
  <si>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</si>
  <si>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</si>
  <si>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</si>
  <si>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</si>
  <si>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</si>
  <si>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WUTC Residential Service Levels (County, Beaux Arts, Clyde Hill, Hunts Point, Medina, Yarrrow Point, Kenmore)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</si>
  <si>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</si>
  <si>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</si>
  <si>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</si>
  <si>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</si>
  <si>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</si>
  <si>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</si>
  <si>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</si>
  <si>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</si>
  <si>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</si>
  <si>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</si>
  <si>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</si>
  <si>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</si>
  <si>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</si>
  <si>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</si>
  <si>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</si>
  <si>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</si>
  <si>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</si>
  <si>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</si>
  <si>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</si>
  <si>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</si>
  <si>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</si>
  <si>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</si>
  <si>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</si>
  <si>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</si>
  <si>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</si>
  <si>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</si>
  <si>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</si>
  <si>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</si>
  <si>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</si>
  <si>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</si>
  <si>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</si>
  <si>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</si>
  <si>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</si>
  <si>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</si>
  <si>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</si>
  <si>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</si>
  <si>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</si>
  <si>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</si>
  <si>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WUTC Residential Tonnages by Commodity - Issaq. (2000 - 2004)</t>
  </si>
  <si>
    <t>Avg. Recy</t>
  </si>
  <si>
    <t>Garb.</t>
  </si>
  <si>
    <t>Tons/Mo.</t>
  </si>
  <si>
    <t>Total 2004</t>
  </si>
  <si>
    <t>ACCT#</t>
  </si>
  <si>
    <t>SITE NAME</t>
  </si>
  <si>
    <t>SITE ADDRESS</t>
  </si>
  <si>
    <t>CITY</t>
  </si>
  <si>
    <t>AREA</t>
  </si>
  <si>
    <t>PHONE</t>
  </si>
  <si>
    <t>CONTACT NAME</t>
  </si>
  <si>
    <t>TYPE</t>
  </si>
  <si>
    <t>SIZE</t>
  </si>
  <si>
    <t>CMPT</t>
  </si>
  <si>
    <t>QTY</t>
  </si>
  <si>
    <t>ALBERS  PAUL</t>
  </si>
  <si>
    <t>19214 61ST AVE NE</t>
  </si>
  <si>
    <t>KENMORE</t>
  </si>
  <si>
    <t>MONICA</t>
  </si>
  <si>
    <t>FL</t>
  </si>
  <si>
    <t>RC</t>
  </si>
  <si>
    <t>UN</t>
  </si>
  <si>
    <t>ALDERWOOD 4-PLEX</t>
  </si>
  <si>
    <t>17519 83RD PL NE</t>
  </si>
  <si>
    <t>.</t>
  </si>
  <si>
    <t>ALPINE RIDGE APTS</t>
  </si>
  <si>
    <t>14469 SIMONDS RD</t>
  </si>
  <si>
    <t>ARROWHEAD PARK VISTA</t>
  </si>
  <si>
    <t>15000 JUANITA DR</t>
  </si>
  <si>
    <t>CHERYL</t>
  </si>
  <si>
    <t>FR</t>
  </si>
  <si>
    <t>ASC ASSOC</t>
  </si>
  <si>
    <t>18223 73RD AVE NE</t>
  </si>
  <si>
    <t>BAY VISTA ESTATES</t>
  </si>
  <si>
    <t>11639 91ST LN NE</t>
  </si>
  <si>
    <t>KIRKLAND</t>
  </si>
  <si>
    <t>THUR ONLY JOE KENT OR DON</t>
  </si>
  <si>
    <t>BELL  RALPH</t>
  </si>
  <si>
    <t>17612 80TH CT NE</t>
  </si>
  <si>
    <t>CA</t>
  </si>
  <si>
    <t>BLUE HERON VILLAGE LLC HOA</t>
  </si>
  <si>
    <t>17915 80TH AVE NE</t>
  </si>
  <si>
    <t>BJ</t>
  </si>
  <si>
    <t>BORDEAUX</t>
  </si>
  <si>
    <t>710 240TH WAY SE</t>
  </si>
  <si>
    <t>SAMMAMISH</t>
  </si>
  <si>
    <t>JERRY</t>
  </si>
  <si>
    <t>BOULDER CREEK APARTMENTS</t>
  </si>
  <si>
    <t>4425 ISSAQUAH PINE LK RD SE</t>
  </si>
  <si>
    <t>ANDREA SEARLES</t>
  </si>
  <si>
    <t>RO</t>
  </si>
  <si>
    <t>C</t>
  </si>
  <si>
    <t>BRIDLEWOOD APARTMENTS</t>
  </si>
  <si>
    <t>13207 97TH AVE NE</t>
  </si>
  <si>
    <t>DEBBIE</t>
  </si>
  <si>
    <t>13210 97TH AVE NE</t>
  </si>
  <si>
    <t>BROOKSIDE APTS</t>
  </si>
  <si>
    <t>7644 NE BOTHELL WAY</t>
  </si>
  <si>
    <t>MARSHA</t>
  </si>
  <si>
    <t>CAMBRIDGE APARTMENTS</t>
  </si>
  <si>
    <t>6505 NE 182ND ST</t>
  </si>
  <si>
    <t>CASCADE PINE APT</t>
  </si>
  <si>
    <t>12648 NE 144TH</t>
  </si>
  <si>
    <t>CEDAR JUANITA APARTMENTS</t>
  </si>
  <si>
    <t>9911 NE 134TH CT</t>
  </si>
  <si>
    <t>ELEANOR GRIFFIN</t>
  </si>
  <si>
    <t>CEDAR LANE TOWN HOMES</t>
  </si>
  <si>
    <t>6945 NE 170TH ST</t>
  </si>
  <si>
    <t>CN</t>
  </si>
  <si>
    <t>YC</t>
  </si>
  <si>
    <t>CEDAR PARK APT</t>
  </si>
  <si>
    <t>7512 NE BOTHELL WAY</t>
  </si>
  <si>
    <t>CEDARWOOD APARTMENTS</t>
  </si>
  <si>
    <t>14415 123RD LN NE</t>
  </si>
  <si>
    <t>CHANTREY ESTATES CONDO ASSOC</t>
  </si>
  <si>
    <t>10220 NE 138TH PL</t>
  </si>
  <si>
    <t>GET GOOD #!!</t>
  </si>
  <si>
    <t>CHAPARRAL APARTMENTS</t>
  </si>
  <si>
    <t>25025 SE KLAHANIE BLVD</t>
  </si>
  <si>
    <t>ISSAQUAH</t>
  </si>
  <si>
    <t>ANTHONY CONRAD          M</t>
  </si>
  <si>
    <t>CHAU  YISK-KEUNG</t>
  </si>
  <si>
    <t>11623 91ST PL NE</t>
  </si>
  <si>
    <t>COMPASS POINT CONDOS</t>
  </si>
  <si>
    <t>6100 NE 181ST ST</t>
  </si>
  <si>
    <t>MIKE HUBBARD</t>
  </si>
  <si>
    <t>COMPTON MEADOWS I</t>
  </si>
  <si>
    <t>14300 126TH AVE NE</t>
  </si>
  <si>
    <t>PHUONG</t>
  </si>
  <si>
    <t>COMPTON MEADOWS II</t>
  </si>
  <si>
    <t>12504 NE 142ND LN</t>
  </si>
  <si>
    <t>CONNEMARA APTS</t>
  </si>
  <si>
    <t>3070 230TH LN SE</t>
  </si>
  <si>
    <t>.                       M</t>
  </si>
  <si>
    <t>COVENTRY PLACE APARTMENTS</t>
  </si>
  <si>
    <t>6700 NE 182ND ST</t>
  </si>
  <si>
    <t>JAMES MCREADY</t>
  </si>
  <si>
    <t>CREEKSIDE ESTATES</t>
  </si>
  <si>
    <t>19025 61ST PL NE</t>
  </si>
  <si>
    <t>CRESTLINE APARTMENTS</t>
  </si>
  <si>
    <t>13248 135TH AVE NE</t>
  </si>
  <si>
    <t>CRESTWOOD APARTMENTS</t>
  </si>
  <si>
    <t>6626 NE 182ND ST</t>
  </si>
  <si>
    <t>ELLOISE</t>
  </si>
  <si>
    <t>DAVID SOMMERFIELD CONST</t>
  </si>
  <si>
    <t>10160 NE 137TH PL</t>
  </si>
  <si>
    <t>DENNIS WICK</t>
  </si>
  <si>
    <t>19121 61ST PL NE</t>
  </si>
  <si>
    <t>DIANE OR DENNIS</t>
  </si>
  <si>
    <t>DIANNE BEST-WILDERMUTH</t>
  </si>
  <si>
    <t>19312 61ST AVE NE</t>
  </si>
  <si>
    <t>DIANNE</t>
  </si>
  <si>
    <t>EMERALD VILLA</t>
  </si>
  <si>
    <t>8044 NE BOTHELL WAY</t>
  </si>
  <si>
    <t>EMILY LANE HOA</t>
  </si>
  <si>
    <t>19010 68TH AVE NE</t>
  </si>
  <si>
    <t>RANDY</t>
  </si>
  <si>
    <t>EVERGREEN TOWN HOMES</t>
  </si>
  <si>
    <t>8001 NE 177TH CT</t>
  </si>
  <si>
    <t>FAIRWAY VIEW APT</t>
  </si>
  <si>
    <t>16724 JUANITA DR NE</t>
  </si>
  <si>
    <t>FERNWOOD TRAILS</t>
  </si>
  <si>
    <t>17515 83RD PL NE #B</t>
  </si>
  <si>
    <t>PHIL THOMPSON</t>
  </si>
  <si>
    <t>GLENBURN GARDEN</t>
  </si>
  <si>
    <t>14036 JUANITA DR NE</t>
  </si>
  <si>
    <t>BOTHELL</t>
  </si>
  <si>
    <t>GOATHILL MANOR CONDO</t>
  </si>
  <si>
    <t>11635 91ST PL NE</t>
  </si>
  <si>
    <t>HARBOR VILLA HOMEOWNERS #222</t>
  </si>
  <si>
    <t>7217 NE 175TH ST</t>
  </si>
  <si>
    <t>HARBOR VILLAGE HOMEOWNERS</t>
  </si>
  <si>
    <t>6121 NE 175TH ST</t>
  </si>
  <si>
    <t>HAZEL GROVE APARTMENTS</t>
  </si>
  <si>
    <t>10100 NE 137TH PL</t>
  </si>
  <si>
    <t>HERON LANDING</t>
  </si>
  <si>
    <t>7025 NE 182ND ST</t>
  </si>
  <si>
    <t>BUDDY</t>
  </si>
  <si>
    <t>HERON RUN</t>
  </si>
  <si>
    <t>7023 NE 182ND ST</t>
  </si>
  <si>
    <t>PAM</t>
  </si>
  <si>
    <t>HIGHLAND GARDENS</t>
  </si>
  <si>
    <t>4575 KLAHANIE DR SE</t>
  </si>
  <si>
    <t>HORIZON VILLAGE APTS</t>
  </si>
  <si>
    <t>4285 152ND CT SE</t>
  </si>
  <si>
    <t>BELLEVUE</t>
  </si>
  <si>
    <t>EASTGATE SWAP</t>
  </si>
  <si>
    <t>HOWARD JOHNSON 4PLEX</t>
  </si>
  <si>
    <t>6106 NE 192ND PL</t>
  </si>
  <si>
    <t>HOWARD</t>
  </si>
  <si>
    <t>HUGHES TOWN HOMES</t>
  </si>
  <si>
    <t>8308 NE 176TH PL</t>
  </si>
  <si>
    <t>JERRY HUGHES</t>
  </si>
  <si>
    <t>HUNTERS RUN APARTMENTS</t>
  </si>
  <si>
    <t>13420 JUANITA-WOODINVILL</t>
  </si>
  <si>
    <t>INGLENOOK COURT</t>
  </si>
  <si>
    <t>14220 JUANITA DR NE</t>
  </si>
  <si>
    <t>INGLEWOOD EAST MOBILE</t>
  </si>
  <si>
    <t>7301 NE 175TH ST</t>
  </si>
  <si>
    <t>INGLEWOOD FOREST APARTMENTS</t>
  </si>
  <si>
    <t>16636 JUANITA DR NE</t>
  </si>
  <si>
    <t>GLORIA</t>
  </si>
  <si>
    <t>INGLEWOOD FOREST CONDO</t>
  </si>
  <si>
    <t>14004 JUANITA DR NE</t>
  </si>
  <si>
    <t>INGLEWOOD HEIGHTS</t>
  </si>
  <si>
    <t>6835 NE 153RD PL</t>
  </si>
  <si>
    <t>INGLEWOOD HILLS ASSOCIATION</t>
  </si>
  <si>
    <t>7304 NE 142ND PL</t>
  </si>
  <si>
    <t>INGLEWOOD SHORES</t>
  </si>
  <si>
    <t>16929 INGLEWOOD RD NE</t>
  </si>
  <si>
    <t>INGLEWOOD VILLAGE #2</t>
  </si>
  <si>
    <t>16949 65TH LN NE</t>
  </si>
  <si>
    <t>PAUL COLE</t>
  </si>
  <si>
    <t>INGLEWOOD VILLAGE III HOA</t>
  </si>
  <si>
    <t>17001 INGLEWOOD RD NE</t>
  </si>
  <si>
    <t>JOHNSON COURT CONDO</t>
  </si>
  <si>
    <t>18200 73RD AVE NE</t>
  </si>
  <si>
    <t>JUANITA BAY CONDOMINIUM</t>
  </si>
  <si>
    <t>9201 NE JUANITA DR</t>
  </si>
  <si>
    <t>JUANITA BAY SHORE</t>
  </si>
  <si>
    <t>11615 91ST LN NE</t>
  </si>
  <si>
    <t>JUANITA BROOK APARTMENTS</t>
  </si>
  <si>
    <t>11230 NE 132ND ST</t>
  </si>
  <si>
    <t>JUANITA HILLS CONDO</t>
  </si>
  <si>
    <t>9910 NE 137TH ST</t>
  </si>
  <si>
    <t>DIANA</t>
  </si>
  <si>
    <t>JUANITA VISTA/TOM QUIGLEY</t>
  </si>
  <si>
    <t>11642 91ST LN NE</t>
  </si>
  <si>
    <t>TOM</t>
  </si>
  <si>
    <t>K.I.T.H</t>
  </si>
  <si>
    <t>14319 123RD NE</t>
  </si>
  <si>
    <t>KAREN FRANKENBURGER</t>
  </si>
  <si>
    <t>KENMORE ESTATES</t>
  </si>
  <si>
    <t>18908 68TH AVE NE</t>
  </si>
  <si>
    <t>HEATHER</t>
  </si>
  <si>
    <t>KENMORE VILLAGE APARTMENT</t>
  </si>
  <si>
    <t>17620 80TH AVE NE</t>
  </si>
  <si>
    <t>KINGSGATE FIRS HOMEOWNERS</t>
  </si>
  <si>
    <t>14321 124TH AVE NE</t>
  </si>
  <si>
    <t>KINGSGATE MEADOW APARTMENTS</t>
  </si>
  <si>
    <t>14300 124TH AVE NE</t>
  </si>
  <si>
    <t>KINGSGATE TERRACE CO</t>
  </si>
  <si>
    <t>12715 NE 144TH ST</t>
  </si>
  <si>
    <t>12729 NE 144TH ST</t>
  </si>
  <si>
    <t>KINGSGATE 4 PLEX</t>
  </si>
  <si>
    <t>14327 123RD AVE NE</t>
  </si>
  <si>
    <t>MARGARET STAFFORD</t>
  </si>
  <si>
    <t>KIRKLAND HEIGHTS</t>
  </si>
  <si>
    <t>13319 NE 133RD</t>
  </si>
  <si>
    <t>13319 NE 133RD ST</t>
  </si>
  <si>
    <t>KIRSHNER  MIKE</t>
  </si>
  <si>
    <t>19124 61ST PL NE</t>
  </si>
  <si>
    <t>LAKEMONT ORCHARD APARTMENTS</t>
  </si>
  <si>
    <t>18305 SE NEWPORT WAY</t>
  </si>
  <si>
    <t>LAKEWOOD CONDO</t>
  </si>
  <si>
    <t>7223 NE 175TH ST</t>
  </si>
  <si>
    <t>TRAVIS</t>
  </si>
  <si>
    <t>LAKEWOOD MHP</t>
  </si>
  <si>
    <t>6825 NE 182ND ST</t>
  </si>
  <si>
    <t>LAKEWOOD VILLA MHP</t>
  </si>
  <si>
    <t>7031 NE 175TH ST</t>
  </si>
  <si>
    <t>LANGARA APARTMENTS</t>
  </si>
  <si>
    <t>5105 ISS-PINE LAKE RD</t>
  </si>
  <si>
    <t>KEVIN</t>
  </si>
  <si>
    <t>LAUREL KELLY</t>
  </si>
  <si>
    <t>6116 NE 193RD PL</t>
  </si>
  <si>
    <t>LEXINGTON CONDOMINIUMS</t>
  </si>
  <si>
    <t>12720 NE 144TH ST</t>
  </si>
  <si>
    <t>MALONEY PROPERTY MANAGEMENT</t>
  </si>
  <si>
    <t>17618 80TH CT NE</t>
  </si>
  <si>
    <t>JOHN</t>
  </si>
  <si>
    <t>MAPLE GLENN CONDO</t>
  </si>
  <si>
    <t>9920 NE 142ND PL</t>
  </si>
  <si>
    <t>LYN ARCHER(PROPERTY MAN)</t>
  </si>
  <si>
    <t>MARINA COVE</t>
  </si>
  <si>
    <t>6125 NE 175TH</t>
  </si>
  <si>
    <t>MAYON  SUSAN H</t>
  </si>
  <si>
    <t>7325 NE 141ST ST</t>
  </si>
  <si>
    <t>NORTH LAKE VIEW CONDOS</t>
  </si>
  <si>
    <t>6303 NE 181ST ST #301</t>
  </si>
  <si>
    <t>ROBERT HAYS C 2068170677</t>
  </si>
  <si>
    <t>NORTHLAKE CONDOMIMIUMS</t>
  </si>
  <si>
    <t>18523 68TH AVE NE</t>
  </si>
  <si>
    <t>NORTHLAKE GROVE APT</t>
  </si>
  <si>
    <t>18725 68TH AVE NE</t>
  </si>
  <si>
    <t>KERRI</t>
  </si>
  <si>
    <t>NORTHPOINTE HIGHLANDS</t>
  </si>
  <si>
    <t>17512 83RD PL NE</t>
  </si>
  <si>
    <t>JOE LEVINE</t>
  </si>
  <si>
    <t>NORTHSHORE APARTMENTS</t>
  </si>
  <si>
    <t>6321 NE 181ST ST</t>
  </si>
  <si>
    <t>NORTHWOOD</t>
  </si>
  <si>
    <t>18128 73RD AVE NE</t>
  </si>
  <si>
    <t>OLYMPIC VILLAGE HOMEOWNERS</t>
  </si>
  <si>
    <t>14445 124TH AVE NE</t>
  </si>
  <si>
    <t>PARKSIDE CONDOS OWNERS ASSOC</t>
  </si>
  <si>
    <t>18210 73RD AVE NE</t>
  </si>
  <si>
    <t>4876 PAULINE 425-481-0328</t>
  </si>
  <si>
    <t>PAULEY  GIL</t>
  </si>
  <si>
    <t>13319 100TH AVE NE</t>
  </si>
  <si>
    <t>PENDLETON CONDOS</t>
  </si>
  <si>
    <t>17827 80TH AVE NE</t>
  </si>
  <si>
    <t>REGENTS WALK</t>
  </si>
  <si>
    <t>18249 73RD AVE NE</t>
  </si>
  <si>
    <t>RIVERBEND APTS</t>
  </si>
  <si>
    <t>17525 80TH AVE NE #108</t>
  </si>
  <si>
    <t>ROSE GARDEN TOWNHOME ASSOC</t>
  </si>
  <si>
    <t>8020 NE 178TH LN</t>
  </si>
  <si>
    <t>ROSE POINTE CONDO ASSOCIATION</t>
  </si>
  <si>
    <t>9039 NE JUANITA DR</t>
  </si>
  <si>
    <t>RYAN LEOPOLD</t>
  </si>
  <si>
    <t>9921 NE 135TH PL</t>
  </si>
  <si>
    <t>RYAN</t>
  </si>
  <si>
    <t>SAMMAMISH BLUFFS</t>
  </si>
  <si>
    <t>4701 W LK SAMM PKWY SE</t>
  </si>
  <si>
    <t>BOB</t>
  </si>
  <si>
    <t>SAMMAMISH CROWN HOMEOWNERS</t>
  </si>
  <si>
    <t>4316 W LAKE SAMMAMISH PKWY SE</t>
  </si>
  <si>
    <t>BOB D</t>
  </si>
  <si>
    <t>SAMMAMISH HILLS CONDOMINIUMS</t>
  </si>
  <si>
    <t>18501 SE NEWPORT WAY</t>
  </si>
  <si>
    <t>18505 SE NEWPORT WAY</t>
  </si>
  <si>
    <t>SARVIS MOBILE ESTATE</t>
  </si>
  <si>
    <t>7614 NE BOTHELL WAY</t>
  </si>
  <si>
    <t>MARK BASHER - MAINT</t>
  </si>
  <si>
    <t>SAXONY AND COMPANY</t>
  </si>
  <si>
    <t>555 225TH PL NE</t>
  </si>
  <si>
    <t>SEQUOIA APARTMENTS</t>
  </si>
  <si>
    <t>7111 NE 181ST ST</t>
  </si>
  <si>
    <t>GREG</t>
  </si>
  <si>
    <t>SHADRACH APTS</t>
  </si>
  <si>
    <t>18015 63RD AVE NE</t>
  </si>
  <si>
    <t>SHOLEH MANTASHI</t>
  </si>
  <si>
    <t>7353 NE 141ST ST</t>
  </si>
  <si>
    <t>SHOLEH</t>
  </si>
  <si>
    <t>SIMONDS ESTATES</t>
  </si>
  <si>
    <t>14503 SIMONDS RD NE</t>
  </si>
  <si>
    <t>WILSON 425-398-9825</t>
  </si>
  <si>
    <t>SOMERSET CREEK HOA</t>
  </si>
  <si>
    <t>14301 SE 42ND LN</t>
  </si>
  <si>
    <t>EASTGATE SWAP-TROY</t>
  </si>
  <si>
    <t>SOUTHVIEW APARTMENTS</t>
  </si>
  <si>
    <t>9120 NE 116TH PL</t>
  </si>
  <si>
    <t>ST EDWARDS PLACE CONDOS</t>
  </si>
  <si>
    <t>14251 73RD AVE NE</t>
  </si>
  <si>
    <t>SUMMERWALK APTS</t>
  </si>
  <si>
    <t>3850 KLAHANIE DR SE</t>
  </si>
  <si>
    <t>SUN VISTA AT LAKE POINTE</t>
  </si>
  <si>
    <t>6401 NE 181ST ST</t>
  </si>
  <si>
    <t>SHIG TSUTSUMI</t>
  </si>
  <si>
    <t>SUNDANCE CONDO</t>
  </si>
  <si>
    <t>25235 SE KLAHANIE BLVD</t>
  </si>
  <si>
    <t>SUNRIDGE APARTMENTS</t>
  </si>
  <si>
    <t>18241 73RD AVE NE</t>
  </si>
  <si>
    <t>LARRY</t>
  </si>
  <si>
    <t>T ENG</t>
  </si>
  <si>
    <t>6133 NE 193RD PL</t>
  </si>
  <si>
    <t>JERALD HUCK</t>
  </si>
  <si>
    <t>TAMARACK CONDO</t>
  </si>
  <si>
    <t>9810 NE 137TH ST</t>
  </si>
  <si>
    <t>TAMI ADERRAB</t>
  </si>
  <si>
    <t>19342 55TH AVE NE</t>
  </si>
  <si>
    <t>TAMI</t>
  </si>
  <si>
    <t>TERRY PETERSON</t>
  </si>
  <si>
    <t>19100 61ST AVE NE</t>
  </si>
  <si>
    <t>TERRY</t>
  </si>
  <si>
    <t>TRAILWALK APARTMENTS</t>
  </si>
  <si>
    <t>7711 NE 175TH ST</t>
  </si>
  <si>
    <t>LINDA</t>
  </si>
  <si>
    <t>SABRINA                 M</t>
  </si>
  <si>
    <t>VANDERVELDE  PAUL</t>
  </si>
  <si>
    <t>19020 61ST AVE NE</t>
  </si>
  <si>
    <t>19105 61ST PL NE</t>
  </si>
  <si>
    <t>SEATTLE</t>
  </si>
  <si>
    <t>VASA CREEK WOODS</t>
  </si>
  <si>
    <t>15406 SE NEWPORT WAY</t>
  </si>
  <si>
    <t>WATERFORD SQUARE CONDO'S</t>
  </si>
  <si>
    <t>6831 NE 170TH</t>
  </si>
  <si>
    <t>HELGARD GRAY</t>
  </si>
  <si>
    <t>WESTWOOD VILLAGE LLC</t>
  </si>
  <si>
    <t>13820 100TH AVE NE</t>
  </si>
  <si>
    <t>CAROL</t>
  </si>
  <si>
    <t>WILD GLEN CONDO</t>
  </si>
  <si>
    <t>14401 100TH AVE NE</t>
  </si>
  <si>
    <t>WOODLAKE APARTMENTS</t>
  </si>
  <si>
    <t>11400 NE 132ND ST</t>
  </si>
  <si>
    <t>YOUNGE  RICHARD</t>
  </si>
  <si>
    <t>17624 80TH CT NE</t>
  </si>
  <si>
    <t>ZENO PROPERTIES LLC</t>
  </si>
  <si>
    <t>6101 NE 194TH PL</t>
  </si>
  <si>
    <t>CHRIS</t>
  </si>
  <si>
    <t>4-PLEX</t>
  </si>
  <si>
    <t>9032 JUANITA DR NE</t>
  </si>
  <si>
    <t>ROSS</t>
  </si>
  <si>
    <t>4-PLEX: YEE</t>
  </si>
  <si>
    <t>7341 NE 141ST ST</t>
  </si>
  <si>
    <t>SAMUEL YEE CALLS ONLY</t>
  </si>
  <si>
    <t>73 AVE APARTMENTS</t>
  </si>
  <si>
    <t>18235 73RD AVE NE</t>
  </si>
  <si>
    <t>WUTC Residential Pricing by Commodity (2000 - 2004)</t>
  </si>
  <si>
    <t>Mix</t>
  </si>
  <si>
    <t>Glob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</si>
</sst>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0" fontId="7" fillId="0" borderId="0" xfId="24" applyFont="1">
      <alignment/>
      <protection/>
    </xf>
    <xf numFmtId="1" fontId="7" fillId="0" borderId="0" xfId="24" applyNumberFormat="1" applyFont="1">
      <alignment/>
      <protection/>
    </xf>
    <xf numFmtId="170" fontId="9" fillId="0" borderId="0" xfId="24" applyFont="1">
      <alignment/>
      <protection/>
    </xf>
    <xf numFmtId="1" fontId="9" fillId="0" borderId="0" xfId="24" applyNumberFormat="1" applyFont="1">
      <alignment/>
      <protection/>
    </xf>
    <xf numFmtId="170" fontId="9" fillId="0" borderId="0" xfId="24" applyNumberFormat="1" applyFont="1" applyAlignment="1" applyProtection="1">
      <alignment horizontal="left"/>
      <protection/>
    </xf>
    <xf numFmtId="170" fontId="9" fillId="0" borderId="0" xfId="24" applyFont="1" applyAlignment="1" applyProtection="1" quotePrefix="1">
      <alignment horizontal="left"/>
      <protection/>
    </xf>
    <xf numFmtId="170" fontId="9" fillId="0" borderId="0" xfId="24" applyFont="1" applyAlignment="1" applyProtection="1">
      <alignment horizontal="left"/>
      <protection/>
    </xf>
    <xf numFmtId="170" fontId="9" fillId="0" borderId="0" xfId="24" applyNumberFormat="1" applyFont="1" applyProtection="1">
      <alignment/>
      <protection/>
    </xf>
    <xf numFmtId="1" fontId="9" fillId="0" borderId="0" xfId="24" applyNumberFormat="1" applyFont="1" applyAlignment="1" applyProtection="1">
      <alignment horizontal="left"/>
      <protection/>
    </xf>
    <xf numFmtId="1" fontId="9" fillId="0" borderId="0" xfId="24" applyNumberFormat="1" applyFont="1" applyProtection="1">
      <alignment/>
      <protection/>
    </xf>
    <xf numFmtId="170" fontId="9" fillId="0" borderId="0" xfId="24" applyNumberFormat="1" applyFont="1" applyAlignment="1" applyProtection="1">
      <alignment horizontal="right"/>
      <protection/>
    </xf>
    <xf numFmtId="1" fontId="9" fillId="0" borderId="0" xfId="24" applyNumberFormat="1" applyFont="1" applyAlignment="1" applyProtection="1" quotePrefix="1">
      <alignment horizontal="left"/>
      <protection/>
    </xf>
    <xf numFmtId="170" fontId="9" fillId="0" borderId="0" xfId="24" applyFont="1" applyAlignment="1" applyProtection="1">
      <alignment horizontal="fill"/>
      <protection/>
    </xf>
    <xf numFmtId="1" fontId="9" fillId="0" borderId="0" xfId="24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4" applyNumberFormat="1" applyFont="1" applyAlignment="1" applyProtection="1" quotePrefix="1">
      <alignment horizontal="left"/>
      <protection locked="0"/>
    </xf>
    <xf numFmtId="2" fontId="7" fillId="0" borderId="0" xfId="24" applyNumberFormat="1" applyFont="1" applyProtection="1">
      <alignment/>
      <protection locked="0"/>
    </xf>
    <xf numFmtId="1" fontId="7" fillId="0" borderId="0" xfId="24" applyNumberFormat="1" applyFont="1" applyProtection="1">
      <alignment/>
      <protection locked="0"/>
    </xf>
    <xf numFmtId="170" fontId="9" fillId="0" borderId="0" xfId="24" applyFont="1" applyAlignment="1" applyProtection="1" quotePrefix="1">
      <alignment horizontal="left"/>
      <protection locked="0"/>
    </xf>
    <xf numFmtId="170" fontId="9" fillId="0" borderId="0" xfId="24" applyFont="1" applyProtection="1">
      <alignment/>
      <protection locked="0"/>
    </xf>
    <xf numFmtId="2" fontId="9" fillId="0" borderId="0" xfId="24" applyNumberFormat="1" applyFont="1" applyProtection="1">
      <alignment/>
      <protection locked="0"/>
    </xf>
    <xf numFmtId="1" fontId="9" fillId="0" borderId="0" xfId="24" applyNumberFormat="1" applyFont="1" applyProtection="1">
      <alignment/>
      <protection locked="0"/>
    </xf>
    <xf numFmtId="2" fontId="9" fillId="0" borderId="0" xfId="24" applyNumberFormat="1" applyFont="1">
      <alignment/>
      <protection/>
    </xf>
    <xf numFmtId="2" fontId="7" fillId="0" borderId="0" xfId="24" applyNumberFormat="1" applyFont="1">
      <alignment/>
      <protection/>
    </xf>
    <xf numFmtId="2" fontId="9" fillId="0" borderId="0" xfId="24" applyNumberFormat="1" applyFont="1" applyProtection="1">
      <alignment/>
      <protection/>
    </xf>
    <xf numFmtId="2" fontId="9" fillId="0" borderId="0" xfId="24" applyNumberFormat="1" applyFont="1" applyAlignment="1" applyProtection="1" quotePrefix="1">
      <alignment horizontal="left"/>
      <protection/>
    </xf>
    <xf numFmtId="2" fontId="9" fillId="0" borderId="0" xfId="24" applyNumberFormat="1" applyFont="1" applyAlignment="1" applyProtection="1">
      <alignment horizontal="left"/>
      <protection/>
    </xf>
    <xf numFmtId="2" fontId="9" fillId="0" borderId="0" xfId="24" applyNumberFormat="1" applyFont="1" applyAlignment="1" applyProtection="1">
      <alignment horizontal="right"/>
      <protection/>
    </xf>
    <xf numFmtId="2" fontId="9" fillId="0" borderId="0" xfId="24" applyNumberFormat="1" applyFont="1" applyAlignment="1" applyProtection="1">
      <alignment horizontal="fill"/>
      <protection/>
    </xf>
    <xf numFmtId="170" fontId="9" fillId="0" borderId="0" xfId="24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4" applyNumberFormat="1" applyFont="1" applyProtection="1">
      <alignment/>
      <protection locked="0"/>
    </xf>
    <xf numFmtId="170" fontId="7" fillId="0" borderId="0" xfId="24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4" applyNumberFormat="1" applyFont="1" applyAlignment="1" applyProtection="1" quotePrefix="1">
      <alignment horizontal="center"/>
      <protection/>
    </xf>
    <xf numFmtId="170" fontId="9" fillId="0" borderId="0" xfId="24" applyFont="1" applyAlignment="1" applyProtection="1" quotePrefix="1">
      <alignment horizontal="center"/>
      <protection/>
    </xf>
    <xf numFmtId="2" fontId="9" fillId="0" borderId="0" xfId="24" applyNumberFormat="1" applyFont="1" applyAlignment="1" applyProtection="1" quotePrefix="1">
      <alignment horizontal="center"/>
      <protection locked="0"/>
    </xf>
    <xf numFmtId="170" fontId="9" fillId="0" borderId="0" xfId="24" applyFont="1" applyAlignment="1" applyProtection="1" quotePrefix="1">
      <alignment horizontal="center"/>
      <protection locked="0"/>
    </xf>
    <xf numFmtId="2" fontId="7" fillId="0" borderId="0" xfId="24" applyNumberFormat="1" applyFont="1" applyProtection="1">
      <alignment/>
      <protection/>
    </xf>
    <xf numFmtId="1" fontId="7" fillId="0" borderId="0" xfId="24" applyNumberFormat="1" applyFont="1" applyProtection="1">
      <alignment/>
      <protection/>
    </xf>
    <xf numFmtId="0" fontId="7" fillId="0" borderId="0" xfId="25" applyFont="1">
      <alignment/>
      <protection/>
    </xf>
    <xf numFmtId="0" fontId="7" fillId="0" borderId="0" xfId="25" applyFont="1" applyAlignment="1">
      <alignment horizontal="center"/>
      <protection/>
    </xf>
    <xf numFmtId="17" fontId="7" fillId="0" borderId="0" xfId="25" applyNumberFormat="1" applyFont="1" applyAlignment="1">
      <alignment horizontal="center"/>
      <protection/>
    </xf>
    <xf numFmtId="3" fontId="7" fillId="0" borderId="0" xfId="25" applyNumberFormat="1" applyFont="1">
      <alignment/>
      <protection/>
    </xf>
    <xf numFmtId="0" fontId="10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" fontId="7" fillId="0" borderId="0" xfId="17" applyNumberFormat="1" applyFont="1" applyAlignment="1">
      <alignment/>
    </xf>
    <xf numFmtId="0" fontId="12" fillId="0" borderId="0" xfId="26" applyFont="1">
      <alignment/>
      <protection/>
    </xf>
    <xf numFmtId="0" fontId="11" fillId="0" borderId="0" xfId="26">
      <alignment/>
      <protection/>
    </xf>
    <xf numFmtId="0" fontId="12" fillId="0" borderId="0" xfId="26" applyFont="1" applyAlignment="1">
      <alignment horizontal="center"/>
      <protection/>
    </xf>
    <xf numFmtId="17" fontId="11" fillId="0" borderId="0" xfId="26" applyNumberFormat="1">
      <alignment/>
      <protection/>
    </xf>
    <xf numFmtId="17" fontId="12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0" fontId="7" fillId="0" borderId="0" xfId="26" applyFont="1" applyAlignment="1">
      <alignment horizontal="center"/>
      <protection/>
    </xf>
    <xf numFmtId="0" fontId="12" fillId="0" borderId="0" xfId="27" applyFont="1">
      <alignment/>
      <protection/>
    </xf>
    <xf numFmtId="0" fontId="11" fillId="0" borderId="0" xfId="27">
      <alignment/>
      <protection/>
    </xf>
    <xf numFmtId="0" fontId="12" fillId="0" borderId="0" xfId="27" applyFont="1" applyAlignment="1">
      <alignment horizontal="center"/>
      <protection/>
    </xf>
    <xf numFmtId="17" fontId="11" fillId="0" borderId="0" xfId="27" applyNumberFormat="1">
      <alignment/>
      <protection/>
    </xf>
    <xf numFmtId="17" fontId="12" fillId="0" borderId="0" xfId="27" applyNumberFormat="1" applyFont="1" applyAlignment="1">
      <alignment horizontal="center"/>
      <protection/>
    </xf>
    <xf numFmtId="17" fontId="7" fillId="0" borderId="0" xfId="27" applyNumberFormat="1" applyFont="1">
      <alignment/>
      <protection/>
    </xf>
    <xf numFmtId="0" fontId="7" fillId="0" borderId="0" xfId="27" applyFont="1">
      <alignment/>
      <protection/>
    </xf>
    <xf numFmtId="2" fontId="7" fillId="0" borderId="0" xfId="27" applyNumberFormat="1" applyFont="1">
      <alignment/>
      <protection/>
    </xf>
    <xf numFmtId="17" fontId="7" fillId="0" borderId="0" xfId="27" applyNumberFormat="1" applyFont="1" applyAlignment="1">
      <alignment horizontal="center"/>
      <protection/>
    </xf>
    <xf numFmtId="4" fontId="7" fillId="0" borderId="0" xfId="27" applyNumberFormat="1" applyFont="1">
      <alignment/>
      <protection/>
    </xf>
    <xf numFmtId="0" fontId="7" fillId="0" borderId="0" xfId="27" applyFont="1" applyAlignment="1">
      <alignment horizontal="center"/>
      <protection/>
    </xf>
    <xf numFmtId="0" fontId="12" fillId="0" borderId="0" xfId="23" applyFont="1">
      <alignment/>
      <protection/>
    </xf>
    <xf numFmtId="0" fontId="11" fillId="0" borderId="0" xfId="23">
      <alignment/>
      <protection/>
    </xf>
  </cellXfs>
  <cellStyles count="15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172 WUTC MF Complex-Units Contact Info - Annual04" xfId="23"/>
    <cellStyle name="Normal_9701RAB" xfId="24"/>
    <cellStyle name="Normal_ES0804TONS" xfId="25"/>
    <cellStyle name="Normal_Wutc Recycling Tons ES 00-04" xfId="26"/>
    <cellStyle name="Normal_Wutc Recycling Tons Issaq 00-0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2"/>
  <sheetViews>
    <sheetView showGridLines="0" workbookViewId="0" topLeftCell="A1">
      <pane xSplit="1" topLeftCell="B1" activePane="topRight" state="frozen"/>
      <selection pane="topLeft" activeCell="A5" sqref="A5"/>
      <selection pane="topRight" activeCell="L12" sqref="L12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6" ht="11.25">
      <c r="A1" s="5" t="s">
        <v>0</v>
      </c>
      <c r="B1" s="3"/>
      <c r="C1" s="3"/>
      <c r="D1" s="3"/>
      <c r="E1" s="5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3"/>
      <c r="X1" s="3"/>
      <c r="Y1" s="3"/>
      <c r="Z1" s="3"/>
    </row>
    <row r="2" spans="1:26" ht="11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3"/>
      <c r="X2" s="3"/>
      <c r="Y2" s="3"/>
      <c r="Z2" s="3"/>
    </row>
    <row r="3" spans="1:26" ht="11.25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4</v>
      </c>
      <c r="L4" s="7" t="s">
        <v>5</v>
      </c>
      <c r="M4" s="3"/>
      <c r="N4" s="3"/>
      <c r="O4" s="3"/>
      <c r="P4" s="3"/>
      <c r="Q4" s="6" t="s">
        <v>4</v>
      </c>
      <c r="R4" s="4"/>
      <c r="S4" s="4"/>
      <c r="T4" s="4"/>
      <c r="U4" s="4"/>
      <c r="V4" s="4"/>
      <c r="W4" s="6" t="s">
        <v>4</v>
      </c>
      <c r="X4" s="7" t="s">
        <v>6</v>
      </c>
      <c r="Y4" s="3"/>
      <c r="Z4" s="3"/>
    </row>
    <row r="5" spans="1:26" ht="11.25">
      <c r="A5" s="5" t="s">
        <v>7</v>
      </c>
      <c r="B5" s="5" t="s">
        <v>5</v>
      </c>
      <c r="C5" s="5" t="s">
        <v>8</v>
      </c>
      <c r="D5" s="3"/>
      <c r="E5" s="3"/>
      <c r="F5" s="3"/>
      <c r="G5" s="3"/>
      <c r="H5" s="3"/>
      <c r="I5" s="5" t="s">
        <v>5</v>
      </c>
      <c r="J5" s="5"/>
      <c r="K5" s="6" t="s">
        <v>4</v>
      </c>
      <c r="L5" s="5" t="s">
        <v>9</v>
      </c>
      <c r="M5" s="3"/>
      <c r="N5" s="8"/>
      <c r="O5" s="3"/>
      <c r="P5" s="8"/>
      <c r="Q5" s="6" t="s">
        <v>4</v>
      </c>
      <c r="R5" s="9" t="s">
        <v>10</v>
      </c>
      <c r="S5" s="4"/>
      <c r="T5" s="10"/>
      <c r="U5" s="4"/>
      <c r="V5" s="10"/>
      <c r="W5" s="6" t="s">
        <v>4</v>
      </c>
      <c r="X5" s="5" t="s">
        <v>11</v>
      </c>
      <c r="Y5" s="3"/>
      <c r="Z5" s="8"/>
    </row>
    <row r="6" spans="1:26" ht="11.25">
      <c r="A6" s="5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J6" s="11" t="s">
        <v>21</v>
      </c>
      <c r="K6" s="6" t="s">
        <v>4</v>
      </c>
      <c r="L6" s="5" t="s">
        <v>22</v>
      </c>
      <c r="M6" s="6" t="s">
        <v>4</v>
      </c>
      <c r="N6" s="5" t="s">
        <v>23</v>
      </c>
      <c r="O6" s="6" t="s">
        <v>4</v>
      </c>
      <c r="P6" s="5" t="s">
        <v>24</v>
      </c>
      <c r="Q6" s="6" t="s">
        <v>4</v>
      </c>
      <c r="R6" s="9" t="s">
        <v>22</v>
      </c>
      <c r="S6" s="12" t="s">
        <v>4</v>
      </c>
      <c r="T6" s="9" t="s">
        <v>23</v>
      </c>
      <c r="U6" s="12" t="s">
        <v>4</v>
      </c>
      <c r="V6" s="9" t="s">
        <v>24</v>
      </c>
      <c r="W6" s="6" t="s">
        <v>4</v>
      </c>
      <c r="X6" s="5" t="s">
        <v>25</v>
      </c>
      <c r="Y6" s="3"/>
      <c r="Z6" s="8"/>
    </row>
    <row r="7" spans="1:26" ht="11.25">
      <c r="A7" s="13" t="s">
        <v>26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/>
      <c r="K7" s="13" t="s">
        <v>26</v>
      </c>
      <c r="L7" s="13" t="s">
        <v>26</v>
      </c>
      <c r="M7" s="13" t="s">
        <v>26</v>
      </c>
      <c r="N7" s="13" t="s">
        <v>26</v>
      </c>
      <c r="O7" s="13" t="s">
        <v>26</v>
      </c>
      <c r="P7" s="13" t="s">
        <v>26</v>
      </c>
      <c r="Q7" s="13" t="s">
        <v>26</v>
      </c>
      <c r="R7" s="14" t="s">
        <v>26</v>
      </c>
      <c r="S7" s="14" t="s">
        <v>26</v>
      </c>
      <c r="T7" s="14" t="s">
        <v>26</v>
      </c>
      <c r="U7" s="14" t="s">
        <v>26</v>
      </c>
      <c r="V7" s="14" t="s">
        <v>26</v>
      </c>
      <c r="W7" s="13" t="s">
        <v>26</v>
      </c>
      <c r="X7" s="13" t="s">
        <v>26</v>
      </c>
      <c r="Y7" s="13" t="s">
        <v>26</v>
      </c>
      <c r="Z7" s="13" t="s">
        <v>26</v>
      </c>
    </row>
    <row r="8" spans="1:26" ht="11.25">
      <c r="A8" s="15" t="s">
        <v>27</v>
      </c>
      <c r="B8" s="16">
        <v>3.3</v>
      </c>
      <c r="C8" s="16">
        <v>68.16</v>
      </c>
      <c r="D8" s="16">
        <v>5.81</v>
      </c>
      <c r="E8" s="16">
        <v>40.03</v>
      </c>
      <c r="F8" s="16">
        <v>272.09</v>
      </c>
      <c r="G8" s="16">
        <v>2.42</v>
      </c>
      <c r="H8" s="16">
        <v>2.42</v>
      </c>
      <c r="I8" s="16">
        <v>41.1</v>
      </c>
      <c r="J8" s="16">
        <v>29.66</v>
      </c>
      <c r="K8" s="17" t="s">
        <v>4</v>
      </c>
      <c r="L8" s="18">
        <v>464.9522758552808</v>
      </c>
      <c r="M8" s="17" t="s">
        <v>4</v>
      </c>
      <c r="N8" s="18">
        <v>286.990208426061</v>
      </c>
      <c r="O8" s="17" t="s">
        <v>4</v>
      </c>
      <c r="P8" s="18">
        <v>630.61</v>
      </c>
      <c r="Q8" s="17" t="s">
        <v>4</v>
      </c>
      <c r="R8" s="19">
        <v>8982</v>
      </c>
      <c r="S8" s="17" t="s">
        <v>4</v>
      </c>
      <c r="T8" s="19">
        <v>5544</v>
      </c>
      <c r="U8" s="17" t="s">
        <v>4</v>
      </c>
      <c r="V8" s="19">
        <v>8984</v>
      </c>
      <c r="W8" s="20" t="s">
        <v>4</v>
      </c>
      <c r="X8" s="21"/>
      <c r="Y8" s="21"/>
      <c r="Z8" s="21"/>
    </row>
    <row r="9" spans="1:26" ht="11.25">
      <c r="A9" s="15" t="s">
        <v>28</v>
      </c>
      <c r="B9" s="16">
        <v>0.09</v>
      </c>
      <c r="C9" s="16">
        <v>1.76</v>
      </c>
      <c r="D9" s="16">
        <v>0.15</v>
      </c>
      <c r="E9" s="16">
        <v>1.03</v>
      </c>
      <c r="F9" s="16">
        <v>7.03</v>
      </c>
      <c r="G9" s="16">
        <v>0.06</v>
      </c>
      <c r="H9" s="16">
        <v>0.06</v>
      </c>
      <c r="I9" s="16">
        <v>1.06</v>
      </c>
      <c r="J9" s="16">
        <v>0.77</v>
      </c>
      <c r="K9" s="17" t="s">
        <v>4</v>
      </c>
      <c r="L9" s="18">
        <v>12.01553388436811</v>
      </c>
      <c r="M9" s="17" t="s">
        <v>4</v>
      </c>
      <c r="N9" s="18">
        <v>3.1003694185715114</v>
      </c>
      <c r="O9" s="17" t="s">
        <v>4</v>
      </c>
      <c r="P9" s="18">
        <v>14.79</v>
      </c>
      <c r="Q9" s="17" t="s">
        <v>4</v>
      </c>
      <c r="R9" s="19">
        <v>158</v>
      </c>
      <c r="S9" s="17" t="s">
        <v>4</v>
      </c>
      <c r="T9" s="19">
        <v>82</v>
      </c>
      <c r="U9" s="17" t="s">
        <v>4</v>
      </c>
      <c r="V9" s="19">
        <v>160</v>
      </c>
      <c r="W9" s="20" t="s">
        <v>4</v>
      </c>
      <c r="X9" s="21"/>
      <c r="Y9" s="21"/>
      <c r="Z9" s="21"/>
    </row>
    <row r="10" spans="1:26" ht="11.25">
      <c r="A10" s="15" t="s">
        <v>29</v>
      </c>
      <c r="B10" s="16">
        <v>0.04</v>
      </c>
      <c r="C10" s="16">
        <v>0.9</v>
      </c>
      <c r="D10" s="16">
        <v>0.08</v>
      </c>
      <c r="E10" s="16">
        <v>0.53</v>
      </c>
      <c r="F10" s="16">
        <v>3.59</v>
      </c>
      <c r="G10" s="16">
        <v>0.03</v>
      </c>
      <c r="H10" s="16">
        <v>0.03</v>
      </c>
      <c r="I10" s="16">
        <v>0.54</v>
      </c>
      <c r="J10" s="16">
        <v>0.39</v>
      </c>
      <c r="K10" s="17" t="s">
        <v>4</v>
      </c>
      <c r="L10" s="18">
        <v>6.136412915250095</v>
      </c>
      <c r="M10" s="17" t="s">
        <v>4</v>
      </c>
      <c r="N10" s="18">
        <v>3.2622557964399603</v>
      </c>
      <c r="O10" s="17" t="s">
        <v>4</v>
      </c>
      <c r="P10" s="18">
        <v>7.91</v>
      </c>
      <c r="Q10" s="17" t="s">
        <v>4</v>
      </c>
      <c r="R10" s="19">
        <v>105</v>
      </c>
      <c r="S10" s="17" t="s">
        <v>4</v>
      </c>
      <c r="T10" s="19">
        <v>84</v>
      </c>
      <c r="U10" s="17" t="s">
        <v>4</v>
      </c>
      <c r="V10" s="19">
        <v>105</v>
      </c>
      <c r="W10" s="20" t="s">
        <v>4</v>
      </c>
      <c r="X10" s="21"/>
      <c r="Y10" s="21"/>
      <c r="Z10" s="21"/>
    </row>
    <row r="11" spans="1:26" ht="11.25">
      <c r="A11" s="15" t="s">
        <v>30</v>
      </c>
      <c r="B11" s="16">
        <v>1.66</v>
      </c>
      <c r="C11" s="16">
        <v>34.37</v>
      </c>
      <c r="D11" s="16">
        <v>2.93</v>
      </c>
      <c r="E11" s="16">
        <v>20.19</v>
      </c>
      <c r="F11" s="16">
        <v>137.22</v>
      </c>
      <c r="G11" s="16">
        <v>1.22</v>
      </c>
      <c r="H11" s="16">
        <v>1.22</v>
      </c>
      <c r="I11" s="16">
        <v>20.73</v>
      </c>
      <c r="J11" s="16">
        <v>14.96</v>
      </c>
      <c r="K11" s="17" t="s">
        <v>4</v>
      </c>
      <c r="L11" s="18">
        <v>234.47658280881728</v>
      </c>
      <c r="M11" s="17" t="s">
        <v>4</v>
      </c>
      <c r="N11" s="18">
        <v>62.748141191373726</v>
      </c>
      <c r="O11" s="17" t="s">
        <v>4</v>
      </c>
      <c r="P11" s="18">
        <v>233.18</v>
      </c>
      <c r="Q11" s="17" t="s">
        <v>4</v>
      </c>
      <c r="R11" s="19">
        <v>3798</v>
      </c>
      <c r="S11" s="17" t="s">
        <v>4</v>
      </c>
      <c r="T11" s="19">
        <v>3016</v>
      </c>
      <c r="U11" s="17" t="s">
        <v>4</v>
      </c>
      <c r="V11" s="19">
        <v>3805</v>
      </c>
      <c r="W11" s="20" t="s">
        <v>4</v>
      </c>
      <c r="X11" s="21"/>
      <c r="Y11" s="21"/>
      <c r="Z11" s="21"/>
    </row>
    <row r="12" spans="1:26" ht="11.25">
      <c r="A12" s="15" t="s">
        <v>31</v>
      </c>
      <c r="B12" s="16">
        <v>10.08</v>
      </c>
      <c r="C12" s="16">
        <v>208.03</v>
      </c>
      <c r="D12" s="16">
        <v>17.74</v>
      </c>
      <c r="E12" s="16">
        <v>122.18</v>
      </c>
      <c r="F12" s="16">
        <v>830.42</v>
      </c>
      <c r="G12" s="16">
        <v>7.38</v>
      </c>
      <c r="H12" s="16">
        <v>7.38</v>
      </c>
      <c r="I12" s="16">
        <v>125.44</v>
      </c>
      <c r="J12" s="16">
        <v>90.53</v>
      </c>
      <c r="K12" s="17" t="s">
        <v>4</v>
      </c>
      <c r="L12" s="18">
        <v>1419.029405904951</v>
      </c>
      <c r="M12" s="17" t="s">
        <v>4</v>
      </c>
      <c r="N12" s="18">
        <v>906.7206967933693</v>
      </c>
      <c r="O12" s="17" t="s">
        <v>4</v>
      </c>
      <c r="P12" s="18">
        <v>1571.21</v>
      </c>
      <c r="Q12" s="17" t="s">
        <v>4</v>
      </c>
      <c r="R12" s="19">
        <v>26145</v>
      </c>
      <c r="S12" s="17" t="s">
        <v>4</v>
      </c>
      <c r="T12" s="19">
        <v>23034</v>
      </c>
      <c r="U12" s="17" t="s">
        <v>4</v>
      </c>
      <c r="V12" s="19">
        <v>26426</v>
      </c>
      <c r="W12" s="20" t="s">
        <v>4</v>
      </c>
      <c r="X12" s="21"/>
      <c r="Y12" s="21"/>
      <c r="Z12" s="21"/>
    </row>
    <row r="13" spans="1:26" ht="11.25">
      <c r="A13" s="15" t="s">
        <v>32</v>
      </c>
      <c r="B13" s="16">
        <v>0.24</v>
      </c>
      <c r="C13" s="16">
        <v>5.02</v>
      </c>
      <c r="D13" s="16">
        <v>0.43</v>
      </c>
      <c r="E13" s="16">
        <v>2.95</v>
      </c>
      <c r="F13" s="16">
        <v>20.03</v>
      </c>
      <c r="G13" s="16">
        <v>0.18</v>
      </c>
      <c r="H13" s="16">
        <v>0.18</v>
      </c>
      <c r="I13" s="16">
        <v>3.03</v>
      </c>
      <c r="J13" s="16">
        <v>2.18</v>
      </c>
      <c r="K13" s="17" t="s">
        <v>4</v>
      </c>
      <c r="L13" s="18">
        <v>34.219828835566574</v>
      </c>
      <c r="M13" s="17" t="s">
        <v>4</v>
      </c>
      <c r="N13" s="18">
        <v>26.56898856168244</v>
      </c>
      <c r="O13" s="17" t="s">
        <v>4</v>
      </c>
      <c r="P13" s="18">
        <v>84.79</v>
      </c>
      <c r="Q13" s="17" t="s">
        <v>4</v>
      </c>
      <c r="R13" s="19">
        <v>985</v>
      </c>
      <c r="S13" s="17" t="s">
        <v>4</v>
      </c>
      <c r="T13" s="19">
        <v>769</v>
      </c>
      <c r="U13" s="17" t="s">
        <v>4</v>
      </c>
      <c r="V13" s="19">
        <v>991</v>
      </c>
      <c r="W13" s="20" t="s">
        <v>4</v>
      </c>
      <c r="X13" s="21"/>
      <c r="Y13" s="21"/>
      <c r="Z13" s="21"/>
    </row>
    <row r="14" spans="1:26" ht="11.25">
      <c r="A14" s="15" t="s">
        <v>33</v>
      </c>
      <c r="B14" s="16">
        <v>0.16</v>
      </c>
      <c r="C14" s="16">
        <v>3.35</v>
      </c>
      <c r="D14" s="16">
        <v>0.29</v>
      </c>
      <c r="E14" s="16">
        <v>1.97</v>
      </c>
      <c r="F14" s="16">
        <v>13.39</v>
      </c>
      <c r="G14" s="16">
        <v>0.12</v>
      </c>
      <c r="H14" s="16">
        <v>0.12</v>
      </c>
      <c r="I14" s="16">
        <v>2.02</v>
      </c>
      <c r="J14" s="16">
        <v>1.46</v>
      </c>
      <c r="K14" s="17" t="s">
        <v>4</v>
      </c>
      <c r="L14" s="18">
        <v>22.873254011141864</v>
      </c>
      <c r="M14" s="17" t="s">
        <v>4</v>
      </c>
      <c r="N14" s="18">
        <v>22.472772636829255</v>
      </c>
      <c r="O14" s="17" t="s">
        <v>4</v>
      </c>
      <c r="P14" s="18">
        <v>89.79</v>
      </c>
      <c r="Q14" s="17" t="s">
        <v>4</v>
      </c>
      <c r="R14" s="19">
        <v>1029</v>
      </c>
      <c r="S14" s="17" t="s">
        <v>4</v>
      </c>
      <c r="T14" s="19">
        <v>688</v>
      </c>
      <c r="U14" s="17" t="s">
        <v>4</v>
      </c>
      <c r="V14" s="19">
        <v>1034</v>
      </c>
      <c r="W14" s="20" t="s">
        <v>4</v>
      </c>
      <c r="X14" s="21"/>
      <c r="Y14" s="21"/>
      <c r="Z14" s="21"/>
    </row>
    <row r="15" spans="1:26" ht="11.25">
      <c r="A15" s="15" t="s">
        <v>34</v>
      </c>
      <c r="B15" s="16">
        <v>0.15</v>
      </c>
      <c r="C15" s="16">
        <v>3.18</v>
      </c>
      <c r="D15" s="16">
        <v>0.27</v>
      </c>
      <c r="E15" s="16">
        <v>1.87</v>
      </c>
      <c r="F15" s="16">
        <v>12.69</v>
      </c>
      <c r="G15" s="16">
        <v>0.11</v>
      </c>
      <c r="H15" s="16">
        <v>0.11</v>
      </c>
      <c r="I15" s="16">
        <v>1.92</v>
      </c>
      <c r="J15" s="16">
        <v>1.38</v>
      </c>
      <c r="K15" s="17" t="s">
        <v>4</v>
      </c>
      <c r="L15" s="18">
        <v>21.689711058934304</v>
      </c>
      <c r="M15" s="17" t="s">
        <v>4</v>
      </c>
      <c r="N15" s="18">
        <v>27.58936330703509</v>
      </c>
      <c r="O15" s="17" t="s">
        <v>4</v>
      </c>
      <c r="P15" s="18">
        <v>29.21</v>
      </c>
      <c r="Q15" s="17" t="s">
        <v>4</v>
      </c>
      <c r="R15" s="19">
        <v>353</v>
      </c>
      <c r="S15" s="17" t="s">
        <v>4</v>
      </c>
      <c r="T15" s="19">
        <v>267</v>
      </c>
      <c r="U15" s="17" t="s">
        <v>4</v>
      </c>
      <c r="V15" s="19">
        <v>355</v>
      </c>
      <c r="W15" s="20" t="s">
        <v>4</v>
      </c>
      <c r="X15" s="21"/>
      <c r="Y15" s="21"/>
      <c r="Z15" s="21"/>
    </row>
    <row r="16" spans="1:26" ht="11.25">
      <c r="A16" s="15" t="s">
        <v>35</v>
      </c>
      <c r="B16" s="16">
        <v>1.22</v>
      </c>
      <c r="C16" s="16">
        <v>25.29</v>
      </c>
      <c r="D16" s="16">
        <v>2.16</v>
      </c>
      <c r="E16" s="16">
        <v>14.85</v>
      </c>
      <c r="F16" s="16">
        <v>100.96</v>
      </c>
      <c r="G16" s="16">
        <v>0.9</v>
      </c>
      <c r="H16" s="16">
        <v>0.9</v>
      </c>
      <c r="I16" s="16">
        <v>15.25</v>
      </c>
      <c r="J16" s="16">
        <v>11.01</v>
      </c>
      <c r="K16" s="17" t="s">
        <v>4</v>
      </c>
      <c r="L16" s="22">
        <v>172.52</v>
      </c>
      <c r="M16" s="17" t="s">
        <v>4</v>
      </c>
      <c r="N16" s="22">
        <v>52.3</v>
      </c>
      <c r="O16" s="17" t="s">
        <v>4</v>
      </c>
      <c r="P16" s="22">
        <v>224.6</v>
      </c>
      <c r="Q16" s="17" t="s">
        <v>4</v>
      </c>
      <c r="R16" s="19">
        <v>4332</v>
      </c>
      <c r="S16" s="17" t="s">
        <v>4</v>
      </c>
      <c r="T16" s="19">
        <v>2714</v>
      </c>
      <c r="U16" s="17" t="s">
        <v>4</v>
      </c>
      <c r="V16" s="19">
        <v>4370</v>
      </c>
      <c r="W16" s="20" t="s">
        <v>4</v>
      </c>
      <c r="X16" s="21"/>
      <c r="Y16" s="21"/>
      <c r="Z16" s="21"/>
    </row>
    <row r="17" spans="1:26" ht="11.25">
      <c r="A17" s="15" t="s">
        <v>36</v>
      </c>
      <c r="B17" s="16">
        <v>0.22</v>
      </c>
      <c r="C17" s="16">
        <v>4.46</v>
      </c>
      <c r="D17" s="16">
        <v>0.38</v>
      </c>
      <c r="E17" s="16">
        <v>2.62</v>
      </c>
      <c r="F17" s="16">
        <v>17.8</v>
      </c>
      <c r="G17" s="16">
        <v>0.16</v>
      </c>
      <c r="H17" s="16">
        <v>0.16</v>
      </c>
      <c r="I17" s="16">
        <v>2.69</v>
      </c>
      <c r="J17" s="16">
        <v>1.94</v>
      </c>
      <c r="K17" s="17" t="s">
        <v>4</v>
      </c>
      <c r="L17" s="18">
        <v>30.424772630118394</v>
      </c>
      <c r="M17" s="17" t="s">
        <v>4</v>
      </c>
      <c r="N17" s="18">
        <v>35.546324061660066</v>
      </c>
      <c r="O17" s="17" t="s">
        <v>4</v>
      </c>
      <c r="P17" s="18">
        <v>36.87</v>
      </c>
      <c r="Q17" s="17" t="s">
        <v>4</v>
      </c>
      <c r="R17" s="19">
        <v>615</v>
      </c>
      <c r="S17" s="17" t="s">
        <v>4</v>
      </c>
      <c r="T17" s="19">
        <v>479</v>
      </c>
      <c r="U17" s="17" t="s">
        <v>4</v>
      </c>
      <c r="V17" s="19">
        <v>618</v>
      </c>
      <c r="W17" s="20" t="s">
        <v>4</v>
      </c>
      <c r="X17" s="21"/>
      <c r="Y17" s="21"/>
      <c r="Z17" s="21"/>
    </row>
    <row r="18" spans="1:26" ht="11.25">
      <c r="A18" s="15" t="s">
        <v>37</v>
      </c>
      <c r="B18" s="16">
        <v>0.93</v>
      </c>
      <c r="C18" s="16">
        <v>19.16</v>
      </c>
      <c r="D18" s="16">
        <v>1.63</v>
      </c>
      <c r="E18" s="16">
        <v>11.26</v>
      </c>
      <c r="F18" s="16">
        <v>76.5</v>
      </c>
      <c r="G18" s="16">
        <v>0.68</v>
      </c>
      <c r="H18" s="16">
        <v>0.68</v>
      </c>
      <c r="I18" s="16">
        <v>11.56</v>
      </c>
      <c r="J18" s="16">
        <v>8.34</v>
      </c>
      <c r="K18" s="17" t="s">
        <v>4</v>
      </c>
      <c r="L18" s="18">
        <v>130.72360553105628</v>
      </c>
      <c r="M18" s="17" t="s">
        <v>4</v>
      </c>
      <c r="N18" s="18">
        <v>64.68096643016672</v>
      </c>
      <c r="O18" s="17" t="s">
        <v>4</v>
      </c>
      <c r="P18" s="18">
        <v>335.4</v>
      </c>
      <c r="Q18" s="17" t="s">
        <v>4</v>
      </c>
      <c r="R18" s="19">
        <v>4836</v>
      </c>
      <c r="S18" s="17" t="s">
        <v>4</v>
      </c>
      <c r="T18" s="19">
        <v>2501</v>
      </c>
      <c r="U18" s="17" t="s">
        <v>4</v>
      </c>
      <c r="V18" s="19">
        <v>4849</v>
      </c>
      <c r="W18" s="20" t="s">
        <v>4</v>
      </c>
      <c r="X18" s="21"/>
      <c r="Y18" s="21"/>
      <c r="Z18" s="21"/>
    </row>
    <row r="19" spans="1:26" ht="11.25">
      <c r="A19" s="15" t="s">
        <v>38</v>
      </c>
      <c r="B19" s="16">
        <v>0.32</v>
      </c>
      <c r="C19" s="16">
        <v>6.66</v>
      </c>
      <c r="D19" s="16">
        <v>0.57</v>
      </c>
      <c r="E19" s="16">
        <v>3.91</v>
      </c>
      <c r="F19" s="16">
        <v>26.57</v>
      </c>
      <c r="G19" s="16">
        <v>0.24</v>
      </c>
      <c r="H19" s="16">
        <v>0.24</v>
      </c>
      <c r="I19" s="16">
        <v>4.01</v>
      </c>
      <c r="J19" s="16">
        <v>2.9</v>
      </c>
      <c r="K19" s="17" t="s">
        <v>4</v>
      </c>
      <c r="L19" s="22">
        <v>45.4</v>
      </c>
      <c r="M19" s="17" t="s">
        <v>4</v>
      </c>
      <c r="N19" s="22">
        <v>5.47</v>
      </c>
      <c r="O19" s="17" t="s">
        <v>4</v>
      </c>
      <c r="P19" s="22">
        <v>91.54</v>
      </c>
      <c r="Q19" s="17" t="s">
        <v>4</v>
      </c>
      <c r="R19" s="19">
        <v>2144</v>
      </c>
      <c r="S19" s="17" t="s">
        <v>4</v>
      </c>
      <c r="T19" s="19">
        <v>652</v>
      </c>
      <c r="U19" s="17" t="s">
        <v>4</v>
      </c>
      <c r="V19" s="19">
        <v>2183</v>
      </c>
      <c r="W19" s="20" t="s">
        <v>4</v>
      </c>
      <c r="X19" s="21"/>
      <c r="Y19" s="21"/>
      <c r="Z19" s="21"/>
    </row>
    <row r="20" spans="1:26" ht="11.25">
      <c r="A20" s="15" t="s">
        <v>39</v>
      </c>
      <c r="B20" s="16">
        <v>2.67</v>
      </c>
      <c r="C20" s="16">
        <v>55.08</v>
      </c>
      <c r="D20" s="16">
        <v>4.7</v>
      </c>
      <c r="E20" s="16">
        <v>32.35</v>
      </c>
      <c r="F20" s="16">
        <v>219.88</v>
      </c>
      <c r="G20" s="16">
        <v>1.95</v>
      </c>
      <c r="H20" s="16">
        <v>1.95</v>
      </c>
      <c r="I20" s="16">
        <v>33.22</v>
      </c>
      <c r="J20" s="16">
        <v>23.97</v>
      </c>
      <c r="K20" s="17" t="s">
        <v>4</v>
      </c>
      <c r="L20" s="18">
        <v>375.73629353398223</v>
      </c>
      <c r="M20" s="17" t="s">
        <v>4</v>
      </c>
      <c r="N20" s="18">
        <v>233.297893099692</v>
      </c>
      <c r="O20" s="17" t="s">
        <v>4</v>
      </c>
      <c r="P20" s="18">
        <v>437.82</v>
      </c>
      <c r="Q20" s="17" t="s">
        <v>4</v>
      </c>
      <c r="R20" s="19">
        <v>5725</v>
      </c>
      <c r="S20" s="17" t="s">
        <v>4</v>
      </c>
      <c r="T20" s="19">
        <v>5725</v>
      </c>
      <c r="U20" s="17" t="s">
        <v>4</v>
      </c>
      <c r="V20" s="19">
        <v>6395</v>
      </c>
      <c r="W20" s="20" t="s">
        <v>4</v>
      </c>
      <c r="X20" s="21"/>
      <c r="Y20" s="21"/>
      <c r="Z20" s="21"/>
    </row>
    <row r="21" spans="1:26" ht="11.25">
      <c r="A21" s="15" t="s">
        <v>40</v>
      </c>
      <c r="B21" s="16">
        <v>2.94</v>
      </c>
      <c r="C21" s="16">
        <v>60.74</v>
      </c>
      <c r="D21" s="16">
        <v>5.18</v>
      </c>
      <c r="E21" s="16">
        <v>35.67</v>
      </c>
      <c r="F21" s="16">
        <v>242.47</v>
      </c>
      <c r="G21" s="16">
        <v>2.15</v>
      </c>
      <c r="H21" s="16">
        <v>2.15</v>
      </c>
      <c r="I21" s="16">
        <v>36.63</v>
      </c>
      <c r="J21" s="16">
        <v>26.43</v>
      </c>
      <c r="K21" s="17" t="s">
        <v>4</v>
      </c>
      <c r="L21" s="22">
        <v>414.34</v>
      </c>
      <c r="M21" s="17" t="s">
        <v>4</v>
      </c>
      <c r="N21" s="22">
        <v>141.54</v>
      </c>
      <c r="O21" s="17" t="s">
        <v>4</v>
      </c>
      <c r="P21" s="22">
        <v>695.65</v>
      </c>
      <c r="Q21" s="17" t="s">
        <v>4</v>
      </c>
      <c r="R21" s="19">
        <v>10305</v>
      </c>
      <c r="S21" s="17" t="s">
        <v>4</v>
      </c>
      <c r="T21" s="19">
        <v>5705</v>
      </c>
      <c r="U21" s="17" t="s">
        <v>4</v>
      </c>
      <c r="V21" s="19">
        <v>10317</v>
      </c>
      <c r="W21" s="20" t="s">
        <v>4</v>
      </c>
      <c r="X21" s="21"/>
      <c r="Y21" s="21"/>
      <c r="Z21" s="21"/>
    </row>
    <row r="22" spans="1:26" ht="11.25">
      <c r="A22" s="15" t="s">
        <v>41</v>
      </c>
      <c r="B22" s="16">
        <v>0.45</v>
      </c>
      <c r="C22" s="16">
        <v>9.23</v>
      </c>
      <c r="D22" s="16">
        <v>0.79</v>
      </c>
      <c r="E22" s="16">
        <v>5.42</v>
      </c>
      <c r="F22" s="16">
        <v>36.85</v>
      </c>
      <c r="G22" s="16">
        <v>0.33</v>
      </c>
      <c r="H22" s="16">
        <v>0.33</v>
      </c>
      <c r="I22" s="16">
        <v>5.57</v>
      </c>
      <c r="J22" s="16">
        <v>4.02</v>
      </c>
      <c r="K22" s="17" t="s">
        <v>4</v>
      </c>
      <c r="L22" s="22">
        <v>62.97</v>
      </c>
      <c r="M22" s="17" t="s">
        <v>4</v>
      </c>
      <c r="N22" s="22">
        <v>2.82</v>
      </c>
      <c r="O22" s="17" t="s">
        <v>4</v>
      </c>
      <c r="P22" s="22">
        <v>133.02</v>
      </c>
      <c r="Q22" s="17" t="s">
        <v>4</v>
      </c>
      <c r="R22" s="19">
        <v>1072</v>
      </c>
      <c r="S22" s="17" t="s">
        <v>4</v>
      </c>
      <c r="T22" s="19">
        <v>492</v>
      </c>
      <c r="U22" s="17" t="s">
        <v>4</v>
      </c>
      <c r="V22" s="19">
        <v>1104</v>
      </c>
      <c r="W22" s="20" t="s">
        <v>4</v>
      </c>
      <c r="X22" s="21"/>
      <c r="Y22" s="21"/>
      <c r="Z22" s="21"/>
    </row>
    <row r="23" spans="1:26" ht="11.2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22"/>
      <c r="M23" s="17"/>
      <c r="N23" s="22"/>
      <c r="O23" s="17"/>
      <c r="P23" s="22"/>
      <c r="Q23" s="17"/>
      <c r="R23" s="19"/>
      <c r="S23" s="17"/>
      <c r="T23" s="23"/>
      <c r="U23" s="17"/>
      <c r="V23" s="23"/>
      <c r="W23" s="20"/>
      <c r="X23" s="21"/>
      <c r="Y23" s="21"/>
      <c r="Z23" s="21"/>
    </row>
    <row r="24" spans="1:26" ht="11.25">
      <c r="A24" s="3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>
        <v>3447.5076769694674</v>
      </c>
      <c r="M24" s="25"/>
      <c r="N24" s="25">
        <v>1875.1079797228808</v>
      </c>
      <c r="O24" s="25"/>
      <c r="P24" s="25">
        <v>4616.39</v>
      </c>
      <c r="Q24" s="25"/>
      <c r="R24" s="2">
        <v>70584</v>
      </c>
      <c r="S24" s="4"/>
      <c r="T24" s="2">
        <v>51752</v>
      </c>
      <c r="U24" s="4"/>
      <c r="V24" s="2">
        <v>71696</v>
      </c>
      <c r="W24" s="3"/>
      <c r="X24" s="3"/>
      <c r="Y24" s="3"/>
      <c r="Z24" s="3"/>
    </row>
    <row r="25" spans="1:26" ht="11.25">
      <c r="A25" s="3"/>
      <c r="B25" s="24"/>
      <c r="C25" s="24"/>
      <c r="D25" s="24"/>
      <c r="E25" s="24"/>
      <c r="F25" s="26"/>
      <c r="G25" s="26"/>
      <c r="H25" s="26"/>
      <c r="I25" s="26"/>
      <c r="J25" s="26"/>
      <c r="K25" s="27" t="s">
        <v>4</v>
      </c>
      <c r="L25" s="28" t="s">
        <v>5</v>
      </c>
      <c r="M25" s="24"/>
      <c r="N25" s="24"/>
      <c r="O25" s="24"/>
      <c r="P25" s="24"/>
      <c r="Q25" s="6" t="s">
        <v>4</v>
      </c>
      <c r="R25" s="7" t="s">
        <v>10</v>
      </c>
      <c r="S25" s="3"/>
      <c r="T25" s="3"/>
      <c r="U25" s="3"/>
      <c r="V25" s="3"/>
      <c r="W25" s="3"/>
      <c r="X25" s="7" t="s">
        <v>10</v>
      </c>
      <c r="Y25" s="3"/>
      <c r="Z25" s="3"/>
    </row>
    <row r="26" spans="1:26" ht="11.25">
      <c r="A26" s="7" t="s">
        <v>43</v>
      </c>
      <c r="B26" s="24"/>
      <c r="C26" s="24"/>
      <c r="D26" s="24"/>
      <c r="E26" s="24"/>
      <c r="F26" s="24"/>
      <c r="G26" s="24"/>
      <c r="H26" s="24"/>
      <c r="I26" s="24"/>
      <c r="J26" s="24"/>
      <c r="K26" s="27" t="s">
        <v>4</v>
      </c>
      <c r="L26" s="28" t="s">
        <v>44</v>
      </c>
      <c r="M26" s="24"/>
      <c r="N26" s="24"/>
      <c r="O26" s="24"/>
      <c r="P26" s="28" t="s">
        <v>5</v>
      </c>
      <c r="Q26" s="6" t="s">
        <v>4</v>
      </c>
      <c r="R26" s="7" t="s">
        <v>45</v>
      </c>
      <c r="S26" s="3"/>
      <c r="T26" s="3"/>
      <c r="U26" s="6" t="s">
        <v>4</v>
      </c>
      <c r="V26" s="7"/>
      <c r="W26" s="6" t="s">
        <v>4</v>
      </c>
      <c r="X26" s="7" t="s">
        <v>46</v>
      </c>
      <c r="Y26" s="3"/>
      <c r="Z26" s="3"/>
    </row>
    <row r="27" spans="1:26" ht="11.25">
      <c r="A27" s="5" t="s">
        <v>12</v>
      </c>
      <c r="B27" s="29" t="s">
        <v>13</v>
      </c>
      <c r="C27" s="29" t="s">
        <v>14</v>
      </c>
      <c r="D27" s="29" t="s">
        <v>15</v>
      </c>
      <c r="E27" s="29" t="s">
        <v>16</v>
      </c>
      <c r="F27" s="29" t="s">
        <v>17</v>
      </c>
      <c r="G27" s="29" t="s">
        <v>18</v>
      </c>
      <c r="H27" s="29" t="s">
        <v>19</v>
      </c>
      <c r="I27" s="29" t="s">
        <v>21</v>
      </c>
      <c r="J27" s="29" t="s">
        <v>47</v>
      </c>
      <c r="K27" s="27" t="s">
        <v>4</v>
      </c>
      <c r="L27" s="28" t="s">
        <v>22</v>
      </c>
      <c r="M27" s="27" t="s">
        <v>4</v>
      </c>
      <c r="N27" s="28" t="s">
        <v>23</v>
      </c>
      <c r="O27" s="27" t="s">
        <v>4</v>
      </c>
      <c r="P27" s="28" t="s">
        <v>24</v>
      </c>
      <c r="Q27" s="6" t="s">
        <v>4</v>
      </c>
      <c r="R27" s="5"/>
      <c r="S27" s="6" t="s">
        <v>4</v>
      </c>
      <c r="T27" s="5"/>
      <c r="U27" s="6" t="s">
        <v>4</v>
      </c>
      <c r="V27" s="5"/>
      <c r="W27" s="6" t="s">
        <v>4</v>
      </c>
      <c r="X27" s="5"/>
      <c r="Y27" s="6" t="s">
        <v>4</v>
      </c>
      <c r="Z27" s="5"/>
    </row>
    <row r="28" spans="1:26" ht="11.25">
      <c r="A28" s="13" t="s">
        <v>26</v>
      </c>
      <c r="B28" s="30" t="s">
        <v>26</v>
      </c>
      <c r="C28" s="30" t="s">
        <v>26</v>
      </c>
      <c r="D28" s="30" t="s">
        <v>26</v>
      </c>
      <c r="E28" s="30" t="s">
        <v>26</v>
      </c>
      <c r="F28" s="30" t="s">
        <v>26</v>
      </c>
      <c r="G28" s="30" t="s">
        <v>26</v>
      </c>
      <c r="H28" s="30" t="s">
        <v>26</v>
      </c>
      <c r="I28" s="30" t="s">
        <v>26</v>
      </c>
      <c r="J28" s="30" t="s">
        <v>26</v>
      </c>
      <c r="K28" s="30" t="s">
        <v>26</v>
      </c>
      <c r="L28" s="30" t="s">
        <v>26</v>
      </c>
      <c r="M28" s="30" t="s">
        <v>26</v>
      </c>
      <c r="N28" s="30" t="s">
        <v>26</v>
      </c>
      <c r="O28" s="30" t="s">
        <v>26</v>
      </c>
      <c r="P28" s="30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  <c r="Y28" s="13" t="s">
        <v>26</v>
      </c>
      <c r="Z28" s="13" t="s">
        <v>26</v>
      </c>
    </row>
    <row r="29" spans="1:26" ht="11.25">
      <c r="A29" s="31" t="s">
        <v>31</v>
      </c>
      <c r="B29" s="32">
        <v>1.41</v>
      </c>
      <c r="C29" s="32">
        <v>29.02</v>
      </c>
      <c r="D29" s="32">
        <v>2.47</v>
      </c>
      <c r="E29" s="32">
        <v>17.04</v>
      </c>
      <c r="F29" s="32">
        <v>115.82</v>
      </c>
      <c r="G29" s="32">
        <v>1.03</v>
      </c>
      <c r="H29" s="32">
        <v>1.03</v>
      </c>
      <c r="I29" s="32">
        <v>17.5</v>
      </c>
      <c r="J29" s="16"/>
      <c r="K29" s="17" t="s">
        <v>4</v>
      </c>
      <c r="L29" s="22">
        <v>197.92</v>
      </c>
      <c r="M29" s="17" t="s">
        <v>4</v>
      </c>
      <c r="N29" s="22"/>
      <c r="O29" s="17" t="s">
        <v>4</v>
      </c>
      <c r="P29" s="22"/>
      <c r="Q29" s="20" t="s">
        <v>4</v>
      </c>
      <c r="R29" s="33"/>
      <c r="S29" s="20" t="s">
        <v>4</v>
      </c>
      <c r="T29" s="21"/>
      <c r="U29" s="20" t="s">
        <v>4</v>
      </c>
      <c r="V29" s="21"/>
      <c r="W29" s="20" t="s">
        <v>4</v>
      </c>
      <c r="X29" s="21"/>
      <c r="Y29" s="20" t="s">
        <v>4</v>
      </c>
      <c r="Z29" s="21"/>
    </row>
    <row r="30" spans="1:26" ht="11.25">
      <c r="A30" s="31" t="s">
        <v>48</v>
      </c>
      <c r="B30" s="32">
        <v>0.03</v>
      </c>
      <c r="C30" s="32">
        <v>0.6</v>
      </c>
      <c r="D30" s="32">
        <v>0.05</v>
      </c>
      <c r="E30" s="32">
        <v>0.36</v>
      </c>
      <c r="F30" s="32">
        <v>2.41</v>
      </c>
      <c r="G30" s="32">
        <v>0.02</v>
      </c>
      <c r="H30" s="32">
        <v>0.02</v>
      </c>
      <c r="I30" s="32">
        <v>0.36</v>
      </c>
      <c r="J30" s="16"/>
      <c r="K30" s="17" t="s">
        <v>4</v>
      </c>
      <c r="L30" s="22">
        <v>4.125</v>
      </c>
      <c r="M30" s="17" t="s">
        <v>4</v>
      </c>
      <c r="N30" s="22"/>
      <c r="O30" s="17" t="s">
        <v>4</v>
      </c>
      <c r="P30" s="22"/>
      <c r="Q30" s="20" t="s">
        <v>4</v>
      </c>
      <c r="R30" s="21"/>
      <c r="S30" s="20" t="s">
        <v>4</v>
      </c>
      <c r="T30" s="21"/>
      <c r="U30" s="20" t="s">
        <v>4</v>
      </c>
      <c r="V30" s="21"/>
      <c r="W30" s="20" t="s">
        <v>4</v>
      </c>
      <c r="X30" s="21"/>
      <c r="Y30" s="20" t="s">
        <v>4</v>
      </c>
      <c r="Z30" s="21"/>
    </row>
    <row r="31" spans="1:26" ht="11.25">
      <c r="A31" s="31" t="s">
        <v>49</v>
      </c>
      <c r="B31" s="32">
        <v>0.07</v>
      </c>
      <c r="C31" s="32">
        <v>1.5</v>
      </c>
      <c r="D31" s="32">
        <v>0.13</v>
      </c>
      <c r="E31" s="32">
        <v>0.88</v>
      </c>
      <c r="F31" s="32">
        <v>5.98</v>
      </c>
      <c r="G31" s="32">
        <v>0.05</v>
      </c>
      <c r="H31" s="32">
        <v>0.05</v>
      </c>
      <c r="I31" s="32">
        <v>0.9</v>
      </c>
      <c r="J31" s="16"/>
      <c r="K31" s="17" t="s">
        <v>4</v>
      </c>
      <c r="L31" s="22">
        <v>10.225</v>
      </c>
      <c r="M31" s="17" t="s">
        <v>4</v>
      </c>
      <c r="N31" s="22"/>
      <c r="O31" s="17" t="s">
        <v>4</v>
      </c>
      <c r="P31" s="22"/>
      <c r="Q31" s="20" t="s">
        <v>4</v>
      </c>
      <c r="R31" s="21"/>
      <c r="S31" s="20" t="s">
        <v>4</v>
      </c>
      <c r="T31" s="21"/>
      <c r="U31" s="20" t="s">
        <v>4</v>
      </c>
      <c r="V31" s="21"/>
      <c r="W31" s="20" t="s">
        <v>4</v>
      </c>
      <c r="X31" s="21"/>
      <c r="Y31" s="20" t="s">
        <v>4</v>
      </c>
      <c r="Z31" s="21"/>
    </row>
    <row r="32" spans="1:26" ht="11.25">
      <c r="A32" s="31" t="s">
        <v>50</v>
      </c>
      <c r="B32" s="32">
        <v>0</v>
      </c>
      <c r="C32" s="32">
        <v>0.1</v>
      </c>
      <c r="D32" s="32">
        <v>0.01</v>
      </c>
      <c r="E32" s="32">
        <v>0.06</v>
      </c>
      <c r="F32" s="32">
        <v>0.38</v>
      </c>
      <c r="G32" s="32">
        <v>0</v>
      </c>
      <c r="H32" s="32">
        <v>0</v>
      </c>
      <c r="I32" s="32">
        <v>0.06</v>
      </c>
      <c r="J32" s="16"/>
      <c r="K32" s="17" t="s">
        <v>4</v>
      </c>
      <c r="L32" s="22">
        <v>0.65</v>
      </c>
      <c r="M32" s="17" t="s">
        <v>4</v>
      </c>
      <c r="N32" s="22"/>
      <c r="O32" s="17" t="s">
        <v>4</v>
      </c>
      <c r="P32" s="22"/>
      <c r="Q32" s="20" t="s">
        <v>4</v>
      </c>
      <c r="R32" s="21"/>
      <c r="S32" s="20" t="s">
        <v>4</v>
      </c>
      <c r="T32" s="21"/>
      <c r="U32" s="20" t="s">
        <v>4</v>
      </c>
      <c r="V32" s="21"/>
      <c r="W32" s="20" t="s">
        <v>4</v>
      </c>
      <c r="X32" s="21"/>
      <c r="Y32" s="20" t="s">
        <v>4</v>
      </c>
      <c r="Z32" s="21"/>
    </row>
    <row r="33" spans="1:26" ht="11.25">
      <c r="A33" s="31" t="s">
        <v>51</v>
      </c>
      <c r="B33" s="32">
        <v>0.44</v>
      </c>
      <c r="C33" s="32">
        <v>9.04</v>
      </c>
      <c r="D33" s="32">
        <v>0.77</v>
      </c>
      <c r="E33" s="32">
        <v>5.31</v>
      </c>
      <c r="F33" s="32">
        <v>36.07</v>
      </c>
      <c r="G33" s="32">
        <v>0.32</v>
      </c>
      <c r="H33" s="32">
        <v>0.32</v>
      </c>
      <c r="I33" s="32">
        <v>5.45</v>
      </c>
      <c r="J33" s="16"/>
      <c r="K33" s="17" t="s">
        <v>4</v>
      </c>
      <c r="L33" s="22">
        <v>61.64</v>
      </c>
      <c r="M33" s="17" t="s">
        <v>4</v>
      </c>
      <c r="N33" s="22"/>
      <c r="O33" s="17" t="s">
        <v>4</v>
      </c>
      <c r="P33" s="22"/>
      <c r="Q33" s="20" t="s">
        <v>4</v>
      </c>
      <c r="R33" s="21"/>
      <c r="S33" s="20" t="s">
        <v>4</v>
      </c>
      <c r="T33" s="21"/>
      <c r="U33" s="20" t="s">
        <v>4</v>
      </c>
      <c r="V33" s="21"/>
      <c r="W33" s="20" t="s">
        <v>4</v>
      </c>
      <c r="X33" s="21"/>
      <c r="Y33" s="20" t="s">
        <v>4</v>
      </c>
      <c r="Z33" s="21"/>
    </row>
    <row r="34" spans="1:26" ht="11.25">
      <c r="A34" s="31" t="s">
        <v>52</v>
      </c>
      <c r="B34" s="32">
        <v>0.19</v>
      </c>
      <c r="C34" s="32">
        <v>3.93</v>
      </c>
      <c r="D34" s="32">
        <v>0.34</v>
      </c>
      <c r="E34" s="32">
        <v>2.31</v>
      </c>
      <c r="F34" s="32">
        <v>15.7</v>
      </c>
      <c r="G34" s="32">
        <v>0.14</v>
      </c>
      <c r="H34" s="32">
        <v>0.14</v>
      </c>
      <c r="I34" s="32">
        <v>2.37</v>
      </c>
      <c r="J34" s="16"/>
      <c r="K34" s="17" t="s">
        <v>4</v>
      </c>
      <c r="L34" s="22">
        <v>26.83</v>
      </c>
      <c r="M34" s="17" t="s">
        <v>4</v>
      </c>
      <c r="N34" s="22"/>
      <c r="O34" s="17" t="s">
        <v>4</v>
      </c>
      <c r="P34" s="22"/>
      <c r="Q34" s="20" t="s">
        <v>4</v>
      </c>
      <c r="R34" s="21"/>
      <c r="S34" s="20" t="s">
        <v>4</v>
      </c>
      <c r="T34" s="21"/>
      <c r="U34" s="20" t="s">
        <v>4</v>
      </c>
      <c r="V34" s="21"/>
      <c r="W34" s="20" t="s">
        <v>4</v>
      </c>
      <c r="X34" s="21"/>
      <c r="Y34" s="20" t="s">
        <v>4</v>
      </c>
      <c r="Z34" s="21"/>
    </row>
    <row r="35" spans="1:26" ht="11.25">
      <c r="A35" s="31" t="s">
        <v>53</v>
      </c>
      <c r="B35" s="32" t="s">
        <v>5</v>
      </c>
      <c r="C35" s="32" t="s">
        <v>5</v>
      </c>
      <c r="D35" s="32" t="s">
        <v>5</v>
      </c>
      <c r="E35" s="32" t="s">
        <v>5</v>
      </c>
      <c r="F35" s="32" t="s">
        <v>5</v>
      </c>
      <c r="G35" s="32" t="s">
        <v>5</v>
      </c>
      <c r="H35" s="32" t="s">
        <v>5</v>
      </c>
      <c r="I35" s="32" t="s">
        <v>5</v>
      </c>
      <c r="J35" s="16"/>
      <c r="K35" s="17" t="s">
        <v>4</v>
      </c>
      <c r="L35" s="22">
        <v>0</v>
      </c>
      <c r="M35" s="17" t="s">
        <v>4</v>
      </c>
      <c r="N35" s="22"/>
      <c r="O35" s="17" t="s">
        <v>4</v>
      </c>
      <c r="P35" s="22"/>
      <c r="Q35" s="20" t="s">
        <v>4</v>
      </c>
      <c r="R35" s="21"/>
      <c r="S35" s="20" t="s">
        <v>4</v>
      </c>
      <c r="T35" s="21"/>
      <c r="U35" s="20" t="s">
        <v>4</v>
      </c>
      <c r="V35" s="21"/>
      <c r="W35" s="20" t="s">
        <v>4</v>
      </c>
      <c r="X35" s="21"/>
      <c r="Y35" s="20" t="s">
        <v>4</v>
      </c>
      <c r="Z35" s="21"/>
    </row>
    <row r="36" spans="1:26" ht="11.25">
      <c r="A36" s="31" t="s">
        <v>54</v>
      </c>
      <c r="B36" s="32">
        <v>0.02</v>
      </c>
      <c r="C36" s="32">
        <v>0.36</v>
      </c>
      <c r="D36" s="32">
        <v>0.03</v>
      </c>
      <c r="E36" s="32">
        <v>0.21</v>
      </c>
      <c r="F36" s="32">
        <v>1.45</v>
      </c>
      <c r="G36" s="32">
        <v>0.01</v>
      </c>
      <c r="H36" s="32">
        <v>0.01</v>
      </c>
      <c r="I36" s="32">
        <v>0.22</v>
      </c>
      <c r="J36" s="16"/>
      <c r="K36" s="17" t="s">
        <v>4</v>
      </c>
      <c r="L36" s="22">
        <v>2.48</v>
      </c>
      <c r="M36" s="17" t="s">
        <v>4</v>
      </c>
      <c r="N36" s="22"/>
      <c r="O36" s="17" t="s">
        <v>4</v>
      </c>
      <c r="P36" s="22"/>
      <c r="Q36" s="20" t="s">
        <v>4</v>
      </c>
      <c r="R36" s="21"/>
      <c r="S36" s="20" t="s">
        <v>4</v>
      </c>
      <c r="T36" s="21"/>
      <c r="U36" s="20" t="s">
        <v>4</v>
      </c>
      <c r="V36" s="21"/>
      <c r="W36" s="20" t="s">
        <v>4</v>
      </c>
      <c r="X36" s="21"/>
      <c r="Y36" s="20" t="s">
        <v>4</v>
      </c>
      <c r="Z36" s="21"/>
    </row>
    <row r="37" spans="1:26" ht="11.25">
      <c r="A37" s="31" t="s">
        <v>55</v>
      </c>
      <c r="B37" s="32">
        <v>0.17</v>
      </c>
      <c r="C37" s="32">
        <v>3.44</v>
      </c>
      <c r="D37" s="32">
        <v>0.29</v>
      </c>
      <c r="E37" s="32">
        <v>2.02</v>
      </c>
      <c r="F37" s="32">
        <v>13.72</v>
      </c>
      <c r="G37" s="32">
        <v>0.12</v>
      </c>
      <c r="H37" s="32">
        <v>0.12</v>
      </c>
      <c r="I37" s="32">
        <v>2.07</v>
      </c>
      <c r="J37" s="16"/>
      <c r="K37" s="17" t="s">
        <v>4</v>
      </c>
      <c r="L37" s="22">
        <v>23.45</v>
      </c>
      <c r="M37" s="17" t="s">
        <v>4</v>
      </c>
      <c r="N37" s="22"/>
      <c r="O37" s="17" t="s">
        <v>4</v>
      </c>
      <c r="P37" s="18">
        <v>485.5</v>
      </c>
      <c r="Q37" s="20" t="s">
        <v>4</v>
      </c>
      <c r="R37" s="21"/>
      <c r="S37" s="20" t="s">
        <v>4</v>
      </c>
      <c r="T37" s="34"/>
      <c r="U37" s="20" t="s">
        <v>4</v>
      </c>
      <c r="V37" s="21"/>
      <c r="W37" s="20" t="s">
        <v>4</v>
      </c>
      <c r="X37" s="34"/>
      <c r="Y37" s="20" t="s">
        <v>4</v>
      </c>
      <c r="Z37" s="34"/>
    </row>
    <row r="38" spans="1:26" ht="11.25">
      <c r="A38" s="31"/>
      <c r="B38" s="35" t="s">
        <v>5</v>
      </c>
      <c r="C38" s="35" t="s">
        <v>5</v>
      </c>
      <c r="D38" s="35" t="s">
        <v>5</v>
      </c>
      <c r="E38" s="35" t="s">
        <v>5</v>
      </c>
      <c r="F38" s="35" t="s">
        <v>5</v>
      </c>
      <c r="G38" s="35" t="s">
        <v>5</v>
      </c>
      <c r="H38" s="35" t="s">
        <v>5</v>
      </c>
      <c r="I38" s="35" t="s">
        <v>5</v>
      </c>
      <c r="J38" s="35" t="s">
        <v>5</v>
      </c>
      <c r="K38" s="17" t="s">
        <v>4</v>
      </c>
      <c r="L38" s="22"/>
      <c r="M38" s="17" t="s">
        <v>4</v>
      </c>
      <c r="N38" s="22"/>
      <c r="O38" s="17" t="s">
        <v>4</v>
      </c>
      <c r="P38" s="22"/>
      <c r="Q38" s="20" t="s">
        <v>4</v>
      </c>
      <c r="R38" s="34"/>
      <c r="S38" s="20" t="s">
        <v>4</v>
      </c>
      <c r="T38" s="34"/>
      <c r="U38" s="20" t="s">
        <v>4</v>
      </c>
      <c r="V38" s="21"/>
      <c r="W38" s="20" t="s">
        <v>4</v>
      </c>
      <c r="X38" s="34"/>
      <c r="Y38" s="20" t="s">
        <v>4</v>
      </c>
      <c r="Z38" s="34"/>
    </row>
    <row r="39" spans="1:26" ht="11.25">
      <c r="A39" s="31"/>
      <c r="B39" s="35" t="s">
        <v>5</v>
      </c>
      <c r="C39" s="35" t="s">
        <v>5</v>
      </c>
      <c r="D39" s="35" t="s">
        <v>5</v>
      </c>
      <c r="E39" s="35" t="s">
        <v>5</v>
      </c>
      <c r="F39" s="35" t="s">
        <v>5</v>
      </c>
      <c r="G39" s="35" t="s">
        <v>5</v>
      </c>
      <c r="H39" s="35" t="s">
        <v>5</v>
      </c>
      <c r="I39" s="35" t="s">
        <v>5</v>
      </c>
      <c r="J39" s="35" t="s">
        <v>5</v>
      </c>
      <c r="K39" s="17" t="s">
        <v>4</v>
      </c>
      <c r="L39" s="22"/>
      <c r="M39" s="17" t="s">
        <v>4</v>
      </c>
      <c r="N39" s="22"/>
      <c r="O39" s="17" t="s">
        <v>4</v>
      </c>
      <c r="P39" s="22"/>
      <c r="Q39" s="20" t="s">
        <v>4</v>
      </c>
      <c r="R39" s="34"/>
      <c r="S39" s="20" t="s">
        <v>4</v>
      </c>
      <c r="T39" s="34"/>
      <c r="U39" s="20" t="s">
        <v>4</v>
      </c>
      <c r="V39" s="21"/>
      <c r="W39" s="20" t="s">
        <v>4</v>
      </c>
      <c r="X39" s="34"/>
      <c r="Y39" s="20" t="s">
        <v>4</v>
      </c>
      <c r="Z39" s="34"/>
    </row>
    <row r="40" spans="1:26" ht="11.25">
      <c r="A40" s="3"/>
      <c r="B40" s="35"/>
      <c r="C40" s="35"/>
      <c r="D40" s="35"/>
      <c r="E40" s="35"/>
      <c r="F40" s="35"/>
      <c r="G40" s="35"/>
      <c r="H40" s="35"/>
      <c r="I40" s="35"/>
      <c r="J40" s="35"/>
      <c r="K40" s="17" t="s">
        <v>4</v>
      </c>
      <c r="L40" s="18">
        <v>327.32</v>
      </c>
      <c r="M40" s="17" t="s">
        <v>4</v>
      </c>
      <c r="N40" s="24"/>
      <c r="O40" s="17" t="s">
        <v>4</v>
      </c>
      <c r="P40" s="18">
        <v>485.5</v>
      </c>
      <c r="Q40" s="20" t="s">
        <v>4</v>
      </c>
      <c r="R40" s="34"/>
      <c r="S40" s="20" t="s">
        <v>4</v>
      </c>
      <c r="T40" s="34"/>
      <c r="U40" s="20" t="s">
        <v>4</v>
      </c>
      <c r="V40" s="21"/>
      <c r="W40" s="20" t="s">
        <v>4</v>
      </c>
      <c r="X40" s="34"/>
      <c r="Y40" s="20" t="s">
        <v>4</v>
      </c>
      <c r="Z40" s="34"/>
    </row>
    <row r="41" spans="1:26" ht="11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1"/>
      <c r="R41" s="21"/>
      <c r="S41" s="31" t="s">
        <v>5</v>
      </c>
      <c r="T41" s="21"/>
      <c r="U41" s="21"/>
      <c r="V41" s="21"/>
      <c r="W41" s="21"/>
      <c r="X41" s="21"/>
      <c r="Y41" s="21"/>
      <c r="Z41" s="21"/>
    </row>
    <row r="42" spans="1:26" ht="11.25">
      <c r="A42" s="3"/>
      <c r="B42" s="26"/>
      <c r="C42" s="26"/>
      <c r="D42" s="26"/>
      <c r="E42" s="24"/>
      <c r="F42" s="26"/>
      <c r="G42" s="26"/>
      <c r="H42" s="26"/>
      <c r="I42" s="26"/>
      <c r="J42" s="24"/>
      <c r="K42" s="36" t="s">
        <v>4</v>
      </c>
      <c r="L42" s="28" t="s">
        <v>44</v>
      </c>
      <c r="M42" s="24"/>
      <c r="N42" s="24"/>
      <c r="O42" s="24"/>
      <c r="P42" s="24"/>
      <c r="Q42" s="37" t="s">
        <v>4</v>
      </c>
      <c r="R42" s="7" t="s">
        <v>56</v>
      </c>
      <c r="S42" s="3"/>
      <c r="T42" s="3"/>
      <c r="U42" s="37" t="s">
        <v>4</v>
      </c>
      <c r="V42" s="3"/>
      <c r="W42" s="21"/>
      <c r="X42" s="21"/>
      <c r="Y42" s="21"/>
      <c r="Z42" s="21"/>
    </row>
    <row r="43" spans="1:26" ht="11.25">
      <c r="A43" s="5" t="s">
        <v>57</v>
      </c>
      <c r="B43" s="29" t="s">
        <v>13</v>
      </c>
      <c r="C43" s="29" t="s">
        <v>14</v>
      </c>
      <c r="D43" s="29" t="s">
        <v>15</v>
      </c>
      <c r="E43" s="29" t="s">
        <v>16</v>
      </c>
      <c r="F43" s="29" t="s">
        <v>17</v>
      </c>
      <c r="G43" s="29" t="s">
        <v>18</v>
      </c>
      <c r="H43" s="29" t="s">
        <v>19</v>
      </c>
      <c r="I43" s="29" t="s">
        <v>21</v>
      </c>
      <c r="J43" s="29" t="s">
        <v>47</v>
      </c>
      <c r="K43" s="36" t="s">
        <v>4</v>
      </c>
      <c r="L43" s="28" t="s">
        <v>22</v>
      </c>
      <c r="M43" s="36" t="s">
        <v>4</v>
      </c>
      <c r="N43" s="28" t="s">
        <v>23</v>
      </c>
      <c r="O43" s="36" t="s">
        <v>4</v>
      </c>
      <c r="P43" s="28" t="s">
        <v>24</v>
      </c>
      <c r="Q43" s="37" t="s">
        <v>4</v>
      </c>
      <c r="R43" s="5" t="s">
        <v>22</v>
      </c>
      <c r="S43" s="37" t="s">
        <v>4</v>
      </c>
      <c r="T43" s="5" t="s">
        <v>23</v>
      </c>
      <c r="U43" s="37" t="s">
        <v>4</v>
      </c>
      <c r="V43" s="5" t="s">
        <v>24</v>
      </c>
      <c r="W43" s="21"/>
      <c r="X43" s="33"/>
      <c r="Y43" s="21"/>
      <c r="Z43" s="33"/>
    </row>
    <row r="44" spans="1:26" ht="11.25">
      <c r="A44" s="13" t="s">
        <v>26</v>
      </c>
      <c r="B44" s="30" t="s">
        <v>26</v>
      </c>
      <c r="C44" s="30" t="s">
        <v>26</v>
      </c>
      <c r="D44" s="30" t="s">
        <v>26</v>
      </c>
      <c r="E44" s="30" t="s">
        <v>26</v>
      </c>
      <c r="F44" s="30" t="s">
        <v>26</v>
      </c>
      <c r="G44" s="30" t="s">
        <v>26</v>
      </c>
      <c r="H44" s="30" t="s">
        <v>26</v>
      </c>
      <c r="I44" s="30" t="s">
        <v>26</v>
      </c>
      <c r="J44" s="30" t="s">
        <v>26</v>
      </c>
      <c r="K44" s="36" t="s">
        <v>4</v>
      </c>
      <c r="L44" s="30" t="s">
        <v>26</v>
      </c>
      <c r="M44" s="36" t="s">
        <v>4</v>
      </c>
      <c r="N44" s="30" t="s">
        <v>26</v>
      </c>
      <c r="O44" s="36" t="s">
        <v>4</v>
      </c>
      <c r="P44" s="30" t="s">
        <v>26</v>
      </c>
      <c r="Q44" s="37" t="s">
        <v>4</v>
      </c>
      <c r="R44" s="13" t="s">
        <v>26</v>
      </c>
      <c r="S44" s="37" t="s">
        <v>4</v>
      </c>
      <c r="T44" s="13" t="s">
        <v>26</v>
      </c>
      <c r="U44" s="37" t="s">
        <v>4</v>
      </c>
      <c r="V44" s="13" t="s">
        <v>26</v>
      </c>
      <c r="W44" s="21"/>
      <c r="X44" s="21"/>
      <c r="Y44" s="21"/>
      <c r="Z44" s="21"/>
    </row>
    <row r="45" spans="1:26" ht="11.25">
      <c r="A45" s="15" t="s">
        <v>27</v>
      </c>
      <c r="B45" s="32">
        <v>0.32</v>
      </c>
      <c r="C45" s="32">
        <v>6.66</v>
      </c>
      <c r="D45" s="32">
        <v>0.57</v>
      </c>
      <c r="E45" s="32">
        <v>3.91</v>
      </c>
      <c r="F45" s="32">
        <v>26.57</v>
      </c>
      <c r="G45" s="32">
        <v>0.24</v>
      </c>
      <c r="H45" s="32">
        <v>0.24</v>
      </c>
      <c r="I45" s="32">
        <v>4.01</v>
      </c>
      <c r="J45" s="32"/>
      <c r="K45" s="38" t="s">
        <v>4</v>
      </c>
      <c r="L45" s="22">
        <v>45.4</v>
      </c>
      <c r="M45" s="38" t="s">
        <v>4</v>
      </c>
      <c r="N45" s="22"/>
      <c r="O45" s="38" t="s">
        <v>4</v>
      </c>
      <c r="P45" s="18">
        <v>461.73</v>
      </c>
      <c r="Q45" s="39" t="s">
        <v>4</v>
      </c>
      <c r="R45" s="21"/>
      <c r="S45" s="39" t="s">
        <v>4</v>
      </c>
      <c r="T45" s="21"/>
      <c r="U45" s="39" t="s">
        <v>4</v>
      </c>
      <c r="V45" s="34">
        <v>247</v>
      </c>
      <c r="W45" s="21"/>
      <c r="X45" s="21"/>
      <c r="Y45" s="21"/>
      <c r="Z45" s="21"/>
    </row>
    <row r="46" spans="1:26" ht="11.25">
      <c r="A46" s="15" t="s">
        <v>28</v>
      </c>
      <c r="B46" s="32" t="s">
        <v>5</v>
      </c>
      <c r="C46" s="32" t="s">
        <v>5</v>
      </c>
      <c r="D46" s="32" t="s">
        <v>5</v>
      </c>
      <c r="E46" s="32" t="s">
        <v>5</v>
      </c>
      <c r="F46" s="32" t="s">
        <v>5</v>
      </c>
      <c r="G46" s="32" t="s">
        <v>5</v>
      </c>
      <c r="H46" s="32" t="s">
        <v>5</v>
      </c>
      <c r="I46" s="32" t="s">
        <v>5</v>
      </c>
      <c r="J46" s="32"/>
      <c r="K46" s="38" t="s">
        <v>4</v>
      </c>
      <c r="L46" s="22">
        <v>0</v>
      </c>
      <c r="M46" s="38" t="s">
        <v>4</v>
      </c>
      <c r="N46" s="22"/>
      <c r="O46" s="38" t="s">
        <v>4</v>
      </c>
      <c r="P46" s="18">
        <v>2.59</v>
      </c>
      <c r="Q46" s="39" t="s">
        <v>4</v>
      </c>
      <c r="R46" s="21"/>
      <c r="S46" s="39" t="s">
        <v>4</v>
      </c>
      <c r="T46" s="21"/>
      <c r="U46" s="39" t="s">
        <v>4</v>
      </c>
      <c r="V46" s="34">
        <v>4</v>
      </c>
      <c r="W46" s="21"/>
      <c r="X46" s="21"/>
      <c r="Y46" s="21"/>
      <c r="Z46" s="21"/>
    </row>
    <row r="47" spans="1:26" ht="11.25">
      <c r="A47" s="15" t="s">
        <v>29</v>
      </c>
      <c r="B47" s="32" t="s">
        <v>5</v>
      </c>
      <c r="C47" s="32" t="s">
        <v>5</v>
      </c>
      <c r="D47" s="32" t="s">
        <v>5</v>
      </c>
      <c r="E47" s="32" t="s">
        <v>5</v>
      </c>
      <c r="F47" s="32" t="s">
        <v>5</v>
      </c>
      <c r="G47" s="32" t="s">
        <v>5</v>
      </c>
      <c r="H47" s="32" t="s">
        <v>5</v>
      </c>
      <c r="I47" s="32" t="s">
        <v>5</v>
      </c>
      <c r="J47" s="32"/>
      <c r="K47" s="38" t="s">
        <v>4</v>
      </c>
      <c r="L47" s="22">
        <v>0</v>
      </c>
      <c r="M47" s="38" t="s">
        <v>4</v>
      </c>
      <c r="N47" s="22"/>
      <c r="O47" s="38" t="s">
        <v>4</v>
      </c>
      <c r="P47" s="18">
        <v>0.37</v>
      </c>
      <c r="Q47" s="39" t="s">
        <v>4</v>
      </c>
      <c r="R47" s="21"/>
      <c r="S47" s="39" t="s">
        <v>4</v>
      </c>
      <c r="T47" s="21"/>
      <c r="U47" s="39" t="s">
        <v>4</v>
      </c>
      <c r="V47" s="34">
        <v>1</v>
      </c>
      <c r="W47" s="21"/>
      <c r="X47" s="21"/>
      <c r="Y47" s="21"/>
      <c r="Z47" s="21"/>
    </row>
    <row r="48" spans="1:26" ht="11.25">
      <c r="A48" s="15" t="s">
        <v>30</v>
      </c>
      <c r="B48" s="32">
        <v>0.04</v>
      </c>
      <c r="C48" s="32">
        <v>0.89</v>
      </c>
      <c r="D48" s="32">
        <v>0.08</v>
      </c>
      <c r="E48" s="32">
        <v>0.52</v>
      </c>
      <c r="F48" s="32">
        <v>3.54</v>
      </c>
      <c r="G48" s="32">
        <v>0.03</v>
      </c>
      <c r="H48" s="32">
        <v>0.03</v>
      </c>
      <c r="I48" s="32">
        <v>0.53</v>
      </c>
      <c r="J48" s="32"/>
      <c r="K48" s="38" t="s">
        <v>4</v>
      </c>
      <c r="L48" s="22">
        <v>6.05</v>
      </c>
      <c r="M48" s="38" t="s">
        <v>4</v>
      </c>
      <c r="N48" s="22"/>
      <c r="O48" s="38" t="s">
        <v>4</v>
      </c>
      <c r="P48" s="18">
        <v>116.17</v>
      </c>
      <c r="Q48" s="39" t="s">
        <v>4</v>
      </c>
      <c r="R48" s="21"/>
      <c r="S48" s="39" t="s">
        <v>4</v>
      </c>
      <c r="T48" s="21"/>
      <c r="U48" s="39" t="s">
        <v>4</v>
      </c>
      <c r="V48" s="34">
        <v>83</v>
      </c>
      <c r="W48" s="21"/>
      <c r="X48" s="33"/>
      <c r="Y48" s="21"/>
      <c r="Z48" s="33"/>
    </row>
    <row r="49" spans="1:26" ht="11.25">
      <c r="A49" s="15" t="s">
        <v>31</v>
      </c>
      <c r="B49" s="32">
        <v>2.24</v>
      </c>
      <c r="C49" s="32">
        <v>46.33</v>
      </c>
      <c r="D49" s="32">
        <v>3.95</v>
      </c>
      <c r="E49" s="32">
        <v>27.21</v>
      </c>
      <c r="F49" s="32">
        <v>184.95</v>
      </c>
      <c r="G49" s="32">
        <v>1.64</v>
      </c>
      <c r="H49" s="32">
        <v>1.64</v>
      </c>
      <c r="I49" s="32">
        <v>27.94</v>
      </c>
      <c r="J49" s="32"/>
      <c r="K49" s="38" t="s">
        <v>4</v>
      </c>
      <c r="L49" s="22">
        <v>316.05</v>
      </c>
      <c r="M49" s="38" t="s">
        <v>4</v>
      </c>
      <c r="N49" s="22"/>
      <c r="O49" s="38" t="s">
        <v>4</v>
      </c>
      <c r="P49" s="18">
        <v>5751.67</v>
      </c>
      <c r="Q49" s="39" t="s">
        <v>4</v>
      </c>
      <c r="R49" s="21"/>
      <c r="S49" s="39" t="s">
        <v>4</v>
      </c>
      <c r="T49" s="21"/>
      <c r="U49" s="39" t="s">
        <v>4</v>
      </c>
      <c r="V49" s="34">
        <v>1977</v>
      </c>
      <c r="W49" s="21"/>
      <c r="X49" s="33"/>
      <c r="Y49" s="21"/>
      <c r="Z49" s="33"/>
    </row>
    <row r="50" spans="1:26" ht="11.25">
      <c r="A50" s="15" t="s">
        <v>32</v>
      </c>
      <c r="B50" s="32">
        <v>0.02</v>
      </c>
      <c r="C50" s="32">
        <v>0.46</v>
      </c>
      <c r="D50" s="32">
        <v>0.04</v>
      </c>
      <c r="E50" s="32">
        <v>0.27</v>
      </c>
      <c r="F50" s="32">
        <v>1.84</v>
      </c>
      <c r="G50" s="32">
        <v>0.02</v>
      </c>
      <c r="H50" s="32">
        <v>0.02</v>
      </c>
      <c r="I50" s="32">
        <v>0.28</v>
      </c>
      <c r="J50" s="32"/>
      <c r="K50" s="38" t="s">
        <v>4</v>
      </c>
      <c r="L50" s="22">
        <v>3.15</v>
      </c>
      <c r="M50" s="38" t="s">
        <v>4</v>
      </c>
      <c r="N50" s="22"/>
      <c r="O50" s="38" t="s">
        <v>4</v>
      </c>
      <c r="P50" s="18">
        <v>85.71</v>
      </c>
      <c r="Q50" s="39" t="s">
        <v>4</v>
      </c>
      <c r="R50" s="21"/>
      <c r="S50" s="39" t="s">
        <v>4</v>
      </c>
      <c r="T50" s="21"/>
      <c r="U50" s="39" t="s">
        <v>4</v>
      </c>
      <c r="V50" s="34">
        <v>16</v>
      </c>
      <c r="W50" s="21"/>
      <c r="X50" s="33"/>
      <c r="Y50" s="21"/>
      <c r="Z50" s="33"/>
    </row>
    <row r="51" spans="1:26" ht="11.25">
      <c r="A51" s="15" t="s">
        <v>33</v>
      </c>
      <c r="B51" s="32">
        <v>0.01</v>
      </c>
      <c r="C51" s="32">
        <v>0.27</v>
      </c>
      <c r="D51" s="32">
        <v>0.02</v>
      </c>
      <c r="E51" s="32">
        <v>0.16</v>
      </c>
      <c r="F51" s="32">
        <v>1.1</v>
      </c>
      <c r="G51" s="32">
        <v>0.01</v>
      </c>
      <c r="H51" s="32">
        <v>0.01</v>
      </c>
      <c r="I51" s="32">
        <v>0.17</v>
      </c>
      <c r="J51" s="32"/>
      <c r="K51" s="38" t="s">
        <v>4</v>
      </c>
      <c r="L51" s="22">
        <v>1.875</v>
      </c>
      <c r="M51" s="38" t="s">
        <v>4</v>
      </c>
      <c r="N51" s="22"/>
      <c r="O51" s="38" t="s">
        <v>4</v>
      </c>
      <c r="P51" s="18">
        <v>102.97</v>
      </c>
      <c r="Q51" s="39" t="s">
        <v>4</v>
      </c>
      <c r="R51" s="33"/>
      <c r="S51" s="39" t="s">
        <v>4</v>
      </c>
      <c r="T51" s="33"/>
      <c r="U51" s="39" t="s">
        <v>4</v>
      </c>
      <c r="V51" s="34">
        <v>23</v>
      </c>
      <c r="W51" s="21"/>
      <c r="X51" s="33"/>
      <c r="Y51" s="21"/>
      <c r="Z51" s="33"/>
    </row>
    <row r="52" spans="1:26" ht="11.25">
      <c r="A52" s="15" t="s">
        <v>34</v>
      </c>
      <c r="B52" s="32" t="s">
        <v>5</v>
      </c>
      <c r="C52" s="32" t="s">
        <v>5</v>
      </c>
      <c r="D52" s="32" t="s">
        <v>5</v>
      </c>
      <c r="E52" s="32" t="s">
        <v>5</v>
      </c>
      <c r="F52" s="32" t="s">
        <v>5</v>
      </c>
      <c r="G52" s="32" t="s">
        <v>5</v>
      </c>
      <c r="H52" s="32" t="s">
        <v>5</v>
      </c>
      <c r="I52" s="32" t="s">
        <v>5</v>
      </c>
      <c r="J52" s="32"/>
      <c r="K52" s="38" t="s">
        <v>4</v>
      </c>
      <c r="L52" s="22">
        <v>0</v>
      </c>
      <c r="M52" s="38" t="s">
        <v>4</v>
      </c>
      <c r="N52" s="22"/>
      <c r="O52" s="38" t="s">
        <v>4</v>
      </c>
      <c r="P52" s="18">
        <v>3.4</v>
      </c>
      <c r="Q52" s="39" t="s">
        <v>4</v>
      </c>
      <c r="R52" s="33"/>
      <c r="S52" s="39" t="s">
        <v>4</v>
      </c>
      <c r="T52" s="33"/>
      <c r="U52" s="39" t="s">
        <v>4</v>
      </c>
      <c r="V52" s="34">
        <v>8</v>
      </c>
      <c r="W52" s="21"/>
      <c r="X52" s="21"/>
      <c r="Y52" s="21"/>
      <c r="Z52" s="21"/>
    </row>
    <row r="53" spans="1:26" ht="11.25">
      <c r="A53" s="15" t="s">
        <v>35</v>
      </c>
      <c r="B53" s="32">
        <v>1.22</v>
      </c>
      <c r="C53" s="32">
        <v>25.2</v>
      </c>
      <c r="D53" s="32">
        <v>2.15</v>
      </c>
      <c r="E53" s="32">
        <v>14.8</v>
      </c>
      <c r="F53" s="32">
        <v>100.6</v>
      </c>
      <c r="G53" s="32">
        <v>0.89</v>
      </c>
      <c r="H53" s="32">
        <v>0.89</v>
      </c>
      <c r="I53" s="32">
        <v>15.2</v>
      </c>
      <c r="J53" s="32"/>
      <c r="K53" s="38" t="s">
        <v>4</v>
      </c>
      <c r="L53" s="22">
        <v>171.9</v>
      </c>
      <c r="M53" s="38" t="s">
        <v>4</v>
      </c>
      <c r="N53" s="22"/>
      <c r="O53" s="38" t="s">
        <v>4</v>
      </c>
      <c r="P53" s="18">
        <v>1427.55</v>
      </c>
      <c r="Q53" s="39" t="s">
        <v>4</v>
      </c>
      <c r="R53" s="33"/>
      <c r="S53" s="39" t="s">
        <v>4</v>
      </c>
      <c r="T53" s="33"/>
      <c r="U53" s="39" t="s">
        <v>4</v>
      </c>
      <c r="V53" s="34">
        <v>484</v>
      </c>
      <c r="W53" s="21"/>
      <c r="X53" s="21"/>
      <c r="Y53" s="21"/>
      <c r="Z53" s="21"/>
    </row>
    <row r="54" spans="1:26" ht="11.25">
      <c r="A54" s="15" t="s">
        <v>37</v>
      </c>
      <c r="B54" s="32">
        <v>0.15</v>
      </c>
      <c r="C54" s="32">
        <v>3.03</v>
      </c>
      <c r="D54" s="32">
        <v>0.26</v>
      </c>
      <c r="E54" s="32">
        <v>1.78</v>
      </c>
      <c r="F54" s="32">
        <v>12.11</v>
      </c>
      <c r="G54" s="32">
        <v>0.11</v>
      </c>
      <c r="H54" s="32">
        <v>0.11</v>
      </c>
      <c r="I54" s="32">
        <v>1.83</v>
      </c>
      <c r="J54" s="32"/>
      <c r="K54" s="38" t="s">
        <v>4</v>
      </c>
      <c r="L54" s="22">
        <v>20.7</v>
      </c>
      <c r="M54" s="38" t="s">
        <v>4</v>
      </c>
      <c r="N54" s="22"/>
      <c r="O54" s="38" t="s">
        <v>4</v>
      </c>
      <c r="P54" s="18">
        <v>230.66</v>
      </c>
      <c r="Q54" s="39" t="s">
        <v>4</v>
      </c>
      <c r="R54" s="33"/>
      <c r="S54" s="39" t="s">
        <v>4</v>
      </c>
      <c r="T54" s="33"/>
      <c r="U54" s="39" t="s">
        <v>4</v>
      </c>
      <c r="V54" s="34">
        <v>275</v>
      </c>
      <c r="W54" s="21"/>
      <c r="X54" s="21"/>
      <c r="Y54" s="21"/>
      <c r="Z54" s="21"/>
    </row>
    <row r="55" spans="1:26" ht="11.25">
      <c r="A55" s="15" t="s">
        <v>58</v>
      </c>
      <c r="B55" s="32">
        <v>0.06</v>
      </c>
      <c r="C55" s="32">
        <v>1.17</v>
      </c>
      <c r="D55" s="32">
        <v>0.1</v>
      </c>
      <c r="E55" s="32">
        <v>0.69</v>
      </c>
      <c r="F55" s="32">
        <v>4.67</v>
      </c>
      <c r="G55" s="32">
        <v>0.04</v>
      </c>
      <c r="H55" s="32">
        <v>0.04</v>
      </c>
      <c r="I55" s="32">
        <v>0.7</v>
      </c>
      <c r="J55" s="32"/>
      <c r="K55" s="38" t="s">
        <v>4</v>
      </c>
      <c r="L55" s="22">
        <v>7.975</v>
      </c>
      <c r="M55" s="38" t="s">
        <v>4</v>
      </c>
      <c r="N55" s="22"/>
      <c r="O55" s="38" t="s">
        <v>4</v>
      </c>
      <c r="P55" s="18">
        <v>0</v>
      </c>
      <c r="Q55" s="39" t="s">
        <v>4</v>
      </c>
      <c r="R55" s="33"/>
      <c r="S55" s="39" t="s">
        <v>4</v>
      </c>
      <c r="T55" s="33"/>
      <c r="U55" s="39" t="s">
        <v>4</v>
      </c>
      <c r="V55" s="34">
        <v>0</v>
      </c>
      <c r="W55" s="21"/>
      <c r="X55" s="21"/>
      <c r="Y55" s="21"/>
      <c r="Z55" s="21"/>
    </row>
    <row r="56" spans="1:26" ht="11.25">
      <c r="A56" s="15" t="s">
        <v>38</v>
      </c>
      <c r="B56" s="32">
        <v>0.14</v>
      </c>
      <c r="C56" s="32">
        <v>2.86</v>
      </c>
      <c r="D56" s="32">
        <v>0.24</v>
      </c>
      <c r="E56" s="32">
        <v>1.68</v>
      </c>
      <c r="F56" s="32">
        <v>11.4</v>
      </c>
      <c r="G56" s="32">
        <v>0.1</v>
      </c>
      <c r="H56" s="32">
        <v>0.1</v>
      </c>
      <c r="I56" s="32">
        <v>1.72</v>
      </c>
      <c r="J56" s="32"/>
      <c r="K56" s="38" t="s">
        <v>4</v>
      </c>
      <c r="L56" s="22">
        <v>19.48</v>
      </c>
      <c r="M56" s="38" t="s">
        <v>4</v>
      </c>
      <c r="N56" s="22"/>
      <c r="O56" s="38" t="s">
        <v>4</v>
      </c>
      <c r="P56" s="18">
        <v>147</v>
      </c>
      <c r="Q56" s="39" t="s">
        <v>4</v>
      </c>
      <c r="R56" s="33"/>
      <c r="S56" s="39" t="s">
        <v>4</v>
      </c>
      <c r="T56" s="33"/>
      <c r="U56" s="39" t="s">
        <v>4</v>
      </c>
      <c r="V56" s="21">
        <v>142</v>
      </c>
      <c r="W56" s="21"/>
      <c r="X56" s="21"/>
      <c r="Y56" s="21"/>
      <c r="Z56" s="21"/>
    </row>
    <row r="57" spans="1:26" ht="11.25">
      <c r="A57" s="15" t="s">
        <v>39</v>
      </c>
      <c r="B57" s="32">
        <v>0.16</v>
      </c>
      <c r="C57" s="32">
        <v>3.35</v>
      </c>
      <c r="D57" s="32">
        <v>0.29</v>
      </c>
      <c r="E57" s="32">
        <v>1.97</v>
      </c>
      <c r="F57" s="32">
        <v>13.36</v>
      </c>
      <c r="G57" s="32">
        <v>0.12</v>
      </c>
      <c r="H57" s="32">
        <v>0.12</v>
      </c>
      <c r="I57" s="32">
        <v>2.02</v>
      </c>
      <c r="J57" s="32"/>
      <c r="K57" s="38" t="s">
        <v>4</v>
      </c>
      <c r="L57" s="22">
        <v>22.825</v>
      </c>
      <c r="M57" s="38" t="s">
        <v>4</v>
      </c>
      <c r="N57" s="22"/>
      <c r="O57" s="38" t="s">
        <v>4</v>
      </c>
      <c r="P57" s="18">
        <v>472.03</v>
      </c>
      <c r="Q57" s="39" t="s">
        <v>4</v>
      </c>
      <c r="R57" s="33"/>
      <c r="S57" s="39" t="s">
        <v>4</v>
      </c>
      <c r="T57" s="33"/>
      <c r="U57" s="39" t="s">
        <v>4</v>
      </c>
      <c r="V57" s="34">
        <v>181</v>
      </c>
      <c r="W57" s="21"/>
      <c r="X57" s="21"/>
      <c r="Y57" s="21"/>
      <c r="Z57" s="21"/>
    </row>
    <row r="58" spans="1:26" ht="11.25">
      <c r="A58" s="15" t="s">
        <v>40</v>
      </c>
      <c r="B58" s="32">
        <v>0.25</v>
      </c>
      <c r="C58" s="32">
        <v>5.23</v>
      </c>
      <c r="D58" s="32">
        <v>0.45</v>
      </c>
      <c r="E58" s="32">
        <v>3.07</v>
      </c>
      <c r="F58" s="32">
        <v>20.87</v>
      </c>
      <c r="G58" s="32">
        <v>0.19</v>
      </c>
      <c r="H58" s="32">
        <v>0.19</v>
      </c>
      <c r="I58" s="32">
        <v>3.15</v>
      </c>
      <c r="J58" s="32"/>
      <c r="K58" s="38" t="s">
        <v>4</v>
      </c>
      <c r="L58" s="22">
        <v>35.67</v>
      </c>
      <c r="M58" s="38" t="s">
        <v>4</v>
      </c>
      <c r="N58" s="22"/>
      <c r="O58" s="38" t="s">
        <v>4</v>
      </c>
      <c r="P58" s="18">
        <v>416.56</v>
      </c>
      <c r="Q58" s="39" t="s">
        <v>4</v>
      </c>
      <c r="R58" s="33"/>
      <c r="S58" s="39" t="s">
        <v>4</v>
      </c>
      <c r="T58" s="33"/>
      <c r="U58" s="39" t="s">
        <v>4</v>
      </c>
      <c r="V58" s="34">
        <v>176</v>
      </c>
      <c r="W58" s="21"/>
      <c r="X58" s="21"/>
      <c r="Y58" s="21"/>
      <c r="Z58" s="21"/>
    </row>
    <row r="59" spans="1:26" ht="11.25">
      <c r="A59" s="15" t="s">
        <v>41</v>
      </c>
      <c r="B59" s="32">
        <v>0.32</v>
      </c>
      <c r="C59" s="32">
        <v>6.61</v>
      </c>
      <c r="D59" s="32">
        <v>0.56</v>
      </c>
      <c r="E59" s="32">
        <v>3.88</v>
      </c>
      <c r="F59" s="32">
        <v>26.4</v>
      </c>
      <c r="G59" s="32">
        <v>0.23</v>
      </c>
      <c r="H59" s="32">
        <v>0.23</v>
      </c>
      <c r="I59" s="32">
        <v>3.99</v>
      </c>
      <c r="J59" s="32"/>
      <c r="K59" s="38" t="s">
        <v>4</v>
      </c>
      <c r="L59" s="22">
        <v>45.12</v>
      </c>
      <c r="M59" s="38" t="s">
        <v>4</v>
      </c>
      <c r="N59" s="22"/>
      <c r="O59" s="38" t="s">
        <v>4</v>
      </c>
      <c r="P59" s="18">
        <v>195.81</v>
      </c>
      <c r="Q59" s="39" t="s">
        <v>4</v>
      </c>
      <c r="R59" s="33"/>
      <c r="S59" s="39" t="s">
        <v>4</v>
      </c>
      <c r="T59" s="33"/>
      <c r="U59" s="39" t="s">
        <v>4</v>
      </c>
      <c r="V59" s="21">
        <v>246</v>
      </c>
      <c r="W59" s="21"/>
      <c r="X59" s="21"/>
      <c r="Y59" s="21"/>
      <c r="Z59" s="21"/>
    </row>
    <row r="60" spans="1:26" ht="11.25">
      <c r="A60" s="31"/>
      <c r="B60" s="35" t="s">
        <v>5</v>
      </c>
      <c r="C60" s="35" t="s">
        <v>5</v>
      </c>
      <c r="D60" s="35" t="s">
        <v>5</v>
      </c>
      <c r="E60" s="35" t="s">
        <v>5</v>
      </c>
      <c r="F60" s="35" t="s">
        <v>5</v>
      </c>
      <c r="G60" s="35" t="s">
        <v>5</v>
      </c>
      <c r="H60" s="35" t="s">
        <v>5</v>
      </c>
      <c r="I60" s="35" t="s">
        <v>5</v>
      </c>
      <c r="J60" s="35" t="s">
        <v>5</v>
      </c>
      <c r="K60" s="38" t="s">
        <v>4</v>
      </c>
      <c r="L60" s="22"/>
      <c r="M60" s="38" t="s">
        <v>4</v>
      </c>
      <c r="N60" s="40"/>
      <c r="O60" s="38" t="s">
        <v>4</v>
      </c>
      <c r="P60" s="22"/>
      <c r="Q60" s="39" t="s">
        <v>4</v>
      </c>
      <c r="R60" s="41"/>
      <c r="S60" s="39" t="s">
        <v>4</v>
      </c>
      <c r="T60" s="41"/>
      <c r="U60" s="39" t="s">
        <v>4</v>
      </c>
      <c r="V60" s="21"/>
      <c r="W60" s="21"/>
      <c r="X60" s="21"/>
      <c r="Y60" s="21"/>
      <c r="Z60" s="21"/>
    </row>
    <row r="61" spans="1:26" ht="11.25">
      <c r="A61" s="31"/>
      <c r="B61" s="35" t="s">
        <v>5</v>
      </c>
      <c r="C61" s="35" t="s">
        <v>5</v>
      </c>
      <c r="D61" s="35" t="s">
        <v>5</v>
      </c>
      <c r="E61" s="35" t="s">
        <v>5</v>
      </c>
      <c r="F61" s="35" t="s">
        <v>5</v>
      </c>
      <c r="G61" s="35" t="s">
        <v>5</v>
      </c>
      <c r="H61" s="35" t="s">
        <v>5</v>
      </c>
      <c r="I61" s="35" t="s">
        <v>5</v>
      </c>
      <c r="J61" s="35" t="s">
        <v>5</v>
      </c>
      <c r="K61" s="38" t="s">
        <v>4</v>
      </c>
      <c r="L61" s="22"/>
      <c r="M61" s="38" t="s">
        <v>4</v>
      </c>
      <c r="N61" s="22"/>
      <c r="O61" s="38" t="s">
        <v>4</v>
      </c>
      <c r="P61" s="22"/>
      <c r="Q61" s="39" t="s">
        <v>4</v>
      </c>
      <c r="R61" s="21"/>
      <c r="S61" s="39" t="s">
        <v>4</v>
      </c>
      <c r="T61" s="21"/>
      <c r="U61" s="39" t="s">
        <v>4</v>
      </c>
      <c r="V61" s="21"/>
      <c r="W61" s="21"/>
      <c r="X61" s="21"/>
      <c r="Y61" s="21"/>
      <c r="Z61" s="21"/>
    </row>
    <row r="62" spans="1:26" ht="11.25">
      <c r="A62" s="31"/>
      <c r="B62" s="35"/>
      <c r="C62" s="35"/>
      <c r="D62" s="35"/>
      <c r="E62" s="35"/>
      <c r="F62" s="35"/>
      <c r="G62" s="35"/>
      <c r="H62" s="35"/>
      <c r="I62" s="35"/>
      <c r="J62" s="35"/>
      <c r="K62" s="38" t="s">
        <v>4</v>
      </c>
      <c r="L62" s="18">
        <v>696.195</v>
      </c>
      <c r="M62" s="38" t="s">
        <v>4</v>
      </c>
      <c r="N62" s="22"/>
      <c r="O62" s="38" t="s">
        <v>4</v>
      </c>
      <c r="P62" s="18">
        <v>9414.22</v>
      </c>
      <c r="Q62" s="39" t="s">
        <v>4</v>
      </c>
      <c r="R62" s="21"/>
      <c r="S62" s="39" t="s">
        <v>4</v>
      </c>
      <c r="T62" s="21"/>
      <c r="U62" s="39" t="s">
        <v>4</v>
      </c>
      <c r="V62" s="21"/>
      <c r="W62" s="21"/>
      <c r="X62" s="21"/>
      <c r="Y62" s="21"/>
      <c r="Z62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M7" sqref="M7"/>
    </sheetView>
  </sheetViews>
  <sheetFormatPr defaultColWidth="9.140625" defaultRowHeight="12.75"/>
  <cols>
    <col min="1" max="1" width="15.7109375" style="42" customWidth="1"/>
    <col min="2" max="14" width="6.00390625" style="42" customWidth="1"/>
    <col min="15" max="16384" width="9.140625" style="42" customWidth="1"/>
  </cols>
  <sheetData>
    <row r="1" ht="11.25">
      <c r="A1" s="42" t="s">
        <v>59</v>
      </c>
    </row>
    <row r="3" spans="2:15" s="43" customFormat="1" ht="11.25">
      <c r="B3" s="44">
        <v>37987</v>
      </c>
      <c r="C3" s="44">
        <v>38018</v>
      </c>
      <c r="D3" s="44">
        <v>38047</v>
      </c>
      <c r="E3" s="44">
        <v>38078</v>
      </c>
      <c r="F3" s="44">
        <v>38108</v>
      </c>
      <c r="G3" s="44">
        <v>38139</v>
      </c>
      <c r="H3" s="44">
        <v>38169</v>
      </c>
      <c r="I3" s="44">
        <v>38200</v>
      </c>
      <c r="J3" s="44">
        <v>38231</v>
      </c>
      <c r="K3" s="44">
        <v>38261</v>
      </c>
      <c r="L3" s="44">
        <v>38292</v>
      </c>
      <c r="M3" s="44">
        <v>38322</v>
      </c>
      <c r="N3" s="44" t="s">
        <v>60</v>
      </c>
      <c r="O3" s="44"/>
    </row>
    <row r="5" ht="11.25">
      <c r="A5" s="42" t="s">
        <v>61</v>
      </c>
    </row>
    <row r="7" spans="1:13" ht="11.25">
      <c r="A7" s="42" t="s">
        <v>62</v>
      </c>
      <c r="B7" s="45">
        <v>187</v>
      </c>
      <c r="C7" s="45">
        <v>189</v>
      </c>
      <c r="D7" s="45">
        <v>190</v>
      </c>
      <c r="E7" s="45">
        <v>190</v>
      </c>
      <c r="F7" s="45">
        <v>190</v>
      </c>
      <c r="G7" s="45">
        <v>187</v>
      </c>
      <c r="H7" s="45">
        <v>183</v>
      </c>
      <c r="I7" s="45">
        <v>181</v>
      </c>
      <c r="J7" s="45">
        <v>183</v>
      </c>
      <c r="K7" s="45">
        <v>178</v>
      </c>
      <c r="L7" s="45">
        <v>176</v>
      </c>
      <c r="M7" s="45">
        <v>174</v>
      </c>
    </row>
    <row r="8" spans="1:13" ht="11.25">
      <c r="A8" s="42" t="s">
        <v>63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</row>
    <row r="9" spans="1:13" ht="11.25">
      <c r="A9" s="42" t="s">
        <v>64</v>
      </c>
      <c r="B9" s="45">
        <v>566</v>
      </c>
      <c r="C9" s="45">
        <v>561</v>
      </c>
      <c r="D9" s="45">
        <v>563</v>
      </c>
      <c r="E9" s="45">
        <v>572</v>
      </c>
      <c r="F9" s="45">
        <v>569</v>
      </c>
      <c r="G9" s="45">
        <v>573</v>
      </c>
      <c r="H9" s="45">
        <v>567</v>
      </c>
      <c r="I9" s="45">
        <v>568</v>
      </c>
      <c r="J9" s="45">
        <v>575</v>
      </c>
      <c r="K9" s="45">
        <v>585</v>
      </c>
      <c r="L9" s="45">
        <v>589</v>
      </c>
      <c r="M9" s="45">
        <v>586</v>
      </c>
    </row>
    <row r="10" spans="1:13" ht="11.25">
      <c r="A10" s="42" t="s">
        <v>65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</row>
    <row r="11" spans="1:13" ht="11.25">
      <c r="A11" s="42" t="s">
        <v>66</v>
      </c>
      <c r="B11" s="45">
        <v>4861</v>
      </c>
      <c r="C11" s="45">
        <v>4858</v>
      </c>
      <c r="D11" s="45">
        <v>4881</v>
      </c>
      <c r="E11" s="45">
        <v>4921</v>
      </c>
      <c r="F11" s="45">
        <v>4940</v>
      </c>
      <c r="G11" s="45">
        <v>4963</v>
      </c>
      <c r="H11" s="45">
        <v>5008</v>
      </c>
      <c r="I11" s="45">
        <v>5041</v>
      </c>
      <c r="J11" s="45">
        <v>5065</v>
      </c>
      <c r="K11" s="45">
        <v>5097</v>
      </c>
      <c r="L11" s="45">
        <v>5119</v>
      </c>
      <c r="M11" s="45">
        <v>5140</v>
      </c>
    </row>
    <row r="12" spans="1:13" ht="11.25">
      <c r="A12" s="42" t="s">
        <v>67</v>
      </c>
      <c r="B12" s="45">
        <v>441</v>
      </c>
      <c r="C12" s="45">
        <v>443</v>
      </c>
      <c r="D12" s="45">
        <v>443</v>
      </c>
      <c r="E12" s="45">
        <v>450</v>
      </c>
      <c r="F12" s="45">
        <v>452</v>
      </c>
      <c r="G12" s="45">
        <v>453</v>
      </c>
      <c r="H12" s="45">
        <v>447</v>
      </c>
      <c r="I12" s="45">
        <v>442</v>
      </c>
      <c r="J12" s="45">
        <v>446</v>
      </c>
      <c r="K12" s="45">
        <v>431</v>
      </c>
      <c r="L12" s="45">
        <v>431</v>
      </c>
      <c r="M12" s="45">
        <v>419</v>
      </c>
    </row>
    <row r="13" spans="1:13" ht="11.25">
      <c r="A13" s="42" t="s">
        <v>68</v>
      </c>
      <c r="B13" s="45">
        <v>10</v>
      </c>
      <c r="C13" s="45">
        <v>10</v>
      </c>
      <c r="D13" s="45">
        <v>9</v>
      </c>
      <c r="E13" s="45">
        <v>9</v>
      </c>
      <c r="F13" s="45">
        <v>10</v>
      </c>
      <c r="G13" s="45">
        <v>11</v>
      </c>
      <c r="H13" s="45">
        <v>11</v>
      </c>
      <c r="I13" s="45">
        <v>10</v>
      </c>
      <c r="J13" s="45">
        <v>10</v>
      </c>
      <c r="K13" s="45">
        <v>10</v>
      </c>
      <c r="L13" s="45">
        <v>10</v>
      </c>
      <c r="M13" s="45">
        <v>10</v>
      </c>
    </row>
    <row r="14" spans="1:13" ht="11.25">
      <c r="A14" s="42" t="s">
        <v>69</v>
      </c>
      <c r="B14" s="45">
        <v>4</v>
      </c>
      <c r="C14" s="45">
        <v>4</v>
      </c>
      <c r="D14" s="45">
        <v>4</v>
      </c>
      <c r="E14" s="45">
        <v>4</v>
      </c>
      <c r="F14" s="45">
        <v>4</v>
      </c>
      <c r="G14" s="45">
        <v>4</v>
      </c>
      <c r="H14" s="45">
        <v>4</v>
      </c>
      <c r="I14" s="45">
        <v>4</v>
      </c>
      <c r="J14" s="45">
        <v>4</v>
      </c>
      <c r="K14" s="45">
        <v>4</v>
      </c>
      <c r="L14" s="45">
        <v>4</v>
      </c>
      <c r="M14" s="45">
        <v>4</v>
      </c>
    </row>
    <row r="15" spans="1:13" ht="11.25">
      <c r="A15" s="42" t="s">
        <v>70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</row>
    <row r="16" spans="1:13" ht="11.25">
      <c r="A16" s="42" t="s">
        <v>71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</row>
    <row r="17" spans="1:13" ht="11.25">
      <c r="A17" s="42" t="s">
        <v>72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</row>
    <row r="18" spans="1:13" ht="11.25">
      <c r="A18" s="42" t="s">
        <v>73</v>
      </c>
      <c r="B18" s="45">
        <v>1641</v>
      </c>
      <c r="C18" s="45">
        <v>1616</v>
      </c>
      <c r="D18" s="45">
        <v>1606</v>
      </c>
      <c r="E18" s="45">
        <v>1600</v>
      </c>
      <c r="F18" s="45">
        <v>1589</v>
      </c>
      <c r="G18" s="45">
        <v>1565</v>
      </c>
      <c r="H18" s="45">
        <v>1547</v>
      </c>
      <c r="I18" s="45">
        <v>1521</v>
      </c>
      <c r="J18" s="45">
        <v>1490</v>
      </c>
      <c r="K18" s="45">
        <v>1463</v>
      </c>
      <c r="L18" s="45">
        <v>1443</v>
      </c>
      <c r="M18" s="45">
        <v>1417</v>
      </c>
    </row>
    <row r="19" spans="1:13" ht="11.25">
      <c r="A19" s="42" t="s">
        <v>74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</row>
    <row r="20" spans="1:13" ht="11.25">
      <c r="A20" s="42" t="s">
        <v>75</v>
      </c>
      <c r="B20" s="45">
        <v>5170</v>
      </c>
      <c r="C20" s="45">
        <v>5175</v>
      </c>
      <c r="D20" s="45">
        <v>5189</v>
      </c>
      <c r="E20" s="45">
        <v>5201</v>
      </c>
      <c r="F20" s="45">
        <v>5205</v>
      </c>
      <c r="G20" s="45">
        <v>5210</v>
      </c>
      <c r="H20" s="45">
        <v>5229</v>
      </c>
      <c r="I20" s="45">
        <v>5242</v>
      </c>
      <c r="J20" s="45">
        <v>5240</v>
      </c>
      <c r="K20" s="45">
        <v>5232</v>
      </c>
      <c r="L20" s="45">
        <v>5243</v>
      </c>
      <c r="M20" s="45">
        <v>5223</v>
      </c>
    </row>
    <row r="21" spans="1:13" ht="11.25">
      <c r="A21" s="42" t="s">
        <v>76</v>
      </c>
      <c r="B21" s="45">
        <v>0</v>
      </c>
      <c r="C21" s="45">
        <v>1</v>
      </c>
      <c r="D21" s="45">
        <v>1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</row>
    <row r="22" spans="1:13" ht="11.25">
      <c r="A22" s="42" t="s">
        <v>77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</row>
    <row r="23" spans="1:13" ht="11.25">
      <c r="A23" s="42" t="s">
        <v>78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</row>
    <row r="24" spans="1:13" ht="11.25">
      <c r="A24" s="42" t="s">
        <v>79</v>
      </c>
      <c r="B24" s="45">
        <v>3537</v>
      </c>
      <c r="C24" s="45">
        <v>3516</v>
      </c>
      <c r="D24" s="45">
        <v>3527</v>
      </c>
      <c r="E24" s="45">
        <v>3546</v>
      </c>
      <c r="F24" s="45">
        <v>3540</v>
      </c>
      <c r="G24" s="45">
        <v>3538</v>
      </c>
      <c r="H24" s="45">
        <v>3516</v>
      </c>
      <c r="I24" s="45">
        <v>3533</v>
      </c>
      <c r="J24" s="45">
        <v>3544</v>
      </c>
      <c r="K24" s="45">
        <v>3522</v>
      </c>
      <c r="L24" s="45">
        <v>3520</v>
      </c>
      <c r="M24" s="45">
        <v>3505</v>
      </c>
    </row>
    <row r="25" spans="1:13" ht="11.25">
      <c r="A25" s="42" t="s">
        <v>80</v>
      </c>
      <c r="B25" s="45">
        <v>0</v>
      </c>
      <c r="C25" s="45">
        <v>1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</row>
    <row r="26" spans="1:13" ht="11.25">
      <c r="A26" s="42" t="s">
        <v>81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</row>
    <row r="27" spans="1:13" ht="11.25">
      <c r="A27" s="42" t="s">
        <v>82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 ht="11.25">
      <c r="A28" s="42" t="s">
        <v>83</v>
      </c>
      <c r="B28" s="45">
        <v>2322</v>
      </c>
      <c r="C28" s="45">
        <v>2254</v>
      </c>
      <c r="D28" s="45">
        <v>2438</v>
      </c>
      <c r="E28" s="45">
        <v>2261</v>
      </c>
      <c r="F28" s="45">
        <v>2111</v>
      </c>
      <c r="G28" s="45">
        <v>2508</v>
      </c>
      <c r="H28" s="45">
        <v>2189</v>
      </c>
      <c r="I28" s="45">
        <v>1413</v>
      </c>
      <c r="J28" s="45">
        <v>1889</v>
      </c>
      <c r="K28" s="45">
        <v>1487</v>
      </c>
      <c r="L28" s="45">
        <v>2760</v>
      </c>
      <c r="M28" s="45">
        <v>4631</v>
      </c>
    </row>
    <row r="30" ht="11.25">
      <c r="A30" s="46" t="s">
        <v>84</v>
      </c>
    </row>
    <row r="32" spans="1:14" ht="11.25">
      <c r="A32" s="47" t="s">
        <v>62</v>
      </c>
      <c r="B32" s="48">
        <v>30</v>
      </c>
      <c r="C32" s="48">
        <v>30</v>
      </c>
      <c r="D32" s="48">
        <v>29</v>
      </c>
      <c r="E32" s="48">
        <v>29</v>
      </c>
      <c r="F32" s="48">
        <v>29</v>
      </c>
      <c r="G32" s="48">
        <v>27</v>
      </c>
      <c r="H32" s="48">
        <v>28</v>
      </c>
      <c r="I32" s="48">
        <v>28</v>
      </c>
      <c r="J32" s="48">
        <v>30</v>
      </c>
      <c r="K32" s="48">
        <v>30</v>
      </c>
      <c r="L32" s="48">
        <v>34</v>
      </c>
      <c r="M32" s="48">
        <v>33</v>
      </c>
      <c r="N32" s="48"/>
    </row>
    <row r="33" spans="1:14" ht="11.25">
      <c r="A33" s="47" t="s">
        <v>63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/>
    </row>
    <row r="34" spans="1:14" ht="11.25">
      <c r="A34" s="47" t="s">
        <v>64</v>
      </c>
      <c r="B34" s="48">
        <v>543</v>
      </c>
      <c r="C34" s="48">
        <v>538</v>
      </c>
      <c r="D34" s="48">
        <v>534</v>
      </c>
      <c r="E34" s="48">
        <v>539</v>
      </c>
      <c r="F34" s="48">
        <v>535</v>
      </c>
      <c r="G34" s="48">
        <v>535</v>
      </c>
      <c r="H34" s="48">
        <v>542</v>
      </c>
      <c r="I34" s="48">
        <v>540</v>
      </c>
      <c r="J34" s="48">
        <v>543</v>
      </c>
      <c r="K34" s="48">
        <v>544</v>
      </c>
      <c r="L34" s="48">
        <v>578</v>
      </c>
      <c r="M34" s="48">
        <v>590</v>
      </c>
      <c r="N34" s="48"/>
    </row>
    <row r="35" spans="1:14" ht="11.25">
      <c r="A35" s="47" t="s">
        <v>65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/>
    </row>
    <row r="36" spans="1:14" ht="11.25">
      <c r="A36" s="47" t="s">
        <v>66</v>
      </c>
      <c r="B36" s="48">
        <v>6813</v>
      </c>
      <c r="C36" s="48">
        <v>6820</v>
      </c>
      <c r="D36" s="48">
        <v>6811</v>
      </c>
      <c r="E36" s="48">
        <v>6868</v>
      </c>
      <c r="F36" s="48">
        <v>6841</v>
      </c>
      <c r="G36" s="48">
        <v>6869</v>
      </c>
      <c r="H36" s="48">
        <v>6866</v>
      </c>
      <c r="I36" s="48">
        <v>6909</v>
      </c>
      <c r="J36" s="48">
        <v>6931</v>
      </c>
      <c r="K36" s="48">
        <v>6949</v>
      </c>
      <c r="L36" s="48">
        <v>6923</v>
      </c>
      <c r="M36" s="48">
        <v>6932</v>
      </c>
      <c r="N36" s="48"/>
    </row>
    <row r="37" spans="1:14" ht="11.25">
      <c r="A37" s="47" t="s">
        <v>67</v>
      </c>
      <c r="B37" s="48">
        <v>2434</v>
      </c>
      <c r="C37" s="48">
        <v>2418</v>
      </c>
      <c r="D37" s="48">
        <v>2413</v>
      </c>
      <c r="E37" s="48">
        <v>2413</v>
      </c>
      <c r="F37" s="48">
        <v>2403</v>
      </c>
      <c r="G37" s="48">
        <v>2398</v>
      </c>
      <c r="H37" s="48">
        <v>2387</v>
      </c>
      <c r="I37" s="48">
        <v>2382</v>
      </c>
      <c r="J37" s="48">
        <v>2369</v>
      </c>
      <c r="K37" s="48">
        <v>2341</v>
      </c>
      <c r="L37" s="48">
        <v>2316</v>
      </c>
      <c r="M37" s="48">
        <v>2298</v>
      </c>
      <c r="N37" s="48"/>
    </row>
    <row r="38" spans="1:14" ht="11.25">
      <c r="A38" s="47" t="s">
        <v>68</v>
      </c>
      <c r="B38" s="48">
        <v>184</v>
      </c>
      <c r="C38" s="48">
        <v>186</v>
      </c>
      <c r="D38" s="48">
        <v>189</v>
      </c>
      <c r="E38" s="48">
        <v>185</v>
      </c>
      <c r="F38" s="48">
        <v>184</v>
      </c>
      <c r="G38" s="48">
        <v>183</v>
      </c>
      <c r="H38" s="48">
        <v>181</v>
      </c>
      <c r="I38" s="48">
        <v>183</v>
      </c>
      <c r="J38" s="48">
        <v>180</v>
      </c>
      <c r="K38" s="48">
        <v>176</v>
      </c>
      <c r="L38" s="48">
        <v>175</v>
      </c>
      <c r="M38" s="48">
        <v>174</v>
      </c>
      <c r="N38" s="48"/>
    </row>
    <row r="39" spans="1:14" ht="11.25">
      <c r="A39" s="47" t="s">
        <v>69</v>
      </c>
      <c r="B39" s="48">
        <v>20</v>
      </c>
      <c r="C39" s="48">
        <v>17</v>
      </c>
      <c r="D39" s="48">
        <v>17</v>
      </c>
      <c r="E39" s="48">
        <v>16</v>
      </c>
      <c r="F39" s="48">
        <v>16</v>
      </c>
      <c r="G39" s="48">
        <v>16</v>
      </c>
      <c r="H39" s="48">
        <v>15</v>
      </c>
      <c r="I39" s="48">
        <v>14</v>
      </c>
      <c r="J39" s="48">
        <v>14</v>
      </c>
      <c r="K39" s="48">
        <v>14</v>
      </c>
      <c r="L39" s="48">
        <v>13</v>
      </c>
      <c r="M39" s="48">
        <v>13</v>
      </c>
      <c r="N39" s="48"/>
    </row>
    <row r="40" spans="1:14" ht="11.25">
      <c r="A40" s="47" t="s">
        <v>70</v>
      </c>
      <c r="B40" s="48">
        <v>1</v>
      </c>
      <c r="C40" s="48">
        <v>1</v>
      </c>
      <c r="D40" s="48">
        <v>1</v>
      </c>
      <c r="E40" s="48">
        <v>1</v>
      </c>
      <c r="F40" s="48">
        <v>1</v>
      </c>
      <c r="G40" s="48">
        <v>1</v>
      </c>
      <c r="H40" s="48">
        <v>1</v>
      </c>
      <c r="I40" s="48">
        <v>1</v>
      </c>
      <c r="J40" s="48">
        <v>1</v>
      </c>
      <c r="K40" s="48">
        <v>1</v>
      </c>
      <c r="L40" s="48">
        <v>1</v>
      </c>
      <c r="M40" s="48">
        <v>1</v>
      </c>
      <c r="N40" s="48"/>
    </row>
    <row r="41" spans="1:14" ht="11.25">
      <c r="A41" s="47" t="s">
        <v>71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1</v>
      </c>
      <c r="M41" s="48">
        <v>1</v>
      </c>
      <c r="N41" s="48"/>
    </row>
    <row r="42" spans="1:14" ht="11.25">
      <c r="A42" s="47" t="s">
        <v>72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/>
    </row>
    <row r="43" spans="1:14" ht="11.25">
      <c r="A43" s="47" t="s">
        <v>73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/>
    </row>
    <row r="44" spans="1:14" ht="11.25">
      <c r="A44" s="47" t="s">
        <v>74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/>
    </row>
    <row r="45" spans="1:14" ht="11.25">
      <c r="A45" s="47" t="s">
        <v>75</v>
      </c>
      <c r="B45" s="48">
        <v>430</v>
      </c>
      <c r="C45" s="48">
        <v>461</v>
      </c>
      <c r="D45" s="48">
        <v>493</v>
      </c>
      <c r="E45" s="48">
        <v>536</v>
      </c>
      <c r="F45" s="48">
        <v>581</v>
      </c>
      <c r="G45" s="48">
        <v>629</v>
      </c>
      <c r="H45" s="48">
        <v>699</v>
      </c>
      <c r="I45" s="48">
        <v>740</v>
      </c>
      <c r="J45" s="48">
        <v>782</v>
      </c>
      <c r="K45" s="48">
        <v>818</v>
      </c>
      <c r="L45" s="48">
        <v>850</v>
      </c>
      <c r="M45" s="48">
        <v>869</v>
      </c>
      <c r="N45" s="48"/>
    </row>
    <row r="46" spans="1:14" ht="11.25">
      <c r="A46" s="47" t="s">
        <v>76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/>
    </row>
    <row r="47" spans="1:14" ht="11.25">
      <c r="A47" s="47" t="s">
        <v>77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/>
    </row>
    <row r="48" spans="1:14" ht="11.25">
      <c r="A48" s="47" t="s">
        <v>78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/>
    </row>
    <row r="49" spans="1:14" ht="11.25">
      <c r="A49" s="47" t="s">
        <v>79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9</v>
      </c>
      <c r="M49" s="48">
        <v>24</v>
      </c>
      <c r="N49" s="48"/>
    </row>
    <row r="50" spans="1:14" ht="11.25">
      <c r="A50" s="47" t="s">
        <v>80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/>
    </row>
    <row r="51" spans="1:14" ht="11.25">
      <c r="A51" s="47" t="s">
        <v>81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/>
    </row>
    <row r="52" spans="1:14" ht="11.25">
      <c r="A52" s="47" t="s">
        <v>82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/>
    </row>
    <row r="53" spans="1:14" ht="11.25">
      <c r="A53" s="47" t="s">
        <v>83</v>
      </c>
      <c r="B53" s="48">
        <v>4413</v>
      </c>
      <c r="C53" s="48">
        <v>3124</v>
      </c>
      <c r="D53" s="48">
        <v>4400</v>
      </c>
      <c r="E53" s="48">
        <v>3571</v>
      </c>
      <c r="F53" s="48">
        <v>3808</v>
      </c>
      <c r="G53" s="48">
        <v>4043</v>
      </c>
      <c r="H53" s="48">
        <v>2990</v>
      </c>
      <c r="I53" s="48">
        <v>2373</v>
      </c>
      <c r="J53" s="48">
        <v>2930</v>
      </c>
      <c r="K53" s="48">
        <v>2630</v>
      </c>
      <c r="L53" s="48">
        <v>3787</v>
      </c>
      <c r="M53" s="48">
        <v>6553</v>
      </c>
      <c r="N53" s="48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457"/>
  <sheetViews>
    <sheetView workbookViewId="0" topLeftCell="B1">
      <pane ySplit="4" topLeftCell="BM5" activePane="bottomLeft" state="frozen"/>
      <selection pane="topLeft" activeCell="A1" sqref="A1"/>
      <selection pane="bottomLeft" activeCell="B380" sqref="A380:IV380"/>
    </sheetView>
  </sheetViews>
  <sheetFormatPr defaultColWidth="9.140625" defaultRowHeight="12.75"/>
  <cols>
    <col min="1" max="1" width="8.00390625" style="71" bestFit="1" customWidth="1"/>
    <col min="2" max="2" width="36.00390625" style="71" bestFit="1" customWidth="1"/>
    <col min="3" max="3" width="35.28125" style="71" bestFit="1" customWidth="1"/>
    <col min="4" max="4" width="12.57421875" style="71" bestFit="1" customWidth="1"/>
    <col min="5" max="5" width="4.00390625" style="71" bestFit="1" customWidth="1"/>
    <col min="6" max="6" width="8.00390625" style="71" bestFit="1" customWidth="1"/>
    <col min="7" max="7" width="29.421875" style="71" bestFit="1" customWidth="1"/>
    <col min="8" max="8" width="4.140625" style="71" bestFit="1" customWidth="1"/>
    <col min="9" max="9" width="5.00390625" style="71" bestFit="1" customWidth="1"/>
    <col min="10" max="10" width="6.28125" style="71" bestFit="1" customWidth="1"/>
    <col min="11" max="11" width="4.00390625" style="71" bestFit="1" customWidth="1"/>
    <col min="12" max="16384" width="9.140625" style="71" customWidth="1"/>
  </cols>
  <sheetData>
    <row r="1" s="70" customFormat="1" ht="12.75"/>
    <row r="2" s="70" customFormat="1" ht="12.75"/>
    <row r="3" s="70" customFormat="1" ht="12.75"/>
    <row r="4" spans="1:11" s="70" customFormat="1" ht="12.75">
      <c r="A4" s="70" t="s">
        <v>105</v>
      </c>
      <c r="B4" s="70" t="s">
        <v>106</v>
      </c>
      <c r="C4" s="70" t="s">
        <v>107</v>
      </c>
      <c r="D4" s="70" t="s">
        <v>108</v>
      </c>
      <c r="E4" s="70" t="s">
        <v>109</v>
      </c>
      <c r="F4" s="70" t="s">
        <v>110</v>
      </c>
      <c r="G4" s="70" t="s">
        <v>111</v>
      </c>
      <c r="H4" s="70" t="s">
        <v>112</v>
      </c>
      <c r="I4" s="70" t="s">
        <v>113</v>
      </c>
      <c r="J4" s="70" t="s">
        <v>114</v>
      </c>
      <c r="K4" s="70" t="s">
        <v>115</v>
      </c>
    </row>
    <row r="6" spans="1:11" ht="12.75">
      <c r="A6" s="71">
        <v>820998</v>
      </c>
      <c r="B6" s="71" t="s">
        <v>116</v>
      </c>
      <c r="C6" s="71" t="s">
        <v>117</v>
      </c>
      <c r="D6" s="71" t="s">
        <v>118</v>
      </c>
      <c r="E6" s="71">
        <v>425</v>
      </c>
      <c r="F6" s="71">
        <v>8068040</v>
      </c>
      <c r="G6" s="71" t="s">
        <v>119</v>
      </c>
      <c r="H6" s="71" t="s">
        <v>120</v>
      </c>
      <c r="I6" s="71">
        <v>1.25</v>
      </c>
      <c r="K6" s="71">
        <v>1</v>
      </c>
    </row>
    <row r="7" spans="1:11" ht="12.75">
      <c r="A7" s="71">
        <v>820998</v>
      </c>
      <c r="B7" s="71" t="s">
        <v>116</v>
      </c>
      <c r="C7" s="71" t="s">
        <v>117</v>
      </c>
      <c r="D7" s="71" t="s">
        <v>118</v>
      </c>
      <c r="E7" s="71">
        <v>425</v>
      </c>
      <c r="F7" s="71">
        <v>8068040</v>
      </c>
      <c r="G7" s="71" t="s">
        <v>119</v>
      </c>
      <c r="H7" s="71" t="s">
        <v>121</v>
      </c>
      <c r="I7" s="71">
        <v>0.45</v>
      </c>
      <c r="K7" s="71">
        <v>3</v>
      </c>
    </row>
    <row r="8" spans="1:11" ht="12.75">
      <c r="A8" s="71">
        <v>820998</v>
      </c>
      <c r="B8" s="71" t="s">
        <v>116</v>
      </c>
      <c r="C8" s="71" t="s">
        <v>117</v>
      </c>
      <c r="D8" s="71" t="s">
        <v>118</v>
      </c>
      <c r="E8" s="71">
        <v>425</v>
      </c>
      <c r="F8" s="71">
        <v>8068040</v>
      </c>
      <c r="G8" s="71" t="s">
        <v>119</v>
      </c>
      <c r="H8" s="71" t="s">
        <v>122</v>
      </c>
      <c r="I8" s="71">
        <v>0</v>
      </c>
      <c r="K8" s="71">
        <v>4</v>
      </c>
    </row>
    <row r="9" spans="1:11" ht="12.75">
      <c r="A9" s="71">
        <v>817215</v>
      </c>
      <c r="B9" s="71" t="s">
        <v>123</v>
      </c>
      <c r="C9" s="71" t="s">
        <v>124</v>
      </c>
      <c r="D9" s="71" t="s">
        <v>118</v>
      </c>
      <c r="E9" s="71">
        <v>206</v>
      </c>
      <c r="F9" s="71">
        <v>3630061</v>
      </c>
      <c r="G9" s="71" t="s">
        <v>125</v>
      </c>
      <c r="H9" s="71" t="s">
        <v>120</v>
      </c>
      <c r="I9" s="71">
        <v>1.25</v>
      </c>
      <c r="K9" s="71">
        <v>1</v>
      </c>
    </row>
    <row r="10" spans="1:11" ht="12.75">
      <c r="A10" s="71">
        <v>817215</v>
      </c>
      <c r="B10" s="71" t="s">
        <v>123</v>
      </c>
      <c r="C10" s="71" t="s">
        <v>124</v>
      </c>
      <c r="D10" s="71" t="s">
        <v>118</v>
      </c>
      <c r="E10" s="71">
        <v>206</v>
      </c>
      <c r="F10" s="71">
        <v>3630061</v>
      </c>
      <c r="G10" s="71" t="s">
        <v>125</v>
      </c>
      <c r="H10" s="71" t="s">
        <v>122</v>
      </c>
      <c r="I10" s="71">
        <v>0</v>
      </c>
      <c r="K10" s="71">
        <v>4</v>
      </c>
    </row>
    <row r="11" spans="1:11" ht="12.75">
      <c r="A11" s="71">
        <v>838339</v>
      </c>
      <c r="B11" s="71" t="s">
        <v>126</v>
      </c>
      <c r="C11" s="71" t="s">
        <v>127</v>
      </c>
      <c r="D11" s="71" t="s">
        <v>118</v>
      </c>
      <c r="E11" s="71">
        <v>425</v>
      </c>
      <c r="F11" s="71">
        <v>4831237</v>
      </c>
      <c r="G11" s="71" t="s">
        <v>125</v>
      </c>
      <c r="H11" s="71" t="s">
        <v>121</v>
      </c>
      <c r="I11" s="71">
        <v>0.45</v>
      </c>
      <c r="K11" s="71">
        <v>10</v>
      </c>
    </row>
    <row r="12" spans="1:11" ht="12.75">
      <c r="A12" s="71">
        <v>838339</v>
      </c>
      <c r="B12" s="71" t="s">
        <v>126</v>
      </c>
      <c r="C12" s="71" t="s">
        <v>127</v>
      </c>
      <c r="D12" s="71" t="s">
        <v>118</v>
      </c>
      <c r="E12" s="71">
        <v>425</v>
      </c>
      <c r="F12" s="71">
        <v>4831237</v>
      </c>
      <c r="G12" s="71" t="s">
        <v>125</v>
      </c>
      <c r="H12" s="71" t="s">
        <v>120</v>
      </c>
      <c r="I12" s="71">
        <v>6</v>
      </c>
      <c r="K12" s="71">
        <v>1</v>
      </c>
    </row>
    <row r="13" spans="1:11" ht="12.75">
      <c r="A13" s="71">
        <v>838339</v>
      </c>
      <c r="B13" s="71" t="s">
        <v>126</v>
      </c>
      <c r="C13" s="71" t="s">
        <v>127</v>
      </c>
      <c r="D13" s="71" t="s">
        <v>118</v>
      </c>
      <c r="E13" s="71">
        <v>425</v>
      </c>
      <c r="F13" s="71">
        <v>4831237</v>
      </c>
      <c r="G13" s="71" t="s">
        <v>125</v>
      </c>
      <c r="H13" s="71" t="s">
        <v>120</v>
      </c>
      <c r="I13" s="71">
        <v>8</v>
      </c>
      <c r="K13" s="71">
        <v>1</v>
      </c>
    </row>
    <row r="14" spans="1:11" ht="12.75">
      <c r="A14" s="71">
        <v>838339</v>
      </c>
      <c r="B14" s="71" t="s">
        <v>126</v>
      </c>
      <c r="C14" s="71" t="s">
        <v>127</v>
      </c>
      <c r="D14" s="71" t="s">
        <v>118</v>
      </c>
      <c r="E14" s="71">
        <v>425</v>
      </c>
      <c r="F14" s="71">
        <v>4831237</v>
      </c>
      <c r="G14" s="71" t="s">
        <v>125</v>
      </c>
      <c r="H14" s="71" t="s">
        <v>122</v>
      </c>
      <c r="I14" s="71">
        <v>0</v>
      </c>
      <c r="K14" s="71">
        <v>42</v>
      </c>
    </row>
    <row r="15" spans="1:11" ht="12.75">
      <c r="A15" s="71">
        <v>891625</v>
      </c>
      <c r="B15" s="71" t="s">
        <v>128</v>
      </c>
      <c r="C15" s="71" t="s">
        <v>129</v>
      </c>
      <c r="D15" s="71" t="s">
        <v>118</v>
      </c>
      <c r="E15" s="71">
        <v>425</v>
      </c>
      <c r="F15" s="71">
        <v>4551950</v>
      </c>
      <c r="G15" s="71" t="s">
        <v>130</v>
      </c>
      <c r="H15" s="71" t="s">
        <v>120</v>
      </c>
      <c r="I15" s="71">
        <v>4</v>
      </c>
      <c r="K15" s="71">
        <v>1</v>
      </c>
    </row>
    <row r="16" spans="1:11" ht="12.75">
      <c r="A16" s="71">
        <v>891625</v>
      </c>
      <c r="B16" s="71" t="s">
        <v>128</v>
      </c>
      <c r="C16" s="71" t="s">
        <v>129</v>
      </c>
      <c r="D16" s="71" t="s">
        <v>118</v>
      </c>
      <c r="E16" s="71">
        <v>425</v>
      </c>
      <c r="F16" s="71">
        <v>4551950</v>
      </c>
      <c r="G16" s="71" t="s">
        <v>130</v>
      </c>
      <c r="H16" s="71" t="s">
        <v>131</v>
      </c>
      <c r="I16" s="71">
        <v>4</v>
      </c>
      <c r="K16" s="71">
        <v>1</v>
      </c>
    </row>
    <row r="17" spans="1:11" ht="12.75">
      <c r="A17" s="71">
        <v>891625</v>
      </c>
      <c r="B17" s="71" t="s">
        <v>128</v>
      </c>
      <c r="C17" s="71" t="s">
        <v>129</v>
      </c>
      <c r="D17" s="71" t="s">
        <v>118</v>
      </c>
      <c r="E17" s="71">
        <v>425</v>
      </c>
      <c r="F17" s="71">
        <v>4551950</v>
      </c>
      <c r="G17" s="71" t="s">
        <v>130</v>
      </c>
      <c r="H17" s="71" t="s">
        <v>122</v>
      </c>
      <c r="I17" s="71">
        <v>0</v>
      </c>
      <c r="K17" s="71">
        <v>30</v>
      </c>
    </row>
    <row r="18" spans="1:11" ht="12.75">
      <c r="A18" s="71">
        <v>812906</v>
      </c>
      <c r="B18" s="71" t="s">
        <v>132</v>
      </c>
      <c r="C18" s="71" t="s">
        <v>133</v>
      </c>
      <c r="D18" s="71" t="s">
        <v>118</v>
      </c>
      <c r="E18" s="71">
        <v>206</v>
      </c>
      <c r="F18" s="71">
        <v>3630815</v>
      </c>
      <c r="G18" s="71" t="s">
        <v>125</v>
      </c>
      <c r="H18" s="71" t="s">
        <v>120</v>
      </c>
      <c r="I18" s="71">
        <v>3</v>
      </c>
      <c r="K18" s="71">
        <v>1</v>
      </c>
    </row>
    <row r="19" spans="1:11" ht="12.75">
      <c r="A19" s="71">
        <v>812906</v>
      </c>
      <c r="B19" s="71" t="s">
        <v>132</v>
      </c>
      <c r="C19" s="71" t="s">
        <v>133</v>
      </c>
      <c r="D19" s="71" t="s">
        <v>118</v>
      </c>
      <c r="E19" s="71">
        <v>206</v>
      </c>
      <c r="F19" s="71">
        <v>3630815</v>
      </c>
      <c r="G19" s="71" t="s">
        <v>125</v>
      </c>
      <c r="H19" s="71" t="s">
        <v>121</v>
      </c>
      <c r="I19" s="71">
        <v>0.45</v>
      </c>
      <c r="K19" s="71">
        <v>5</v>
      </c>
    </row>
    <row r="20" spans="1:11" ht="12.75">
      <c r="A20" s="71">
        <v>812906</v>
      </c>
      <c r="B20" s="71" t="s">
        <v>132</v>
      </c>
      <c r="C20" s="71" t="s">
        <v>133</v>
      </c>
      <c r="D20" s="71" t="s">
        <v>118</v>
      </c>
      <c r="E20" s="71">
        <v>206</v>
      </c>
      <c r="F20" s="71">
        <v>3630815</v>
      </c>
      <c r="G20" s="71" t="s">
        <v>125</v>
      </c>
      <c r="H20" s="71" t="s">
        <v>122</v>
      </c>
      <c r="I20" s="71">
        <v>0</v>
      </c>
      <c r="K20" s="71">
        <v>18</v>
      </c>
    </row>
    <row r="21" spans="1:11" ht="12.75">
      <c r="A21" s="71">
        <v>813134</v>
      </c>
      <c r="B21" s="71" t="s">
        <v>134</v>
      </c>
      <c r="C21" s="71" t="s">
        <v>135</v>
      </c>
      <c r="D21" s="71" t="s">
        <v>136</v>
      </c>
      <c r="E21" s="71">
        <v>425</v>
      </c>
      <c r="F21" s="71">
        <v>4441920</v>
      </c>
      <c r="G21" s="71" t="s">
        <v>137</v>
      </c>
      <c r="H21" s="71" t="s">
        <v>120</v>
      </c>
      <c r="I21" s="71">
        <v>4</v>
      </c>
      <c r="K21" s="71">
        <v>1</v>
      </c>
    </row>
    <row r="22" spans="1:11" ht="12.75">
      <c r="A22" s="71">
        <v>813134</v>
      </c>
      <c r="B22" s="71" t="s">
        <v>134</v>
      </c>
      <c r="C22" s="71" t="s">
        <v>135</v>
      </c>
      <c r="D22" s="71" t="s">
        <v>136</v>
      </c>
      <c r="E22" s="71">
        <v>425</v>
      </c>
      <c r="F22" s="71">
        <v>4441920</v>
      </c>
      <c r="G22" s="71" t="s">
        <v>137</v>
      </c>
      <c r="H22" s="71" t="s">
        <v>121</v>
      </c>
      <c r="I22" s="71">
        <v>0.45</v>
      </c>
      <c r="K22" s="71">
        <v>3</v>
      </c>
    </row>
    <row r="23" spans="1:11" ht="12.75">
      <c r="A23" s="71">
        <v>813134</v>
      </c>
      <c r="B23" s="71" t="s">
        <v>134</v>
      </c>
      <c r="C23" s="71" t="s">
        <v>135</v>
      </c>
      <c r="D23" s="71" t="s">
        <v>136</v>
      </c>
      <c r="E23" s="71">
        <v>425</v>
      </c>
      <c r="F23" s="71">
        <v>4441920</v>
      </c>
      <c r="G23" s="71" t="s">
        <v>137</v>
      </c>
      <c r="H23" s="71" t="s">
        <v>122</v>
      </c>
      <c r="I23" s="71">
        <v>0</v>
      </c>
      <c r="K23" s="71">
        <v>12</v>
      </c>
    </row>
    <row r="24" spans="1:11" ht="12.75">
      <c r="A24" s="71">
        <v>813016</v>
      </c>
      <c r="B24" s="71" t="s">
        <v>138</v>
      </c>
      <c r="C24" s="71" t="s">
        <v>139</v>
      </c>
      <c r="D24" s="71" t="s">
        <v>118</v>
      </c>
      <c r="E24" s="71">
        <v>425</v>
      </c>
      <c r="F24" s="71">
        <v>2224523</v>
      </c>
      <c r="G24" s="71" t="s">
        <v>125</v>
      </c>
      <c r="H24" s="71" t="s">
        <v>140</v>
      </c>
      <c r="I24" s="71">
        <v>0.45</v>
      </c>
      <c r="K24" s="71">
        <v>3</v>
      </c>
    </row>
    <row r="25" spans="1:11" ht="12.75">
      <c r="A25" s="71">
        <v>813016</v>
      </c>
      <c r="B25" s="71" t="s">
        <v>138</v>
      </c>
      <c r="C25" s="71" t="s">
        <v>139</v>
      </c>
      <c r="D25" s="71" t="s">
        <v>118</v>
      </c>
      <c r="E25" s="71">
        <v>425</v>
      </c>
      <c r="F25" s="71">
        <v>2224523</v>
      </c>
      <c r="G25" s="71" t="s">
        <v>125</v>
      </c>
      <c r="H25" s="71" t="s">
        <v>121</v>
      </c>
      <c r="I25" s="71">
        <v>0.45</v>
      </c>
      <c r="K25" s="71">
        <v>1</v>
      </c>
    </row>
    <row r="26" spans="1:11" ht="12.75">
      <c r="A26" s="71">
        <v>813016</v>
      </c>
      <c r="B26" s="71" t="s">
        <v>138</v>
      </c>
      <c r="C26" s="71" t="s">
        <v>139</v>
      </c>
      <c r="D26" s="71" t="s">
        <v>118</v>
      </c>
      <c r="E26" s="71">
        <v>425</v>
      </c>
      <c r="F26" s="71">
        <v>2224523</v>
      </c>
      <c r="G26" s="71" t="s">
        <v>125</v>
      </c>
      <c r="H26" s="71" t="s">
        <v>122</v>
      </c>
      <c r="I26" s="71">
        <v>0</v>
      </c>
      <c r="K26" s="71">
        <v>6</v>
      </c>
    </row>
    <row r="27" spans="1:11" ht="12.75">
      <c r="A27" s="71">
        <v>892710</v>
      </c>
      <c r="B27" s="71" t="s">
        <v>141</v>
      </c>
      <c r="C27" s="71" t="s">
        <v>142</v>
      </c>
      <c r="D27" s="71" t="s">
        <v>118</v>
      </c>
      <c r="E27" s="71">
        <v>206</v>
      </c>
      <c r="F27" s="71">
        <v>3211422</v>
      </c>
      <c r="G27" s="71" t="s">
        <v>143</v>
      </c>
      <c r="H27" s="71" t="s">
        <v>121</v>
      </c>
      <c r="I27" s="71">
        <v>0.45</v>
      </c>
      <c r="K27" s="71">
        <v>6</v>
      </c>
    </row>
    <row r="28" spans="1:11" ht="12.75">
      <c r="A28" s="71">
        <v>892710</v>
      </c>
      <c r="B28" s="71" t="s">
        <v>141</v>
      </c>
      <c r="C28" s="71" t="s">
        <v>142</v>
      </c>
      <c r="D28" s="71" t="s">
        <v>118</v>
      </c>
      <c r="E28" s="71">
        <v>206</v>
      </c>
      <c r="F28" s="71">
        <v>3211422</v>
      </c>
      <c r="G28" s="71" t="s">
        <v>143</v>
      </c>
      <c r="H28" s="71" t="s">
        <v>120</v>
      </c>
      <c r="I28" s="71">
        <v>3</v>
      </c>
      <c r="K28" s="71">
        <v>1</v>
      </c>
    </row>
    <row r="29" spans="1:11" ht="12.75">
      <c r="A29" s="71">
        <v>892710</v>
      </c>
      <c r="B29" s="71" t="s">
        <v>141</v>
      </c>
      <c r="C29" s="71" t="s">
        <v>142</v>
      </c>
      <c r="D29" s="71" t="s">
        <v>118</v>
      </c>
      <c r="E29" s="71">
        <v>206</v>
      </c>
      <c r="F29" s="71">
        <v>3211422</v>
      </c>
      <c r="G29" s="71" t="s">
        <v>143</v>
      </c>
      <c r="H29" s="71" t="s">
        <v>122</v>
      </c>
      <c r="I29" s="71">
        <v>0</v>
      </c>
      <c r="K29" s="71">
        <v>19</v>
      </c>
    </row>
    <row r="30" spans="1:11" ht="12.75">
      <c r="A30" s="71">
        <v>5006721</v>
      </c>
      <c r="B30" s="71" t="s">
        <v>144</v>
      </c>
      <c r="C30" s="71" t="s">
        <v>145</v>
      </c>
      <c r="D30" s="71" t="s">
        <v>146</v>
      </c>
      <c r="E30" s="71">
        <v>425</v>
      </c>
      <c r="F30" s="71">
        <v>8973400</v>
      </c>
      <c r="G30" s="71" t="s">
        <v>147</v>
      </c>
      <c r="H30" s="71" t="s">
        <v>121</v>
      </c>
      <c r="I30" s="71">
        <v>0.45</v>
      </c>
      <c r="K30" s="71">
        <v>12</v>
      </c>
    </row>
    <row r="31" spans="1:11" ht="12.75">
      <c r="A31" s="71">
        <v>5006721</v>
      </c>
      <c r="B31" s="71" t="s">
        <v>144</v>
      </c>
      <c r="C31" s="71" t="s">
        <v>145</v>
      </c>
      <c r="D31" s="71" t="s">
        <v>146</v>
      </c>
      <c r="E31" s="71">
        <v>425</v>
      </c>
      <c r="F31" s="71">
        <v>8973400</v>
      </c>
      <c r="G31" s="71" t="s">
        <v>147</v>
      </c>
      <c r="H31" s="71" t="s">
        <v>120</v>
      </c>
      <c r="I31" s="71">
        <v>4</v>
      </c>
      <c r="K31" s="71">
        <v>1</v>
      </c>
    </row>
    <row r="32" spans="1:11" ht="12.75">
      <c r="A32" s="71">
        <v>883714</v>
      </c>
      <c r="B32" s="71" t="s">
        <v>148</v>
      </c>
      <c r="C32" s="71" t="s">
        <v>149</v>
      </c>
      <c r="D32" s="71" t="s">
        <v>146</v>
      </c>
      <c r="E32" s="71">
        <v>425</v>
      </c>
      <c r="F32" s="71">
        <v>3917500</v>
      </c>
      <c r="G32" s="71" t="s">
        <v>150</v>
      </c>
      <c r="H32" s="71" t="s">
        <v>151</v>
      </c>
      <c r="I32" s="71">
        <v>20</v>
      </c>
      <c r="J32" s="71" t="s">
        <v>152</v>
      </c>
      <c r="K32" s="71">
        <v>1</v>
      </c>
    </row>
    <row r="33" spans="1:11" ht="12.75">
      <c r="A33" s="71">
        <v>883714</v>
      </c>
      <c r="B33" s="71" t="s">
        <v>148</v>
      </c>
      <c r="C33" s="71" t="s">
        <v>149</v>
      </c>
      <c r="D33" s="71" t="s">
        <v>146</v>
      </c>
      <c r="E33" s="71">
        <v>425</v>
      </c>
      <c r="F33" s="71">
        <v>3917500</v>
      </c>
      <c r="G33" s="71" t="s">
        <v>150</v>
      </c>
      <c r="H33" s="71" t="s">
        <v>121</v>
      </c>
      <c r="I33" s="71">
        <v>0.45</v>
      </c>
      <c r="K33" s="71">
        <v>10</v>
      </c>
    </row>
    <row r="34" spans="1:11" ht="12.75">
      <c r="A34" s="71">
        <v>891489</v>
      </c>
      <c r="B34" s="71" t="s">
        <v>153</v>
      </c>
      <c r="C34" s="71" t="s">
        <v>154</v>
      </c>
      <c r="D34" s="71" t="s">
        <v>136</v>
      </c>
      <c r="E34" s="71">
        <v>425</v>
      </c>
      <c r="F34" s="71">
        <v>8230440</v>
      </c>
      <c r="G34" s="71" t="s">
        <v>155</v>
      </c>
      <c r="H34" s="71" t="s">
        <v>120</v>
      </c>
      <c r="I34" s="71">
        <v>3</v>
      </c>
      <c r="K34" s="71">
        <v>3</v>
      </c>
    </row>
    <row r="35" spans="1:11" ht="12.75">
      <c r="A35" s="71">
        <v>891489</v>
      </c>
      <c r="B35" s="71" t="s">
        <v>153</v>
      </c>
      <c r="C35" s="71" t="s">
        <v>154</v>
      </c>
      <c r="D35" s="71" t="s">
        <v>136</v>
      </c>
      <c r="E35" s="71">
        <v>425</v>
      </c>
      <c r="F35" s="71">
        <v>8230440</v>
      </c>
      <c r="G35" s="71" t="s">
        <v>155</v>
      </c>
      <c r="H35" s="71" t="s">
        <v>121</v>
      </c>
      <c r="I35" s="71">
        <v>0.45</v>
      </c>
      <c r="K35" s="71">
        <v>6</v>
      </c>
    </row>
    <row r="36" spans="1:11" ht="12.75">
      <c r="A36" s="71">
        <v>891489</v>
      </c>
      <c r="B36" s="71" t="s">
        <v>153</v>
      </c>
      <c r="C36" s="71" t="s">
        <v>154</v>
      </c>
      <c r="D36" s="71" t="s">
        <v>136</v>
      </c>
      <c r="E36" s="71">
        <v>425</v>
      </c>
      <c r="F36" s="71">
        <v>8230440</v>
      </c>
      <c r="G36" s="71" t="s">
        <v>155</v>
      </c>
      <c r="H36" s="71" t="s">
        <v>122</v>
      </c>
      <c r="I36" s="71">
        <v>0</v>
      </c>
      <c r="K36" s="71">
        <v>61</v>
      </c>
    </row>
    <row r="37" spans="1:11" ht="12.75">
      <c r="A37" s="71">
        <v>891489</v>
      </c>
      <c r="B37" s="71" t="s">
        <v>153</v>
      </c>
      <c r="C37" s="71" t="s">
        <v>156</v>
      </c>
      <c r="D37" s="71" t="s">
        <v>136</v>
      </c>
      <c r="E37" s="71">
        <v>425</v>
      </c>
      <c r="F37" s="71">
        <v>8230440</v>
      </c>
      <c r="G37" s="71" t="s">
        <v>155</v>
      </c>
      <c r="H37" s="71" t="s">
        <v>120</v>
      </c>
      <c r="I37" s="71">
        <v>3</v>
      </c>
      <c r="K37" s="71">
        <v>3</v>
      </c>
    </row>
    <row r="38" spans="1:11" ht="12.75">
      <c r="A38" s="71">
        <v>891489</v>
      </c>
      <c r="B38" s="71" t="s">
        <v>153</v>
      </c>
      <c r="C38" s="71" t="s">
        <v>156</v>
      </c>
      <c r="D38" s="71" t="s">
        <v>136</v>
      </c>
      <c r="E38" s="71">
        <v>425</v>
      </c>
      <c r="F38" s="71">
        <v>8230440</v>
      </c>
      <c r="G38" s="71" t="s">
        <v>155</v>
      </c>
      <c r="H38" s="71" t="s">
        <v>121</v>
      </c>
      <c r="I38" s="71">
        <v>0.45</v>
      </c>
      <c r="K38" s="71">
        <v>9</v>
      </c>
    </row>
    <row r="39" spans="1:11" ht="12.75">
      <c r="A39" s="71">
        <v>891489</v>
      </c>
      <c r="B39" s="71" t="s">
        <v>153</v>
      </c>
      <c r="C39" s="71" t="s">
        <v>156</v>
      </c>
      <c r="D39" s="71" t="s">
        <v>136</v>
      </c>
      <c r="E39" s="71">
        <v>425</v>
      </c>
      <c r="F39" s="71">
        <v>8230440</v>
      </c>
      <c r="G39" s="71" t="s">
        <v>155</v>
      </c>
      <c r="H39" s="71" t="s">
        <v>122</v>
      </c>
      <c r="I39" s="71">
        <v>0</v>
      </c>
      <c r="K39" s="71">
        <v>61</v>
      </c>
    </row>
    <row r="40" spans="1:11" ht="12.75">
      <c r="A40" s="71">
        <v>815415</v>
      </c>
      <c r="B40" s="71" t="s">
        <v>157</v>
      </c>
      <c r="C40" s="71" t="s">
        <v>158</v>
      </c>
      <c r="D40" s="71" t="s">
        <v>118</v>
      </c>
      <c r="E40" s="71">
        <v>206</v>
      </c>
      <c r="F40" s="71">
        <v>5741253</v>
      </c>
      <c r="G40" s="71" t="s">
        <v>159</v>
      </c>
      <c r="H40" s="71" t="s">
        <v>122</v>
      </c>
      <c r="I40" s="71">
        <v>0</v>
      </c>
      <c r="K40" s="71">
        <v>16</v>
      </c>
    </row>
    <row r="41" spans="1:11" ht="12.75">
      <c r="A41" s="71">
        <v>815415</v>
      </c>
      <c r="B41" s="71" t="s">
        <v>157</v>
      </c>
      <c r="C41" s="71" t="s">
        <v>158</v>
      </c>
      <c r="D41" s="71" t="s">
        <v>118</v>
      </c>
      <c r="E41" s="71">
        <v>206</v>
      </c>
      <c r="F41" s="71">
        <v>5741253</v>
      </c>
      <c r="G41" s="71" t="s">
        <v>159</v>
      </c>
      <c r="H41" s="71" t="s">
        <v>120</v>
      </c>
      <c r="I41" s="71">
        <v>3</v>
      </c>
      <c r="K41" s="71">
        <v>1</v>
      </c>
    </row>
    <row r="42" spans="1:11" ht="12.75">
      <c r="A42" s="71">
        <v>815415</v>
      </c>
      <c r="B42" s="71" t="s">
        <v>157</v>
      </c>
      <c r="C42" s="71" t="s">
        <v>158</v>
      </c>
      <c r="D42" s="71" t="s">
        <v>118</v>
      </c>
      <c r="E42" s="71">
        <v>206</v>
      </c>
      <c r="F42" s="71">
        <v>5741253</v>
      </c>
      <c r="G42" s="71" t="s">
        <v>159</v>
      </c>
      <c r="H42" s="71" t="s">
        <v>131</v>
      </c>
      <c r="I42" s="71">
        <v>3</v>
      </c>
      <c r="K42" s="71">
        <v>1</v>
      </c>
    </row>
    <row r="43" spans="1:11" ht="12.75">
      <c r="A43" s="71">
        <v>814909</v>
      </c>
      <c r="B43" s="71" t="s">
        <v>160</v>
      </c>
      <c r="C43" s="71" t="s">
        <v>161</v>
      </c>
      <c r="D43" s="71" t="s">
        <v>118</v>
      </c>
      <c r="E43" s="71">
        <v>206</v>
      </c>
      <c r="F43" s="71">
        <v>6608383</v>
      </c>
      <c r="G43" s="71" t="s">
        <v>125</v>
      </c>
      <c r="H43" s="71" t="s">
        <v>120</v>
      </c>
      <c r="I43" s="71">
        <v>4</v>
      </c>
      <c r="K43" s="71">
        <v>1</v>
      </c>
    </row>
    <row r="44" spans="1:11" ht="12.75">
      <c r="A44" s="71">
        <v>814909</v>
      </c>
      <c r="B44" s="71" t="s">
        <v>160</v>
      </c>
      <c r="C44" s="71" t="s">
        <v>161</v>
      </c>
      <c r="D44" s="71" t="s">
        <v>118</v>
      </c>
      <c r="E44" s="71">
        <v>206</v>
      </c>
      <c r="F44" s="71">
        <v>6608383</v>
      </c>
      <c r="G44" s="71" t="s">
        <v>125</v>
      </c>
      <c r="H44" s="71" t="s">
        <v>121</v>
      </c>
      <c r="I44" s="71">
        <v>0.45</v>
      </c>
      <c r="K44" s="71">
        <v>3</v>
      </c>
    </row>
    <row r="45" spans="1:11" ht="12.75">
      <c r="A45" s="71">
        <v>814909</v>
      </c>
      <c r="B45" s="71" t="s">
        <v>160</v>
      </c>
      <c r="C45" s="71" t="s">
        <v>161</v>
      </c>
      <c r="D45" s="71" t="s">
        <v>118</v>
      </c>
      <c r="E45" s="71">
        <v>206</v>
      </c>
      <c r="F45" s="71">
        <v>6608383</v>
      </c>
      <c r="G45" s="71" t="s">
        <v>125</v>
      </c>
      <c r="H45" s="71" t="s">
        <v>122</v>
      </c>
      <c r="I45" s="71">
        <v>0</v>
      </c>
      <c r="K45" s="71">
        <v>18</v>
      </c>
    </row>
    <row r="46" spans="1:11" ht="12.75">
      <c r="A46" s="71">
        <v>838227</v>
      </c>
      <c r="B46" s="71" t="s">
        <v>162</v>
      </c>
      <c r="C46" s="71" t="s">
        <v>163</v>
      </c>
      <c r="D46" s="71" t="s">
        <v>136</v>
      </c>
      <c r="E46" s="71">
        <v>425</v>
      </c>
      <c r="F46" s="71">
        <v>8233842</v>
      </c>
      <c r="G46" s="71" t="s">
        <v>125</v>
      </c>
      <c r="H46" s="71" t="s">
        <v>120</v>
      </c>
      <c r="I46" s="71">
        <v>6</v>
      </c>
      <c r="K46" s="71">
        <v>2</v>
      </c>
    </row>
    <row r="47" spans="1:11" ht="12.75">
      <c r="A47" s="71">
        <v>838227</v>
      </c>
      <c r="B47" s="71" t="s">
        <v>162</v>
      </c>
      <c r="C47" s="71" t="s">
        <v>163</v>
      </c>
      <c r="D47" s="71" t="s">
        <v>136</v>
      </c>
      <c r="E47" s="71">
        <v>425</v>
      </c>
      <c r="F47" s="71">
        <v>8233842</v>
      </c>
      <c r="G47" s="71" t="s">
        <v>125</v>
      </c>
      <c r="H47" s="71" t="s">
        <v>120</v>
      </c>
      <c r="I47" s="71">
        <v>8</v>
      </c>
      <c r="K47" s="71">
        <v>2</v>
      </c>
    </row>
    <row r="48" spans="1:11" ht="12.75">
      <c r="A48" s="71">
        <v>838227</v>
      </c>
      <c r="B48" s="71" t="s">
        <v>162</v>
      </c>
      <c r="C48" s="71" t="s">
        <v>163</v>
      </c>
      <c r="D48" s="71" t="s">
        <v>136</v>
      </c>
      <c r="E48" s="71">
        <v>425</v>
      </c>
      <c r="F48" s="71">
        <v>8233842</v>
      </c>
      <c r="G48" s="71" t="s">
        <v>125</v>
      </c>
      <c r="H48" s="71" t="s">
        <v>131</v>
      </c>
      <c r="I48" s="71">
        <v>6</v>
      </c>
      <c r="K48" s="71">
        <v>1</v>
      </c>
    </row>
    <row r="49" spans="1:11" ht="12.75">
      <c r="A49" s="71">
        <v>838227</v>
      </c>
      <c r="B49" s="71" t="s">
        <v>162</v>
      </c>
      <c r="C49" s="71" t="s">
        <v>163</v>
      </c>
      <c r="D49" s="71" t="s">
        <v>136</v>
      </c>
      <c r="E49" s="71">
        <v>425</v>
      </c>
      <c r="F49" s="71">
        <v>8233842</v>
      </c>
      <c r="G49" s="71" t="s">
        <v>125</v>
      </c>
      <c r="H49" s="71" t="s">
        <v>122</v>
      </c>
      <c r="I49" s="71">
        <v>0</v>
      </c>
      <c r="K49" s="71">
        <v>140</v>
      </c>
    </row>
    <row r="50" spans="1:11" ht="12.75">
      <c r="A50" s="71">
        <v>838227</v>
      </c>
      <c r="B50" s="71" t="s">
        <v>162</v>
      </c>
      <c r="C50" s="71" t="s">
        <v>163</v>
      </c>
      <c r="D50" s="71" t="s">
        <v>136</v>
      </c>
      <c r="E50" s="71">
        <v>425</v>
      </c>
      <c r="F50" s="71">
        <v>8233842</v>
      </c>
      <c r="G50" s="71" t="s">
        <v>125</v>
      </c>
      <c r="H50" s="71" t="s">
        <v>120</v>
      </c>
      <c r="I50" s="71">
        <v>8</v>
      </c>
      <c r="K50" s="71">
        <v>1</v>
      </c>
    </row>
    <row r="51" spans="1:11" ht="12.75">
      <c r="A51" s="71">
        <v>814210</v>
      </c>
      <c r="B51" s="71" t="s">
        <v>164</v>
      </c>
      <c r="C51" s="71" t="s">
        <v>165</v>
      </c>
      <c r="D51" s="71" t="s">
        <v>136</v>
      </c>
      <c r="E51" s="71">
        <v>425</v>
      </c>
      <c r="F51" s="71">
        <v>8239903</v>
      </c>
      <c r="G51" s="71" t="s">
        <v>166</v>
      </c>
      <c r="H51" s="71" t="s">
        <v>120</v>
      </c>
      <c r="I51" s="71">
        <v>8</v>
      </c>
      <c r="K51" s="71">
        <v>1</v>
      </c>
    </row>
    <row r="52" spans="1:11" ht="12.75">
      <c r="A52" s="71">
        <v>814210</v>
      </c>
      <c r="B52" s="71" t="s">
        <v>164</v>
      </c>
      <c r="C52" s="71" t="s">
        <v>165</v>
      </c>
      <c r="D52" s="71" t="s">
        <v>136</v>
      </c>
      <c r="E52" s="71">
        <v>425</v>
      </c>
      <c r="F52" s="71">
        <v>8239903</v>
      </c>
      <c r="G52" s="71" t="s">
        <v>166</v>
      </c>
      <c r="H52" s="71" t="s">
        <v>131</v>
      </c>
      <c r="I52" s="71">
        <v>3</v>
      </c>
      <c r="K52" s="71">
        <v>1</v>
      </c>
    </row>
    <row r="53" spans="1:11" ht="12.75">
      <c r="A53" s="71">
        <v>814210</v>
      </c>
      <c r="B53" s="71" t="s">
        <v>164</v>
      </c>
      <c r="C53" s="71" t="s">
        <v>165</v>
      </c>
      <c r="D53" s="71" t="s">
        <v>136</v>
      </c>
      <c r="E53" s="71">
        <v>425</v>
      </c>
      <c r="F53" s="71">
        <v>8239903</v>
      </c>
      <c r="G53" s="71" t="s">
        <v>166</v>
      </c>
      <c r="H53" s="71" t="s">
        <v>122</v>
      </c>
      <c r="I53" s="71">
        <v>0</v>
      </c>
      <c r="K53" s="71">
        <v>26</v>
      </c>
    </row>
    <row r="54" spans="1:11" ht="12.75">
      <c r="A54" s="71">
        <v>814760</v>
      </c>
      <c r="B54" s="71" t="s">
        <v>167</v>
      </c>
      <c r="C54" s="71" t="s">
        <v>168</v>
      </c>
      <c r="D54" s="71" t="s">
        <v>118</v>
      </c>
      <c r="E54" s="71">
        <v>425</v>
      </c>
      <c r="F54" s="71">
        <v>4530213</v>
      </c>
      <c r="G54" s="71" t="s">
        <v>125</v>
      </c>
      <c r="H54" s="71" t="s">
        <v>169</v>
      </c>
      <c r="I54" s="71">
        <v>0.16</v>
      </c>
      <c r="K54" s="71">
        <v>7</v>
      </c>
    </row>
    <row r="55" spans="1:11" ht="12.75">
      <c r="A55" s="71">
        <v>814760</v>
      </c>
      <c r="B55" s="71" t="s">
        <v>167</v>
      </c>
      <c r="C55" s="71" t="s">
        <v>168</v>
      </c>
      <c r="D55" s="71" t="s">
        <v>118</v>
      </c>
      <c r="E55" s="71">
        <v>425</v>
      </c>
      <c r="F55" s="71">
        <v>4530213</v>
      </c>
      <c r="G55" s="71" t="s">
        <v>125</v>
      </c>
      <c r="H55" s="71" t="s">
        <v>170</v>
      </c>
      <c r="I55" s="71">
        <v>0.45</v>
      </c>
      <c r="K55" s="71">
        <v>1</v>
      </c>
    </row>
    <row r="57" spans="1:11" ht="12.75">
      <c r="A57" s="71">
        <v>814760</v>
      </c>
      <c r="B57" s="71" t="s">
        <v>167</v>
      </c>
      <c r="C57" s="71" t="s">
        <v>168</v>
      </c>
      <c r="D57" s="71" t="s">
        <v>118</v>
      </c>
      <c r="E57" s="71">
        <v>425</v>
      </c>
      <c r="F57" s="71">
        <v>4530213</v>
      </c>
      <c r="G57" s="71" t="s">
        <v>125</v>
      </c>
      <c r="H57" s="71" t="s">
        <v>121</v>
      </c>
      <c r="I57" s="71">
        <v>0.45</v>
      </c>
      <c r="K57" s="71">
        <v>2</v>
      </c>
    </row>
    <row r="58" spans="1:11" ht="12.75">
      <c r="A58" s="71">
        <v>814760</v>
      </c>
      <c r="B58" s="71" t="s">
        <v>167</v>
      </c>
      <c r="C58" s="71" t="s">
        <v>168</v>
      </c>
      <c r="D58" s="71" t="s">
        <v>118</v>
      </c>
      <c r="E58" s="71">
        <v>425</v>
      </c>
      <c r="F58" s="71">
        <v>4530213</v>
      </c>
      <c r="G58" s="71" t="s">
        <v>125</v>
      </c>
      <c r="H58" s="71" t="s">
        <v>122</v>
      </c>
      <c r="I58" s="71">
        <v>0</v>
      </c>
      <c r="K58" s="71">
        <v>7</v>
      </c>
    </row>
    <row r="59" spans="1:11" ht="12.75">
      <c r="A59" s="71">
        <v>835332</v>
      </c>
      <c r="B59" s="71" t="s">
        <v>171</v>
      </c>
      <c r="C59" s="71" t="s">
        <v>172</v>
      </c>
      <c r="D59" s="71" t="s">
        <v>118</v>
      </c>
      <c r="E59" s="71">
        <v>206</v>
      </c>
      <c r="F59" s="71">
        <v>9858200</v>
      </c>
      <c r="G59" s="71" t="s">
        <v>125</v>
      </c>
      <c r="H59" s="71" t="s">
        <v>120</v>
      </c>
      <c r="I59" s="71">
        <v>8</v>
      </c>
      <c r="K59" s="71">
        <v>1</v>
      </c>
    </row>
    <row r="60" spans="1:11" ht="12.75">
      <c r="A60" s="71">
        <v>835332</v>
      </c>
      <c r="B60" s="71" t="s">
        <v>171</v>
      </c>
      <c r="C60" s="71" t="s">
        <v>172</v>
      </c>
      <c r="D60" s="71" t="s">
        <v>118</v>
      </c>
      <c r="E60" s="71">
        <v>206</v>
      </c>
      <c r="F60" s="71">
        <v>9858200</v>
      </c>
      <c r="G60" s="71" t="s">
        <v>125</v>
      </c>
      <c r="H60" s="71" t="s">
        <v>120</v>
      </c>
      <c r="I60" s="71">
        <v>4</v>
      </c>
      <c r="K60" s="71">
        <v>1</v>
      </c>
    </row>
    <row r="61" spans="1:11" ht="12.75">
      <c r="A61" s="71">
        <v>835332</v>
      </c>
      <c r="B61" s="71" t="s">
        <v>171</v>
      </c>
      <c r="C61" s="71" t="s">
        <v>172</v>
      </c>
      <c r="D61" s="71" t="s">
        <v>118</v>
      </c>
      <c r="E61" s="71">
        <v>206</v>
      </c>
      <c r="F61" s="71">
        <v>9858200</v>
      </c>
      <c r="G61" s="71" t="s">
        <v>125</v>
      </c>
      <c r="H61" s="71" t="s">
        <v>121</v>
      </c>
      <c r="I61" s="71">
        <v>0.45</v>
      </c>
      <c r="K61" s="71">
        <v>9</v>
      </c>
    </row>
    <row r="62" spans="1:11" ht="12.75">
      <c r="A62" s="71">
        <v>835332</v>
      </c>
      <c r="B62" s="71" t="s">
        <v>171</v>
      </c>
      <c r="C62" s="71" t="s">
        <v>172</v>
      </c>
      <c r="D62" s="71" t="s">
        <v>118</v>
      </c>
      <c r="E62" s="71">
        <v>206</v>
      </c>
      <c r="F62" s="71">
        <v>9858200</v>
      </c>
      <c r="G62" s="71" t="s">
        <v>125</v>
      </c>
      <c r="H62" s="71" t="s">
        <v>122</v>
      </c>
      <c r="I62" s="71">
        <v>0</v>
      </c>
      <c r="K62" s="71">
        <v>75</v>
      </c>
    </row>
    <row r="63" spans="1:11" ht="12.75">
      <c r="A63" s="71">
        <v>813842</v>
      </c>
      <c r="B63" s="71" t="s">
        <v>173</v>
      </c>
      <c r="C63" s="71" t="s">
        <v>174</v>
      </c>
      <c r="D63" s="71" t="s">
        <v>136</v>
      </c>
      <c r="E63" s="71">
        <v>206</v>
      </c>
      <c r="F63" s="71">
        <v>3647600</v>
      </c>
      <c r="G63" s="71" t="s">
        <v>125</v>
      </c>
      <c r="H63" s="71" t="s">
        <v>120</v>
      </c>
      <c r="I63" s="71">
        <v>4</v>
      </c>
      <c r="K63" s="71">
        <v>2</v>
      </c>
    </row>
    <row r="64" spans="1:11" ht="12.75">
      <c r="A64" s="71">
        <v>813842</v>
      </c>
      <c r="B64" s="71" t="s">
        <v>173</v>
      </c>
      <c r="C64" s="71" t="s">
        <v>174</v>
      </c>
      <c r="D64" s="71" t="s">
        <v>136</v>
      </c>
      <c r="E64" s="71">
        <v>206</v>
      </c>
      <c r="F64" s="71">
        <v>3647600</v>
      </c>
      <c r="G64" s="71" t="s">
        <v>125</v>
      </c>
      <c r="H64" s="71" t="s">
        <v>131</v>
      </c>
      <c r="I64" s="71">
        <v>2</v>
      </c>
      <c r="K64" s="71">
        <v>2</v>
      </c>
    </row>
    <row r="65" spans="1:11" ht="12.75">
      <c r="A65" s="71">
        <v>813842</v>
      </c>
      <c r="B65" s="71" t="s">
        <v>173</v>
      </c>
      <c r="C65" s="71" t="s">
        <v>174</v>
      </c>
      <c r="D65" s="71" t="s">
        <v>136</v>
      </c>
      <c r="E65" s="71">
        <v>206</v>
      </c>
      <c r="F65" s="71">
        <v>3647600</v>
      </c>
      <c r="G65" s="71" t="s">
        <v>125</v>
      </c>
      <c r="H65" s="71" t="s">
        <v>121</v>
      </c>
      <c r="I65" s="71">
        <v>0.45</v>
      </c>
      <c r="K65" s="71">
        <v>5</v>
      </c>
    </row>
    <row r="66" spans="1:11" ht="12.75">
      <c r="A66" s="71">
        <v>813842</v>
      </c>
      <c r="B66" s="71" t="s">
        <v>173</v>
      </c>
      <c r="C66" s="71" t="s">
        <v>174</v>
      </c>
      <c r="D66" s="71" t="s">
        <v>136</v>
      </c>
      <c r="E66" s="71">
        <v>206</v>
      </c>
      <c r="F66" s="71">
        <v>3647600</v>
      </c>
      <c r="G66" s="71" t="s">
        <v>125</v>
      </c>
      <c r="H66" s="71" t="s">
        <v>122</v>
      </c>
      <c r="I66" s="71">
        <v>0</v>
      </c>
      <c r="K66" s="71">
        <v>25</v>
      </c>
    </row>
    <row r="67" spans="1:11" ht="12.75">
      <c r="A67" s="71">
        <v>814254</v>
      </c>
      <c r="B67" s="71" t="s">
        <v>175</v>
      </c>
      <c r="C67" s="71" t="s">
        <v>176</v>
      </c>
      <c r="D67" s="71" t="s">
        <v>136</v>
      </c>
      <c r="E67" s="71">
        <v>425</v>
      </c>
      <c r="F67" s="71">
        <v>4559777</v>
      </c>
      <c r="G67" s="71" t="s">
        <v>177</v>
      </c>
      <c r="H67" s="71" t="s">
        <v>120</v>
      </c>
      <c r="I67" s="71">
        <v>3</v>
      </c>
      <c r="K67" s="71">
        <v>2</v>
      </c>
    </row>
    <row r="68" spans="1:11" ht="12.75">
      <c r="A68" s="71">
        <v>814254</v>
      </c>
      <c r="B68" s="71" t="s">
        <v>175</v>
      </c>
      <c r="C68" s="71" t="s">
        <v>176</v>
      </c>
      <c r="D68" s="71" t="s">
        <v>136</v>
      </c>
      <c r="E68" s="71">
        <v>425</v>
      </c>
      <c r="F68" s="71">
        <v>4559777</v>
      </c>
      <c r="G68" s="71" t="s">
        <v>177</v>
      </c>
      <c r="H68" s="71" t="s">
        <v>121</v>
      </c>
      <c r="I68" s="71">
        <v>0.45</v>
      </c>
      <c r="K68" s="71">
        <v>6</v>
      </c>
    </row>
    <row r="69" spans="1:11" ht="12.75">
      <c r="A69" s="71">
        <v>814254</v>
      </c>
      <c r="B69" s="71" t="s">
        <v>175</v>
      </c>
      <c r="C69" s="71" t="s">
        <v>176</v>
      </c>
      <c r="D69" s="71" t="s">
        <v>136</v>
      </c>
      <c r="E69" s="71">
        <v>425</v>
      </c>
      <c r="F69" s="71">
        <v>4559777</v>
      </c>
      <c r="G69" s="71" t="s">
        <v>177</v>
      </c>
      <c r="H69" s="71" t="s">
        <v>122</v>
      </c>
      <c r="I69" s="71">
        <v>0</v>
      </c>
      <c r="K69" s="71">
        <v>18</v>
      </c>
    </row>
    <row r="70" spans="1:11" ht="12.75">
      <c r="A70" s="71">
        <v>5452197</v>
      </c>
      <c r="B70" s="71" t="s">
        <v>178</v>
      </c>
      <c r="C70" s="71" t="s">
        <v>179</v>
      </c>
      <c r="D70" s="71" t="s">
        <v>180</v>
      </c>
      <c r="E70" s="71">
        <v>425</v>
      </c>
      <c r="F70" s="71">
        <v>3912919</v>
      </c>
      <c r="G70" s="71" t="s">
        <v>181</v>
      </c>
      <c r="H70" s="71" t="s">
        <v>151</v>
      </c>
      <c r="I70" s="71">
        <v>20</v>
      </c>
      <c r="J70" s="71" t="s">
        <v>152</v>
      </c>
      <c r="K70" s="71">
        <v>1</v>
      </c>
    </row>
    <row r="71" spans="1:11" ht="12.75">
      <c r="A71" s="71">
        <v>5452197</v>
      </c>
      <c r="B71" s="71" t="s">
        <v>178</v>
      </c>
      <c r="C71" s="71" t="s">
        <v>179</v>
      </c>
      <c r="D71" s="71" t="s">
        <v>180</v>
      </c>
      <c r="E71" s="71">
        <v>425</v>
      </c>
      <c r="F71" s="71">
        <v>3912919</v>
      </c>
      <c r="G71" s="71" t="s">
        <v>181</v>
      </c>
      <c r="H71" s="71" t="s">
        <v>121</v>
      </c>
      <c r="I71" s="71">
        <v>0.45</v>
      </c>
      <c r="K71" s="71">
        <v>18</v>
      </c>
    </row>
    <row r="72" spans="1:11" ht="12.75">
      <c r="A72" s="71">
        <v>837439</v>
      </c>
      <c r="B72" s="71" t="s">
        <v>182</v>
      </c>
      <c r="C72" s="71" t="s">
        <v>183</v>
      </c>
      <c r="D72" s="71" t="s">
        <v>136</v>
      </c>
      <c r="E72" s="71">
        <v>425</v>
      </c>
      <c r="F72" s="71">
        <v>6418953</v>
      </c>
      <c r="G72" s="71" t="s">
        <v>125</v>
      </c>
      <c r="H72" s="71" t="s">
        <v>169</v>
      </c>
      <c r="I72" s="71">
        <v>0.16</v>
      </c>
      <c r="K72" s="71">
        <v>4</v>
      </c>
    </row>
    <row r="73" spans="1:11" ht="12.75">
      <c r="A73" s="71">
        <v>837439</v>
      </c>
      <c r="B73" s="71" t="s">
        <v>182</v>
      </c>
      <c r="C73" s="71" t="s">
        <v>183</v>
      </c>
      <c r="D73" s="71" t="s">
        <v>136</v>
      </c>
      <c r="E73" s="71">
        <v>425</v>
      </c>
      <c r="F73" s="71">
        <v>6418953</v>
      </c>
      <c r="G73" s="71" t="s">
        <v>125</v>
      </c>
      <c r="H73" s="71" t="s">
        <v>121</v>
      </c>
      <c r="I73" s="71">
        <v>0.45</v>
      </c>
      <c r="K73" s="71">
        <v>1</v>
      </c>
    </row>
    <row r="74" spans="1:11" ht="12.75">
      <c r="A74" s="71">
        <v>837439</v>
      </c>
      <c r="B74" s="71" t="s">
        <v>182</v>
      </c>
      <c r="C74" s="71" t="s">
        <v>183</v>
      </c>
      <c r="D74" s="71" t="s">
        <v>136</v>
      </c>
      <c r="E74" s="71">
        <v>425</v>
      </c>
      <c r="F74" s="71">
        <v>6418953</v>
      </c>
      <c r="G74" s="71" t="s">
        <v>125</v>
      </c>
      <c r="H74" s="71" t="s">
        <v>122</v>
      </c>
      <c r="I74" s="71">
        <v>0</v>
      </c>
      <c r="K74" s="71">
        <v>4</v>
      </c>
    </row>
    <row r="75" spans="1:11" ht="12.75">
      <c r="A75" s="71">
        <v>830270</v>
      </c>
      <c r="B75" s="71" t="s">
        <v>184</v>
      </c>
      <c r="C75" s="71" t="s">
        <v>185</v>
      </c>
      <c r="D75" s="71" t="s">
        <v>118</v>
      </c>
      <c r="E75" s="71">
        <v>999</v>
      </c>
      <c r="F75" s="71">
        <v>0</v>
      </c>
      <c r="G75" s="71" t="s">
        <v>186</v>
      </c>
      <c r="H75" s="71" t="s">
        <v>120</v>
      </c>
      <c r="I75" s="71">
        <v>2</v>
      </c>
      <c r="K75" s="71">
        <v>1</v>
      </c>
    </row>
    <row r="76" spans="1:11" ht="12.75">
      <c r="A76" s="71">
        <v>830270</v>
      </c>
      <c r="B76" s="71" t="s">
        <v>184</v>
      </c>
      <c r="C76" s="71" t="s">
        <v>185</v>
      </c>
      <c r="D76" s="71" t="s">
        <v>118</v>
      </c>
      <c r="E76" s="71">
        <v>999</v>
      </c>
      <c r="F76" s="71">
        <v>0</v>
      </c>
      <c r="G76" s="71" t="s">
        <v>186</v>
      </c>
      <c r="H76" s="71" t="s">
        <v>122</v>
      </c>
      <c r="I76" s="71">
        <v>0</v>
      </c>
      <c r="K76" s="71">
        <v>8</v>
      </c>
    </row>
    <row r="77" spans="1:11" ht="12.75">
      <c r="A77" s="71">
        <v>813976</v>
      </c>
      <c r="B77" s="71" t="s">
        <v>187</v>
      </c>
      <c r="C77" s="71" t="s">
        <v>188</v>
      </c>
      <c r="D77" s="71" t="s">
        <v>136</v>
      </c>
      <c r="E77" s="71">
        <v>425</v>
      </c>
      <c r="F77" s="71">
        <v>6462776</v>
      </c>
      <c r="G77" s="71" t="s">
        <v>189</v>
      </c>
      <c r="H77" s="71" t="s">
        <v>120</v>
      </c>
      <c r="I77" s="71">
        <v>3</v>
      </c>
      <c r="K77" s="71">
        <v>4</v>
      </c>
    </row>
    <row r="78" spans="1:11" ht="12.75">
      <c r="A78" s="71">
        <v>813976</v>
      </c>
      <c r="B78" s="71" t="s">
        <v>187</v>
      </c>
      <c r="C78" s="71" t="s">
        <v>188</v>
      </c>
      <c r="D78" s="71" t="s">
        <v>136</v>
      </c>
      <c r="E78" s="71">
        <v>425</v>
      </c>
      <c r="F78" s="71">
        <v>6462776</v>
      </c>
      <c r="G78" s="71" t="s">
        <v>189</v>
      </c>
      <c r="H78" s="71" t="s">
        <v>131</v>
      </c>
      <c r="I78" s="71">
        <v>2</v>
      </c>
      <c r="K78" s="71">
        <v>1</v>
      </c>
    </row>
    <row r="79" spans="1:11" ht="12.75">
      <c r="A79" s="71">
        <v>813976</v>
      </c>
      <c r="B79" s="71" t="s">
        <v>187</v>
      </c>
      <c r="C79" s="71" t="s">
        <v>188</v>
      </c>
      <c r="D79" s="71" t="s">
        <v>136</v>
      </c>
      <c r="E79" s="71">
        <v>425</v>
      </c>
      <c r="F79" s="71">
        <v>6462776</v>
      </c>
      <c r="G79" s="71" t="s">
        <v>189</v>
      </c>
      <c r="H79" s="71" t="s">
        <v>131</v>
      </c>
      <c r="I79" s="71">
        <v>4</v>
      </c>
      <c r="K79" s="71">
        <v>1</v>
      </c>
    </row>
    <row r="80" spans="1:11" ht="12.75">
      <c r="A80" s="71">
        <v>813976</v>
      </c>
      <c r="B80" s="71" t="s">
        <v>187</v>
      </c>
      <c r="C80" s="71" t="s">
        <v>188</v>
      </c>
      <c r="D80" s="71" t="s">
        <v>136</v>
      </c>
      <c r="E80" s="71">
        <v>425</v>
      </c>
      <c r="F80" s="71">
        <v>6462776</v>
      </c>
      <c r="G80" s="71" t="s">
        <v>189</v>
      </c>
      <c r="H80" s="71" t="s">
        <v>121</v>
      </c>
      <c r="I80" s="71">
        <v>0.45</v>
      </c>
      <c r="K80" s="71">
        <v>3</v>
      </c>
    </row>
    <row r="81" spans="1:11" ht="12.75">
      <c r="A81" s="71">
        <v>813976</v>
      </c>
      <c r="B81" s="71" t="s">
        <v>187</v>
      </c>
      <c r="C81" s="71" t="s">
        <v>188</v>
      </c>
      <c r="D81" s="71" t="s">
        <v>136</v>
      </c>
      <c r="E81" s="71">
        <v>425</v>
      </c>
      <c r="F81" s="71">
        <v>6462776</v>
      </c>
      <c r="G81" s="71" t="s">
        <v>189</v>
      </c>
      <c r="H81" s="71" t="s">
        <v>122</v>
      </c>
      <c r="I81" s="71">
        <v>0</v>
      </c>
      <c r="K81" s="71">
        <v>54</v>
      </c>
    </row>
    <row r="82" spans="1:11" ht="12.75">
      <c r="A82" s="71">
        <v>814375</v>
      </c>
      <c r="B82" s="71" t="s">
        <v>190</v>
      </c>
      <c r="C82" s="71" t="s">
        <v>191</v>
      </c>
      <c r="D82" s="71" t="s">
        <v>136</v>
      </c>
      <c r="E82" s="71">
        <v>425</v>
      </c>
      <c r="F82" s="71">
        <v>4531934</v>
      </c>
      <c r="G82" s="71" t="s">
        <v>125</v>
      </c>
      <c r="H82" s="71" t="s">
        <v>120</v>
      </c>
      <c r="I82" s="71">
        <v>4</v>
      </c>
      <c r="K82" s="71">
        <v>3</v>
      </c>
    </row>
    <row r="83" spans="1:11" ht="12.75">
      <c r="A83" s="71">
        <v>814375</v>
      </c>
      <c r="B83" s="71" t="s">
        <v>190</v>
      </c>
      <c r="C83" s="71" t="s">
        <v>191</v>
      </c>
      <c r="D83" s="71" t="s">
        <v>136</v>
      </c>
      <c r="E83" s="71">
        <v>425</v>
      </c>
      <c r="F83" s="71">
        <v>4531934</v>
      </c>
      <c r="G83" s="71" t="s">
        <v>125</v>
      </c>
      <c r="H83" s="71" t="s">
        <v>131</v>
      </c>
      <c r="I83" s="71">
        <v>2</v>
      </c>
      <c r="K83" s="71">
        <v>2</v>
      </c>
    </row>
    <row r="84" spans="1:11" ht="12.75">
      <c r="A84" s="71">
        <v>814375</v>
      </c>
      <c r="B84" s="71" t="s">
        <v>190</v>
      </c>
      <c r="C84" s="71" t="s">
        <v>191</v>
      </c>
      <c r="D84" s="71" t="s">
        <v>136</v>
      </c>
      <c r="E84" s="71">
        <v>425</v>
      </c>
      <c r="F84" s="71">
        <v>4531934</v>
      </c>
      <c r="G84" s="71" t="s">
        <v>125</v>
      </c>
      <c r="H84" s="71" t="s">
        <v>131</v>
      </c>
      <c r="I84" s="71">
        <v>3</v>
      </c>
      <c r="K84" s="71">
        <v>1</v>
      </c>
    </row>
    <row r="85" spans="1:11" ht="12.75">
      <c r="A85" s="71">
        <v>814375</v>
      </c>
      <c r="B85" s="71" t="s">
        <v>190</v>
      </c>
      <c r="C85" s="71" t="s">
        <v>191</v>
      </c>
      <c r="D85" s="71" t="s">
        <v>136</v>
      </c>
      <c r="E85" s="71">
        <v>425</v>
      </c>
      <c r="F85" s="71">
        <v>4531934</v>
      </c>
      <c r="G85" s="71" t="s">
        <v>125</v>
      </c>
      <c r="H85" s="71" t="s">
        <v>121</v>
      </c>
      <c r="I85" s="71">
        <v>0.3</v>
      </c>
      <c r="K85" s="71">
        <v>7</v>
      </c>
    </row>
    <row r="86" spans="1:11" ht="12.75">
      <c r="A86" s="71">
        <v>814375</v>
      </c>
      <c r="B86" s="71" t="s">
        <v>190</v>
      </c>
      <c r="C86" s="71" t="s">
        <v>191</v>
      </c>
      <c r="D86" s="71" t="s">
        <v>136</v>
      </c>
      <c r="E86" s="71">
        <v>425</v>
      </c>
      <c r="F86" s="71">
        <v>4531934</v>
      </c>
      <c r="G86" s="71" t="s">
        <v>125</v>
      </c>
      <c r="H86" s="71" t="s">
        <v>122</v>
      </c>
      <c r="I86" s="71">
        <v>0</v>
      </c>
      <c r="K86" s="71">
        <v>72</v>
      </c>
    </row>
    <row r="87" spans="1:11" ht="12.75">
      <c r="A87" s="71">
        <v>5457760</v>
      </c>
      <c r="B87" s="71" t="s">
        <v>192</v>
      </c>
      <c r="C87" s="71" t="s">
        <v>193</v>
      </c>
      <c r="D87" s="71" t="s">
        <v>146</v>
      </c>
      <c r="E87" s="71">
        <v>425</v>
      </c>
      <c r="F87" s="71">
        <v>3912187</v>
      </c>
      <c r="G87" s="71" t="s">
        <v>194</v>
      </c>
      <c r="H87" s="71" t="s">
        <v>121</v>
      </c>
      <c r="I87" s="71">
        <v>0.45</v>
      </c>
      <c r="K87" s="71">
        <v>28</v>
      </c>
    </row>
    <row r="88" spans="1:11" ht="12.75">
      <c r="A88" s="71">
        <v>5457760</v>
      </c>
      <c r="B88" s="71" t="s">
        <v>192</v>
      </c>
      <c r="C88" s="71" t="s">
        <v>193</v>
      </c>
      <c r="D88" s="71" t="s">
        <v>146</v>
      </c>
      <c r="E88" s="71">
        <v>425</v>
      </c>
      <c r="F88" s="71">
        <v>3912187</v>
      </c>
      <c r="G88" s="71" t="s">
        <v>194</v>
      </c>
      <c r="H88" s="71" t="s">
        <v>151</v>
      </c>
      <c r="I88" s="71">
        <v>30</v>
      </c>
      <c r="J88" s="71" t="s">
        <v>152</v>
      </c>
      <c r="K88" s="71">
        <v>1</v>
      </c>
    </row>
    <row r="89" spans="1:11" ht="12.75">
      <c r="A89" s="71">
        <v>893593</v>
      </c>
      <c r="B89" s="71" t="s">
        <v>195</v>
      </c>
      <c r="C89" s="71" t="s">
        <v>196</v>
      </c>
      <c r="D89" s="71" t="s">
        <v>118</v>
      </c>
      <c r="E89" s="71">
        <v>206</v>
      </c>
      <c r="F89" s="71">
        <v>5420192</v>
      </c>
      <c r="G89" s="71" t="s">
        <v>197</v>
      </c>
      <c r="H89" s="71" t="s">
        <v>120</v>
      </c>
      <c r="I89" s="71">
        <v>6</v>
      </c>
      <c r="K89" s="71">
        <v>1</v>
      </c>
    </row>
    <row r="90" spans="1:11" ht="12.75">
      <c r="A90" s="71">
        <v>893593</v>
      </c>
      <c r="B90" s="71" t="s">
        <v>195</v>
      </c>
      <c r="C90" s="71" t="s">
        <v>196</v>
      </c>
      <c r="D90" s="71" t="s">
        <v>118</v>
      </c>
      <c r="E90" s="71">
        <v>206</v>
      </c>
      <c r="F90" s="71">
        <v>5420192</v>
      </c>
      <c r="G90" s="71" t="s">
        <v>197</v>
      </c>
      <c r="H90" s="71" t="s">
        <v>120</v>
      </c>
      <c r="I90" s="71">
        <v>4</v>
      </c>
      <c r="K90" s="71">
        <v>2</v>
      </c>
    </row>
    <row r="91" spans="1:11" ht="12.75">
      <c r="A91" s="71">
        <v>893593</v>
      </c>
      <c r="B91" s="71" t="s">
        <v>195</v>
      </c>
      <c r="C91" s="71" t="s">
        <v>196</v>
      </c>
      <c r="D91" s="71" t="s">
        <v>118</v>
      </c>
      <c r="E91" s="71">
        <v>206</v>
      </c>
      <c r="F91" s="71">
        <v>5420192</v>
      </c>
      <c r="G91" s="71" t="s">
        <v>197</v>
      </c>
      <c r="H91" s="71" t="s">
        <v>131</v>
      </c>
      <c r="I91" s="71">
        <v>2</v>
      </c>
      <c r="K91" s="71">
        <v>2</v>
      </c>
    </row>
    <row r="92" spans="1:11" ht="12.75">
      <c r="A92" s="71">
        <v>893593</v>
      </c>
      <c r="B92" s="71" t="s">
        <v>195</v>
      </c>
      <c r="C92" s="71" t="s">
        <v>196</v>
      </c>
      <c r="D92" s="71" t="s">
        <v>118</v>
      </c>
      <c r="E92" s="71">
        <v>206</v>
      </c>
      <c r="F92" s="71">
        <v>5420192</v>
      </c>
      <c r="G92" s="71" t="s">
        <v>197</v>
      </c>
      <c r="H92" s="71" t="s">
        <v>131</v>
      </c>
      <c r="I92" s="71">
        <v>1.25</v>
      </c>
      <c r="K92" s="71">
        <v>1</v>
      </c>
    </row>
    <row r="93" spans="1:11" ht="12.75">
      <c r="A93" s="71">
        <v>893593</v>
      </c>
      <c r="B93" s="71" t="s">
        <v>195</v>
      </c>
      <c r="C93" s="71" t="s">
        <v>196</v>
      </c>
      <c r="D93" s="71" t="s">
        <v>118</v>
      </c>
      <c r="E93" s="71">
        <v>206</v>
      </c>
      <c r="F93" s="71">
        <v>5420192</v>
      </c>
      <c r="G93" s="71" t="s">
        <v>197</v>
      </c>
      <c r="H93" s="71" t="s">
        <v>122</v>
      </c>
      <c r="I93" s="71">
        <v>0</v>
      </c>
      <c r="K93" s="71">
        <v>96</v>
      </c>
    </row>
    <row r="94" spans="1:11" ht="12.75">
      <c r="A94" s="71">
        <v>812812</v>
      </c>
      <c r="B94" s="71" t="s">
        <v>198</v>
      </c>
      <c r="C94" s="71" t="s">
        <v>199</v>
      </c>
      <c r="D94" s="71" t="s">
        <v>118</v>
      </c>
      <c r="E94" s="71">
        <v>206</v>
      </c>
      <c r="F94" s="71">
        <v>4177880</v>
      </c>
      <c r="G94" s="71" t="s">
        <v>125</v>
      </c>
      <c r="H94" s="71" t="s">
        <v>121</v>
      </c>
      <c r="I94" s="71">
        <v>0.45</v>
      </c>
      <c r="K94" s="71">
        <v>1</v>
      </c>
    </row>
    <row r="95" spans="1:11" ht="12.75">
      <c r="A95" s="71">
        <v>812812</v>
      </c>
      <c r="B95" s="71" t="s">
        <v>198</v>
      </c>
      <c r="C95" s="71" t="s">
        <v>199</v>
      </c>
      <c r="D95" s="71" t="s">
        <v>118</v>
      </c>
      <c r="E95" s="71">
        <v>206</v>
      </c>
      <c r="F95" s="71">
        <v>4177880</v>
      </c>
      <c r="G95" s="71" t="s">
        <v>125</v>
      </c>
      <c r="H95" s="71" t="s">
        <v>122</v>
      </c>
      <c r="I95" s="71">
        <v>0</v>
      </c>
      <c r="K95" s="71">
        <v>4</v>
      </c>
    </row>
    <row r="96" spans="1:11" ht="12.75">
      <c r="A96" s="71">
        <v>812812</v>
      </c>
      <c r="B96" s="71" t="s">
        <v>198</v>
      </c>
      <c r="C96" s="71" t="s">
        <v>199</v>
      </c>
      <c r="D96" s="71" t="s">
        <v>118</v>
      </c>
      <c r="E96" s="71">
        <v>206</v>
      </c>
      <c r="F96" s="71">
        <v>4177880</v>
      </c>
      <c r="G96" s="71" t="s">
        <v>125</v>
      </c>
      <c r="H96" s="71" t="s">
        <v>120</v>
      </c>
      <c r="I96" s="71">
        <v>1.25</v>
      </c>
      <c r="K96" s="71">
        <v>1</v>
      </c>
    </row>
    <row r="97" spans="1:11" ht="12.75">
      <c r="A97" s="71">
        <v>818868</v>
      </c>
      <c r="B97" s="71" t="s">
        <v>200</v>
      </c>
      <c r="C97" s="71" t="s">
        <v>201</v>
      </c>
      <c r="D97" s="71" t="s">
        <v>136</v>
      </c>
      <c r="E97" s="71">
        <v>425</v>
      </c>
      <c r="F97" s="71">
        <v>8146112</v>
      </c>
      <c r="G97" s="71" t="s">
        <v>125</v>
      </c>
      <c r="H97" s="71" t="s">
        <v>120</v>
      </c>
      <c r="I97" s="71">
        <v>4</v>
      </c>
      <c r="K97" s="71">
        <v>1</v>
      </c>
    </row>
    <row r="98" spans="1:11" ht="12.75">
      <c r="A98" s="71">
        <v>818868</v>
      </c>
      <c r="B98" s="71" t="s">
        <v>200</v>
      </c>
      <c r="C98" s="71" t="s">
        <v>201</v>
      </c>
      <c r="D98" s="71" t="s">
        <v>136</v>
      </c>
      <c r="E98" s="71">
        <v>425</v>
      </c>
      <c r="F98" s="71">
        <v>8146112</v>
      </c>
      <c r="G98" s="71" t="s">
        <v>125</v>
      </c>
      <c r="H98" s="71" t="s">
        <v>121</v>
      </c>
      <c r="I98" s="71">
        <v>0.45</v>
      </c>
      <c r="K98" s="71">
        <v>2</v>
      </c>
    </row>
    <row r="99" spans="1:11" ht="12.75">
      <c r="A99" s="71">
        <v>818868</v>
      </c>
      <c r="B99" s="71" t="s">
        <v>200</v>
      </c>
      <c r="C99" s="71" t="s">
        <v>201</v>
      </c>
      <c r="D99" s="71" t="s">
        <v>136</v>
      </c>
      <c r="E99" s="71">
        <v>425</v>
      </c>
      <c r="F99" s="71">
        <v>8146112</v>
      </c>
      <c r="G99" s="71" t="s">
        <v>125</v>
      </c>
      <c r="H99" s="71" t="s">
        <v>131</v>
      </c>
      <c r="I99" s="71">
        <v>2</v>
      </c>
      <c r="K99" s="71">
        <v>1</v>
      </c>
    </row>
    <row r="100" spans="1:11" ht="12.75">
      <c r="A100" s="71">
        <v>818868</v>
      </c>
      <c r="B100" s="71" t="s">
        <v>200</v>
      </c>
      <c r="C100" s="71" t="s">
        <v>201</v>
      </c>
      <c r="D100" s="71" t="s">
        <v>136</v>
      </c>
      <c r="E100" s="71">
        <v>425</v>
      </c>
      <c r="F100" s="71">
        <v>8146112</v>
      </c>
      <c r="G100" s="71" t="s">
        <v>125</v>
      </c>
      <c r="H100" s="71" t="s">
        <v>122</v>
      </c>
      <c r="I100" s="71">
        <v>0</v>
      </c>
      <c r="K100" s="71">
        <v>22</v>
      </c>
    </row>
    <row r="101" spans="1:11" ht="12.75">
      <c r="A101" s="71">
        <v>814910</v>
      </c>
      <c r="B101" s="71" t="s">
        <v>202</v>
      </c>
      <c r="C101" s="71" t="s">
        <v>203</v>
      </c>
      <c r="D101" s="71" t="s">
        <v>118</v>
      </c>
      <c r="E101" s="71">
        <v>206</v>
      </c>
      <c r="F101" s="71">
        <v>3220722</v>
      </c>
      <c r="G101" s="71" t="s">
        <v>204</v>
      </c>
      <c r="H101" s="71" t="s">
        <v>120</v>
      </c>
      <c r="I101" s="71">
        <v>6</v>
      </c>
      <c r="K101" s="71">
        <v>1</v>
      </c>
    </row>
    <row r="102" spans="1:11" ht="12.75">
      <c r="A102" s="71">
        <v>814910</v>
      </c>
      <c r="B102" s="71" t="s">
        <v>202</v>
      </c>
      <c r="C102" s="71" t="s">
        <v>203</v>
      </c>
      <c r="D102" s="71" t="s">
        <v>118</v>
      </c>
      <c r="E102" s="71">
        <v>206</v>
      </c>
      <c r="F102" s="71">
        <v>3220722</v>
      </c>
      <c r="G102" s="71" t="s">
        <v>204</v>
      </c>
      <c r="H102" s="71" t="s">
        <v>131</v>
      </c>
      <c r="I102" s="71">
        <v>3</v>
      </c>
      <c r="K102" s="71">
        <v>1</v>
      </c>
    </row>
    <row r="103" spans="1:11" ht="12.75">
      <c r="A103" s="71">
        <v>814910</v>
      </c>
      <c r="B103" s="71" t="s">
        <v>202</v>
      </c>
      <c r="C103" s="71" t="s">
        <v>203</v>
      </c>
      <c r="D103" s="71" t="s">
        <v>118</v>
      </c>
      <c r="E103" s="71">
        <v>206</v>
      </c>
      <c r="F103" s="71">
        <v>3220722</v>
      </c>
      <c r="G103" s="71" t="s">
        <v>204</v>
      </c>
      <c r="H103" s="71" t="s">
        <v>121</v>
      </c>
      <c r="I103" s="71">
        <v>0.45</v>
      </c>
      <c r="K103" s="71">
        <v>2</v>
      </c>
    </row>
    <row r="104" spans="1:11" ht="12.75">
      <c r="A104" s="71">
        <v>814910</v>
      </c>
      <c r="B104" s="71" t="s">
        <v>202</v>
      </c>
      <c r="C104" s="71" t="s">
        <v>203</v>
      </c>
      <c r="D104" s="71" t="s">
        <v>118</v>
      </c>
      <c r="E104" s="71">
        <v>206</v>
      </c>
      <c r="F104" s="71">
        <v>3220722</v>
      </c>
      <c r="G104" s="71" t="s">
        <v>204</v>
      </c>
      <c r="H104" s="71" t="s">
        <v>122</v>
      </c>
      <c r="I104" s="71">
        <v>0</v>
      </c>
      <c r="K104" s="71">
        <v>28</v>
      </c>
    </row>
    <row r="105" spans="1:11" ht="12.75">
      <c r="A105" s="71">
        <v>814250</v>
      </c>
      <c r="B105" s="71" t="s">
        <v>205</v>
      </c>
      <c r="C105" s="71" t="s">
        <v>206</v>
      </c>
      <c r="D105" s="71" t="s">
        <v>136</v>
      </c>
      <c r="E105" s="71">
        <v>206</v>
      </c>
      <c r="F105" s="71">
        <v>3236500</v>
      </c>
      <c r="G105" s="71" t="s">
        <v>125</v>
      </c>
      <c r="H105" s="71" t="s">
        <v>120</v>
      </c>
      <c r="I105" s="71">
        <v>4</v>
      </c>
      <c r="K105" s="71">
        <v>1</v>
      </c>
    </row>
    <row r="106" spans="1:11" ht="12.75">
      <c r="A106" s="71">
        <v>814250</v>
      </c>
      <c r="B106" s="71" t="s">
        <v>205</v>
      </c>
      <c r="C106" s="71" t="s">
        <v>206</v>
      </c>
      <c r="D106" s="71" t="s">
        <v>136</v>
      </c>
      <c r="E106" s="71">
        <v>206</v>
      </c>
      <c r="F106" s="71">
        <v>3236500</v>
      </c>
      <c r="G106" s="71" t="s">
        <v>125</v>
      </c>
      <c r="H106" s="71" t="s">
        <v>122</v>
      </c>
      <c r="I106" s="71">
        <v>0</v>
      </c>
      <c r="K106" s="71">
        <v>14</v>
      </c>
    </row>
    <row r="107" spans="1:11" ht="12.75">
      <c r="A107" s="71">
        <v>893599</v>
      </c>
      <c r="B107" s="71" t="s">
        <v>207</v>
      </c>
      <c r="C107" s="71" t="s">
        <v>208</v>
      </c>
      <c r="D107" s="71" t="s">
        <v>118</v>
      </c>
      <c r="E107" s="71">
        <v>206</v>
      </c>
      <c r="F107" s="71">
        <v>4177881</v>
      </c>
      <c r="G107" s="71" t="s">
        <v>209</v>
      </c>
      <c r="H107" s="71" t="s">
        <v>120</v>
      </c>
      <c r="I107" s="71">
        <v>1.25</v>
      </c>
      <c r="K107" s="71">
        <v>1</v>
      </c>
    </row>
    <row r="108" spans="1:11" ht="12.75">
      <c r="A108" s="71">
        <v>893599</v>
      </c>
      <c r="B108" s="71" t="s">
        <v>207</v>
      </c>
      <c r="C108" s="71" t="s">
        <v>208</v>
      </c>
      <c r="D108" s="71" t="s">
        <v>118</v>
      </c>
      <c r="E108" s="71">
        <v>206</v>
      </c>
      <c r="F108" s="71">
        <v>4177881</v>
      </c>
      <c r="G108" s="71" t="s">
        <v>209</v>
      </c>
      <c r="H108" s="71" t="s">
        <v>121</v>
      </c>
      <c r="I108" s="71">
        <v>0.45</v>
      </c>
      <c r="K108" s="71">
        <v>2</v>
      </c>
    </row>
    <row r="109" spans="1:11" ht="12.75">
      <c r="A109" s="71">
        <v>893599</v>
      </c>
      <c r="B109" s="71" t="s">
        <v>207</v>
      </c>
      <c r="C109" s="71" t="s">
        <v>208</v>
      </c>
      <c r="D109" s="71" t="s">
        <v>118</v>
      </c>
      <c r="E109" s="71">
        <v>206</v>
      </c>
      <c r="F109" s="71">
        <v>4177881</v>
      </c>
      <c r="G109" s="71" t="s">
        <v>209</v>
      </c>
      <c r="H109" s="71" t="s">
        <v>122</v>
      </c>
      <c r="I109" s="71">
        <v>0</v>
      </c>
      <c r="K109" s="71">
        <v>4</v>
      </c>
    </row>
    <row r="111" spans="1:11" ht="12.75">
      <c r="A111" s="71">
        <v>892670</v>
      </c>
      <c r="B111" s="71" t="s">
        <v>210</v>
      </c>
      <c r="C111" s="71" t="s">
        <v>211</v>
      </c>
      <c r="D111" s="71" t="s">
        <v>118</v>
      </c>
      <c r="E111" s="71">
        <v>206</v>
      </c>
      <c r="F111" s="71">
        <v>3638349</v>
      </c>
      <c r="G111" s="71" t="s">
        <v>212</v>
      </c>
      <c r="H111" s="71" t="s">
        <v>120</v>
      </c>
      <c r="I111" s="71">
        <v>1</v>
      </c>
      <c r="K111" s="71">
        <v>1</v>
      </c>
    </row>
    <row r="112" spans="1:11" ht="12.75">
      <c r="A112" s="71">
        <v>892670</v>
      </c>
      <c r="B112" s="71" t="s">
        <v>210</v>
      </c>
      <c r="C112" s="71" t="s">
        <v>211</v>
      </c>
      <c r="D112" s="71" t="s">
        <v>118</v>
      </c>
      <c r="E112" s="71">
        <v>206</v>
      </c>
      <c r="F112" s="71">
        <v>3638349</v>
      </c>
      <c r="G112" s="71" t="s">
        <v>212</v>
      </c>
      <c r="H112" s="71" t="s">
        <v>122</v>
      </c>
      <c r="I112" s="71">
        <v>0</v>
      </c>
      <c r="K112" s="71">
        <v>4</v>
      </c>
    </row>
    <row r="113" spans="1:11" ht="12.75">
      <c r="A113" s="71">
        <v>815426</v>
      </c>
      <c r="B113" s="71" t="s">
        <v>213</v>
      </c>
      <c r="C113" s="71" t="s">
        <v>214</v>
      </c>
      <c r="D113" s="71" t="s">
        <v>118</v>
      </c>
      <c r="E113" s="71">
        <v>425</v>
      </c>
      <c r="F113" s="71">
        <v>4873497</v>
      </c>
      <c r="G113" s="71" t="s">
        <v>125</v>
      </c>
      <c r="H113" s="71" t="s">
        <v>131</v>
      </c>
      <c r="I113" s="71">
        <v>3</v>
      </c>
      <c r="K113" s="71">
        <v>1</v>
      </c>
    </row>
    <row r="114" spans="1:11" ht="12.75">
      <c r="A114" s="71">
        <v>815426</v>
      </c>
      <c r="B114" s="71" t="s">
        <v>213</v>
      </c>
      <c r="C114" s="71" t="s">
        <v>214</v>
      </c>
      <c r="D114" s="71" t="s">
        <v>118</v>
      </c>
      <c r="E114" s="71">
        <v>425</v>
      </c>
      <c r="F114" s="71">
        <v>4873497</v>
      </c>
      <c r="G114" s="71" t="s">
        <v>125</v>
      </c>
      <c r="H114" s="71" t="s">
        <v>121</v>
      </c>
      <c r="I114" s="71">
        <v>0.45</v>
      </c>
      <c r="K114" s="71">
        <v>2</v>
      </c>
    </row>
    <row r="115" spans="1:11" ht="12.75">
      <c r="A115" s="71">
        <v>815426</v>
      </c>
      <c r="B115" s="71" t="s">
        <v>213</v>
      </c>
      <c r="C115" s="71" t="s">
        <v>214</v>
      </c>
      <c r="D115" s="71" t="s">
        <v>118</v>
      </c>
      <c r="E115" s="71">
        <v>425</v>
      </c>
      <c r="F115" s="71">
        <v>4873497</v>
      </c>
      <c r="G115" s="71" t="s">
        <v>125</v>
      </c>
      <c r="H115" s="71" t="s">
        <v>120</v>
      </c>
      <c r="I115" s="71">
        <v>6</v>
      </c>
      <c r="K115" s="71">
        <v>1</v>
      </c>
    </row>
    <row r="116" spans="1:11" ht="12.75">
      <c r="A116" s="71">
        <v>815426</v>
      </c>
      <c r="B116" s="71" t="s">
        <v>213</v>
      </c>
      <c r="C116" s="71" t="s">
        <v>214</v>
      </c>
      <c r="D116" s="71" t="s">
        <v>118</v>
      </c>
      <c r="E116" s="71">
        <v>425</v>
      </c>
      <c r="F116" s="71">
        <v>4873497</v>
      </c>
      <c r="G116" s="71" t="s">
        <v>125</v>
      </c>
      <c r="H116" s="71" t="s">
        <v>122</v>
      </c>
      <c r="I116" s="71">
        <v>0</v>
      </c>
      <c r="K116" s="71">
        <v>26</v>
      </c>
    </row>
    <row r="117" spans="1:11" ht="12.75">
      <c r="A117" s="71">
        <v>891288</v>
      </c>
      <c r="B117" s="71" t="s">
        <v>215</v>
      </c>
      <c r="C117" s="71" t="s">
        <v>216</v>
      </c>
      <c r="D117" s="71" t="s">
        <v>118</v>
      </c>
      <c r="E117" s="71">
        <v>425</v>
      </c>
      <c r="F117" s="71">
        <v>4710774</v>
      </c>
      <c r="G117" s="71" t="s">
        <v>217</v>
      </c>
      <c r="H117" s="71" t="s">
        <v>121</v>
      </c>
      <c r="I117" s="71">
        <v>0.45</v>
      </c>
      <c r="K117" s="71">
        <v>8</v>
      </c>
    </row>
    <row r="118" spans="1:11" ht="12.75">
      <c r="A118" s="71">
        <v>891288</v>
      </c>
      <c r="B118" s="71" t="s">
        <v>215</v>
      </c>
      <c r="C118" s="71" t="s">
        <v>216</v>
      </c>
      <c r="D118" s="71" t="s">
        <v>118</v>
      </c>
      <c r="E118" s="71">
        <v>425</v>
      </c>
      <c r="F118" s="71">
        <v>4710774</v>
      </c>
      <c r="G118" s="71" t="s">
        <v>217</v>
      </c>
      <c r="H118" s="71" t="s">
        <v>120</v>
      </c>
      <c r="I118" s="71">
        <v>6</v>
      </c>
      <c r="K118" s="71">
        <v>1</v>
      </c>
    </row>
    <row r="119" spans="1:11" ht="12.75">
      <c r="A119" s="71">
        <v>891288</v>
      </c>
      <c r="B119" s="71" t="s">
        <v>215</v>
      </c>
      <c r="C119" s="71" t="s">
        <v>216</v>
      </c>
      <c r="D119" s="71" t="s">
        <v>118</v>
      </c>
      <c r="E119" s="71">
        <v>425</v>
      </c>
      <c r="F119" s="71">
        <v>4710774</v>
      </c>
      <c r="G119" s="71" t="s">
        <v>217</v>
      </c>
      <c r="H119" s="71" t="s">
        <v>122</v>
      </c>
      <c r="I119" s="71">
        <v>0</v>
      </c>
      <c r="K119" s="71">
        <v>24</v>
      </c>
    </row>
    <row r="120" spans="1:11" ht="12.75">
      <c r="A120" s="71">
        <v>814848</v>
      </c>
      <c r="B120" s="71" t="s">
        <v>218</v>
      </c>
      <c r="C120" s="71" t="s">
        <v>219</v>
      </c>
      <c r="D120" s="71" t="s">
        <v>118</v>
      </c>
      <c r="E120" s="71">
        <v>206</v>
      </c>
      <c r="F120" s="71">
        <v>7672222</v>
      </c>
      <c r="G120" s="71" t="s">
        <v>125</v>
      </c>
      <c r="H120" s="71" t="s">
        <v>120</v>
      </c>
      <c r="I120" s="71">
        <v>2</v>
      </c>
      <c r="K120" s="71">
        <v>2</v>
      </c>
    </row>
    <row r="121" spans="1:11" ht="12.75">
      <c r="A121" s="71">
        <v>814848</v>
      </c>
      <c r="B121" s="71" t="s">
        <v>218</v>
      </c>
      <c r="C121" s="71" t="s">
        <v>219</v>
      </c>
      <c r="D121" s="71" t="s">
        <v>118</v>
      </c>
      <c r="E121" s="71">
        <v>206</v>
      </c>
      <c r="F121" s="71">
        <v>7672222</v>
      </c>
      <c r="G121" s="71" t="s">
        <v>125</v>
      </c>
      <c r="H121" s="71" t="s">
        <v>131</v>
      </c>
      <c r="I121" s="71">
        <v>2</v>
      </c>
      <c r="K121" s="71">
        <v>1</v>
      </c>
    </row>
    <row r="122" spans="1:11" ht="12.75">
      <c r="A122" s="71">
        <v>814848</v>
      </c>
      <c r="B122" s="71" t="s">
        <v>218</v>
      </c>
      <c r="C122" s="71" t="s">
        <v>219</v>
      </c>
      <c r="D122" s="71" t="s">
        <v>118</v>
      </c>
      <c r="E122" s="71">
        <v>206</v>
      </c>
      <c r="F122" s="71">
        <v>7672222</v>
      </c>
      <c r="G122" s="71" t="s">
        <v>125</v>
      </c>
      <c r="H122" s="71" t="s">
        <v>122</v>
      </c>
      <c r="I122" s="71">
        <v>0</v>
      </c>
      <c r="K122" s="71">
        <v>32</v>
      </c>
    </row>
    <row r="123" spans="1:11" ht="12.75">
      <c r="A123" s="71">
        <v>824200</v>
      </c>
      <c r="B123" s="71" t="s">
        <v>220</v>
      </c>
      <c r="C123" s="71" t="s">
        <v>221</v>
      </c>
      <c r="D123" s="71" t="s">
        <v>118</v>
      </c>
      <c r="E123" s="71">
        <v>425</v>
      </c>
      <c r="F123" s="71">
        <v>4883151</v>
      </c>
      <c r="G123" s="71" t="s">
        <v>125</v>
      </c>
      <c r="H123" s="71" t="s">
        <v>120</v>
      </c>
      <c r="I123" s="71">
        <v>6</v>
      </c>
      <c r="K123" s="71">
        <v>2</v>
      </c>
    </row>
    <row r="124" spans="1:11" ht="12.75">
      <c r="A124" s="71">
        <v>824200</v>
      </c>
      <c r="B124" s="71" t="s">
        <v>220</v>
      </c>
      <c r="C124" s="71" t="s">
        <v>221</v>
      </c>
      <c r="D124" s="71" t="s">
        <v>118</v>
      </c>
      <c r="E124" s="71">
        <v>425</v>
      </c>
      <c r="F124" s="71">
        <v>4883151</v>
      </c>
      <c r="G124" s="71" t="s">
        <v>125</v>
      </c>
      <c r="H124" s="71" t="s">
        <v>131</v>
      </c>
      <c r="I124" s="71">
        <v>2</v>
      </c>
      <c r="K124" s="71">
        <v>2</v>
      </c>
    </row>
    <row r="125" spans="1:11" ht="12.75">
      <c r="A125" s="71">
        <v>824200</v>
      </c>
      <c r="B125" s="71" t="s">
        <v>220</v>
      </c>
      <c r="C125" s="71" t="s">
        <v>221</v>
      </c>
      <c r="D125" s="71" t="s">
        <v>118</v>
      </c>
      <c r="E125" s="71">
        <v>425</v>
      </c>
      <c r="F125" s="71">
        <v>4883151</v>
      </c>
      <c r="G125" s="71" t="s">
        <v>125</v>
      </c>
      <c r="H125" s="71" t="s">
        <v>122</v>
      </c>
      <c r="I125" s="71">
        <v>0</v>
      </c>
      <c r="K125" s="71">
        <v>54</v>
      </c>
    </row>
    <row r="126" spans="1:11" ht="12.75">
      <c r="A126" s="71">
        <v>813068</v>
      </c>
      <c r="B126" s="71" t="s">
        <v>222</v>
      </c>
      <c r="C126" s="71" t="s">
        <v>223</v>
      </c>
      <c r="D126" s="71" t="s">
        <v>118</v>
      </c>
      <c r="E126" s="71">
        <v>425</v>
      </c>
      <c r="F126" s="71">
        <v>4836191</v>
      </c>
      <c r="G126" s="71" t="s">
        <v>224</v>
      </c>
      <c r="H126" s="71" t="s">
        <v>122</v>
      </c>
      <c r="I126" s="71">
        <v>0</v>
      </c>
      <c r="K126" s="71">
        <v>17</v>
      </c>
    </row>
    <row r="127" spans="1:11" ht="12.75">
      <c r="A127" s="71">
        <v>813068</v>
      </c>
      <c r="B127" s="71" t="s">
        <v>222</v>
      </c>
      <c r="C127" s="71" t="s">
        <v>223</v>
      </c>
      <c r="D127" s="71" t="s">
        <v>118</v>
      </c>
      <c r="E127" s="71">
        <v>425</v>
      </c>
      <c r="F127" s="71">
        <v>4836191</v>
      </c>
      <c r="G127" s="71" t="s">
        <v>224</v>
      </c>
      <c r="H127" s="71" t="s">
        <v>120</v>
      </c>
      <c r="I127" s="71">
        <v>4</v>
      </c>
      <c r="K127" s="71">
        <v>1</v>
      </c>
    </row>
    <row r="128" spans="1:11" ht="12.75">
      <c r="A128" s="71">
        <v>815530</v>
      </c>
      <c r="B128" s="71" t="s">
        <v>225</v>
      </c>
      <c r="C128" s="71" t="s">
        <v>226</v>
      </c>
      <c r="D128" s="71" t="s">
        <v>227</v>
      </c>
      <c r="E128" s="71">
        <v>999</v>
      </c>
      <c r="F128" s="71">
        <v>0</v>
      </c>
      <c r="G128" s="71" t="s">
        <v>125</v>
      </c>
      <c r="H128" s="71" t="s">
        <v>120</v>
      </c>
      <c r="I128" s="71">
        <v>3</v>
      </c>
      <c r="K128" s="71">
        <v>1</v>
      </c>
    </row>
    <row r="129" spans="1:11" ht="12.75">
      <c r="A129" s="71">
        <v>815530</v>
      </c>
      <c r="B129" s="71" t="s">
        <v>225</v>
      </c>
      <c r="C129" s="71" t="s">
        <v>226</v>
      </c>
      <c r="D129" s="71" t="s">
        <v>227</v>
      </c>
      <c r="E129" s="71">
        <v>999</v>
      </c>
      <c r="F129" s="71">
        <v>0</v>
      </c>
      <c r="G129" s="71" t="s">
        <v>125</v>
      </c>
      <c r="H129" s="71" t="s">
        <v>131</v>
      </c>
      <c r="I129" s="71">
        <v>1.25</v>
      </c>
      <c r="K129" s="71">
        <v>1</v>
      </c>
    </row>
    <row r="130" spans="1:11" ht="12.75">
      <c r="A130" s="71">
        <v>815530</v>
      </c>
      <c r="B130" s="71" t="s">
        <v>225</v>
      </c>
      <c r="C130" s="71" t="s">
        <v>226</v>
      </c>
      <c r="D130" s="71" t="s">
        <v>227</v>
      </c>
      <c r="E130" s="71">
        <v>999</v>
      </c>
      <c r="F130" s="71">
        <v>0</v>
      </c>
      <c r="G130" s="71" t="s">
        <v>125</v>
      </c>
      <c r="H130" s="71" t="s">
        <v>122</v>
      </c>
      <c r="I130" s="71">
        <v>0</v>
      </c>
      <c r="K130" s="71">
        <v>8</v>
      </c>
    </row>
    <row r="131" spans="1:11" ht="12.75">
      <c r="A131" s="71">
        <v>819946</v>
      </c>
      <c r="B131" s="71" t="s">
        <v>228</v>
      </c>
      <c r="C131" s="71" t="s">
        <v>229</v>
      </c>
      <c r="D131" s="71" t="s">
        <v>136</v>
      </c>
      <c r="E131" s="71">
        <v>206</v>
      </c>
      <c r="F131" s="71">
        <v>7908528</v>
      </c>
      <c r="G131" s="71" t="s">
        <v>125</v>
      </c>
      <c r="H131" s="71" t="s">
        <v>169</v>
      </c>
      <c r="I131" s="71">
        <v>0.16</v>
      </c>
      <c r="K131" s="71">
        <v>4</v>
      </c>
    </row>
    <row r="132" spans="1:11" ht="12.75">
      <c r="A132" s="71">
        <v>819946</v>
      </c>
      <c r="B132" s="71" t="s">
        <v>228</v>
      </c>
      <c r="C132" s="71" t="s">
        <v>229</v>
      </c>
      <c r="D132" s="71" t="s">
        <v>136</v>
      </c>
      <c r="E132" s="71">
        <v>206</v>
      </c>
      <c r="F132" s="71">
        <v>7908528</v>
      </c>
      <c r="G132" s="71" t="s">
        <v>125</v>
      </c>
      <c r="H132" s="71" t="s">
        <v>121</v>
      </c>
      <c r="I132" s="71">
        <v>0.45</v>
      </c>
      <c r="K132" s="71">
        <v>1</v>
      </c>
    </row>
    <row r="133" spans="1:11" ht="12.75">
      <c r="A133" s="71">
        <v>819946</v>
      </c>
      <c r="B133" s="71" t="s">
        <v>228</v>
      </c>
      <c r="C133" s="71" t="s">
        <v>229</v>
      </c>
      <c r="D133" s="71" t="s">
        <v>136</v>
      </c>
      <c r="E133" s="71">
        <v>206</v>
      </c>
      <c r="F133" s="71">
        <v>7908528</v>
      </c>
      <c r="G133" s="71" t="s">
        <v>125</v>
      </c>
      <c r="H133" s="71" t="s">
        <v>122</v>
      </c>
      <c r="I133" s="71">
        <v>0</v>
      </c>
      <c r="K133" s="71">
        <v>4</v>
      </c>
    </row>
    <row r="134" spans="1:11" ht="12.75">
      <c r="A134" s="71">
        <v>814814</v>
      </c>
      <c r="B134" s="71" t="s">
        <v>230</v>
      </c>
      <c r="C134" s="71" t="s">
        <v>231</v>
      </c>
      <c r="D134" s="71" t="s">
        <v>118</v>
      </c>
      <c r="E134" s="71">
        <v>425</v>
      </c>
      <c r="F134" s="71">
        <v>4859623</v>
      </c>
      <c r="H134" s="71" t="s">
        <v>120</v>
      </c>
      <c r="I134" s="71">
        <v>4</v>
      </c>
      <c r="K134" s="71">
        <v>1</v>
      </c>
    </row>
    <row r="135" spans="1:11" ht="12.75">
      <c r="A135" s="71">
        <v>814814</v>
      </c>
      <c r="B135" s="71" t="s">
        <v>230</v>
      </c>
      <c r="C135" s="71" t="s">
        <v>231</v>
      </c>
      <c r="D135" s="71" t="s">
        <v>118</v>
      </c>
      <c r="E135" s="71">
        <v>425</v>
      </c>
      <c r="F135" s="71">
        <v>4859623</v>
      </c>
      <c r="H135" s="71" t="s">
        <v>131</v>
      </c>
      <c r="I135" s="71">
        <v>3</v>
      </c>
      <c r="K135" s="71">
        <v>1</v>
      </c>
    </row>
    <row r="136" spans="1:11" ht="12.75">
      <c r="A136" s="71">
        <v>814814</v>
      </c>
      <c r="B136" s="71" t="s">
        <v>230</v>
      </c>
      <c r="C136" s="71" t="s">
        <v>231</v>
      </c>
      <c r="D136" s="71" t="s">
        <v>118</v>
      </c>
      <c r="E136" s="71">
        <v>425</v>
      </c>
      <c r="F136" s="71">
        <v>4859623</v>
      </c>
      <c r="H136" s="71" t="s">
        <v>122</v>
      </c>
      <c r="I136" s="71">
        <v>0</v>
      </c>
      <c r="K136" s="71">
        <v>47</v>
      </c>
    </row>
    <row r="137" spans="1:11" ht="12.75">
      <c r="A137" s="71">
        <v>814789</v>
      </c>
      <c r="B137" s="71" t="s">
        <v>232</v>
      </c>
      <c r="C137" s="71" t="s">
        <v>233</v>
      </c>
      <c r="D137" s="71" t="s">
        <v>118</v>
      </c>
      <c r="E137" s="71">
        <v>425</v>
      </c>
      <c r="F137" s="71">
        <v>4853718</v>
      </c>
      <c r="G137" s="71" t="s">
        <v>125</v>
      </c>
      <c r="H137" s="71" t="s">
        <v>120</v>
      </c>
      <c r="I137" s="71">
        <v>4</v>
      </c>
      <c r="K137" s="71">
        <v>1</v>
      </c>
    </row>
    <row r="138" spans="1:11" ht="12.75">
      <c r="A138" s="71">
        <v>814789</v>
      </c>
      <c r="B138" s="71" t="s">
        <v>232</v>
      </c>
      <c r="C138" s="71" t="s">
        <v>233</v>
      </c>
      <c r="D138" s="71" t="s">
        <v>118</v>
      </c>
      <c r="E138" s="71">
        <v>425</v>
      </c>
      <c r="F138" s="71">
        <v>4853718</v>
      </c>
      <c r="G138" s="71" t="s">
        <v>125</v>
      </c>
      <c r="H138" s="71" t="s">
        <v>131</v>
      </c>
      <c r="I138" s="71">
        <v>4</v>
      </c>
      <c r="K138" s="71">
        <v>1</v>
      </c>
    </row>
    <row r="139" spans="1:11" ht="12.75">
      <c r="A139" s="71">
        <v>814789</v>
      </c>
      <c r="B139" s="71" t="s">
        <v>232</v>
      </c>
      <c r="C139" s="71" t="s">
        <v>233</v>
      </c>
      <c r="D139" s="71" t="s">
        <v>118</v>
      </c>
      <c r="E139" s="71">
        <v>425</v>
      </c>
      <c r="F139" s="71">
        <v>4853718</v>
      </c>
      <c r="G139" s="71" t="s">
        <v>125</v>
      </c>
      <c r="H139" s="71" t="s">
        <v>122</v>
      </c>
      <c r="I139" s="71">
        <v>0</v>
      </c>
      <c r="K139" s="71">
        <v>37</v>
      </c>
    </row>
    <row r="140" spans="1:11" ht="12.75">
      <c r="A140" s="71">
        <v>814249</v>
      </c>
      <c r="B140" s="71" t="s">
        <v>234</v>
      </c>
      <c r="C140" s="71" t="s">
        <v>235</v>
      </c>
      <c r="D140" s="71" t="s">
        <v>136</v>
      </c>
      <c r="E140" s="71">
        <v>425</v>
      </c>
      <c r="F140" s="71">
        <v>3550707</v>
      </c>
      <c r="G140" s="71" t="s">
        <v>125</v>
      </c>
      <c r="H140" s="71" t="s">
        <v>140</v>
      </c>
      <c r="I140" s="71">
        <v>0.3</v>
      </c>
      <c r="K140" s="71">
        <v>12</v>
      </c>
    </row>
    <row r="141" spans="1:11" ht="12.75">
      <c r="A141" s="71">
        <v>814249</v>
      </c>
      <c r="B141" s="71" t="s">
        <v>234</v>
      </c>
      <c r="C141" s="71" t="s">
        <v>235</v>
      </c>
      <c r="D141" s="71" t="s">
        <v>136</v>
      </c>
      <c r="E141" s="71">
        <v>425</v>
      </c>
      <c r="F141" s="71">
        <v>3550707</v>
      </c>
      <c r="G141" s="71" t="s">
        <v>125</v>
      </c>
      <c r="H141" s="71" t="s">
        <v>121</v>
      </c>
      <c r="I141" s="71">
        <v>0.3</v>
      </c>
      <c r="K141" s="71">
        <v>1</v>
      </c>
    </row>
    <row r="142" spans="1:11" ht="12.75">
      <c r="A142" s="71">
        <v>814249</v>
      </c>
      <c r="B142" s="71" t="s">
        <v>234</v>
      </c>
      <c r="C142" s="71" t="s">
        <v>235</v>
      </c>
      <c r="D142" s="71" t="s">
        <v>136</v>
      </c>
      <c r="E142" s="71">
        <v>425</v>
      </c>
      <c r="F142" s="71">
        <v>3550707</v>
      </c>
      <c r="G142" s="71" t="s">
        <v>125</v>
      </c>
      <c r="H142" s="71" t="s">
        <v>122</v>
      </c>
      <c r="I142" s="71">
        <v>0</v>
      </c>
      <c r="K142" s="71">
        <v>12</v>
      </c>
    </row>
    <row r="143" spans="1:11" ht="12.75">
      <c r="A143" s="71">
        <v>891108</v>
      </c>
      <c r="B143" s="71" t="s">
        <v>236</v>
      </c>
      <c r="C143" s="71" t="s">
        <v>237</v>
      </c>
      <c r="D143" s="71" t="s">
        <v>118</v>
      </c>
      <c r="E143" s="71">
        <v>425</v>
      </c>
      <c r="F143" s="71">
        <v>3981688</v>
      </c>
      <c r="G143" s="71" t="s">
        <v>238</v>
      </c>
      <c r="H143" s="71" t="s">
        <v>131</v>
      </c>
      <c r="I143" s="71">
        <v>2</v>
      </c>
      <c r="K143" s="71">
        <v>1</v>
      </c>
    </row>
    <row r="144" spans="1:11" ht="12.75">
      <c r="A144" s="71">
        <v>891108</v>
      </c>
      <c r="B144" s="71" t="s">
        <v>236</v>
      </c>
      <c r="C144" s="71" t="s">
        <v>237</v>
      </c>
      <c r="D144" s="71" t="s">
        <v>118</v>
      </c>
      <c r="E144" s="71">
        <v>425</v>
      </c>
      <c r="F144" s="71">
        <v>3981688</v>
      </c>
      <c r="G144" s="71" t="s">
        <v>238</v>
      </c>
      <c r="H144" s="71" t="s">
        <v>122</v>
      </c>
      <c r="I144" s="71">
        <v>0</v>
      </c>
      <c r="K144" s="71">
        <v>51</v>
      </c>
    </row>
    <row r="145" spans="1:11" ht="12.75">
      <c r="A145" s="71">
        <v>891537</v>
      </c>
      <c r="B145" s="71" t="s">
        <v>239</v>
      </c>
      <c r="C145" s="71" t="s">
        <v>240</v>
      </c>
      <c r="D145" s="71" t="s">
        <v>118</v>
      </c>
      <c r="E145" s="71">
        <v>425</v>
      </c>
      <c r="F145" s="71">
        <v>3981688</v>
      </c>
      <c r="G145" s="71" t="s">
        <v>241</v>
      </c>
      <c r="H145" s="71" t="s">
        <v>120</v>
      </c>
      <c r="I145" s="71">
        <v>4</v>
      </c>
      <c r="K145" s="71">
        <v>1</v>
      </c>
    </row>
    <row r="146" spans="1:11" ht="12.75">
      <c r="A146" s="71">
        <v>891537</v>
      </c>
      <c r="B146" s="71" t="s">
        <v>239</v>
      </c>
      <c r="C146" s="71" t="s">
        <v>240</v>
      </c>
      <c r="D146" s="71" t="s">
        <v>118</v>
      </c>
      <c r="E146" s="71">
        <v>425</v>
      </c>
      <c r="F146" s="71">
        <v>3981688</v>
      </c>
      <c r="G146" s="71" t="s">
        <v>241</v>
      </c>
      <c r="H146" s="71" t="s">
        <v>122</v>
      </c>
      <c r="I146" s="71">
        <v>0</v>
      </c>
      <c r="K146" s="71">
        <v>46</v>
      </c>
    </row>
    <row r="147" spans="1:11" ht="12.75">
      <c r="A147" s="71">
        <v>891537</v>
      </c>
      <c r="B147" s="71" t="s">
        <v>239</v>
      </c>
      <c r="C147" s="71" t="s">
        <v>240</v>
      </c>
      <c r="D147" s="71" t="s">
        <v>118</v>
      </c>
      <c r="E147" s="71">
        <v>425</v>
      </c>
      <c r="F147" s="71">
        <v>3981688</v>
      </c>
      <c r="G147" s="71" t="s">
        <v>241</v>
      </c>
      <c r="H147" s="71" t="s">
        <v>131</v>
      </c>
      <c r="I147" s="71">
        <v>3</v>
      </c>
      <c r="K147" s="71">
        <v>1</v>
      </c>
    </row>
    <row r="148" spans="1:11" ht="12.75">
      <c r="A148" s="71">
        <v>5463106</v>
      </c>
      <c r="B148" s="71" t="s">
        <v>242</v>
      </c>
      <c r="C148" s="71" t="s">
        <v>243</v>
      </c>
      <c r="D148" s="71" t="s">
        <v>180</v>
      </c>
      <c r="E148" s="71">
        <v>425</v>
      </c>
      <c r="F148" s="71">
        <v>4278387</v>
      </c>
      <c r="G148" s="71" t="s">
        <v>125</v>
      </c>
      <c r="H148" s="71" t="s">
        <v>121</v>
      </c>
      <c r="I148" s="71">
        <v>0.45</v>
      </c>
      <c r="K148" s="71">
        <v>6</v>
      </c>
    </row>
    <row r="149" spans="1:11" ht="12.75">
      <c r="A149" s="71">
        <v>5463106</v>
      </c>
      <c r="B149" s="71" t="s">
        <v>242</v>
      </c>
      <c r="C149" s="71" t="s">
        <v>243</v>
      </c>
      <c r="D149" s="71" t="s">
        <v>180</v>
      </c>
      <c r="E149" s="71">
        <v>425</v>
      </c>
      <c r="F149" s="71">
        <v>4278387</v>
      </c>
      <c r="G149" s="71" t="s">
        <v>125</v>
      </c>
      <c r="H149" s="71" t="s">
        <v>120</v>
      </c>
      <c r="I149" s="71">
        <v>8</v>
      </c>
      <c r="K149" s="71">
        <v>2</v>
      </c>
    </row>
    <row r="150" spans="1:11" ht="12.75">
      <c r="A150" s="71">
        <v>893493</v>
      </c>
      <c r="B150" s="71" t="s">
        <v>244</v>
      </c>
      <c r="C150" s="71" t="s">
        <v>245</v>
      </c>
      <c r="D150" s="71" t="s">
        <v>246</v>
      </c>
      <c r="E150" s="71">
        <v>206</v>
      </c>
      <c r="F150" s="71">
        <v>7475466</v>
      </c>
      <c r="G150" s="71" t="s">
        <v>247</v>
      </c>
      <c r="H150" s="71" t="s">
        <v>120</v>
      </c>
      <c r="I150" s="71">
        <v>6</v>
      </c>
      <c r="K150" s="71">
        <v>4</v>
      </c>
    </row>
    <row r="151" spans="1:11" ht="12.75">
      <c r="A151" s="71">
        <v>893493</v>
      </c>
      <c r="B151" s="71" t="s">
        <v>244</v>
      </c>
      <c r="C151" s="71" t="s">
        <v>245</v>
      </c>
      <c r="D151" s="71" t="s">
        <v>246</v>
      </c>
      <c r="E151" s="71">
        <v>206</v>
      </c>
      <c r="F151" s="71">
        <v>7475466</v>
      </c>
      <c r="G151" s="71" t="s">
        <v>247</v>
      </c>
      <c r="H151" s="71" t="s">
        <v>140</v>
      </c>
      <c r="I151" s="71">
        <v>0.3</v>
      </c>
      <c r="K151" s="71">
        <v>8</v>
      </c>
    </row>
    <row r="152" spans="1:11" ht="12.75">
      <c r="A152" s="71">
        <v>893493</v>
      </c>
      <c r="B152" s="71" t="s">
        <v>244</v>
      </c>
      <c r="C152" s="71" t="s">
        <v>245</v>
      </c>
      <c r="D152" s="71" t="s">
        <v>246</v>
      </c>
      <c r="E152" s="71">
        <v>206</v>
      </c>
      <c r="F152" s="71">
        <v>7475466</v>
      </c>
      <c r="G152" s="71" t="s">
        <v>247</v>
      </c>
      <c r="H152" s="71" t="s">
        <v>121</v>
      </c>
      <c r="I152" s="71">
        <v>0.45</v>
      </c>
      <c r="K152" s="71">
        <v>12</v>
      </c>
    </row>
    <row r="153" spans="1:11" ht="12.75">
      <c r="A153" s="71">
        <v>892790</v>
      </c>
      <c r="B153" s="71" t="s">
        <v>248</v>
      </c>
      <c r="C153" s="71" t="s">
        <v>249</v>
      </c>
      <c r="D153" s="71" t="s">
        <v>118</v>
      </c>
      <c r="E153" s="71">
        <v>206</v>
      </c>
      <c r="F153" s="71">
        <v>7146676</v>
      </c>
      <c r="G153" s="71" t="s">
        <v>250</v>
      </c>
      <c r="H153" s="71" t="s">
        <v>120</v>
      </c>
      <c r="I153" s="71">
        <v>1.25</v>
      </c>
      <c r="K153" s="71">
        <v>1</v>
      </c>
    </row>
    <row r="154" spans="1:11" ht="12.75">
      <c r="A154" s="71">
        <v>892790</v>
      </c>
      <c r="B154" s="71" t="s">
        <v>248</v>
      </c>
      <c r="C154" s="71" t="s">
        <v>249</v>
      </c>
      <c r="D154" s="71" t="s">
        <v>118</v>
      </c>
      <c r="E154" s="71">
        <v>206</v>
      </c>
      <c r="F154" s="71">
        <v>7146676</v>
      </c>
      <c r="G154" s="71" t="s">
        <v>250</v>
      </c>
      <c r="H154" s="71" t="s">
        <v>121</v>
      </c>
      <c r="I154" s="71">
        <v>0.45</v>
      </c>
      <c r="K154" s="71">
        <v>3</v>
      </c>
    </row>
    <row r="155" spans="1:11" ht="12.75">
      <c r="A155" s="71">
        <v>892790</v>
      </c>
      <c r="B155" s="71" t="s">
        <v>248</v>
      </c>
      <c r="C155" s="71" t="s">
        <v>249</v>
      </c>
      <c r="D155" s="71" t="s">
        <v>118</v>
      </c>
      <c r="E155" s="71">
        <v>206</v>
      </c>
      <c r="F155" s="71">
        <v>7146676</v>
      </c>
      <c r="G155" s="71" t="s">
        <v>250</v>
      </c>
      <c r="H155" s="71" t="s">
        <v>122</v>
      </c>
      <c r="I155" s="71">
        <v>0</v>
      </c>
      <c r="K155" s="71">
        <v>4</v>
      </c>
    </row>
    <row r="156" spans="1:11" ht="12.75">
      <c r="A156" s="71">
        <v>892250</v>
      </c>
      <c r="B156" s="71" t="s">
        <v>251</v>
      </c>
      <c r="C156" s="71" t="s">
        <v>252</v>
      </c>
      <c r="D156" s="71" t="s">
        <v>118</v>
      </c>
      <c r="E156" s="71">
        <v>206</v>
      </c>
      <c r="F156" s="71">
        <v>6171096</v>
      </c>
      <c r="G156" s="71" t="s">
        <v>253</v>
      </c>
      <c r="H156" s="71" t="s">
        <v>120</v>
      </c>
      <c r="I156" s="71">
        <v>4</v>
      </c>
      <c r="K156" s="71">
        <v>1</v>
      </c>
    </row>
    <row r="157" spans="1:11" ht="12.75">
      <c r="A157" s="71">
        <v>892250</v>
      </c>
      <c r="B157" s="71" t="s">
        <v>251</v>
      </c>
      <c r="C157" s="71" t="s">
        <v>252</v>
      </c>
      <c r="D157" s="71" t="s">
        <v>118</v>
      </c>
      <c r="E157" s="71">
        <v>206</v>
      </c>
      <c r="F157" s="71">
        <v>6171096</v>
      </c>
      <c r="G157" s="71" t="s">
        <v>253</v>
      </c>
      <c r="H157" s="71" t="s">
        <v>121</v>
      </c>
      <c r="I157" s="71">
        <v>0.45</v>
      </c>
      <c r="K157" s="71">
        <v>8</v>
      </c>
    </row>
    <row r="158" spans="1:11" ht="12.75">
      <c r="A158" s="71">
        <v>892250</v>
      </c>
      <c r="B158" s="71" t="s">
        <v>251</v>
      </c>
      <c r="C158" s="71" t="s">
        <v>252</v>
      </c>
      <c r="D158" s="71" t="s">
        <v>118</v>
      </c>
      <c r="E158" s="71">
        <v>206</v>
      </c>
      <c r="F158" s="71">
        <v>6171096</v>
      </c>
      <c r="G158" s="71" t="s">
        <v>253</v>
      </c>
      <c r="H158" s="71" t="s">
        <v>122</v>
      </c>
      <c r="I158" s="71">
        <v>0</v>
      </c>
      <c r="K158" s="71">
        <v>8</v>
      </c>
    </row>
    <row r="159" spans="1:11" ht="12.75">
      <c r="A159" s="71">
        <v>815566</v>
      </c>
      <c r="B159" s="71" t="s">
        <v>254</v>
      </c>
      <c r="C159" s="71" t="s">
        <v>255</v>
      </c>
      <c r="D159" s="71" t="s">
        <v>136</v>
      </c>
      <c r="E159" s="71">
        <v>425</v>
      </c>
      <c r="F159" s="71">
        <v>8211706</v>
      </c>
      <c r="G159" s="71" t="s">
        <v>125</v>
      </c>
      <c r="H159" s="71" t="s">
        <v>120</v>
      </c>
      <c r="I159" s="71">
        <v>6</v>
      </c>
      <c r="K159" s="71">
        <v>1</v>
      </c>
    </row>
    <row r="160" spans="1:11" ht="12.75">
      <c r="A160" s="71">
        <v>815566</v>
      </c>
      <c r="B160" s="71" t="s">
        <v>254</v>
      </c>
      <c r="C160" s="71" t="s">
        <v>255</v>
      </c>
      <c r="D160" s="71" t="s">
        <v>136</v>
      </c>
      <c r="E160" s="71">
        <v>425</v>
      </c>
      <c r="F160" s="71">
        <v>8211706</v>
      </c>
      <c r="G160" s="71" t="s">
        <v>125</v>
      </c>
      <c r="H160" s="71" t="s">
        <v>120</v>
      </c>
      <c r="I160" s="71">
        <v>4</v>
      </c>
      <c r="K160" s="71">
        <v>5</v>
      </c>
    </row>
    <row r="161" spans="1:11" ht="12.75">
      <c r="A161" s="71">
        <v>815566</v>
      </c>
      <c r="B161" s="71" t="s">
        <v>254</v>
      </c>
      <c r="C161" s="71" t="s">
        <v>255</v>
      </c>
      <c r="D161" s="71" t="s">
        <v>136</v>
      </c>
      <c r="E161" s="71">
        <v>425</v>
      </c>
      <c r="F161" s="71">
        <v>8211706</v>
      </c>
      <c r="G161" s="71" t="s">
        <v>125</v>
      </c>
      <c r="H161" s="71" t="s">
        <v>120</v>
      </c>
      <c r="I161" s="71">
        <v>8</v>
      </c>
      <c r="K161" s="71">
        <v>1</v>
      </c>
    </row>
    <row r="162" spans="1:11" ht="12.75">
      <c r="A162" s="71">
        <v>815566</v>
      </c>
      <c r="B162" s="71" t="s">
        <v>254</v>
      </c>
      <c r="C162" s="71" t="s">
        <v>255</v>
      </c>
      <c r="D162" s="71" t="s">
        <v>136</v>
      </c>
      <c r="E162" s="71">
        <v>425</v>
      </c>
      <c r="F162" s="71">
        <v>8211706</v>
      </c>
      <c r="G162" s="71" t="s">
        <v>125</v>
      </c>
      <c r="H162" s="71" t="s">
        <v>122</v>
      </c>
      <c r="I162" s="71">
        <v>0</v>
      </c>
      <c r="K162" s="71">
        <v>103</v>
      </c>
    </row>
    <row r="163" spans="1:11" ht="12.75">
      <c r="A163" s="71">
        <v>815558</v>
      </c>
      <c r="B163" s="71" t="s">
        <v>256</v>
      </c>
      <c r="C163" s="71" t="s">
        <v>257</v>
      </c>
      <c r="D163" s="71" t="s">
        <v>227</v>
      </c>
      <c r="E163" s="71">
        <v>425</v>
      </c>
      <c r="F163" s="71">
        <v>8216969</v>
      </c>
      <c r="G163" s="71" t="s">
        <v>125</v>
      </c>
      <c r="H163" s="71" t="s">
        <v>120</v>
      </c>
      <c r="I163" s="71">
        <v>4</v>
      </c>
      <c r="K163" s="71">
        <v>10</v>
      </c>
    </row>
    <row r="165" spans="1:11" ht="12.75">
      <c r="A165" s="71">
        <v>815558</v>
      </c>
      <c r="B165" s="71" t="s">
        <v>256</v>
      </c>
      <c r="C165" s="71" t="s">
        <v>257</v>
      </c>
      <c r="D165" s="71" t="s">
        <v>227</v>
      </c>
      <c r="E165" s="71">
        <v>425</v>
      </c>
      <c r="F165" s="71">
        <v>8216969</v>
      </c>
      <c r="G165" s="71" t="s">
        <v>125</v>
      </c>
      <c r="H165" s="71" t="s">
        <v>131</v>
      </c>
      <c r="I165" s="71">
        <v>1.25</v>
      </c>
      <c r="K165" s="71">
        <v>4</v>
      </c>
    </row>
    <row r="166" spans="1:11" ht="12.75">
      <c r="A166" s="71">
        <v>815558</v>
      </c>
      <c r="B166" s="71" t="s">
        <v>256</v>
      </c>
      <c r="C166" s="71" t="s">
        <v>257</v>
      </c>
      <c r="D166" s="71" t="s">
        <v>227</v>
      </c>
      <c r="E166" s="71">
        <v>425</v>
      </c>
      <c r="F166" s="71">
        <v>8216969</v>
      </c>
      <c r="G166" s="71" t="s">
        <v>125</v>
      </c>
      <c r="H166" s="71" t="s">
        <v>131</v>
      </c>
      <c r="I166" s="71">
        <v>2</v>
      </c>
      <c r="K166" s="71">
        <v>2</v>
      </c>
    </row>
    <row r="167" spans="1:11" ht="12.75">
      <c r="A167" s="71">
        <v>815558</v>
      </c>
      <c r="B167" s="71" t="s">
        <v>256</v>
      </c>
      <c r="C167" s="71" t="s">
        <v>257</v>
      </c>
      <c r="D167" s="71" t="s">
        <v>227</v>
      </c>
      <c r="E167" s="71">
        <v>425</v>
      </c>
      <c r="F167" s="71">
        <v>8216969</v>
      </c>
      <c r="G167" s="71" t="s">
        <v>125</v>
      </c>
      <c r="H167" s="71" t="s">
        <v>121</v>
      </c>
      <c r="I167" s="71">
        <v>0.45</v>
      </c>
      <c r="K167" s="71">
        <v>1</v>
      </c>
    </row>
    <row r="168" spans="1:11" ht="12.75">
      <c r="A168" s="71">
        <v>815558</v>
      </c>
      <c r="B168" s="71" t="s">
        <v>256</v>
      </c>
      <c r="C168" s="71" t="s">
        <v>257</v>
      </c>
      <c r="D168" s="71" t="s">
        <v>227</v>
      </c>
      <c r="E168" s="71">
        <v>425</v>
      </c>
      <c r="F168" s="71">
        <v>8216969</v>
      </c>
      <c r="G168" s="71" t="s">
        <v>125</v>
      </c>
      <c r="H168" s="71" t="s">
        <v>121</v>
      </c>
      <c r="I168" s="71">
        <v>0.3</v>
      </c>
      <c r="K168" s="71">
        <v>6</v>
      </c>
    </row>
    <row r="169" spans="1:11" ht="12.75">
      <c r="A169" s="71">
        <v>815558</v>
      </c>
      <c r="B169" s="71" t="s">
        <v>256</v>
      </c>
      <c r="C169" s="71" t="s">
        <v>257</v>
      </c>
      <c r="D169" s="71" t="s">
        <v>227</v>
      </c>
      <c r="E169" s="71">
        <v>425</v>
      </c>
      <c r="F169" s="71">
        <v>8216969</v>
      </c>
      <c r="G169" s="71" t="s">
        <v>125</v>
      </c>
      <c r="H169" s="71" t="s">
        <v>122</v>
      </c>
      <c r="I169" s="71">
        <v>0</v>
      </c>
      <c r="K169" s="71">
        <v>224</v>
      </c>
    </row>
    <row r="170" spans="1:11" ht="12.75">
      <c r="A170" s="71">
        <v>814818</v>
      </c>
      <c r="B170" s="71" t="s">
        <v>258</v>
      </c>
      <c r="C170" s="71" t="s">
        <v>259</v>
      </c>
      <c r="D170" s="71" t="s">
        <v>118</v>
      </c>
      <c r="E170" s="71">
        <v>425</v>
      </c>
      <c r="F170" s="71">
        <v>4859498</v>
      </c>
      <c r="G170" s="71" t="s">
        <v>125</v>
      </c>
      <c r="H170" s="71" t="s">
        <v>120</v>
      </c>
      <c r="I170" s="71">
        <v>6</v>
      </c>
      <c r="K170" s="71">
        <v>2</v>
      </c>
    </row>
    <row r="171" spans="1:11" ht="12.75">
      <c r="A171" s="71">
        <v>814818</v>
      </c>
      <c r="B171" s="71" t="s">
        <v>258</v>
      </c>
      <c r="C171" s="71" t="s">
        <v>259</v>
      </c>
      <c r="D171" s="71" t="s">
        <v>118</v>
      </c>
      <c r="E171" s="71">
        <v>425</v>
      </c>
      <c r="F171" s="71">
        <v>4859498</v>
      </c>
      <c r="G171" s="71" t="s">
        <v>125</v>
      </c>
      <c r="H171" s="71" t="s">
        <v>170</v>
      </c>
      <c r="I171" s="71">
        <v>0.45</v>
      </c>
      <c r="K171" s="71">
        <v>17</v>
      </c>
    </row>
    <row r="172" spans="1:11" ht="12.75">
      <c r="A172" s="71">
        <v>814818</v>
      </c>
      <c r="B172" s="71" t="s">
        <v>258</v>
      </c>
      <c r="C172" s="71" t="s">
        <v>259</v>
      </c>
      <c r="D172" s="71" t="s">
        <v>118</v>
      </c>
      <c r="E172" s="71">
        <v>425</v>
      </c>
      <c r="F172" s="71">
        <v>4859498</v>
      </c>
      <c r="G172" s="71" t="s">
        <v>125</v>
      </c>
      <c r="H172" s="71" t="s">
        <v>131</v>
      </c>
      <c r="I172" s="71">
        <v>2</v>
      </c>
      <c r="K172" s="71">
        <v>2</v>
      </c>
    </row>
    <row r="173" spans="1:11" ht="12.75">
      <c r="A173" s="71">
        <v>814818</v>
      </c>
      <c r="B173" s="71" t="s">
        <v>258</v>
      </c>
      <c r="C173" s="71" t="s">
        <v>259</v>
      </c>
      <c r="D173" s="71" t="s">
        <v>118</v>
      </c>
      <c r="E173" s="71">
        <v>425</v>
      </c>
      <c r="F173" s="71">
        <v>4859498</v>
      </c>
      <c r="G173" s="71" t="s">
        <v>125</v>
      </c>
      <c r="H173" s="71" t="s">
        <v>121</v>
      </c>
      <c r="I173" s="71">
        <v>0.45</v>
      </c>
      <c r="K173" s="71">
        <v>3</v>
      </c>
    </row>
    <row r="174" spans="1:11" ht="12.75">
      <c r="A174" s="71">
        <v>814818</v>
      </c>
      <c r="B174" s="71" t="s">
        <v>258</v>
      </c>
      <c r="C174" s="71" t="s">
        <v>259</v>
      </c>
      <c r="D174" s="71" t="s">
        <v>118</v>
      </c>
      <c r="E174" s="71">
        <v>425</v>
      </c>
      <c r="F174" s="71">
        <v>4859498</v>
      </c>
      <c r="G174" s="71" t="s">
        <v>125</v>
      </c>
      <c r="H174" s="71" t="s">
        <v>122</v>
      </c>
      <c r="I174" s="71">
        <v>0</v>
      </c>
      <c r="K174" s="71">
        <v>74</v>
      </c>
    </row>
    <row r="175" spans="1:11" ht="12.75">
      <c r="A175" s="71">
        <v>815562</v>
      </c>
      <c r="B175" s="71" t="s">
        <v>260</v>
      </c>
      <c r="C175" s="71" t="s">
        <v>261</v>
      </c>
      <c r="D175" s="71" t="s">
        <v>118</v>
      </c>
      <c r="E175" s="71">
        <v>425</v>
      </c>
      <c r="F175" s="71">
        <v>4884788</v>
      </c>
      <c r="G175" s="71" t="s">
        <v>262</v>
      </c>
      <c r="H175" s="71" t="s">
        <v>120</v>
      </c>
      <c r="I175" s="71">
        <v>6</v>
      </c>
      <c r="K175" s="71">
        <v>2</v>
      </c>
    </row>
    <row r="176" spans="1:11" ht="12.75">
      <c r="A176" s="71">
        <v>815562</v>
      </c>
      <c r="B176" s="71" t="s">
        <v>260</v>
      </c>
      <c r="C176" s="71" t="s">
        <v>261</v>
      </c>
      <c r="D176" s="71" t="s">
        <v>118</v>
      </c>
      <c r="E176" s="71">
        <v>425</v>
      </c>
      <c r="F176" s="71">
        <v>4884788</v>
      </c>
      <c r="G176" s="71" t="s">
        <v>262</v>
      </c>
      <c r="H176" s="71" t="s">
        <v>131</v>
      </c>
      <c r="I176" s="71">
        <v>3</v>
      </c>
      <c r="K176" s="71">
        <v>2</v>
      </c>
    </row>
    <row r="177" spans="1:11" ht="12.75">
      <c r="A177" s="71">
        <v>815562</v>
      </c>
      <c r="B177" s="71" t="s">
        <v>260</v>
      </c>
      <c r="C177" s="71" t="s">
        <v>261</v>
      </c>
      <c r="D177" s="71" t="s">
        <v>118</v>
      </c>
      <c r="E177" s="71">
        <v>425</v>
      </c>
      <c r="F177" s="71">
        <v>4884788</v>
      </c>
      <c r="G177" s="71" t="s">
        <v>262</v>
      </c>
      <c r="H177" s="71" t="s">
        <v>121</v>
      </c>
      <c r="I177" s="71">
        <v>0.45</v>
      </c>
      <c r="K177" s="71">
        <v>4</v>
      </c>
    </row>
    <row r="178" spans="1:11" ht="12.75">
      <c r="A178" s="71">
        <v>815562</v>
      </c>
      <c r="B178" s="71" t="s">
        <v>260</v>
      </c>
      <c r="C178" s="71" t="s">
        <v>261</v>
      </c>
      <c r="D178" s="71" t="s">
        <v>118</v>
      </c>
      <c r="E178" s="71">
        <v>425</v>
      </c>
      <c r="F178" s="71">
        <v>4884788</v>
      </c>
      <c r="G178" s="71" t="s">
        <v>262</v>
      </c>
      <c r="H178" s="71" t="s">
        <v>122</v>
      </c>
      <c r="I178" s="71">
        <v>0</v>
      </c>
      <c r="K178" s="71">
        <v>86</v>
      </c>
    </row>
    <row r="179" spans="1:11" ht="12.75">
      <c r="A179" s="71">
        <v>815535</v>
      </c>
      <c r="B179" s="71" t="s">
        <v>263</v>
      </c>
      <c r="C179" s="71" t="s">
        <v>264</v>
      </c>
      <c r="D179" s="71" t="s">
        <v>227</v>
      </c>
      <c r="E179" s="71">
        <v>425</v>
      </c>
      <c r="F179" s="71">
        <v>8212584</v>
      </c>
      <c r="G179" s="71" t="s">
        <v>125</v>
      </c>
      <c r="H179" s="71" t="s">
        <v>120</v>
      </c>
      <c r="I179" s="71">
        <v>6</v>
      </c>
      <c r="K179" s="71">
        <v>1</v>
      </c>
    </row>
    <row r="180" spans="1:11" ht="12.75">
      <c r="A180" s="71">
        <v>815535</v>
      </c>
      <c r="B180" s="71" t="s">
        <v>263</v>
      </c>
      <c r="C180" s="71" t="s">
        <v>264</v>
      </c>
      <c r="D180" s="71" t="s">
        <v>227</v>
      </c>
      <c r="E180" s="71">
        <v>425</v>
      </c>
      <c r="F180" s="71">
        <v>8212584</v>
      </c>
      <c r="G180" s="71" t="s">
        <v>125</v>
      </c>
      <c r="H180" s="71" t="s">
        <v>131</v>
      </c>
      <c r="I180" s="71">
        <v>3</v>
      </c>
      <c r="K180" s="71">
        <v>1</v>
      </c>
    </row>
    <row r="181" spans="1:11" ht="12.75">
      <c r="A181" s="71">
        <v>815535</v>
      </c>
      <c r="B181" s="71" t="s">
        <v>263</v>
      </c>
      <c r="C181" s="71" t="s">
        <v>264</v>
      </c>
      <c r="D181" s="71" t="s">
        <v>227</v>
      </c>
      <c r="E181" s="71">
        <v>425</v>
      </c>
      <c r="F181" s="71">
        <v>8212584</v>
      </c>
      <c r="G181" s="71" t="s">
        <v>125</v>
      </c>
      <c r="H181" s="71" t="s">
        <v>121</v>
      </c>
      <c r="I181" s="71">
        <v>0.45</v>
      </c>
      <c r="K181" s="71">
        <v>2</v>
      </c>
    </row>
    <row r="182" spans="1:11" ht="12.75">
      <c r="A182" s="71">
        <v>815535</v>
      </c>
      <c r="B182" s="71" t="s">
        <v>263</v>
      </c>
      <c r="C182" s="71" t="s">
        <v>264</v>
      </c>
      <c r="D182" s="71" t="s">
        <v>227</v>
      </c>
      <c r="E182" s="71">
        <v>425</v>
      </c>
      <c r="F182" s="71">
        <v>8212584</v>
      </c>
      <c r="G182" s="71" t="s">
        <v>125</v>
      </c>
      <c r="H182" s="71" t="s">
        <v>122</v>
      </c>
      <c r="I182" s="71">
        <v>0</v>
      </c>
      <c r="K182" s="71">
        <v>42</v>
      </c>
    </row>
    <row r="183" spans="1:11" ht="12.75">
      <c r="A183" s="71">
        <v>814589</v>
      </c>
      <c r="B183" s="71" t="s">
        <v>265</v>
      </c>
      <c r="C183" s="71" t="s">
        <v>266</v>
      </c>
      <c r="D183" s="71" t="s">
        <v>118</v>
      </c>
      <c r="E183" s="71">
        <v>425</v>
      </c>
      <c r="F183" s="71">
        <v>4889034</v>
      </c>
      <c r="G183" s="71" t="s">
        <v>125</v>
      </c>
      <c r="H183" s="71" t="s">
        <v>120</v>
      </c>
      <c r="I183" s="71">
        <v>2</v>
      </c>
      <c r="K183" s="71">
        <v>1</v>
      </c>
    </row>
    <row r="184" spans="1:11" ht="12.75">
      <c r="A184" s="71">
        <v>814589</v>
      </c>
      <c r="B184" s="71" t="s">
        <v>265</v>
      </c>
      <c r="C184" s="71" t="s">
        <v>266</v>
      </c>
      <c r="D184" s="71" t="s">
        <v>118</v>
      </c>
      <c r="E184" s="71">
        <v>425</v>
      </c>
      <c r="F184" s="71">
        <v>4889034</v>
      </c>
      <c r="G184" s="71" t="s">
        <v>125</v>
      </c>
      <c r="H184" s="71" t="s">
        <v>122</v>
      </c>
      <c r="I184" s="71">
        <v>0</v>
      </c>
      <c r="K184" s="71">
        <v>12</v>
      </c>
    </row>
    <row r="185" spans="1:11" ht="12.75">
      <c r="A185" s="71">
        <v>814365</v>
      </c>
      <c r="B185" s="71" t="s">
        <v>267</v>
      </c>
      <c r="C185" s="71" t="s">
        <v>268</v>
      </c>
      <c r="D185" s="71" t="s">
        <v>227</v>
      </c>
      <c r="E185" s="71">
        <v>425</v>
      </c>
      <c r="F185" s="71">
        <v>8231045</v>
      </c>
      <c r="G185" s="71" t="s">
        <v>125</v>
      </c>
      <c r="H185" s="71" t="s">
        <v>169</v>
      </c>
      <c r="I185" s="71">
        <v>0.16</v>
      </c>
      <c r="K185" s="71">
        <v>12</v>
      </c>
    </row>
    <row r="186" spans="1:11" ht="12.75">
      <c r="A186" s="71">
        <v>814365</v>
      </c>
      <c r="B186" s="71" t="s">
        <v>267</v>
      </c>
      <c r="C186" s="71" t="s">
        <v>268</v>
      </c>
      <c r="D186" s="71" t="s">
        <v>227</v>
      </c>
      <c r="E186" s="71">
        <v>425</v>
      </c>
      <c r="F186" s="71">
        <v>8231045</v>
      </c>
      <c r="G186" s="71" t="s">
        <v>125</v>
      </c>
      <c r="H186" s="71" t="s">
        <v>169</v>
      </c>
      <c r="I186" s="71">
        <v>0.16</v>
      </c>
      <c r="K186" s="71">
        <v>4</v>
      </c>
    </row>
    <row r="187" spans="1:11" ht="12.75">
      <c r="A187" s="71">
        <v>814365</v>
      </c>
      <c r="B187" s="71" t="s">
        <v>267</v>
      </c>
      <c r="C187" s="71" t="s">
        <v>268</v>
      </c>
      <c r="D187" s="71" t="s">
        <v>227</v>
      </c>
      <c r="E187" s="71">
        <v>425</v>
      </c>
      <c r="F187" s="71">
        <v>8231045</v>
      </c>
      <c r="G187" s="71" t="s">
        <v>125</v>
      </c>
      <c r="H187" s="71" t="s">
        <v>169</v>
      </c>
      <c r="I187" s="71">
        <v>0.16</v>
      </c>
      <c r="K187" s="71">
        <v>28</v>
      </c>
    </row>
    <row r="188" spans="1:11" ht="12.75">
      <c r="A188" s="71">
        <v>814365</v>
      </c>
      <c r="B188" s="71" t="s">
        <v>267</v>
      </c>
      <c r="C188" s="71" t="s">
        <v>268</v>
      </c>
      <c r="D188" s="71" t="s">
        <v>227</v>
      </c>
      <c r="E188" s="71">
        <v>425</v>
      </c>
      <c r="F188" s="71">
        <v>8231045</v>
      </c>
      <c r="G188" s="71" t="s">
        <v>125</v>
      </c>
      <c r="H188" s="71" t="s">
        <v>169</v>
      </c>
      <c r="I188" s="71">
        <v>0.16</v>
      </c>
      <c r="K188" s="71">
        <v>16</v>
      </c>
    </row>
    <row r="189" spans="1:11" ht="12.75">
      <c r="A189" s="71">
        <v>814365</v>
      </c>
      <c r="B189" s="71" t="s">
        <v>267</v>
      </c>
      <c r="C189" s="71" t="s">
        <v>268</v>
      </c>
      <c r="D189" s="71" t="s">
        <v>227</v>
      </c>
      <c r="E189" s="71">
        <v>425</v>
      </c>
      <c r="F189" s="71">
        <v>8231045</v>
      </c>
      <c r="G189" s="71" t="s">
        <v>125</v>
      </c>
      <c r="H189" s="71" t="s">
        <v>131</v>
      </c>
      <c r="I189" s="71">
        <v>2</v>
      </c>
      <c r="K189" s="71">
        <v>2</v>
      </c>
    </row>
    <row r="190" spans="1:11" ht="12.75">
      <c r="A190" s="71">
        <v>814365</v>
      </c>
      <c r="B190" s="71" t="s">
        <v>267</v>
      </c>
      <c r="C190" s="71" t="s">
        <v>268</v>
      </c>
      <c r="D190" s="71" t="s">
        <v>227</v>
      </c>
      <c r="E190" s="71">
        <v>425</v>
      </c>
      <c r="F190" s="71">
        <v>8231045</v>
      </c>
      <c r="G190" s="71" t="s">
        <v>125</v>
      </c>
      <c r="H190" s="71" t="s">
        <v>131</v>
      </c>
      <c r="I190" s="71">
        <v>3</v>
      </c>
      <c r="K190" s="71">
        <v>1</v>
      </c>
    </row>
    <row r="191" spans="1:11" ht="12.75">
      <c r="A191" s="71">
        <v>814365</v>
      </c>
      <c r="B191" s="71" t="s">
        <v>267</v>
      </c>
      <c r="C191" s="71" t="s">
        <v>268</v>
      </c>
      <c r="D191" s="71" t="s">
        <v>227</v>
      </c>
      <c r="E191" s="71">
        <v>425</v>
      </c>
      <c r="F191" s="71">
        <v>8231045</v>
      </c>
      <c r="G191" s="71" t="s">
        <v>125</v>
      </c>
      <c r="H191" s="71" t="s">
        <v>121</v>
      </c>
      <c r="I191" s="71">
        <v>0.45</v>
      </c>
      <c r="K191" s="71">
        <v>4</v>
      </c>
    </row>
    <row r="192" spans="1:11" ht="12.75">
      <c r="A192" s="71">
        <v>814365</v>
      </c>
      <c r="B192" s="71" t="s">
        <v>267</v>
      </c>
      <c r="C192" s="71" t="s">
        <v>268</v>
      </c>
      <c r="D192" s="71" t="s">
        <v>227</v>
      </c>
      <c r="E192" s="71">
        <v>425</v>
      </c>
      <c r="F192" s="71">
        <v>8231045</v>
      </c>
      <c r="G192" s="71" t="s">
        <v>125</v>
      </c>
      <c r="H192" s="71" t="s">
        <v>170</v>
      </c>
      <c r="I192" s="71">
        <v>0.45</v>
      </c>
      <c r="K192" s="71">
        <v>3</v>
      </c>
    </row>
    <row r="193" spans="1:11" ht="12.75">
      <c r="A193" s="71">
        <v>814365</v>
      </c>
      <c r="B193" s="71" t="s">
        <v>267</v>
      </c>
      <c r="C193" s="71" t="s">
        <v>268</v>
      </c>
      <c r="D193" s="71" t="s">
        <v>227</v>
      </c>
      <c r="E193" s="71">
        <v>425</v>
      </c>
      <c r="F193" s="71">
        <v>8231045</v>
      </c>
      <c r="G193" s="71" t="s">
        <v>125</v>
      </c>
      <c r="H193" s="71" t="s">
        <v>122</v>
      </c>
      <c r="I193" s="71">
        <v>0</v>
      </c>
      <c r="K193" s="71">
        <v>77</v>
      </c>
    </row>
    <row r="194" spans="1:11" ht="12.75">
      <c r="A194" s="71">
        <v>815505</v>
      </c>
      <c r="B194" s="71" t="s">
        <v>269</v>
      </c>
      <c r="C194" s="71" t="s">
        <v>270</v>
      </c>
      <c r="D194" s="71" t="s">
        <v>118</v>
      </c>
      <c r="E194" s="71">
        <v>425</v>
      </c>
      <c r="F194" s="71">
        <v>4881509</v>
      </c>
      <c r="G194" s="71" t="s">
        <v>125</v>
      </c>
      <c r="H194" s="71" t="s">
        <v>120</v>
      </c>
      <c r="I194" s="71">
        <v>3</v>
      </c>
      <c r="K194" s="71">
        <v>2</v>
      </c>
    </row>
    <row r="195" spans="1:11" ht="12.75">
      <c r="A195" s="71">
        <v>815505</v>
      </c>
      <c r="B195" s="71" t="s">
        <v>269</v>
      </c>
      <c r="C195" s="71" t="s">
        <v>270</v>
      </c>
      <c r="D195" s="71" t="s">
        <v>118</v>
      </c>
      <c r="E195" s="71">
        <v>425</v>
      </c>
      <c r="F195" s="71">
        <v>4881509</v>
      </c>
      <c r="G195" s="71" t="s">
        <v>125</v>
      </c>
      <c r="H195" s="71" t="s">
        <v>120</v>
      </c>
      <c r="I195" s="71">
        <v>4</v>
      </c>
      <c r="K195" s="71">
        <v>1</v>
      </c>
    </row>
    <row r="196" spans="1:11" ht="12.75">
      <c r="A196" s="71">
        <v>815505</v>
      </c>
      <c r="B196" s="71" t="s">
        <v>269</v>
      </c>
      <c r="C196" s="71" t="s">
        <v>270</v>
      </c>
      <c r="D196" s="71" t="s">
        <v>118</v>
      </c>
      <c r="E196" s="71">
        <v>425</v>
      </c>
      <c r="F196" s="71">
        <v>4881509</v>
      </c>
      <c r="G196" s="71" t="s">
        <v>125</v>
      </c>
      <c r="H196" s="71" t="s">
        <v>121</v>
      </c>
      <c r="I196" s="71">
        <v>0.45</v>
      </c>
      <c r="K196" s="71">
        <v>14</v>
      </c>
    </row>
    <row r="197" spans="1:11" ht="12.75">
      <c r="A197" s="71">
        <v>815505</v>
      </c>
      <c r="B197" s="71" t="s">
        <v>269</v>
      </c>
      <c r="C197" s="71" t="s">
        <v>270</v>
      </c>
      <c r="D197" s="71" t="s">
        <v>118</v>
      </c>
      <c r="E197" s="71">
        <v>425</v>
      </c>
      <c r="F197" s="71">
        <v>4881509</v>
      </c>
      <c r="G197" s="71" t="s">
        <v>125</v>
      </c>
      <c r="H197" s="71" t="s">
        <v>122</v>
      </c>
      <c r="I197" s="71">
        <v>0</v>
      </c>
      <c r="K197" s="71">
        <v>71</v>
      </c>
    </row>
    <row r="198" spans="1:11" ht="12.75">
      <c r="A198" s="71">
        <v>812840</v>
      </c>
      <c r="B198" s="71" t="s">
        <v>271</v>
      </c>
      <c r="C198" s="71" t="s">
        <v>272</v>
      </c>
      <c r="D198" s="71" t="s">
        <v>118</v>
      </c>
      <c r="E198" s="71">
        <v>425</v>
      </c>
      <c r="F198" s="71">
        <v>4887612</v>
      </c>
      <c r="G198" s="71" t="s">
        <v>273</v>
      </c>
      <c r="H198" s="71" t="s">
        <v>120</v>
      </c>
      <c r="I198" s="71">
        <v>3</v>
      </c>
      <c r="K198" s="71">
        <v>1</v>
      </c>
    </row>
    <row r="199" spans="1:11" ht="12.75">
      <c r="A199" s="71">
        <v>812840</v>
      </c>
      <c r="B199" s="71" t="s">
        <v>271</v>
      </c>
      <c r="C199" s="71" t="s">
        <v>272</v>
      </c>
      <c r="D199" s="71" t="s">
        <v>118</v>
      </c>
      <c r="E199" s="71">
        <v>425</v>
      </c>
      <c r="F199" s="71">
        <v>4887612</v>
      </c>
      <c r="G199" s="71" t="s">
        <v>273</v>
      </c>
      <c r="H199" s="71" t="s">
        <v>131</v>
      </c>
      <c r="I199" s="71">
        <v>2</v>
      </c>
      <c r="K199" s="71">
        <v>1</v>
      </c>
    </row>
    <row r="200" spans="1:11" ht="12.75">
      <c r="A200" s="71">
        <v>812840</v>
      </c>
      <c r="B200" s="71" t="s">
        <v>271</v>
      </c>
      <c r="C200" s="71" t="s">
        <v>272</v>
      </c>
      <c r="D200" s="71" t="s">
        <v>118</v>
      </c>
      <c r="E200" s="71">
        <v>425</v>
      </c>
      <c r="F200" s="71">
        <v>4887612</v>
      </c>
      <c r="G200" s="71" t="s">
        <v>273</v>
      </c>
      <c r="H200" s="71" t="s">
        <v>122</v>
      </c>
      <c r="I200" s="71">
        <v>0</v>
      </c>
      <c r="K200" s="71">
        <v>28</v>
      </c>
    </row>
    <row r="201" spans="1:11" ht="12.75">
      <c r="A201" s="71">
        <v>815507</v>
      </c>
      <c r="B201" s="71" t="s">
        <v>274</v>
      </c>
      <c r="C201" s="71" t="s">
        <v>275</v>
      </c>
      <c r="D201" s="71" t="s">
        <v>118</v>
      </c>
      <c r="E201" s="71">
        <v>206</v>
      </c>
      <c r="F201" s="71">
        <v>3614747</v>
      </c>
      <c r="G201" s="71" t="s">
        <v>125</v>
      </c>
      <c r="H201" s="71" t="s">
        <v>120</v>
      </c>
      <c r="I201" s="71">
        <v>3</v>
      </c>
      <c r="K201" s="71">
        <v>1</v>
      </c>
    </row>
    <row r="202" spans="1:11" ht="12.75">
      <c r="A202" s="71">
        <v>815507</v>
      </c>
      <c r="B202" s="71" t="s">
        <v>274</v>
      </c>
      <c r="C202" s="71" t="s">
        <v>275</v>
      </c>
      <c r="D202" s="71" t="s">
        <v>118</v>
      </c>
      <c r="E202" s="71">
        <v>206</v>
      </c>
      <c r="F202" s="71">
        <v>3614747</v>
      </c>
      <c r="G202" s="71" t="s">
        <v>125</v>
      </c>
      <c r="H202" s="71" t="s">
        <v>131</v>
      </c>
      <c r="I202" s="71">
        <v>2</v>
      </c>
      <c r="K202" s="71">
        <v>1</v>
      </c>
    </row>
    <row r="203" spans="1:11" ht="12.75">
      <c r="A203" s="71">
        <v>815507</v>
      </c>
      <c r="B203" s="71" t="s">
        <v>274</v>
      </c>
      <c r="C203" s="71" t="s">
        <v>275</v>
      </c>
      <c r="D203" s="71" t="s">
        <v>118</v>
      </c>
      <c r="E203" s="71">
        <v>206</v>
      </c>
      <c r="F203" s="71">
        <v>3614747</v>
      </c>
      <c r="G203" s="71" t="s">
        <v>125</v>
      </c>
      <c r="H203" s="71" t="s">
        <v>170</v>
      </c>
      <c r="I203" s="71">
        <v>0.45</v>
      </c>
      <c r="K203" s="71">
        <v>1</v>
      </c>
    </row>
    <row r="204" spans="1:11" ht="12.75">
      <c r="A204" s="71">
        <v>815507</v>
      </c>
      <c r="B204" s="71" t="s">
        <v>274</v>
      </c>
      <c r="C204" s="71" t="s">
        <v>275</v>
      </c>
      <c r="D204" s="71" t="s">
        <v>118</v>
      </c>
      <c r="E204" s="71">
        <v>206</v>
      </c>
      <c r="F204" s="71">
        <v>3614747</v>
      </c>
      <c r="G204" s="71" t="s">
        <v>125</v>
      </c>
      <c r="H204" s="71" t="s">
        <v>122</v>
      </c>
      <c r="I204" s="71">
        <v>0</v>
      </c>
      <c r="K204" s="71">
        <v>15</v>
      </c>
    </row>
    <row r="205" spans="1:11" ht="12.75">
      <c r="A205" s="71">
        <v>812902</v>
      </c>
      <c r="B205" s="71" t="s">
        <v>276</v>
      </c>
      <c r="C205" s="71" t="s">
        <v>277</v>
      </c>
      <c r="D205" s="71" t="s">
        <v>118</v>
      </c>
      <c r="E205" s="71">
        <v>425</v>
      </c>
      <c r="F205" s="71">
        <v>4810281</v>
      </c>
      <c r="G205" s="71" t="s">
        <v>125</v>
      </c>
      <c r="H205" s="71" t="s">
        <v>120</v>
      </c>
      <c r="I205" s="71">
        <v>4</v>
      </c>
      <c r="K205" s="71">
        <v>1</v>
      </c>
    </row>
    <row r="206" spans="1:11" ht="12.75">
      <c r="A206" s="71">
        <v>812902</v>
      </c>
      <c r="B206" s="71" t="s">
        <v>276</v>
      </c>
      <c r="C206" s="71" t="s">
        <v>277</v>
      </c>
      <c r="D206" s="71" t="s">
        <v>118</v>
      </c>
      <c r="E206" s="71">
        <v>425</v>
      </c>
      <c r="F206" s="71">
        <v>4810281</v>
      </c>
      <c r="G206" s="71" t="s">
        <v>125</v>
      </c>
      <c r="H206" s="71" t="s">
        <v>131</v>
      </c>
      <c r="I206" s="71">
        <v>4</v>
      </c>
      <c r="K206" s="71">
        <v>1</v>
      </c>
    </row>
    <row r="207" spans="1:11" ht="12.75">
      <c r="A207" s="71">
        <v>812902</v>
      </c>
      <c r="B207" s="71" t="s">
        <v>276</v>
      </c>
      <c r="C207" s="71" t="s">
        <v>277</v>
      </c>
      <c r="D207" s="71" t="s">
        <v>118</v>
      </c>
      <c r="E207" s="71">
        <v>425</v>
      </c>
      <c r="F207" s="71">
        <v>4810281</v>
      </c>
      <c r="G207" s="71" t="s">
        <v>125</v>
      </c>
      <c r="H207" s="71" t="s">
        <v>121</v>
      </c>
      <c r="I207" s="71">
        <v>0.45</v>
      </c>
      <c r="K207" s="71">
        <v>2</v>
      </c>
    </row>
    <row r="208" spans="1:11" ht="12.75">
      <c r="A208" s="71">
        <v>812902</v>
      </c>
      <c r="B208" s="71" t="s">
        <v>276</v>
      </c>
      <c r="C208" s="71" t="s">
        <v>277</v>
      </c>
      <c r="D208" s="71" t="s">
        <v>118</v>
      </c>
      <c r="E208" s="71">
        <v>425</v>
      </c>
      <c r="F208" s="71">
        <v>4810281</v>
      </c>
      <c r="G208" s="71" t="s">
        <v>125</v>
      </c>
      <c r="H208" s="71" t="s">
        <v>122</v>
      </c>
      <c r="I208" s="71">
        <v>0</v>
      </c>
      <c r="K208" s="71">
        <v>42</v>
      </c>
    </row>
    <row r="209" spans="1:11" ht="12.75">
      <c r="A209" s="71">
        <v>815525</v>
      </c>
      <c r="B209" s="71" t="s">
        <v>278</v>
      </c>
      <c r="C209" s="71" t="s">
        <v>279</v>
      </c>
      <c r="D209" s="71" t="s">
        <v>136</v>
      </c>
      <c r="E209" s="71">
        <v>425</v>
      </c>
      <c r="F209" s="71">
        <v>8973400</v>
      </c>
      <c r="G209" s="71" t="s">
        <v>125</v>
      </c>
      <c r="H209" s="71" t="s">
        <v>120</v>
      </c>
      <c r="I209" s="71">
        <v>4</v>
      </c>
      <c r="K209" s="71">
        <v>1</v>
      </c>
    </row>
    <row r="210" spans="1:11" ht="12.75">
      <c r="A210" s="71">
        <v>815525</v>
      </c>
      <c r="B210" s="71" t="s">
        <v>278</v>
      </c>
      <c r="C210" s="71" t="s">
        <v>279</v>
      </c>
      <c r="D210" s="71" t="s">
        <v>136</v>
      </c>
      <c r="E210" s="71">
        <v>425</v>
      </c>
      <c r="F210" s="71">
        <v>8973400</v>
      </c>
      <c r="G210" s="71" t="s">
        <v>125</v>
      </c>
      <c r="H210" s="71" t="s">
        <v>131</v>
      </c>
      <c r="I210" s="71">
        <v>3</v>
      </c>
      <c r="K210" s="71">
        <v>1</v>
      </c>
    </row>
    <row r="211" spans="1:11" ht="12.75">
      <c r="A211" s="71">
        <v>815525</v>
      </c>
      <c r="B211" s="71" t="s">
        <v>278</v>
      </c>
      <c r="C211" s="71" t="s">
        <v>279</v>
      </c>
      <c r="D211" s="71" t="s">
        <v>136</v>
      </c>
      <c r="E211" s="71">
        <v>425</v>
      </c>
      <c r="F211" s="71">
        <v>8973400</v>
      </c>
      <c r="G211" s="71" t="s">
        <v>125</v>
      </c>
      <c r="H211" s="71" t="s">
        <v>121</v>
      </c>
      <c r="I211" s="71">
        <v>0.45</v>
      </c>
      <c r="K211" s="71">
        <v>2</v>
      </c>
    </row>
    <row r="212" spans="1:11" ht="12.75">
      <c r="A212" s="71">
        <v>815525</v>
      </c>
      <c r="B212" s="71" t="s">
        <v>278</v>
      </c>
      <c r="C212" s="71" t="s">
        <v>279</v>
      </c>
      <c r="D212" s="71" t="s">
        <v>136</v>
      </c>
      <c r="E212" s="71">
        <v>425</v>
      </c>
      <c r="F212" s="71">
        <v>8973400</v>
      </c>
      <c r="G212" s="71" t="s">
        <v>125</v>
      </c>
      <c r="H212" s="71" t="s">
        <v>122</v>
      </c>
      <c r="I212" s="71">
        <v>0</v>
      </c>
      <c r="K212" s="71">
        <v>29</v>
      </c>
    </row>
    <row r="213" spans="1:11" ht="12.75">
      <c r="A213" s="71">
        <v>813132</v>
      </c>
      <c r="B213" s="71" t="s">
        <v>280</v>
      </c>
      <c r="C213" s="71" t="s">
        <v>281</v>
      </c>
      <c r="D213" s="71" t="s">
        <v>136</v>
      </c>
      <c r="E213" s="71">
        <v>425</v>
      </c>
      <c r="F213" s="71">
        <v>4676311</v>
      </c>
      <c r="G213" s="71" t="s">
        <v>125</v>
      </c>
      <c r="H213" s="71" t="s">
        <v>120</v>
      </c>
      <c r="I213" s="71">
        <v>3</v>
      </c>
      <c r="K213" s="71">
        <v>1</v>
      </c>
    </row>
    <row r="214" spans="1:11" ht="12.75">
      <c r="A214" s="71">
        <v>813132</v>
      </c>
      <c r="B214" s="71" t="s">
        <v>280</v>
      </c>
      <c r="C214" s="71" t="s">
        <v>281</v>
      </c>
      <c r="D214" s="71" t="s">
        <v>136</v>
      </c>
      <c r="E214" s="71">
        <v>425</v>
      </c>
      <c r="F214" s="71">
        <v>4676311</v>
      </c>
      <c r="G214" s="71" t="s">
        <v>125</v>
      </c>
      <c r="H214" s="71" t="s">
        <v>131</v>
      </c>
      <c r="I214" s="71">
        <v>1.25</v>
      </c>
      <c r="K214" s="71">
        <v>1</v>
      </c>
    </row>
    <row r="215" spans="1:11" ht="12.75">
      <c r="A215" s="71">
        <v>813132</v>
      </c>
      <c r="B215" s="71" t="s">
        <v>280</v>
      </c>
      <c r="C215" s="71" t="s">
        <v>281</v>
      </c>
      <c r="D215" s="71" t="s">
        <v>136</v>
      </c>
      <c r="E215" s="71">
        <v>425</v>
      </c>
      <c r="F215" s="71">
        <v>4676311</v>
      </c>
      <c r="G215" s="71" t="s">
        <v>125</v>
      </c>
      <c r="H215" s="71" t="s">
        <v>121</v>
      </c>
      <c r="I215" s="71">
        <v>0.3</v>
      </c>
      <c r="K215" s="71">
        <v>2</v>
      </c>
    </row>
    <row r="216" spans="1:11" ht="12.75">
      <c r="A216" s="71">
        <v>813132</v>
      </c>
      <c r="B216" s="71" t="s">
        <v>280</v>
      </c>
      <c r="C216" s="71" t="s">
        <v>281</v>
      </c>
      <c r="D216" s="71" t="s">
        <v>136</v>
      </c>
      <c r="E216" s="71">
        <v>425</v>
      </c>
      <c r="F216" s="71">
        <v>4676311</v>
      </c>
      <c r="G216" s="71" t="s">
        <v>125</v>
      </c>
      <c r="H216" s="71" t="s">
        <v>122</v>
      </c>
      <c r="I216" s="71">
        <v>0</v>
      </c>
      <c r="K216" s="71">
        <v>15</v>
      </c>
    </row>
    <row r="217" spans="1:11" ht="12.75">
      <c r="A217" s="71">
        <v>814176</v>
      </c>
      <c r="B217" s="71" t="s">
        <v>282</v>
      </c>
      <c r="C217" s="71" t="s">
        <v>283</v>
      </c>
      <c r="D217" s="71" t="s">
        <v>136</v>
      </c>
      <c r="E217" s="71">
        <v>425</v>
      </c>
      <c r="F217" s="71">
        <v>4530089</v>
      </c>
      <c r="G217" s="71" t="s">
        <v>125</v>
      </c>
      <c r="H217" s="71" t="s">
        <v>120</v>
      </c>
      <c r="I217" s="71">
        <v>8</v>
      </c>
      <c r="K217" s="71">
        <v>1</v>
      </c>
    </row>
    <row r="219" spans="1:11" ht="12.75">
      <c r="A219" s="71">
        <v>814176</v>
      </c>
      <c r="B219" s="71" t="s">
        <v>282</v>
      </c>
      <c r="C219" s="71" t="s">
        <v>283</v>
      </c>
      <c r="D219" s="71" t="s">
        <v>136</v>
      </c>
      <c r="E219" s="71">
        <v>425</v>
      </c>
      <c r="F219" s="71">
        <v>4530089</v>
      </c>
      <c r="G219" s="71" t="s">
        <v>125</v>
      </c>
      <c r="H219" s="71" t="s">
        <v>121</v>
      </c>
      <c r="I219" s="71">
        <v>0.45</v>
      </c>
      <c r="K219" s="71">
        <v>2</v>
      </c>
    </row>
    <row r="220" spans="1:11" ht="12.75">
      <c r="A220" s="71">
        <v>814176</v>
      </c>
      <c r="B220" s="71" t="s">
        <v>282</v>
      </c>
      <c r="C220" s="71" t="s">
        <v>283</v>
      </c>
      <c r="D220" s="71" t="s">
        <v>136</v>
      </c>
      <c r="E220" s="71">
        <v>425</v>
      </c>
      <c r="F220" s="71">
        <v>4530089</v>
      </c>
      <c r="G220" s="71" t="s">
        <v>125</v>
      </c>
      <c r="H220" s="71" t="s">
        <v>131</v>
      </c>
      <c r="I220" s="71">
        <v>3</v>
      </c>
      <c r="K220" s="71">
        <v>1</v>
      </c>
    </row>
    <row r="221" spans="1:11" ht="12.75">
      <c r="A221" s="71">
        <v>814176</v>
      </c>
      <c r="B221" s="71" t="s">
        <v>282</v>
      </c>
      <c r="C221" s="71" t="s">
        <v>283</v>
      </c>
      <c r="D221" s="71" t="s">
        <v>136</v>
      </c>
      <c r="E221" s="71">
        <v>425</v>
      </c>
      <c r="F221" s="71">
        <v>4530089</v>
      </c>
      <c r="G221" s="71" t="s">
        <v>125</v>
      </c>
      <c r="H221" s="71" t="s">
        <v>122</v>
      </c>
      <c r="I221" s="71">
        <v>0</v>
      </c>
      <c r="K221" s="71">
        <v>56</v>
      </c>
    </row>
    <row r="222" spans="1:11" ht="12.75">
      <c r="A222" s="71">
        <v>817379</v>
      </c>
      <c r="B222" s="71" t="s">
        <v>284</v>
      </c>
      <c r="C222" s="71" t="s">
        <v>285</v>
      </c>
      <c r="D222" s="71" t="s">
        <v>136</v>
      </c>
      <c r="E222" s="71">
        <v>425</v>
      </c>
      <c r="F222" s="71">
        <v>8236263</v>
      </c>
      <c r="G222" s="71" t="s">
        <v>286</v>
      </c>
      <c r="H222" s="71" t="s">
        <v>120</v>
      </c>
      <c r="I222" s="71">
        <v>4</v>
      </c>
      <c r="K222" s="71">
        <v>1</v>
      </c>
    </row>
    <row r="223" spans="1:11" ht="12.75">
      <c r="A223" s="71">
        <v>817379</v>
      </c>
      <c r="B223" s="71" t="s">
        <v>284</v>
      </c>
      <c r="C223" s="71" t="s">
        <v>285</v>
      </c>
      <c r="D223" s="71" t="s">
        <v>136</v>
      </c>
      <c r="E223" s="71">
        <v>425</v>
      </c>
      <c r="F223" s="71">
        <v>8236263</v>
      </c>
      <c r="G223" s="71" t="s">
        <v>286</v>
      </c>
      <c r="H223" s="71" t="s">
        <v>131</v>
      </c>
      <c r="I223" s="71">
        <v>3</v>
      </c>
      <c r="K223" s="71">
        <v>1</v>
      </c>
    </row>
    <row r="224" spans="1:11" ht="12.75">
      <c r="A224" s="71">
        <v>817379</v>
      </c>
      <c r="B224" s="71" t="s">
        <v>284</v>
      </c>
      <c r="C224" s="71" t="s">
        <v>285</v>
      </c>
      <c r="D224" s="71" t="s">
        <v>136</v>
      </c>
      <c r="E224" s="71">
        <v>425</v>
      </c>
      <c r="F224" s="71">
        <v>8236263</v>
      </c>
      <c r="G224" s="71" t="s">
        <v>286</v>
      </c>
      <c r="H224" s="71" t="s">
        <v>121</v>
      </c>
      <c r="I224" s="71">
        <v>0.45</v>
      </c>
      <c r="K224" s="71">
        <v>2</v>
      </c>
    </row>
    <row r="225" spans="1:11" ht="12.75">
      <c r="A225" s="71">
        <v>817379</v>
      </c>
      <c r="B225" s="71" t="s">
        <v>284</v>
      </c>
      <c r="C225" s="71" t="s">
        <v>285</v>
      </c>
      <c r="D225" s="71" t="s">
        <v>136</v>
      </c>
      <c r="E225" s="71">
        <v>425</v>
      </c>
      <c r="F225" s="71">
        <v>8236263</v>
      </c>
      <c r="G225" s="71" t="s">
        <v>286</v>
      </c>
      <c r="H225" s="71" t="s">
        <v>122</v>
      </c>
      <c r="I225" s="71">
        <v>0</v>
      </c>
      <c r="K225" s="71">
        <v>33</v>
      </c>
    </row>
    <row r="226" spans="1:11" ht="12.75">
      <c r="A226" s="71">
        <v>893436</v>
      </c>
      <c r="B226" s="71" t="s">
        <v>287</v>
      </c>
      <c r="C226" s="71" t="s">
        <v>288</v>
      </c>
      <c r="D226" s="71" t="s">
        <v>136</v>
      </c>
      <c r="E226" s="71">
        <v>206</v>
      </c>
      <c r="F226" s="71">
        <v>8502643</v>
      </c>
      <c r="G226" s="71" t="s">
        <v>289</v>
      </c>
      <c r="H226" s="71" t="s">
        <v>120</v>
      </c>
      <c r="I226" s="71">
        <v>1.25</v>
      </c>
      <c r="K226" s="71">
        <v>1</v>
      </c>
    </row>
    <row r="227" spans="1:11" ht="12.75">
      <c r="A227" s="71">
        <v>893436</v>
      </c>
      <c r="B227" s="71" t="s">
        <v>287</v>
      </c>
      <c r="C227" s="71" t="s">
        <v>288</v>
      </c>
      <c r="D227" s="71" t="s">
        <v>136</v>
      </c>
      <c r="E227" s="71">
        <v>206</v>
      </c>
      <c r="F227" s="71">
        <v>8502643</v>
      </c>
      <c r="G227" s="71" t="s">
        <v>289</v>
      </c>
      <c r="H227" s="71" t="s">
        <v>122</v>
      </c>
      <c r="I227" s="71">
        <v>0</v>
      </c>
      <c r="K227" s="71">
        <v>6</v>
      </c>
    </row>
    <row r="228" spans="1:11" ht="12.75">
      <c r="A228" s="71">
        <v>890485</v>
      </c>
      <c r="B228" s="71" t="s">
        <v>290</v>
      </c>
      <c r="C228" s="71" t="s">
        <v>291</v>
      </c>
      <c r="D228" s="71" t="s">
        <v>136</v>
      </c>
      <c r="E228" s="71">
        <v>425</v>
      </c>
      <c r="F228" s="71">
        <v>5769531</v>
      </c>
      <c r="G228" s="71" t="s">
        <v>292</v>
      </c>
      <c r="H228" s="71" t="s">
        <v>121</v>
      </c>
      <c r="I228" s="71">
        <v>0.45</v>
      </c>
      <c r="K228" s="71">
        <v>1</v>
      </c>
    </row>
    <row r="229" spans="1:11" ht="12.75">
      <c r="A229" s="71">
        <v>890485</v>
      </c>
      <c r="B229" s="71" t="s">
        <v>290</v>
      </c>
      <c r="C229" s="71" t="s">
        <v>291</v>
      </c>
      <c r="D229" s="71" t="s">
        <v>136</v>
      </c>
      <c r="E229" s="71">
        <v>425</v>
      </c>
      <c r="F229" s="71">
        <v>5769531</v>
      </c>
      <c r="G229" s="71" t="s">
        <v>292</v>
      </c>
      <c r="H229" s="71" t="s">
        <v>170</v>
      </c>
      <c r="I229" s="71">
        <v>0.45</v>
      </c>
      <c r="K229" s="71">
        <v>1</v>
      </c>
    </row>
    <row r="230" spans="1:11" ht="12.75">
      <c r="A230" s="71">
        <v>890485</v>
      </c>
      <c r="B230" s="71" t="s">
        <v>290</v>
      </c>
      <c r="C230" s="71" t="s">
        <v>291</v>
      </c>
      <c r="D230" s="71" t="s">
        <v>136</v>
      </c>
      <c r="E230" s="71">
        <v>425</v>
      </c>
      <c r="F230" s="71">
        <v>5769531</v>
      </c>
      <c r="G230" s="71" t="s">
        <v>292</v>
      </c>
      <c r="H230" s="71" t="s">
        <v>120</v>
      </c>
      <c r="I230" s="71">
        <v>4</v>
      </c>
      <c r="K230" s="71">
        <v>1</v>
      </c>
    </row>
    <row r="231" spans="1:11" ht="12.75">
      <c r="A231" s="71">
        <v>893311</v>
      </c>
      <c r="B231" s="71" t="s">
        <v>293</v>
      </c>
      <c r="C231" s="71" t="s">
        <v>294</v>
      </c>
      <c r="D231" s="71" t="s">
        <v>118</v>
      </c>
      <c r="E231" s="71">
        <v>425</v>
      </c>
      <c r="F231" s="71">
        <v>4850001</v>
      </c>
      <c r="G231" s="71" t="s">
        <v>295</v>
      </c>
      <c r="H231" s="71" t="s">
        <v>120</v>
      </c>
      <c r="I231" s="71">
        <v>8</v>
      </c>
      <c r="K231" s="71">
        <v>1</v>
      </c>
    </row>
    <row r="232" spans="1:11" ht="12.75">
      <c r="A232" s="71">
        <v>893311</v>
      </c>
      <c r="B232" s="71" t="s">
        <v>293</v>
      </c>
      <c r="C232" s="71" t="s">
        <v>294</v>
      </c>
      <c r="D232" s="71" t="s">
        <v>118</v>
      </c>
      <c r="E232" s="71">
        <v>425</v>
      </c>
      <c r="F232" s="71">
        <v>4850001</v>
      </c>
      <c r="G232" s="71" t="s">
        <v>295</v>
      </c>
      <c r="H232" s="71" t="s">
        <v>120</v>
      </c>
      <c r="I232" s="71">
        <v>6</v>
      </c>
      <c r="K232" s="71">
        <v>3</v>
      </c>
    </row>
    <row r="233" spans="1:11" ht="12.75">
      <c r="A233" s="71">
        <v>893311</v>
      </c>
      <c r="B233" s="71" t="s">
        <v>293</v>
      </c>
      <c r="C233" s="71" t="s">
        <v>294</v>
      </c>
      <c r="D233" s="71" t="s">
        <v>118</v>
      </c>
      <c r="E233" s="71">
        <v>425</v>
      </c>
      <c r="F233" s="71">
        <v>4850001</v>
      </c>
      <c r="G233" s="71" t="s">
        <v>295</v>
      </c>
      <c r="H233" s="71" t="s">
        <v>131</v>
      </c>
      <c r="I233" s="71">
        <v>4</v>
      </c>
      <c r="K233" s="71">
        <v>3</v>
      </c>
    </row>
    <row r="234" spans="1:11" ht="12.75">
      <c r="A234" s="71">
        <v>893311</v>
      </c>
      <c r="B234" s="71" t="s">
        <v>293</v>
      </c>
      <c r="C234" s="71" t="s">
        <v>294</v>
      </c>
      <c r="D234" s="71" t="s">
        <v>118</v>
      </c>
      <c r="E234" s="71">
        <v>425</v>
      </c>
      <c r="F234" s="71">
        <v>4850001</v>
      </c>
      <c r="G234" s="71" t="s">
        <v>295</v>
      </c>
      <c r="H234" s="71" t="s">
        <v>121</v>
      </c>
      <c r="I234" s="71">
        <v>0.45</v>
      </c>
      <c r="K234" s="71">
        <v>4</v>
      </c>
    </row>
    <row r="235" spans="1:11" ht="12.75">
      <c r="A235" s="71">
        <v>893311</v>
      </c>
      <c r="B235" s="71" t="s">
        <v>293</v>
      </c>
      <c r="C235" s="71" t="s">
        <v>294</v>
      </c>
      <c r="D235" s="71" t="s">
        <v>118</v>
      </c>
      <c r="E235" s="71">
        <v>425</v>
      </c>
      <c r="F235" s="71">
        <v>4850001</v>
      </c>
      <c r="G235" s="71" t="s">
        <v>295</v>
      </c>
      <c r="H235" s="71" t="s">
        <v>122</v>
      </c>
      <c r="I235" s="71">
        <v>0</v>
      </c>
      <c r="K235" s="71">
        <v>163</v>
      </c>
    </row>
    <row r="236" spans="1:11" ht="12.75">
      <c r="A236" s="71">
        <v>813019</v>
      </c>
      <c r="B236" s="71" t="s">
        <v>296</v>
      </c>
      <c r="C236" s="71" t="s">
        <v>297</v>
      </c>
      <c r="D236" s="71" t="s">
        <v>118</v>
      </c>
      <c r="E236" s="71">
        <v>425</v>
      </c>
      <c r="F236" s="71">
        <v>4867307</v>
      </c>
      <c r="G236" s="71" t="s">
        <v>125</v>
      </c>
      <c r="H236" s="71" t="s">
        <v>120</v>
      </c>
      <c r="I236" s="71">
        <v>6</v>
      </c>
      <c r="K236" s="71">
        <v>1</v>
      </c>
    </row>
    <row r="237" spans="1:11" ht="12.75">
      <c r="A237" s="71">
        <v>813019</v>
      </c>
      <c r="B237" s="71" t="s">
        <v>296</v>
      </c>
      <c r="C237" s="71" t="s">
        <v>297</v>
      </c>
      <c r="D237" s="71" t="s">
        <v>118</v>
      </c>
      <c r="E237" s="71">
        <v>425</v>
      </c>
      <c r="F237" s="71">
        <v>4867307</v>
      </c>
      <c r="G237" s="71" t="s">
        <v>125</v>
      </c>
      <c r="H237" s="71" t="s">
        <v>131</v>
      </c>
      <c r="I237" s="71">
        <v>2</v>
      </c>
      <c r="K237" s="71">
        <v>1</v>
      </c>
    </row>
    <row r="238" spans="1:11" ht="12.75">
      <c r="A238" s="71">
        <v>813019</v>
      </c>
      <c r="B238" s="71" t="s">
        <v>296</v>
      </c>
      <c r="C238" s="71" t="s">
        <v>297</v>
      </c>
      <c r="D238" s="71" t="s">
        <v>118</v>
      </c>
      <c r="E238" s="71">
        <v>425</v>
      </c>
      <c r="F238" s="71">
        <v>4867307</v>
      </c>
      <c r="G238" s="71" t="s">
        <v>125</v>
      </c>
      <c r="H238" s="71" t="s">
        <v>121</v>
      </c>
      <c r="I238" s="71">
        <v>0.45</v>
      </c>
      <c r="K238" s="71">
        <v>1</v>
      </c>
    </row>
    <row r="239" spans="1:11" ht="12.75">
      <c r="A239" s="71">
        <v>813019</v>
      </c>
      <c r="B239" s="71" t="s">
        <v>296</v>
      </c>
      <c r="C239" s="71" t="s">
        <v>297</v>
      </c>
      <c r="D239" s="71" t="s">
        <v>118</v>
      </c>
      <c r="E239" s="71">
        <v>425</v>
      </c>
      <c r="F239" s="71">
        <v>4867307</v>
      </c>
      <c r="G239" s="71" t="s">
        <v>125</v>
      </c>
      <c r="H239" s="71" t="s">
        <v>122</v>
      </c>
      <c r="I239" s="71">
        <v>0</v>
      </c>
      <c r="K239" s="71">
        <v>57</v>
      </c>
    </row>
    <row r="240" spans="1:11" ht="12.75">
      <c r="A240" s="71">
        <v>813890</v>
      </c>
      <c r="B240" s="71" t="s">
        <v>298</v>
      </c>
      <c r="C240" s="71" t="s">
        <v>299</v>
      </c>
      <c r="D240" s="71" t="s">
        <v>136</v>
      </c>
      <c r="E240" s="71">
        <v>425</v>
      </c>
      <c r="F240" s="71">
        <v>8973400</v>
      </c>
      <c r="G240" s="71" t="s">
        <v>125</v>
      </c>
      <c r="H240" s="71" t="s">
        <v>120</v>
      </c>
      <c r="I240" s="71">
        <v>3</v>
      </c>
      <c r="K240" s="71">
        <v>2</v>
      </c>
    </row>
    <row r="241" spans="1:11" ht="12.75">
      <c r="A241" s="71">
        <v>813890</v>
      </c>
      <c r="B241" s="71" t="s">
        <v>298</v>
      </c>
      <c r="C241" s="71" t="s">
        <v>299</v>
      </c>
      <c r="D241" s="71" t="s">
        <v>136</v>
      </c>
      <c r="E241" s="71">
        <v>425</v>
      </c>
      <c r="F241" s="71">
        <v>8973400</v>
      </c>
      <c r="G241" s="71" t="s">
        <v>125</v>
      </c>
      <c r="H241" s="71" t="s">
        <v>131</v>
      </c>
      <c r="I241" s="71">
        <v>1.25</v>
      </c>
      <c r="K241" s="71">
        <v>1</v>
      </c>
    </row>
    <row r="242" spans="1:11" ht="12.75">
      <c r="A242" s="71">
        <v>813890</v>
      </c>
      <c r="B242" s="71" t="s">
        <v>298</v>
      </c>
      <c r="C242" s="71" t="s">
        <v>299</v>
      </c>
      <c r="D242" s="71" t="s">
        <v>136</v>
      </c>
      <c r="E242" s="71">
        <v>425</v>
      </c>
      <c r="F242" s="71">
        <v>8973400</v>
      </c>
      <c r="G242" s="71" t="s">
        <v>125</v>
      </c>
      <c r="H242" s="71" t="s">
        <v>131</v>
      </c>
      <c r="I242" s="71">
        <v>2</v>
      </c>
      <c r="K242" s="71">
        <v>1</v>
      </c>
    </row>
    <row r="243" spans="1:11" ht="12.75">
      <c r="A243" s="71">
        <v>813890</v>
      </c>
      <c r="B243" s="71" t="s">
        <v>298</v>
      </c>
      <c r="C243" s="71" t="s">
        <v>299</v>
      </c>
      <c r="D243" s="71" t="s">
        <v>136</v>
      </c>
      <c r="E243" s="71">
        <v>425</v>
      </c>
      <c r="F243" s="71">
        <v>8973400</v>
      </c>
      <c r="G243" s="71" t="s">
        <v>125</v>
      </c>
      <c r="H243" s="71" t="s">
        <v>122</v>
      </c>
      <c r="I243" s="71">
        <v>0</v>
      </c>
      <c r="K243" s="71">
        <v>43</v>
      </c>
    </row>
    <row r="244" spans="1:11" ht="12.75">
      <c r="A244" s="71">
        <v>813882</v>
      </c>
      <c r="B244" s="71" t="s">
        <v>300</v>
      </c>
      <c r="C244" s="71" t="s">
        <v>301</v>
      </c>
      <c r="D244" s="71" t="s">
        <v>136</v>
      </c>
      <c r="E244" s="71">
        <v>425</v>
      </c>
      <c r="F244" s="71">
        <v>8231033</v>
      </c>
      <c r="G244" s="71" t="s">
        <v>125</v>
      </c>
      <c r="H244" s="71" t="s">
        <v>120</v>
      </c>
      <c r="I244" s="71">
        <v>3</v>
      </c>
      <c r="K244" s="71">
        <v>2</v>
      </c>
    </row>
    <row r="245" spans="1:11" ht="12.75">
      <c r="A245" s="71">
        <v>813882</v>
      </c>
      <c r="B245" s="71" t="s">
        <v>300</v>
      </c>
      <c r="C245" s="71" t="s">
        <v>301</v>
      </c>
      <c r="D245" s="71" t="s">
        <v>136</v>
      </c>
      <c r="E245" s="71">
        <v>425</v>
      </c>
      <c r="F245" s="71">
        <v>8231033</v>
      </c>
      <c r="G245" s="71" t="s">
        <v>125</v>
      </c>
      <c r="H245" s="71" t="s">
        <v>120</v>
      </c>
      <c r="I245" s="71">
        <v>4</v>
      </c>
      <c r="K245" s="71">
        <v>3</v>
      </c>
    </row>
    <row r="246" spans="1:11" ht="12.75">
      <c r="A246" s="71">
        <v>813882</v>
      </c>
      <c r="B246" s="71" t="s">
        <v>300</v>
      </c>
      <c r="C246" s="71" t="s">
        <v>301</v>
      </c>
      <c r="D246" s="71" t="s">
        <v>136</v>
      </c>
      <c r="E246" s="71">
        <v>425</v>
      </c>
      <c r="F246" s="71">
        <v>8231033</v>
      </c>
      <c r="G246" s="71" t="s">
        <v>125</v>
      </c>
      <c r="H246" s="71" t="s">
        <v>131</v>
      </c>
      <c r="I246" s="71">
        <v>2</v>
      </c>
      <c r="K246" s="71">
        <v>2</v>
      </c>
    </row>
    <row r="247" spans="1:11" ht="12.75">
      <c r="A247" s="71">
        <v>814408</v>
      </c>
      <c r="B247" s="71" t="s">
        <v>302</v>
      </c>
      <c r="C247" s="71" t="s">
        <v>303</v>
      </c>
      <c r="D247" s="71" t="s">
        <v>136</v>
      </c>
      <c r="E247" s="71">
        <v>425</v>
      </c>
      <c r="F247" s="71">
        <v>8238696</v>
      </c>
      <c r="G247" s="71" t="s">
        <v>125</v>
      </c>
      <c r="H247" s="71" t="s">
        <v>120</v>
      </c>
      <c r="I247" s="71">
        <v>1.25</v>
      </c>
      <c r="K247" s="71">
        <v>2</v>
      </c>
    </row>
    <row r="248" spans="1:11" ht="12.75">
      <c r="A248" s="71">
        <v>814408</v>
      </c>
      <c r="B248" s="71" t="s">
        <v>302</v>
      </c>
      <c r="C248" s="71" t="s">
        <v>303</v>
      </c>
      <c r="D248" s="71" t="s">
        <v>136</v>
      </c>
      <c r="E248" s="71">
        <v>425</v>
      </c>
      <c r="F248" s="71">
        <v>8238696</v>
      </c>
      <c r="G248" s="71" t="s">
        <v>125</v>
      </c>
      <c r="H248" s="71" t="s">
        <v>121</v>
      </c>
      <c r="I248" s="71">
        <v>0.45</v>
      </c>
      <c r="K248" s="71">
        <v>7</v>
      </c>
    </row>
    <row r="249" spans="1:11" ht="12.75">
      <c r="A249" s="71">
        <v>814408</v>
      </c>
      <c r="B249" s="71" t="s">
        <v>302</v>
      </c>
      <c r="C249" s="71" t="s">
        <v>303</v>
      </c>
      <c r="D249" s="71" t="s">
        <v>136</v>
      </c>
      <c r="E249" s="71">
        <v>425</v>
      </c>
      <c r="F249" s="71">
        <v>8238696</v>
      </c>
      <c r="G249" s="71" t="s">
        <v>125</v>
      </c>
      <c r="H249" s="71" t="s">
        <v>122</v>
      </c>
      <c r="I249" s="71">
        <v>0</v>
      </c>
      <c r="K249" s="71">
        <v>4</v>
      </c>
    </row>
    <row r="250" spans="1:11" ht="12.75">
      <c r="A250" s="71">
        <v>814408</v>
      </c>
      <c r="B250" s="71" t="s">
        <v>302</v>
      </c>
      <c r="C250" s="71" t="s">
        <v>304</v>
      </c>
      <c r="D250" s="71" t="s">
        <v>136</v>
      </c>
      <c r="E250" s="71">
        <v>425</v>
      </c>
      <c r="F250" s="71">
        <v>8214643</v>
      </c>
      <c r="G250" s="71" t="s">
        <v>125</v>
      </c>
      <c r="H250" s="71" t="s">
        <v>120</v>
      </c>
      <c r="I250" s="71">
        <v>1.25</v>
      </c>
      <c r="K250" s="71">
        <v>1</v>
      </c>
    </row>
    <row r="251" spans="1:11" ht="12.75">
      <c r="A251" s="71">
        <v>893190</v>
      </c>
      <c r="B251" s="71" t="s">
        <v>305</v>
      </c>
      <c r="C251" s="71" t="s">
        <v>306</v>
      </c>
      <c r="D251" s="71" t="s">
        <v>136</v>
      </c>
      <c r="E251" s="71">
        <v>425</v>
      </c>
      <c r="F251" s="71">
        <v>7882891</v>
      </c>
      <c r="G251" s="71" t="s">
        <v>307</v>
      </c>
      <c r="H251" s="71" t="s">
        <v>120</v>
      </c>
      <c r="I251" s="71">
        <v>1.25</v>
      </c>
      <c r="K251" s="71">
        <v>1</v>
      </c>
    </row>
    <row r="252" spans="1:11" ht="12.75">
      <c r="A252" s="71">
        <v>893190</v>
      </c>
      <c r="B252" s="71" t="s">
        <v>305</v>
      </c>
      <c r="C252" s="71" t="s">
        <v>306</v>
      </c>
      <c r="D252" s="71" t="s">
        <v>136</v>
      </c>
      <c r="E252" s="71">
        <v>425</v>
      </c>
      <c r="F252" s="71">
        <v>7882891</v>
      </c>
      <c r="G252" s="71" t="s">
        <v>307</v>
      </c>
      <c r="H252" s="71" t="s">
        <v>121</v>
      </c>
      <c r="I252" s="71">
        <v>0.45</v>
      </c>
      <c r="K252" s="71">
        <v>2</v>
      </c>
    </row>
    <row r="253" spans="1:11" ht="12.75">
      <c r="A253" s="71">
        <v>893190</v>
      </c>
      <c r="B253" s="71" t="s">
        <v>305</v>
      </c>
      <c r="C253" s="71" t="s">
        <v>306</v>
      </c>
      <c r="D253" s="71" t="s">
        <v>136</v>
      </c>
      <c r="E253" s="71">
        <v>425</v>
      </c>
      <c r="F253" s="71">
        <v>7882891</v>
      </c>
      <c r="G253" s="71" t="s">
        <v>307</v>
      </c>
      <c r="H253" s="71" t="s">
        <v>23</v>
      </c>
      <c r="I253" s="71">
        <v>0.45</v>
      </c>
      <c r="K253" s="71">
        <v>1</v>
      </c>
    </row>
    <row r="254" spans="1:11" ht="12.75">
      <c r="A254" s="71">
        <v>893190</v>
      </c>
      <c r="B254" s="71" t="s">
        <v>305</v>
      </c>
      <c r="C254" s="71" t="s">
        <v>306</v>
      </c>
      <c r="D254" s="71" t="s">
        <v>136</v>
      </c>
      <c r="E254" s="71">
        <v>425</v>
      </c>
      <c r="F254" s="71">
        <v>7882891</v>
      </c>
      <c r="G254" s="71" t="s">
        <v>307</v>
      </c>
      <c r="H254" s="71" t="s">
        <v>122</v>
      </c>
      <c r="I254" s="71">
        <v>0</v>
      </c>
      <c r="K254" s="71">
        <v>4</v>
      </c>
    </row>
    <row r="255" spans="1:11" ht="12.75">
      <c r="A255" s="71">
        <v>814201</v>
      </c>
      <c r="B255" s="71" t="s">
        <v>308</v>
      </c>
      <c r="C255" s="71" t="s">
        <v>309</v>
      </c>
      <c r="D255" s="71" t="s">
        <v>136</v>
      </c>
      <c r="E255" s="71">
        <v>425</v>
      </c>
      <c r="F255" s="71">
        <v>8212228</v>
      </c>
      <c r="G255" s="71" t="s">
        <v>125</v>
      </c>
      <c r="H255" s="71" t="s">
        <v>120</v>
      </c>
      <c r="I255" s="71">
        <v>8</v>
      </c>
      <c r="K255" s="71">
        <v>7</v>
      </c>
    </row>
    <row r="256" spans="1:11" ht="12.75">
      <c r="A256" s="71">
        <v>814201</v>
      </c>
      <c r="B256" s="71" t="s">
        <v>308</v>
      </c>
      <c r="C256" s="71" t="s">
        <v>309</v>
      </c>
      <c r="D256" s="71" t="s">
        <v>136</v>
      </c>
      <c r="E256" s="71">
        <v>425</v>
      </c>
      <c r="F256" s="71">
        <v>8212228</v>
      </c>
      <c r="G256" s="71" t="s">
        <v>125</v>
      </c>
      <c r="H256" s="71" t="s">
        <v>122</v>
      </c>
      <c r="I256" s="71">
        <v>0</v>
      </c>
      <c r="K256" s="71">
        <v>180</v>
      </c>
    </row>
    <row r="257" spans="1:11" ht="12.75">
      <c r="A257" s="71">
        <v>814201</v>
      </c>
      <c r="B257" s="71" t="s">
        <v>308</v>
      </c>
      <c r="C257" s="71" t="s">
        <v>309</v>
      </c>
      <c r="D257" s="71" t="s">
        <v>136</v>
      </c>
      <c r="E257" s="71">
        <v>425</v>
      </c>
      <c r="F257" s="71">
        <v>8212228</v>
      </c>
      <c r="G257" s="71" t="s">
        <v>125</v>
      </c>
      <c r="H257" s="71" t="s">
        <v>120</v>
      </c>
      <c r="I257" s="71">
        <v>8</v>
      </c>
      <c r="K257" s="71">
        <v>3</v>
      </c>
    </row>
    <row r="258" spans="1:11" ht="12.75">
      <c r="A258" s="71">
        <v>809788</v>
      </c>
      <c r="B258" s="71" t="s">
        <v>308</v>
      </c>
      <c r="C258" s="71" t="s">
        <v>310</v>
      </c>
      <c r="D258" s="71" t="s">
        <v>136</v>
      </c>
      <c r="E258" s="71">
        <v>425</v>
      </c>
      <c r="F258" s="71">
        <v>8212228</v>
      </c>
      <c r="G258" s="71" t="s">
        <v>194</v>
      </c>
      <c r="H258" s="71" t="s">
        <v>151</v>
      </c>
      <c r="I258" s="71">
        <v>25</v>
      </c>
      <c r="K258" s="71">
        <v>1</v>
      </c>
    </row>
    <row r="259" spans="1:11" ht="12.75">
      <c r="A259" s="71">
        <v>834878</v>
      </c>
      <c r="B259" s="71" t="s">
        <v>311</v>
      </c>
      <c r="C259" s="71" t="s">
        <v>312</v>
      </c>
      <c r="D259" s="71" t="s">
        <v>118</v>
      </c>
      <c r="E259" s="71">
        <v>360</v>
      </c>
      <c r="F259" s="71">
        <v>2216360</v>
      </c>
      <c r="G259" s="71" t="s">
        <v>125</v>
      </c>
      <c r="H259" s="71" t="s">
        <v>121</v>
      </c>
      <c r="I259" s="71">
        <v>0.45</v>
      </c>
      <c r="K259" s="71">
        <v>2</v>
      </c>
    </row>
    <row r="260" spans="1:11" ht="12.75">
      <c r="A260" s="71">
        <v>834878</v>
      </c>
      <c r="B260" s="71" t="s">
        <v>311</v>
      </c>
      <c r="C260" s="71" t="s">
        <v>312</v>
      </c>
      <c r="D260" s="71" t="s">
        <v>118</v>
      </c>
      <c r="E260" s="71">
        <v>360</v>
      </c>
      <c r="F260" s="71">
        <v>2216360</v>
      </c>
      <c r="G260" s="71" t="s">
        <v>125</v>
      </c>
      <c r="H260" s="71" t="s">
        <v>120</v>
      </c>
      <c r="I260" s="71">
        <v>1.25</v>
      </c>
      <c r="K260" s="71">
        <v>1</v>
      </c>
    </row>
    <row r="261" spans="1:11" ht="12.75">
      <c r="A261" s="71">
        <v>834878</v>
      </c>
      <c r="B261" s="71" t="s">
        <v>311</v>
      </c>
      <c r="C261" s="71" t="s">
        <v>312</v>
      </c>
      <c r="D261" s="71" t="s">
        <v>118</v>
      </c>
      <c r="E261" s="71">
        <v>360</v>
      </c>
      <c r="F261" s="71">
        <v>2216360</v>
      </c>
      <c r="G261" s="71" t="s">
        <v>125</v>
      </c>
      <c r="H261" s="71" t="s">
        <v>122</v>
      </c>
      <c r="I261" s="71">
        <v>0</v>
      </c>
      <c r="K261" s="71">
        <v>6</v>
      </c>
    </row>
    <row r="262" spans="1:11" ht="12.75">
      <c r="A262" s="71">
        <v>893494</v>
      </c>
      <c r="B262" s="71" t="s">
        <v>313</v>
      </c>
      <c r="C262" s="71" t="s">
        <v>314</v>
      </c>
      <c r="D262" s="71" t="s">
        <v>180</v>
      </c>
      <c r="E262" s="71">
        <v>425</v>
      </c>
      <c r="F262" s="71">
        <v>6447147</v>
      </c>
      <c r="G262" s="71" t="s">
        <v>247</v>
      </c>
      <c r="H262" s="71" t="s">
        <v>120</v>
      </c>
      <c r="I262" s="71">
        <v>8</v>
      </c>
      <c r="K262" s="71">
        <v>1</v>
      </c>
    </row>
    <row r="263" spans="1:11" ht="12.75">
      <c r="A263" s="71">
        <v>893494</v>
      </c>
      <c r="B263" s="71" t="s">
        <v>313</v>
      </c>
      <c r="C263" s="71" t="s">
        <v>314</v>
      </c>
      <c r="D263" s="71" t="s">
        <v>180</v>
      </c>
      <c r="E263" s="71">
        <v>425</v>
      </c>
      <c r="F263" s="71">
        <v>6447147</v>
      </c>
      <c r="G263" s="71" t="s">
        <v>247</v>
      </c>
      <c r="H263" s="71" t="s">
        <v>120</v>
      </c>
      <c r="I263" s="71">
        <v>6</v>
      </c>
      <c r="K263" s="71">
        <v>4</v>
      </c>
    </row>
    <row r="264" spans="1:11" ht="12.75">
      <c r="A264" s="71">
        <v>893494</v>
      </c>
      <c r="B264" s="71" t="s">
        <v>313</v>
      </c>
      <c r="C264" s="71" t="s">
        <v>314</v>
      </c>
      <c r="D264" s="71" t="s">
        <v>180</v>
      </c>
      <c r="E264" s="71">
        <v>425</v>
      </c>
      <c r="F264" s="71">
        <v>6447147</v>
      </c>
      <c r="G264" s="71" t="s">
        <v>247</v>
      </c>
      <c r="H264" s="71" t="s">
        <v>120</v>
      </c>
      <c r="I264" s="71">
        <v>4</v>
      </c>
      <c r="K264" s="71">
        <v>3</v>
      </c>
    </row>
    <row r="265" spans="1:11" ht="12.75">
      <c r="A265" s="71">
        <v>893494</v>
      </c>
      <c r="B265" s="71" t="s">
        <v>313</v>
      </c>
      <c r="C265" s="71" t="s">
        <v>314</v>
      </c>
      <c r="D265" s="71" t="s">
        <v>180</v>
      </c>
      <c r="E265" s="71">
        <v>425</v>
      </c>
      <c r="F265" s="71">
        <v>6447147</v>
      </c>
      <c r="G265" s="71" t="s">
        <v>247</v>
      </c>
      <c r="H265" s="71" t="s">
        <v>121</v>
      </c>
      <c r="I265" s="71">
        <v>0.45</v>
      </c>
      <c r="K265" s="71">
        <v>26</v>
      </c>
    </row>
    <row r="266" spans="1:11" ht="12.75">
      <c r="A266" s="71">
        <v>814816</v>
      </c>
      <c r="B266" s="71" t="s">
        <v>315</v>
      </c>
      <c r="C266" s="71" t="s">
        <v>316</v>
      </c>
      <c r="D266" s="71" t="s">
        <v>118</v>
      </c>
      <c r="E266" s="71">
        <v>425</v>
      </c>
      <c r="F266" s="71">
        <v>4811047</v>
      </c>
      <c r="G266" s="71" t="s">
        <v>317</v>
      </c>
      <c r="H266" s="71" t="s">
        <v>120</v>
      </c>
      <c r="I266" s="71">
        <v>2</v>
      </c>
      <c r="K266" s="71">
        <v>1</v>
      </c>
    </row>
    <row r="267" spans="1:11" ht="12.75">
      <c r="A267" s="71">
        <v>814816</v>
      </c>
      <c r="B267" s="71" t="s">
        <v>315</v>
      </c>
      <c r="C267" s="71" t="s">
        <v>316</v>
      </c>
      <c r="D267" s="71" t="s">
        <v>118</v>
      </c>
      <c r="E267" s="71">
        <v>425</v>
      </c>
      <c r="F267" s="71">
        <v>4811047</v>
      </c>
      <c r="G267" s="71" t="s">
        <v>317</v>
      </c>
      <c r="H267" s="71" t="s">
        <v>131</v>
      </c>
      <c r="I267" s="71">
        <v>1.25</v>
      </c>
      <c r="K267" s="71">
        <v>1</v>
      </c>
    </row>
    <row r="268" spans="1:11" ht="12.75">
      <c r="A268" s="71">
        <v>814816</v>
      </c>
      <c r="B268" s="71" t="s">
        <v>315</v>
      </c>
      <c r="C268" s="71" t="s">
        <v>316</v>
      </c>
      <c r="D268" s="71" t="s">
        <v>118</v>
      </c>
      <c r="E268" s="71">
        <v>425</v>
      </c>
      <c r="F268" s="71">
        <v>4811047</v>
      </c>
      <c r="G268" s="71" t="s">
        <v>317</v>
      </c>
      <c r="H268" s="71" t="s">
        <v>122</v>
      </c>
      <c r="I268" s="71">
        <v>0</v>
      </c>
      <c r="K268" s="71">
        <v>16</v>
      </c>
    </row>
    <row r="269" spans="1:11" ht="12.75">
      <c r="A269" s="71">
        <v>814916</v>
      </c>
      <c r="B269" s="71" t="s">
        <v>318</v>
      </c>
      <c r="C269" s="71" t="s">
        <v>319</v>
      </c>
      <c r="D269" s="71" t="s">
        <v>118</v>
      </c>
      <c r="E269" s="71">
        <v>206</v>
      </c>
      <c r="F269" s="71">
        <v>5234285</v>
      </c>
      <c r="G269" s="71" t="s">
        <v>125</v>
      </c>
      <c r="H269" s="71" t="s">
        <v>169</v>
      </c>
      <c r="I269" s="71">
        <v>0.16</v>
      </c>
      <c r="K269" s="71">
        <v>59</v>
      </c>
    </row>
    <row r="270" spans="1:11" ht="12.75">
      <c r="A270" s="71">
        <v>814916</v>
      </c>
      <c r="B270" s="71" t="s">
        <v>318</v>
      </c>
      <c r="C270" s="71" t="s">
        <v>319</v>
      </c>
      <c r="D270" s="71" t="s">
        <v>118</v>
      </c>
      <c r="E270" s="71">
        <v>206</v>
      </c>
      <c r="F270" s="71">
        <v>5234285</v>
      </c>
      <c r="G270" s="71" t="s">
        <v>125</v>
      </c>
      <c r="H270" s="71" t="s">
        <v>121</v>
      </c>
      <c r="I270" s="71">
        <v>0.45</v>
      </c>
      <c r="K270" s="71">
        <v>12</v>
      </c>
    </row>
    <row r="271" spans="1:11" ht="12.75">
      <c r="A271" s="71">
        <v>814916</v>
      </c>
      <c r="B271" s="71" t="s">
        <v>318</v>
      </c>
      <c r="C271" s="71" t="s">
        <v>319</v>
      </c>
      <c r="D271" s="71" t="s">
        <v>118</v>
      </c>
      <c r="E271" s="71">
        <v>206</v>
      </c>
      <c r="F271" s="71">
        <v>5234285</v>
      </c>
      <c r="G271" s="71" t="s">
        <v>125</v>
      </c>
      <c r="H271" s="71" t="s">
        <v>23</v>
      </c>
      <c r="I271" s="71">
        <v>0.45</v>
      </c>
      <c r="K271" s="71">
        <v>3</v>
      </c>
    </row>
    <row r="273" spans="1:11" ht="12.75">
      <c r="A273" s="71">
        <v>814916</v>
      </c>
      <c r="B273" s="71" t="s">
        <v>318</v>
      </c>
      <c r="C273" s="71" t="s">
        <v>319</v>
      </c>
      <c r="D273" s="71" t="s">
        <v>118</v>
      </c>
      <c r="E273" s="71">
        <v>206</v>
      </c>
      <c r="F273" s="71">
        <v>5234285</v>
      </c>
      <c r="G273" s="71" t="s">
        <v>125</v>
      </c>
      <c r="H273" s="71" t="s">
        <v>122</v>
      </c>
      <c r="I273" s="71">
        <v>0</v>
      </c>
      <c r="K273" s="71">
        <v>58</v>
      </c>
    </row>
    <row r="274" spans="1:11" ht="12.75">
      <c r="A274" s="71">
        <v>818030</v>
      </c>
      <c r="B274" s="71" t="s">
        <v>320</v>
      </c>
      <c r="C274" s="71" t="s">
        <v>321</v>
      </c>
      <c r="D274" s="71" t="s">
        <v>118</v>
      </c>
      <c r="E274" s="71">
        <v>425</v>
      </c>
      <c r="F274" s="71">
        <v>4858809</v>
      </c>
      <c r="G274" s="71" t="s">
        <v>125</v>
      </c>
      <c r="H274" s="71" t="s">
        <v>121</v>
      </c>
      <c r="I274" s="71">
        <v>0.45</v>
      </c>
      <c r="K274" s="71">
        <v>2</v>
      </c>
    </row>
    <row r="275" spans="1:11" ht="12.75">
      <c r="A275" s="71">
        <v>818030</v>
      </c>
      <c r="B275" s="71" t="s">
        <v>320</v>
      </c>
      <c r="C275" s="71" t="s">
        <v>321</v>
      </c>
      <c r="D275" s="71" t="s">
        <v>118</v>
      </c>
      <c r="E275" s="71">
        <v>425</v>
      </c>
      <c r="F275" s="71">
        <v>4858809</v>
      </c>
      <c r="G275" s="71" t="s">
        <v>125</v>
      </c>
      <c r="H275" s="71" t="s">
        <v>131</v>
      </c>
      <c r="I275" s="71">
        <v>3</v>
      </c>
      <c r="K275" s="71">
        <v>1</v>
      </c>
    </row>
    <row r="276" spans="1:11" ht="12.75">
      <c r="A276" s="71">
        <v>818030</v>
      </c>
      <c r="B276" s="71" t="s">
        <v>320</v>
      </c>
      <c r="C276" s="71" t="s">
        <v>321</v>
      </c>
      <c r="D276" s="71" t="s">
        <v>118</v>
      </c>
      <c r="E276" s="71">
        <v>425</v>
      </c>
      <c r="F276" s="71">
        <v>4858809</v>
      </c>
      <c r="G276" s="71" t="s">
        <v>125</v>
      </c>
      <c r="H276" s="71" t="s">
        <v>169</v>
      </c>
      <c r="I276" s="71">
        <v>0.16</v>
      </c>
      <c r="K276" s="71">
        <v>56</v>
      </c>
    </row>
    <row r="277" spans="1:11" ht="12.75">
      <c r="A277" s="71">
        <v>818030</v>
      </c>
      <c r="B277" s="71" t="s">
        <v>320</v>
      </c>
      <c r="C277" s="71" t="s">
        <v>321</v>
      </c>
      <c r="D277" s="71" t="s">
        <v>118</v>
      </c>
      <c r="E277" s="71">
        <v>425</v>
      </c>
      <c r="F277" s="71">
        <v>4858809</v>
      </c>
      <c r="G277" s="71" t="s">
        <v>125</v>
      </c>
      <c r="H277" s="71" t="s">
        <v>23</v>
      </c>
      <c r="I277" s="71">
        <v>0.45</v>
      </c>
      <c r="K277" s="71">
        <v>10</v>
      </c>
    </row>
    <row r="278" spans="1:11" ht="12.75">
      <c r="A278" s="71">
        <v>818030</v>
      </c>
      <c r="B278" s="71" t="s">
        <v>320</v>
      </c>
      <c r="C278" s="71" t="s">
        <v>321</v>
      </c>
      <c r="D278" s="71" t="s">
        <v>118</v>
      </c>
      <c r="E278" s="71">
        <v>425</v>
      </c>
      <c r="F278" s="71">
        <v>4858809</v>
      </c>
      <c r="G278" s="71" t="s">
        <v>125</v>
      </c>
      <c r="H278" s="71" t="s">
        <v>122</v>
      </c>
      <c r="I278" s="71">
        <v>0</v>
      </c>
      <c r="K278" s="71">
        <v>56</v>
      </c>
    </row>
    <row r="279" spans="1:11" ht="12.75">
      <c r="A279" s="71">
        <v>5006048</v>
      </c>
      <c r="B279" s="71" t="s">
        <v>322</v>
      </c>
      <c r="C279" s="71" t="s">
        <v>323</v>
      </c>
      <c r="D279" s="71" t="s">
        <v>180</v>
      </c>
      <c r="E279" s="71">
        <v>425</v>
      </c>
      <c r="F279" s="71">
        <v>3131144</v>
      </c>
      <c r="G279" s="71" t="s">
        <v>324</v>
      </c>
      <c r="H279" s="71" t="s">
        <v>121</v>
      </c>
      <c r="I279" s="71">
        <v>0.45</v>
      </c>
      <c r="K279" s="71">
        <v>9</v>
      </c>
    </row>
    <row r="280" spans="1:11" ht="12.75">
      <c r="A280" s="71">
        <v>5006048</v>
      </c>
      <c r="B280" s="71" t="s">
        <v>322</v>
      </c>
      <c r="C280" s="71" t="s">
        <v>323</v>
      </c>
      <c r="D280" s="71" t="s">
        <v>180</v>
      </c>
      <c r="E280" s="71">
        <v>425</v>
      </c>
      <c r="F280" s="71">
        <v>3131144</v>
      </c>
      <c r="G280" s="71" t="s">
        <v>324</v>
      </c>
      <c r="H280" s="71" t="s">
        <v>120</v>
      </c>
      <c r="I280" s="71">
        <v>4</v>
      </c>
      <c r="K280" s="71">
        <v>1</v>
      </c>
    </row>
    <row r="281" spans="1:11" ht="12.75">
      <c r="A281" s="71">
        <v>5006048</v>
      </c>
      <c r="B281" s="71" t="s">
        <v>322</v>
      </c>
      <c r="C281" s="71" t="s">
        <v>323</v>
      </c>
      <c r="D281" s="71" t="s">
        <v>180</v>
      </c>
      <c r="E281" s="71">
        <v>425</v>
      </c>
      <c r="F281" s="71">
        <v>3131144</v>
      </c>
      <c r="G281" s="71" t="s">
        <v>324</v>
      </c>
      <c r="H281" s="71" t="s">
        <v>120</v>
      </c>
      <c r="I281" s="71">
        <v>8</v>
      </c>
      <c r="K281" s="71">
        <v>1</v>
      </c>
    </row>
    <row r="282" spans="1:11" ht="12.75">
      <c r="A282" s="71">
        <v>819325</v>
      </c>
      <c r="B282" s="71" t="s">
        <v>325</v>
      </c>
      <c r="C282" s="71" t="s">
        <v>326</v>
      </c>
      <c r="D282" s="71" t="s">
        <v>118</v>
      </c>
      <c r="E282" s="71">
        <v>206</v>
      </c>
      <c r="F282" s="71">
        <v>3622311</v>
      </c>
      <c r="G282" s="71" t="s">
        <v>125</v>
      </c>
      <c r="H282" s="71" t="s">
        <v>120</v>
      </c>
      <c r="I282" s="71">
        <v>2</v>
      </c>
      <c r="K282" s="71">
        <v>1</v>
      </c>
    </row>
    <row r="283" spans="1:11" ht="12.75">
      <c r="A283" s="71">
        <v>819325</v>
      </c>
      <c r="B283" s="71" t="s">
        <v>325</v>
      </c>
      <c r="C283" s="71" t="s">
        <v>326</v>
      </c>
      <c r="D283" s="71" t="s">
        <v>118</v>
      </c>
      <c r="E283" s="71">
        <v>206</v>
      </c>
      <c r="F283" s="71">
        <v>3622311</v>
      </c>
      <c r="G283" s="71" t="s">
        <v>125</v>
      </c>
      <c r="H283" s="71" t="s">
        <v>122</v>
      </c>
      <c r="I283" s="71">
        <v>0</v>
      </c>
      <c r="K283" s="71">
        <v>4</v>
      </c>
    </row>
    <row r="284" spans="1:11" ht="12.75">
      <c r="A284" s="71">
        <v>829833</v>
      </c>
      <c r="B284" s="71" t="s">
        <v>327</v>
      </c>
      <c r="C284" s="71" t="s">
        <v>328</v>
      </c>
      <c r="D284" s="71" t="s">
        <v>136</v>
      </c>
      <c r="E284" s="71">
        <v>206</v>
      </c>
      <c r="F284" s="71">
        <v>6228182</v>
      </c>
      <c r="G284" s="71" t="s">
        <v>125</v>
      </c>
      <c r="H284" s="71" t="s">
        <v>120</v>
      </c>
      <c r="I284" s="71">
        <v>4</v>
      </c>
      <c r="K284" s="71">
        <v>1</v>
      </c>
    </row>
    <row r="285" spans="1:11" ht="12.75">
      <c r="A285" s="71">
        <v>829833</v>
      </c>
      <c r="B285" s="71" t="s">
        <v>327</v>
      </c>
      <c r="C285" s="71" t="s">
        <v>328</v>
      </c>
      <c r="D285" s="71" t="s">
        <v>136</v>
      </c>
      <c r="E285" s="71">
        <v>206</v>
      </c>
      <c r="F285" s="71">
        <v>6228182</v>
      </c>
      <c r="G285" s="71" t="s">
        <v>125</v>
      </c>
      <c r="H285" s="71" t="s">
        <v>120</v>
      </c>
      <c r="I285" s="71">
        <v>3</v>
      </c>
      <c r="K285" s="71">
        <v>3</v>
      </c>
    </row>
    <row r="286" spans="1:11" ht="12.75">
      <c r="A286" s="71">
        <v>829833</v>
      </c>
      <c r="B286" s="71" t="s">
        <v>327</v>
      </c>
      <c r="C286" s="71" t="s">
        <v>328</v>
      </c>
      <c r="D286" s="71" t="s">
        <v>136</v>
      </c>
      <c r="E286" s="71">
        <v>206</v>
      </c>
      <c r="F286" s="71">
        <v>6228182</v>
      </c>
      <c r="G286" s="71" t="s">
        <v>125</v>
      </c>
      <c r="H286" s="71" t="s">
        <v>131</v>
      </c>
      <c r="I286" s="71">
        <v>1.25</v>
      </c>
      <c r="K286" s="71">
        <v>1</v>
      </c>
    </row>
    <row r="287" spans="1:11" ht="12.75">
      <c r="A287" s="71">
        <v>829833</v>
      </c>
      <c r="B287" s="71" t="s">
        <v>327</v>
      </c>
      <c r="C287" s="71" t="s">
        <v>328</v>
      </c>
      <c r="D287" s="71" t="s">
        <v>136</v>
      </c>
      <c r="E287" s="71">
        <v>206</v>
      </c>
      <c r="F287" s="71">
        <v>6228182</v>
      </c>
      <c r="G287" s="71" t="s">
        <v>125</v>
      </c>
      <c r="H287" s="71" t="s">
        <v>131</v>
      </c>
      <c r="I287" s="71">
        <v>3</v>
      </c>
      <c r="K287" s="71">
        <v>1</v>
      </c>
    </row>
    <row r="288" spans="1:11" ht="12.75">
      <c r="A288" s="71">
        <v>829833</v>
      </c>
      <c r="B288" s="71" t="s">
        <v>327</v>
      </c>
      <c r="C288" s="71" t="s">
        <v>328</v>
      </c>
      <c r="D288" s="71" t="s">
        <v>136</v>
      </c>
      <c r="E288" s="71">
        <v>206</v>
      </c>
      <c r="F288" s="71">
        <v>6228182</v>
      </c>
      <c r="G288" s="71" t="s">
        <v>125</v>
      </c>
      <c r="H288" s="71" t="s">
        <v>122</v>
      </c>
      <c r="I288" s="71">
        <v>0</v>
      </c>
      <c r="K288" s="71">
        <v>72</v>
      </c>
    </row>
    <row r="289" spans="1:11" ht="12.75">
      <c r="A289" s="71">
        <v>892614</v>
      </c>
      <c r="B289" s="71" t="s">
        <v>329</v>
      </c>
      <c r="C289" s="71" t="s">
        <v>330</v>
      </c>
      <c r="D289" s="71" t="s">
        <v>118</v>
      </c>
      <c r="E289" s="71">
        <v>206</v>
      </c>
      <c r="F289" s="71">
        <v>2356816</v>
      </c>
      <c r="G289" s="71" t="s">
        <v>331</v>
      </c>
      <c r="H289" s="71" t="s">
        <v>120</v>
      </c>
      <c r="I289" s="71">
        <v>1.25</v>
      </c>
      <c r="K289" s="71">
        <v>1</v>
      </c>
    </row>
    <row r="290" spans="1:11" ht="12.75">
      <c r="A290" s="71">
        <v>892614</v>
      </c>
      <c r="B290" s="71" t="s">
        <v>329</v>
      </c>
      <c r="C290" s="71" t="s">
        <v>330</v>
      </c>
      <c r="D290" s="71" t="s">
        <v>118</v>
      </c>
      <c r="E290" s="71">
        <v>206</v>
      </c>
      <c r="F290" s="71">
        <v>2356816</v>
      </c>
      <c r="G290" s="71" t="s">
        <v>331</v>
      </c>
      <c r="H290" s="71" t="s">
        <v>121</v>
      </c>
      <c r="I290" s="71">
        <v>0.45</v>
      </c>
      <c r="K290" s="71">
        <v>2</v>
      </c>
    </row>
    <row r="291" spans="1:11" ht="12.75">
      <c r="A291" s="71">
        <v>892614</v>
      </c>
      <c r="B291" s="71" t="s">
        <v>329</v>
      </c>
      <c r="C291" s="71" t="s">
        <v>330</v>
      </c>
      <c r="D291" s="71" t="s">
        <v>118</v>
      </c>
      <c r="E291" s="71">
        <v>206</v>
      </c>
      <c r="F291" s="71">
        <v>2356816</v>
      </c>
      <c r="G291" s="71" t="s">
        <v>331</v>
      </c>
      <c r="H291" s="71" t="s">
        <v>122</v>
      </c>
      <c r="I291" s="71">
        <v>0</v>
      </c>
      <c r="K291" s="71">
        <v>4</v>
      </c>
    </row>
    <row r="292" spans="1:11" ht="12.75">
      <c r="A292" s="71">
        <v>814370</v>
      </c>
      <c r="B292" s="71" t="s">
        <v>332</v>
      </c>
      <c r="C292" s="71" t="s">
        <v>333</v>
      </c>
      <c r="D292" s="71" t="s">
        <v>227</v>
      </c>
      <c r="E292" s="71">
        <v>425</v>
      </c>
      <c r="F292" s="71">
        <v>8218135</v>
      </c>
      <c r="G292" s="71" t="s">
        <v>334</v>
      </c>
      <c r="H292" s="71" t="s">
        <v>120</v>
      </c>
      <c r="I292" s="71">
        <v>4</v>
      </c>
      <c r="K292" s="71">
        <v>2</v>
      </c>
    </row>
    <row r="293" spans="1:11" ht="12.75">
      <c r="A293" s="71">
        <v>814370</v>
      </c>
      <c r="B293" s="71" t="s">
        <v>332</v>
      </c>
      <c r="C293" s="71" t="s">
        <v>333</v>
      </c>
      <c r="D293" s="71" t="s">
        <v>227</v>
      </c>
      <c r="E293" s="71">
        <v>425</v>
      </c>
      <c r="F293" s="71">
        <v>8218135</v>
      </c>
      <c r="G293" s="71" t="s">
        <v>334</v>
      </c>
      <c r="H293" s="71" t="s">
        <v>131</v>
      </c>
      <c r="I293" s="71">
        <v>3</v>
      </c>
      <c r="K293" s="71">
        <v>1</v>
      </c>
    </row>
    <row r="294" spans="1:11" ht="12.75">
      <c r="A294" s="71">
        <v>814370</v>
      </c>
      <c r="B294" s="71" t="s">
        <v>332</v>
      </c>
      <c r="C294" s="71" t="s">
        <v>333</v>
      </c>
      <c r="D294" s="71" t="s">
        <v>227</v>
      </c>
      <c r="E294" s="71">
        <v>425</v>
      </c>
      <c r="F294" s="71">
        <v>8218135</v>
      </c>
      <c r="G294" s="71" t="s">
        <v>334</v>
      </c>
      <c r="H294" s="71" t="s">
        <v>121</v>
      </c>
      <c r="I294" s="71">
        <v>0.45</v>
      </c>
      <c r="K294" s="71">
        <v>5</v>
      </c>
    </row>
    <row r="295" spans="1:11" ht="12.75">
      <c r="A295" s="71">
        <v>814370</v>
      </c>
      <c r="B295" s="71" t="s">
        <v>332</v>
      </c>
      <c r="C295" s="71" t="s">
        <v>333</v>
      </c>
      <c r="D295" s="71" t="s">
        <v>227</v>
      </c>
      <c r="E295" s="71">
        <v>425</v>
      </c>
      <c r="F295" s="71">
        <v>8218135</v>
      </c>
      <c r="G295" s="71" t="s">
        <v>334</v>
      </c>
      <c r="H295" s="71" t="s">
        <v>131</v>
      </c>
      <c r="I295" s="71">
        <v>2</v>
      </c>
      <c r="K295" s="71">
        <v>1</v>
      </c>
    </row>
    <row r="296" spans="1:11" ht="12.75">
      <c r="A296" s="71">
        <v>814370</v>
      </c>
      <c r="B296" s="71" t="s">
        <v>332</v>
      </c>
      <c r="C296" s="71" t="s">
        <v>333</v>
      </c>
      <c r="D296" s="71" t="s">
        <v>227</v>
      </c>
      <c r="E296" s="71">
        <v>425</v>
      </c>
      <c r="F296" s="71">
        <v>8218135</v>
      </c>
      <c r="G296" s="71" t="s">
        <v>334</v>
      </c>
      <c r="H296" s="71" t="s">
        <v>122</v>
      </c>
      <c r="I296" s="71">
        <v>0</v>
      </c>
      <c r="K296" s="71">
        <v>35</v>
      </c>
    </row>
    <row r="297" spans="1:11" ht="12.75">
      <c r="A297" s="71">
        <v>824552</v>
      </c>
      <c r="B297" s="71" t="s">
        <v>335</v>
      </c>
      <c r="C297" s="71" t="s">
        <v>336</v>
      </c>
      <c r="D297" s="71" t="s">
        <v>118</v>
      </c>
      <c r="E297" s="71">
        <v>425</v>
      </c>
      <c r="F297" s="71">
        <v>8694060</v>
      </c>
      <c r="G297" s="71" t="s">
        <v>125</v>
      </c>
      <c r="H297" s="71" t="s">
        <v>120</v>
      </c>
      <c r="I297" s="71">
        <v>6</v>
      </c>
      <c r="K297" s="71">
        <v>1</v>
      </c>
    </row>
    <row r="298" spans="1:11" ht="12.75">
      <c r="A298" s="71">
        <v>824552</v>
      </c>
      <c r="B298" s="71" t="s">
        <v>335</v>
      </c>
      <c r="C298" s="71" t="s">
        <v>336</v>
      </c>
      <c r="D298" s="71" t="s">
        <v>118</v>
      </c>
      <c r="E298" s="71">
        <v>425</v>
      </c>
      <c r="F298" s="71">
        <v>8694060</v>
      </c>
      <c r="G298" s="71" t="s">
        <v>125</v>
      </c>
      <c r="H298" s="71" t="s">
        <v>131</v>
      </c>
      <c r="I298" s="71">
        <v>3</v>
      </c>
      <c r="K298" s="71">
        <v>1</v>
      </c>
    </row>
    <row r="299" spans="1:11" ht="12.75">
      <c r="A299" s="71">
        <v>824552</v>
      </c>
      <c r="B299" s="71" t="s">
        <v>335</v>
      </c>
      <c r="C299" s="71" t="s">
        <v>336</v>
      </c>
      <c r="D299" s="71" t="s">
        <v>118</v>
      </c>
      <c r="E299" s="71">
        <v>425</v>
      </c>
      <c r="F299" s="71">
        <v>8694060</v>
      </c>
      <c r="G299" s="71" t="s">
        <v>125</v>
      </c>
      <c r="H299" s="71" t="s">
        <v>122</v>
      </c>
      <c r="I299" s="71">
        <v>0</v>
      </c>
      <c r="K299" s="71">
        <v>33</v>
      </c>
    </row>
    <row r="300" spans="1:11" ht="12.75">
      <c r="A300" s="71">
        <v>814348</v>
      </c>
      <c r="B300" s="71" t="s">
        <v>337</v>
      </c>
      <c r="C300" s="71" t="s">
        <v>338</v>
      </c>
      <c r="D300" s="71" t="s">
        <v>227</v>
      </c>
      <c r="E300" s="71">
        <v>425</v>
      </c>
      <c r="F300" s="71">
        <v>7465892</v>
      </c>
      <c r="G300" s="71" t="s">
        <v>125</v>
      </c>
      <c r="H300" s="71" t="s">
        <v>169</v>
      </c>
      <c r="I300" s="71">
        <v>0.16</v>
      </c>
      <c r="K300" s="71">
        <v>4</v>
      </c>
    </row>
    <row r="301" spans="1:11" ht="12.75">
      <c r="A301" s="71">
        <v>814348</v>
      </c>
      <c r="B301" s="71" t="s">
        <v>337</v>
      </c>
      <c r="C301" s="71" t="s">
        <v>338</v>
      </c>
      <c r="D301" s="71" t="s">
        <v>227</v>
      </c>
      <c r="E301" s="71">
        <v>425</v>
      </c>
      <c r="F301" s="71">
        <v>7465892</v>
      </c>
      <c r="G301" s="71" t="s">
        <v>125</v>
      </c>
      <c r="H301" s="71" t="s">
        <v>121</v>
      </c>
      <c r="I301" s="71">
        <v>0.45</v>
      </c>
      <c r="K301" s="71">
        <v>2</v>
      </c>
    </row>
    <row r="302" spans="1:11" ht="12.75">
      <c r="A302" s="71">
        <v>814348</v>
      </c>
      <c r="B302" s="71" t="s">
        <v>337</v>
      </c>
      <c r="C302" s="71" t="s">
        <v>338</v>
      </c>
      <c r="D302" s="71" t="s">
        <v>227</v>
      </c>
      <c r="E302" s="71">
        <v>425</v>
      </c>
      <c r="F302" s="71">
        <v>7465892</v>
      </c>
      <c r="G302" s="71" t="s">
        <v>125</v>
      </c>
      <c r="H302" s="71" t="s">
        <v>122</v>
      </c>
      <c r="I302" s="71">
        <v>0</v>
      </c>
      <c r="K302" s="71">
        <v>4</v>
      </c>
    </row>
    <row r="303" spans="1:11" ht="12.75">
      <c r="A303" s="71">
        <v>816551</v>
      </c>
      <c r="B303" s="71" t="s">
        <v>339</v>
      </c>
      <c r="C303" s="71" t="s">
        <v>340</v>
      </c>
      <c r="D303" s="71" t="s">
        <v>118</v>
      </c>
      <c r="E303" s="71">
        <v>206</v>
      </c>
      <c r="F303" s="71">
        <v>8170677</v>
      </c>
      <c r="G303" s="71" t="s">
        <v>341</v>
      </c>
      <c r="H303" s="71" t="s">
        <v>120</v>
      </c>
      <c r="I303" s="71">
        <v>1.25</v>
      </c>
      <c r="K303" s="71">
        <v>1</v>
      </c>
    </row>
    <row r="304" spans="1:11" ht="12.75">
      <c r="A304" s="71">
        <v>816551</v>
      </c>
      <c r="B304" s="71" t="s">
        <v>339</v>
      </c>
      <c r="C304" s="71" t="s">
        <v>340</v>
      </c>
      <c r="D304" s="71" t="s">
        <v>118</v>
      </c>
      <c r="E304" s="71">
        <v>206</v>
      </c>
      <c r="F304" s="71">
        <v>8170677</v>
      </c>
      <c r="G304" s="71" t="s">
        <v>341</v>
      </c>
      <c r="H304" s="71" t="s">
        <v>121</v>
      </c>
      <c r="I304" s="71">
        <v>0.45</v>
      </c>
      <c r="K304" s="71">
        <v>2</v>
      </c>
    </row>
    <row r="305" spans="1:11" ht="12.75">
      <c r="A305" s="71">
        <v>816551</v>
      </c>
      <c r="B305" s="71" t="s">
        <v>339</v>
      </c>
      <c r="C305" s="71" t="s">
        <v>340</v>
      </c>
      <c r="D305" s="71" t="s">
        <v>118</v>
      </c>
      <c r="E305" s="71">
        <v>206</v>
      </c>
      <c r="F305" s="71">
        <v>8170677</v>
      </c>
      <c r="G305" s="71" t="s">
        <v>341</v>
      </c>
      <c r="H305" s="71" t="s">
        <v>122</v>
      </c>
      <c r="I305" s="71">
        <v>0</v>
      </c>
      <c r="K305" s="71">
        <v>4</v>
      </c>
    </row>
    <row r="306" spans="1:11" ht="12.75">
      <c r="A306" s="71">
        <v>812863</v>
      </c>
      <c r="B306" s="71" t="s">
        <v>342</v>
      </c>
      <c r="C306" s="71" t="s">
        <v>343</v>
      </c>
      <c r="D306" s="71" t="s">
        <v>118</v>
      </c>
      <c r="E306" s="71">
        <v>425</v>
      </c>
      <c r="F306" s="71">
        <v>4873654</v>
      </c>
      <c r="G306" s="71" t="s">
        <v>125</v>
      </c>
      <c r="H306" s="71" t="s">
        <v>120</v>
      </c>
      <c r="I306" s="71">
        <v>1.25</v>
      </c>
      <c r="K306" s="71">
        <v>1</v>
      </c>
    </row>
    <row r="307" spans="1:11" ht="12.75">
      <c r="A307" s="71">
        <v>812863</v>
      </c>
      <c r="B307" s="71" t="s">
        <v>342</v>
      </c>
      <c r="C307" s="71" t="s">
        <v>343</v>
      </c>
      <c r="D307" s="71" t="s">
        <v>118</v>
      </c>
      <c r="E307" s="71">
        <v>425</v>
      </c>
      <c r="F307" s="71">
        <v>4873654</v>
      </c>
      <c r="G307" s="71" t="s">
        <v>125</v>
      </c>
      <c r="H307" s="71" t="s">
        <v>121</v>
      </c>
      <c r="I307" s="71">
        <v>0.45</v>
      </c>
      <c r="K307" s="71">
        <v>2</v>
      </c>
    </row>
    <row r="308" spans="1:11" ht="12.75">
      <c r="A308" s="71">
        <v>812863</v>
      </c>
      <c r="B308" s="71" t="s">
        <v>342</v>
      </c>
      <c r="C308" s="71" t="s">
        <v>343</v>
      </c>
      <c r="D308" s="71" t="s">
        <v>118</v>
      </c>
      <c r="E308" s="71">
        <v>425</v>
      </c>
      <c r="F308" s="71">
        <v>4873654</v>
      </c>
      <c r="G308" s="71" t="s">
        <v>125</v>
      </c>
      <c r="H308" s="71" t="s">
        <v>122</v>
      </c>
      <c r="I308" s="71">
        <v>0</v>
      </c>
      <c r="K308" s="71">
        <v>13</v>
      </c>
    </row>
    <row r="309" spans="1:11" ht="12.75">
      <c r="A309" s="71">
        <v>828874</v>
      </c>
      <c r="B309" s="71" t="s">
        <v>344</v>
      </c>
      <c r="C309" s="71" t="s">
        <v>345</v>
      </c>
      <c r="D309" s="71" t="s">
        <v>118</v>
      </c>
      <c r="E309" s="71">
        <v>425</v>
      </c>
      <c r="F309" s="71">
        <v>3988648</v>
      </c>
      <c r="G309" s="71" t="s">
        <v>346</v>
      </c>
      <c r="H309" s="71" t="s">
        <v>120</v>
      </c>
      <c r="I309" s="71">
        <v>3</v>
      </c>
      <c r="K309" s="71">
        <v>1</v>
      </c>
    </row>
    <row r="310" spans="1:11" ht="12.75">
      <c r="A310" s="71">
        <v>828874</v>
      </c>
      <c r="B310" s="71" t="s">
        <v>344</v>
      </c>
      <c r="C310" s="71" t="s">
        <v>345</v>
      </c>
      <c r="D310" s="71" t="s">
        <v>118</v>
      </c>
      <c r="E310" s="71">
        <v>425</v>
      </c>
      <c r="F310" s="71">
        <v>3988648</v>
      </c>
      <c r="G310" s="71" t="s">
        <v>346</v>
      </c>
      <c r="H310" s="71" t="s">
        <v>131</v>
      </c>
      <c r="I310" s="71">
        <v>2</v>
      </c>
      <c r="K310" s="71">
        <v>1</v>
      </c>
    </row>
    <row r="311" spans="1:11" ht="12.75">
      <c r="A311" s="71">
        <v>828874</v>
      </c>
      <c r="B311" s="71" t="s">
        <v>344</v>
      </c>
      <c r="C311" s="71" t="s">
        <v>345</v>
      </c>
      <c r="D311" s="71" t="s">
        <v>118</v>
      </c>
      <c r="E311" s="71">
        <v>425</v>
      </c>
      <c r="F311" s="71">
        <v>3988648</v>
      </c>
      <c r="G311" s="71" t="s">
        <v>346</v>
      </c>
      <c r="H311" s="71" t="s">
        <v>122</v>
      </c>
      <c r="I311" s="71">
        <v>0</v>
      </c>
      <c r="K311" s="71">
        <v>24</v>
      </c>
    </row>
    <row r="312" spans="1:11" ht="12.75">
      <c r="A312" s="71">
        <v>813066</v>
      </c>
      <c r="B312" s="71" t="s">
        <v>347</v>
      </c>
      <c r="C312" s="71" t="s">
        <v>348</v>
      </c>
      <c r="D312" s="71" t="s">
        <v>118</v>
      </c>
      <c r="E312" s="71">
        <v>425</v>
      </c>
      <c r="F312" s="71">
        <v>4835020</v>
      </c>
      <c r="G312" s="71" t="s">
        <v>349</v>
      </c>
      <c r="H312" s="71" t="s">
        <v>120</v>
      </c>
      <c r="I312" s="71">
        <v>4</v>
      </c>
      <c r="K312" s="71">
        <v>1</v>
      </c>
    </row>
    <row r="313" spans="1:11" ht="12.75">
      <c r="A313" s="71">
        <v>813066</v>
      </c>
      <c r="B313" s="71" t="s">
        <v>347</v>
      </c>
      <c r="C313" s="71" t="s">
        <v>348</v>
      </c>
      <c r="D313" s="71" t="s">
        <v>118</v>
      </c>
      <c r="E313" s="71">
        <v>425</v>
      </c>
      <c r="F313" s="71">
        <v>4835020</v>
      </c>
      <c r="G313" s="71" t="s">
        <v>349</v>
      </c>
      <c r="H313" s="71" t="s">
        <v>120</v>
      </c>
      <c r="I313" s="71">
        <v>8</v>
      </c>
      <c r="K313" s="71">
        <v>1</v>
      </c>
    </row>
    <row r="314" spans="1:11" ht="12.75">
      <c r="A314" s="71">
        <v>813066</v>
      </c>
      <c r="B314" s="71" t="s">
        <v>347</v>
      </c>
      <c r="C314" s="71" t="s">
        <v>348</v>
      </c>
      <c r="D314" s="71" t="s">
        <v>118</v>
      </c>
      <c r="E314" s="71">
        <v>425</v>
      </c>
      <c r="F314" s="71">
        <v>4835020</v>
      </c>
      <c r="G314" s="71" t="s">
        <v>349</v>
      </c>
      <c r="H314" s="71" t="s">
        <v>121</v>
      </c>
      <c r="I314" s="71">
        <v>0.45</v>
      </c>
      <c r="K314" s="71">
        <v>4</v>
      </c>
    </row>
    <row r="315" spans="1:11" ht="12.75">
      <c r="A315" s="71">
        <v>813066</v>
      </c>
      <c r="B315" s="71" t="s">
        <v>347</v>
      </c>
      <c r="C315" s="71" t="s">
        <v>348</v>
      </c>
      <c r="D315" s="71" t="s">
        <v>118</v>
      </c>
      <c r="E315" s="71">
        <v>425</v>
      </c>
      <c r="F315" s="71">
        <v>4835020</v>
      </c>
      <c r="G315" s="71" t="s">
        <v>349</v>
      </c>
      <c r="H315" s="71" t="s">
        <v>121</v>
      </c>
      <c r="I315" s="71">
        <v>0.45</v>
      </c>
      <c r="K315" s="71">
        <v>7</v>
      </c>
    </row>
    <row r="316" spans="1:11" ht="12.75">
      <c r="A316" s="71">
        <v>813066</v>
      </c>
      <c r="B316" s="71" t="s">
        <v>347</v>
      </c>
      <c r="C316" s="71" t="s">
        <v>348</v>
      </c>
      <c r="D316" s="71" t="s">
        <v>118</v>
      </c>
      <c r="E316" s="71">
        <v>425</v>
      </c>
      <c r="F316" s="71">
        <v>4835020</v>
      </c>
      <c r="G316" s="71" t="s">
        <v>349</v>
      </c>
      <c r="H316" s="71" t="s">
        <v>122</v>
      </c>
      <c r="I316" s="71">
        <v>0</v>
      </c>
      <c r="K316" s="71">
        <v>78</v>
      </c>
    </row>
    <row r="317" spans="1:11" ht="12.75">
      <c r="A317" s="71">
        <v>813066</v>
      </c>
      <c r="B317" s="71" t="s">
        <v>347</v>
      </c>
      <c r="C317" s="71" t="s">
        <v>348</v>
      </c>
      <c r="D317" s="71" t="s">
        <v>118</v>
      </c>
      <c r="E317" s="71">
        <v>425</v>
      </c>
      <c r="F317" s="71">
        <v>4835020</v>
      </c>
      <c r="G317" s="71" t="s">
        <v>349</v>
      </c>
      <c r="H317" s="71" t="s">
        <v>131</v>
      </c>
      <c r="I317" s="71">
        <v>4</v>
      </c>
      <c r="K317" s="71">
        <v>1</v>
      </c>
    </row>
    <row r="318" spans="1:11" ht="12.75">
      <c r="A318" s="71">
        <v>827194</v>
      </c>
      <c r="B318" s="71" t="s">
        <v>350</v>
      </c>
      <c r="C318" s="71" t="s">
        <v>351</v>
      </c>
      <c r="D318" s="71" t="s">
        <v>118</v>
      </c>
      <c r="E318" s="71">
        <v>999</v>
      </c>
      <c r="F318" s="71">
        <v>9999999</v>
      </c>
      <c r="G318" s="71" t="s">
        <v>125</v>
      </c>
      <c r="H318" s="71" t="s">
        <v>120</v>
      </c>
      <c r="I318" s="71">
        <v>2</v>
      </c>
      <c r="K318" s="71">
        <v>1</v>
      </c>
    </row>
    <row r="319" spans="1:11" ht="12.75">
      <c r="A319" s="71">
        <v>827194</v>
      </c>
      <c r="B319" s="71" t="s">
        <v>350</v>
      </c>
      <c r="C319" s="71" t="s">
        <v>351</v>
      </c>
      <c r="D319" s="71" t="s">
        <v>118</v>
      </c>
      <c r="E319" s="71">
        <v>999</v>
      </c>
      <c r="F319" s="71">
        <v>9999999</v>
      </c>
      <c r="G319" s="71" t="s">
        <v>125</v>
      </c>
      <c r="H319" s="71" t="s">
        <v>131</v>
      </c>
      <c r="I319" s="71">
        <v>1.25</v>
      </c>
      <c r="K319" s="71">
        <v>1</v>
      </c>
    </row>
    <row r="320" spans="1:11" ht="12.75">
      <c r="A320" s="71">
        <v>827194</v>
      </c>
      <c r="B320" s="71" t="s">
        <v>350</v>
      </c>
      <c r="C320" s="71" t="s">
        <v>351</v>
      </c>
      <c r="D320" s="71" t="s">
        <v>118</v>
      </c>
      <c r="E320" s="71">
        <v>999</v>
      </c>
      <c r="F320" s="71">
        <v>9999999</v>
      </c>
      <c r="G320" s="71" t="s">
        <v>125</v>
      </c>
      <c r="H320" s="71" t="s">
        <v>121</v>
      </c>
      <c r="I320" s="71">
        <v>0.3</v>
      </c>
      <c r="K320" s="71">
        <v>2</v>
      </c>
    </row>
    <row r="321" spans="1:11" ht="12.75">
      <c r="A321" s="71">
        <v>827194</v>
      </c>
      <c r="B321" s="71" t="s">
        <v>350</v>
      </c>
      <c r="C321" s="71" t="s">
        <v>351</v>
      </c>
      <c r="D321" s="71" t="s">
        <v>118</v>
      </c>
      <c r="E321" s="71">
        <v>999</v>
      </c>
      <c r="F321" s="71">
        <v>9999999</v>
      </c>
      <c r="G321" s="71" t="s">
        <v>125</v>
      </c>
      <c r="H321" s="71" t="s">
        <v>122</v>
      </c>
      <c r="I321" s="71">
        <v>0</v>
      </c>
      <c r="K321" s="71">
        <v>10</v>
      </c>
    </row>
    <row r="322" spans="1:11" ht="12.75">
      <c r="A322" s="71">
        <v>812901</v>
      </c>
      <c r="B322" s="71" t="s">
        <v>352</v>
      </c>
      <c r="C322" s="71" t="s">
        <v>353</v>
      </c>
      <c r="D322" s="71" t="s">
        <v>118</v>
      </c>
      <c r="E322" s="71">
        <v>206</v>
      </c>
      <c r="F322" s="71">
        <v>3687270</v>
      </c>
      <c r="G322" s="71" t="s">
        <v>125</v>
      </c>
      <c r="H322" s="71" t="s">
        <v>120</v>
      </c>
      <c r="I322" s="71">
        <v>3</v>
      </c>
      <c r="K322" s="71">
        <v>1</v>
      </c>
    </row>
    <row r="323" spans="1:11" ht="12.75">
      <c r="A323" s="71">
        <v>812901</v>
      </c>
      <c r="B323" s="71" t="s">
        <v>352</v>
      </c>
      <c r="C323" s="71" t="s">
        <v>353</v>
      </c>
      <c r="D323" s="71" t="s">
        <v>118</v>
      </c>
      <c r="E323" s="71">
        <v>206</v>
      </c>
      <c r="F323" s="71">
        <v>3687270</v>
      </c>
      <c r="G323" s="71" t="s">
        <v>125</v>
      </c>
      <c r="H323" s="71" t="s">
        <v>122</v>
      </c>
      <c r="I323" s="71">
        <v>0</v>
      </c>
      <c r="K323" s="71">
        <v>34</v>
      </c>
    </row>
    <row r="324" spans="1:11" ht="12.75">
      <c r="A324" s="71">
        <v>813903</v>
      </c>
      <c r="B324" s="71" t="s">
        <v>354</v>
      </c>
      <c r="C324" s="71" t="s">
        <v>355</v>
      </c>
      <c r="D324" s="71" t="s">
        <v>136</v>
      </c>
      <c r="E324" s="71">
        <v>425</v>
      </c>
      <c r="F324" s="71">
        <v>8694060</v>
      </c>
      <c r="G324" s="71" t="s">
        <v>125</v>
      </c>
      <c r="H324" s="71" t="s">
        <v>169</v>
      </c>
      <c r="I324" s="71">
        <v>0.16</v>
      </c>
      <c r="K324" s="71">
        <v>32</v>
      </c>
    </row>
    <row r="325" spans="1:11" ht="12.75">
      <c r="A325" s="71">
        <v>813903</v>
      </c>
      <c r="B325" s="71" t="s">
        <v>354</v>
      </c>
      <c r="C325" s="71" t="s">
        <v>355</v>
      </c>
      <c r="D325" s="71" t="s">
        <v>136</v>
      </c>
      <c r="E325" s="71">
        <v>425</v>
      </c>
      <c r="F325" s="71">
        <v>8694060</v>
      </c>
      <c r="G325" s="71" t="s">
        <v>125</v>
      </c>
      <c r="H325" s="71" t="s">
        <v>122</v>
      </c>
      <c r="I325" s="71">
        <v>0</v>
      </c>
      <c r="K325" s="71">
        <v>32</v>
      </c>
    </row>
    <row r="327" spans="1:11" ht="12.75">
      <c r="A327" s="71">
        <v>813903</v>
      </c>
      <c r="B327" s="71" t="s">
        <v>354</v>
      </c>
      <c r="C327" s="71" t="s">
        <v>355</v>
      </c>
      <c r="D327" s="71" t="s">
        <v>136</v>
      </c>
      <c r="E327" s="71">
        <v>425</v>
      </c>
      <c r="F327" s="71">
        <v>8694060</v>
      </c>
      <c r="G327" s="71" t="s">
        <v>125</v>
      </c>
      <c r="H327" s="71" t="s">
        <v>121</v>
      </c>
      <c r="I327" s="71">
        <v>0.3</v>
      </c>
      <c r="K327" s="71">
        <v>9</v>
      </c>
    </row>
    <row r="328" spans="1:11" ht="12.75">
      <c r="A328" s="71">
        <v>812904</v>
      </c>
      <c r="B328" s="71" t="s">
        <v>356</v>
      </c>
      <c r="C328" s="71" t="s">
        <v>357</v>
      </c>
      <c r="D328" s="71" t="s">
        <v>118</v>
      </c>
      <c r="E328" s="71">
        <v>425</v>
      </c>
      <c r="F328" s="71">
        <v>6414321</v>
      </c>
      <c r="G328" s="71" t="s">
        <v>358</v>
      </c>
      <c r="H328" s="71" t="s">
        <v>120</v>
      </c>
      <c r="I328" s="71">
        <v>1.25</v>
      </c>
      <c r="K328" s="71">
        <v>1</v>
      </c>
    </row>
    <row r="329" spans="1:11" ht="12.75">
      <c r="A329" s="71">
        <v>812904</v>
      </c>
      <c r="B329" s="71" t="s">
        <v>356</v>
      </c>
      <c r="C329" s="71" t="s">
        <v>357</v>
      </c>
      <c r="D329" s="71" t="s">
        <v>118</v>
      </c>
      <c r="E329" s="71">
        <v>425</v>
      </c>
      <c r="F329" s="71">
        <v>6414321</v>
      </c>
      <c r="G329" s="71" t="s">
        <v>358</v>
      </c>
      <c r="H329" s="71" t="s">
        <v>131</v>
      </c>
      <c r="I329" s="71">
        <v>1.25</v>
      </c>
      <c r="K329" s="71">
        <v>1</v>
      </c>
    </row>
    <row r="330" spans="1:11" ht="12.75">
      <c r="A330" s="71">
        <v>812904</v>
      </c>
      <c r="B330" s="71" t="s">
        <v>356</v>
      </c>
      <c r="C330" s="71" t="s">
        <v>357</v>
      </c>
      <c r="D330" s="71" t="s">
        <v>118</v>
      </c>
      <c r="E330" s="71">
        <v>425</v>
      </c>
      <c r="F330" s="71">
        <v>6414321</v>
      </c>
      <c r="G330" s="71" t="s">
        <v>358</v>
      </c>
      <c r="H330" s="71" t="s">
        <v>122</v>
      </c>
      <c r="I330" s="71">
        <v>0</v>
      </c>
      <c r="K330" s="71">
        <v>17</v>
      </c>
    </row>
    <row r="331" spans="1:11" ht="12.75">
      <c r="A331" s="71">
        <v>813222</v>
      </c>
      <c r="B331" s="71" t="s">
        <v>359</v>
      </c>
      <c r="C331" s="71" t="s">
        <v>360</v>
      </c>
      <c r="D331" s="71" t="s">
        <v>136</v>
      </c>
      <c r="E331" s="71">
        <v>206</v>
      </c>
      <c r="F331" s="71">
        <v>2136121</v>
      </c>
      <c r="G331" s="71" t="s">
        <v>125</v>
      </c>
      <c r="H331" s="71" t="s">
        <v>120</v>
      </c>
      <c r="I331" s="71">
        <v>2</v>
      </c>
      <c r="K331" s="71">
        <v>1</v>
      </c>
    </row>
    <row r="332" spans="1:11" ht="12.75">
      <c r="A332" s="71">
        <v>813222</v>
      </c>
      <c r="B332" s="71" t="s">
        <v>359</v>
      </c>
      <c r="C332" s="71" t="s">
        <v>360</v>
      </c>
      <c r="D332" s="71" t="s">
        <v>136</v>
      </c>
      <c r="E332" s="71">
        <v>206</v>
      </c>
      <c r="F332" s="71">
        <v>2136121</v>
      </c>
      <c r="G332" s="71" t="s">
        <v>125</v>
      </c>
      <c r="H332" s="71" t="s">
        <v>121</v>
      </c>
      <c r="I332" s="71">
        <v>0.45</v>
      </c>
      <c r="K332" s="71">
        <v>1</v>
      </c>
    </row>
    <row r="333" spans="1:11" ht="12.75">
      <c r="A333" s="71">
        <v>813222</v>
      </c>
      <c r="B333" s="71" t="s">
        <v>359</v>
      </c>
      <c r="C333" s="71" t="s">
        <v>360</v>
      </c>
      <c r="D333" s="71" t="s">
        <v>136</v>
      </c>
      <c r="E333" s="71">
        <v>206</v>
      </c>
      <c r="F333" s="71">
        <v>2136121</v>
      </c>
      <c r="G333" s="71" t="s">
        <v>125</v>
      </c>
      <c r="H333" s="71" t="s">
        <v>122</v>
      </c>
      <c r="I333" s="71">
        <v>0</v>
      </c>
      <c r="K333" s="71">
        <v>8</v>
      </c>
    </row>
    <row r="334" spans="1:11" ht="12.75">
      <c r="A334" s="71">
        <v>832312</v>
      </c>
      <c r="B334" s="71" t="s">
        <v>361</v>
      </c>
      <c r="C334" s="71" t="s">
        <v>362</v>
      </c>
      <c r="D334" s="71" t="s">
        <v>118</v>
      </c>
      <c r="E334" s="71">
        <v>425</v>
      </c>
      <c r="F334" s="71">
        <v>9904360</v>
      </c>
      <c r="G334" s="71" t="s">
        <v>125</v>
      </c>
      <c r="H334" s="71" t="s">
        <v>121</v>
      </c>
      <c r="I334" s="71">
        <v>0.45</v>
      </c>
      <c r="K334" s="71">
        <v>1</v>
      </c>
    </row>
    <row r="335" spans="1:11" ht="12.75">
      <c r="A335" s="71">
        <v>832312</v>
      </c>
      <c r="B335" s="71" t="s">
        <v>361</v>
      </c>
      <c r="C335" s="71" t="s">
        <v>362</v>
      </c>
      <c r="D335" s="71" t="s">
        <v>118</v>
      </c>
      <c r="E335" s="71">
        <v>425</v>
      </c>
      <c r="F335" s="71">
        <v>9904360</v>
      </c>
      <c r="G335" s="71" t="s">
        <v>125</v>
      </c>
      <c r="H335" s="71" t="s">
        <v>120</v>
      </c>
      <c r="I335" s="71">
        <v>4</v>
      </c>
      <c r="K335" s="71">
        <v>1</v>
      </c>
    </row>
    <row r="336" spans="1:11" ht="12.75">
      <c r="A336" s="71">
        <v>832312</v>
      </c>
      <c r="B336" s="71" t="s">
        <v>361</v>
      </c>
      <c r="C336" s="71" t="s">
        <v>362</v>
      </c>
      <c r="D336" s="71" t="s">
        <v>118</v>
      </c>
      <c r="E336" s="71">
        <v>425</v>
      </c>
      <c r="F336" s="71">
        <v>9904360</v>
      </c>
      <c r="G336" s="71" t="s">
        <v>125</v>
      </c>
      <c r="H336" s="71" t="s">
        <v>131</v>
      </c>
      <c r="I336" s="71">
        <v>4</v>
      </c>
      <c r="K336" s="71">
        <v>1</v>
      </c>
    </row>
    <row r="337" spans="1:11" ht="12.75">
      <c r="A337" s="71">
        <v>832312</v>
      </c>
      <c r="B337" s="71" t="s">
        <v>361</v>
      </c>
      <c r="C337" s="71" t="s">
        <v>362</v>
      </c>
      <c r="D337" s="71" t="s">
        <v>118</v>
      </c>
      <c r="E337" s="71">
        <v>425</v>
      </c>
      <c r="F337" s="71">
        <v>9904360</v>
      </c>
      <c r="G337" s="71" t="s">
        <v>125</v>
      </c>
      <c r="H337" s="71" t="s">
        <v>122</v>
      </c>
      <c r="I337" s="71">
        <v>0</v>
      </c>
      <c r="K337" s="71">
        <v>24</v>
      </c>
    </row>
    <row r="338" spans="1:11" ht="12.75">
      <c r="A338" s="71">
        <v>812909</v>
      </c>
      <c r="B338" s="71" t="s">
        <v>363</v>
      </c>
      <c r="C338" s="71" t="s">
        <v>364</v>
      </c>
      <c r="D338" s="71" t="s">
        <v>118</v>
      </c>
      <c r="E338" s="71">
        <v>425</v>
      </c>
      <c r="F338" s="71">
        <v>4866814</v>
      </c>
      <c r="H338" s="71" t="s">
        <v>120</v>
      </c>
      <c r="I338" s="71">
        <v>8</v>
      </c>
      <c r="K338" s="71">
        <v>1</v>
      </c>
    </row>
    <row r="339" spans="1:11" ht="12.75">
      <c r="A339" s="71">
        <v>812909</v>
      </c>
      <c r="B339" s="71" t="s">
        <v>363</v>
      </c>
      <c r="C339" s="71" t="s">
        <v>364</v>
      </c>
      <c r="D339" s="71" t="s">
        <v>118</v>
      </c>
      <c r="E339" s="71">
        <v>425</v>
      </c>
      <c r="F339" s="71">
        <v>4866814</v>
      </c>
      <c r="H339" s="71" t="s">
        <v>120</v>
      </c>
      <c r="I339" s="71">
        <v>4</v>
      </c>
      <c r="K339" s="71">
        <v>1</v>
      </c>
    </row>
    <row r="340" spans="1:11" ht="12.75">
      <c r="A340" s="71">
        <v>812909</v>
      </c>
      <c r="B340" s="71" t="s">
        <v>363</v>
      </c>
      <c r="C340" s="71" t="s">
        <v>364</v>
      </c>
      <c r="D340" s="71" t="s">
        <v>118</v>
      </c>
      <c r="E340" s="71">
        <v>425</v>
      </c>
      <c r="F340" s="71">
        <v>4866814</v>
      </c>
      <c r="H340" s="71" t="s">
        <v>131</v>
      </c>
      <c r="I340" s="71">
        <v>3</v>
      </c>
      <c r="K340" s="71">
        <v>1</v>
      </c>
    </row>
    <row r="341" spans="1:11" ht="12.75">
      <c r="A341" s="71">
        <v>812909</v>
      </c>
      <c r="B341" s="71" t="s">
        <v>363</v>
      </c>
      <c r="C341" s="71" t="s">
        <v>364</v>
      </c>
      <c r="D341" s="71" t="s">
        <v>118</v>
      </c>
      <c r="E341" s="71">
        <v>425</v>
      </c>
      <c r="F341" s="71">
        <v>4866814</v>
      </c>
      <c r="H341" s="71" t="s">
        <v>121</v>
      </c>
      <c r="I341" s="71">
        <v>0.45</v>
      </c>
      <c r="K341" s="71">
        <v>2</v>
      </c>
    </row>
    <row r="342" spans="1:11" ht="12.75">
      <c r="A342" s="71">
        <v>812909</v>
      </c>
      <c r="B342" s="71" t="s">
        <v>363</v>
      </c>
      <c r="C342" s="71" t="s">
        <v>364</v>
      </c>
      <c r="D342" s="71" t="s">
        <v>118</v>
      </c>
      <c r="E342" s="71">
        <v>425</v>
      </c>
      <c r="F342" s="71">
        <v>4866814</v>
      </c>
      <c r="H342" s="71" t="s">
        <v>131</v>
      </c>
      <c r="I342" s="71">
        <v>2</v>
      </c>
      <c r="K342" s="71">
        <v>1</v>
      </c>
    </row>
    <row r="343" spans="1:11" ht="12.75">
      <c r="A343" s="71">
        <v>812909</v>
      </c>
      <c r="B343" s="71" t="s">
        <v>363</v>
      </c>
      <c r="C343" s="71" t="s">
        <v>364</v>
      </c>
      <c r="D343" s="71" t="s">
        <v>118</v>
      </c>
      <c r="E343" s="71">
        <v>425</v>
      </c>
      <c r="F343" s="71">
        <v>4866814</v>
      </c>
      <c r="H343" s="71" t="s">
        <v>122</v>
      </c>
      <c r="I343" s="71">
        <v>0</v>
      </c>
      <c r="K343" s="71">
        <v>72</v>
      </c>
    </row>
    <row r="344" spans="1:11" ht="12.75">
      <c r="A344" s="71">
        <v>813013</v>
      </c>
      <c r="B344" s="71" t="s">
        <v>365</v>
      </c>
      <c r="C344" s="71" t="s">
        <v>366</v>
      </c>
      <c r="D344" s="71" t="s">
        <v>227</v>
      </c>
      <c r="E344" s="71">
        <v>425</v>
      </c>
      <c r="F344" s="71">
        <v>4869829</v>
      </c>
      <c r="G344" s="71" t="s">
        <v>125</v>
      </c>
      <c r="H344" s="71" t="s">
        <v>170</v>
      </c>
      <c r="I344" s="71">
        <v>0.45</v>
      </c>
      <c r="K344" s="71">
        <v>2</v>
      </c>
    </row>
    <row r="345" spans="1:11" ht="12.75">
      <c r="A345" s="71">
        <v>813013</v>
      </c>
      <c r="B345" s="71" t="s">
        <v>365</v>
      </c>
      <c r="C345" s="71" t="s">
        <v>366</v>
      </c>
      <c r="D345" s="71" t="s">
        <v>227</v>
      </c>
      <c r="E345" s="71">
        <v>425</v>
      </c>
      <c r="F345" s="71">
        <v>4869829</v>
      </c>
      <c r="G345" s="71" t="s">
        <v>125</v>
      </c>
      <c r="H345" s="71" t="s">
        <v>120</v>
      </c>
      <c r="I345" s="71">
        <v>8</v>
      </c>
      <c r="K345" s="71">
        <v>1</v>
      </c>
    </row>
    <row r="346" spans="1:11" ht="12.75">
      <c r="A346" s="71">
        <v>813013</v>
      </c>
      <c r="B346" s="71" t="s">
        <v>365</v>
      </c>
      <c r="C346" s="71" t="s">
        <v>366</v>
      </c>
      <c r="D346" s="71" t="s">
        <v>227</v>
      </c>
      <c r="E346" s="71">
        <v>425</v>
      </c>
      <c r="F346" s="71">
        <v>4869829</v>
      </c>
      <c r="G346" s="71" t="s">
        <v>125</v>
      </c>
      <c r="H346" s="71" t="s">
        <v>122</v>
      </c>
      <c r="I346" s="71">
        <v>0</v>
      </c>
      <c r="K346" s="71">
        <v>52</v>
      </c>
    </row>
    <row r="347" spans="1:11" ht="12.75">
      <c r="A347" s="71">
        <v>823005</v>
      </c>
      <c r="B347" s="71" t="s">
        <v>367</v>
      </c>
      <c r="C347" s="71" t="s">
        <v>368</v>
      </c>
      <c r="D347" s="71" t="s">
        <v>118</v>
      </c>
      <c r="E347" s="71">
        <v>425</v>
      </c>
      <c r="F347" s="71">
        <v>4873654</v>
      </c>
      <c r="G347" s="71" t="s">
        <v>125</v>
      </c>
      <c r="H347" s="71" t="s">
        <v>169</v>
      </c>
      <c r="I347" s="71">
        <v>0.16</v>
      </c>
      <c r="K347" s="71">
        <v>13</v>
      </c>
    </row>
    <row r="348" spans="1:11" ht="12.75">
      <c r="A348" s="71">
        <v>823005</v>
      </c>
      <c r="B348" s="71" t="s">
        <v>367</v>
      </c>
      <c r="C348" s="71" t="s">
        <v>368</v>
      </c>
      <c r="D348" s="71" t="s">
        <v>118</v>
      </c>
      <c r="E348" s="71">
        <v>425</v>
      </c>
      <c r="F348" s="71">
        <v>4873654</v>
      </c>
      <c r="G348" s="71" t="s">
        <v>125</v>
      </c>
      <c r="H348" s="71" t="s">
        <v>121</v>
      </c>
      <c r="I348" s="71">
        <v>0.45</v>
      </c>
      <c r="K348" s="71">
        <v>12</v>
      </c>
    </row>
    <row r="349" spans="1:11" ht="12.75">
      <c r="A349" s="71">
        <v>823005</v>
      </c>
      <c r="B349" s="71" t="s">
        <v>367</v>
      </c>
      <c r="C349" s="71" t="s">
        <v>368</v>
      </c>
      <c r="D349" s="71" t="s">
        <v>118</v>
      </c>
      <c r="E349" s="71">
        <v>425</v>
      </c>
      <c r="F349" s="71">
        <v>4873654</v>
      </c>
      <c r="G349" s="71" t="s">
        <v>125</v>
      </c>
      <c r="H349" s="71" t="s">
        <v>170</v>
      </c>
      <c r="I349" s="71">
        <v>0.16</v>
      </c>
      <c r="K349" s="71">
        <v>1</v>
      </c>
    </row>
    <row r="350" spans="1:11" ht="12.75">
      <c r="A350" s="71">
        <v>823005</v>
      </c>
      <c r="B350" s="71" t="s">
        <v>367</v>
      </c>
      <c r="C350" s="71" t="s">
        <v>368</v>
      </c>
      <c r="D350" s="71" t="s">
        <v>118</v>
      </c>
      <c r="E350" s="71">
        <v>425</v>
      </c>
      <c r="F350" s="71">
        <v>4873654</v>
      </c>
      <c r="G350" s="71" t="s">
        <v>125</v>
      </c>
      <c r="H350" s="71" t="s">
        <v>121</v>
      </c>
      <c r="I350" s="71">
        <v>0.3</v>
      </c>
      <c r="K350" s="71">
        <v>1</v>
      </c>
    </row>
    <row r="351" spans="1:11" ht="12.75">
      <c r="A351" s="71">
        <v>823005</v>
      </c>
      <c r="B351" s="71" t="s">
        <v>367</v>
      </c>
      <c r="C351" s="71" t="s">
        <v>368</v>
      </c>
      <c r="D351" s="71" t="s">
        <v>118</v>
      </c>
      <c r="E351" s="71">
        <v>425</v>
      </c>
      <c r="F351" s="71">
        <v>4873654</v>
      </c>
      <c r="G351" s="71" t="s">
        <v>125</v>
      </c>
      <c r="H351" s="71" t="s">
        <v>122</v>
      </c>
      <c r="I351" s="71">
        <v>0</v>
      </c>
      <c r="K351" s="71">
        <v>13</v>
      </c>
    </row>
    <row r="352" spans="1:11" ht="12.75">
      <c r="A352" s="71">
        <v>815523</v>
      </c>
      <c r="B352" s="71" t="s">
        <v>369</v>
      </c>
      <c r="C352" s="71" t="s">
        <v>370</v>
      </c>
      <c r="D352" s="71" t="s">
        <v>136</v>
      </c>
      <c r="E352" s="71">
        <v>425</v>
      </c>
      <c r="F352" s="71">
        <v>6462776</v>
      </c>
      <c r="G352" s="71" t="s">
        <v>125</v>
      </c>
      <c r="H352" s="71" t="s">
        <v>120</v>
      </c>
      <c r="I352" s="71">
        <v>4</v>
      </c>
      <c r="K352" s="71">
        <v>1</v>
      </c>
    </row>
    <row r="353" spans="1:11" ht="12.75">
      <c r="A353" s="71">
        <v>815523</v>
      </c>
      <c r="B353" s="71" t="s">
        <v>369</v>
      </c>
      <c r="C353" s="71" t="s">
        <v>370</v>
      </c>
      <c r="D353" s="71" t="s">
        <v>136</v>
      </c>
      <c r="E353" s="71">
        <v>425</v>
      </c>
      <c r="F353" s="71">
        <v>6462776</v>
      </c>
      <c r="G353" s="71" t="s">
        <v>125</v>
      </c>
      <c r="H353" s="71" t="s">
        <v>122</v>
      </c>
      <c r="I353" s="71">
        <v>0</v>
      </c>
      <c r="K353" s="71">
        <v>15</v>
      </c>
    </row>
    <row r="354" spans="1:11" ht="12.75">
      <c r="A354" s="71">
        <v>892769</v>
      </c>
      <c r="B354" s="71" t="s">
        <v>371</v>
      </c>
      <c r="C354" s="71" t="s">
        <v>372</v>
      </c>
      <c r="D354" s="71" t="s">
        <v>136</v>
      </c>
      <c r="E354" s="71">
        <v>425</v>
      </c>
      <c r="F354" s="71">
        <v>2608632</v>
      </c>
      <c r="G354" s="71" t="s">
        <v>373</v>
      </c>
      <c r="H354" s="71" t="s">
        <v>140</v>
      </c>
      <c r="I354" s="71">
        <v>0.45</v>
      </c>
      <c r="K354" s="71">
        <v>4</v>
      </c>
    </row>
    <row r="355" spans="1:11" ht="12.75">
      <c r="A355" s="71">
        <v>892769</v>
      </c>
      <c r="B355" s="71" t="s">
        <v>371</v>
      </c>
      <c r="C355" s="71" t="s">
        <v>372</v>
      </c>
      <c r="D355" s="71" t="s">
        <v>136</v>
      </c>
      <c r="E355" s="71">
        <v>425</v>
      </c>
      <c r="F355" s="71">
        <v>2608632</v>
      </c>
      <c r="G355" s="71" t="s">
        <v>373</v>
      </c>
      <c r="H355" s="71" t="s">
        <v>121</v>
      </c>
      <c r="I355" s="71">
        <v>0.45</v>
      </c>
      <c r="K355" s="71">
        <v>2</v>
      </c>
    </row>
    <row r="356" spans="1:11" ht="12.75">
      <c r="A356" s="71">
        <v>892769</v>
      </c>
      <c r="B356" s="71" t="s">
        <v>371</v>
      </c>
      <c r="C356" s="71" t="s">
        <v>372</v>
      </c>
      <c r="D356" s="71" t="s">
        <v>136</v>
      </c>
      <c r="E356" s="71">
        <v>425</v>
      </c>
      <c r="F356" s="71">
        <v>2608632</v>
      </c>
      <c r="G356" s="71" t="s">
        <v>373</v>
      </c>
      <c r="H356" s="71" t="s">
        <v>122</v>
      </c>
      <c r="I356" s="71">
        <v>0</v>
      </c>
      <c r="K356" s="71">
        <v>4</v>
      </c>
    </row>
    <row r="357" spans="1:11" ht="12.75">
      <c r="A357" s="71">
        <v>891600</v>
      </c>
      <c r="B357" s="71" t="s">
        <v>374</v>
      </c>
      <c r="C357" s="71" t="s">
        <v>375</v>
      </c>
      <c r="D357" s="71" t="s">
        <v>180</v>
      </c>
      <c r="E357" s="71">
        <v>425</v>
      </c>
      <c r="F357" s="71">
        <v>7476100</v>
      </c>
      <c r="G357" s="71" t="s">
        <v>376</v>
      </c>
      <c r="H357" s="71" t="s">
        <v>120</v>
      </c>
      <c r="I357" s="71">
        <v>4</v>
      </c>
      <c r="K357" s="71">
        <v>2</v>
      </c>
    </row>
    <row r="358" spans="1:11" ht="12.75">
      <c r="A358" s="71">
        <v>891600</v>
      </c>
      <c r="B358" s="71" t="s">
        <v>374</v>
      </c>
      <c r="C358" s="71" t="s">
        <v>375</v>
      </c>
      <c r="D358" s="71" t="s">
        <v>180</v>
      </c>
      <c r="E358" s="71">
        <v>425</v>
      </c>
      <c r="F358" s="71">
        <v>7476100</v>
      </c>
      <c r="G358" s="71" t="s">
        <v>376</v>
      </c>
      <c r="H358" s="71" t="s">
        <v>120</v>
      </c>
      <c r="I358" s="71">
        <v>6</v>
      </c>
      <c r="K358" s="71">
        <v>5</v>
      </c>
    </row>
    <row r="359" spans="1:11" ht="12.75">
      <c r="A359" s="71">
        <v>891600</v>
      </c>
      <c r="B359" s="71" t="s">
        <v>374</v>
      </c>
      <c r="C359" s="71" t="s">
        <v>375</v>
      </c>
      <c r="D359" s="71" t="s">
        <v>180</v>
      </c>
      <c r="E359" s="71">
        <v>425</v>
      </c>
      <c r="F359" s="71">
        <v>7476100</v>
      </c>
      <c r="G359" s="71" t="s">
        <v>376</v>
      </c>
      <c r="H359" s="71" t="s">
        <v>131</v>
      </c>
      <c r="I359" s="71">
        <v>6</v>
      </c>
      <c r="K359" s="71">
        <v>1</v>
      </c>
    </row>
    <row r="360" spans="1:11" ht="12.75">
      <c r="A360" s="71">
        <v>891600</v>
      </c>
      <c r="B360" s="71" t="s">
        <v>374</v>
      </c>
      <c r="C360" s="71" t="s">
        <v>375</v>
      </c>
      <c r="D360" s="71" t="s">
        <v>180</v>
      </c>
      <c r="E360" s="71">
        <v>425</v>
      </c>
      <c r="F360" s="71">
        <v>7476100</v>
      </c>
      <c r="G360" s="71" t="s">
        <v>376</v>
      </c>
      <c r="H360" s="71" t="s">
        <v>121</v>
      </c>
      <c r="I360" s="71">
        <v>0.45</v>
      </c>
      <c r="K360" s="71">
        <v>19</v>
      </c>
    </row>
    <row r="361" spans="1:11" ht="12.75">
      <c r="A361" s="71">
        <v>815609</v>
      </c>
      <c r="B361" s="71" t="s">
        <v>377</v>
      </c>
      <c r="C361" s="71" t="s">
        <v>378</v>
      </c>
      <c r="D361" s="71" t="s">
        <v>180</v>
      </c>
      <c r="E361" s="71">
        <v>425</v>
      </c>
      <c r="F361" s="71">
        <v>8694060</v>
      </c>
      <c r="G361" s="71" t="s">
        <v>379</v>
      </c>
      <c r="H361" s="71" t="s">
        <v>120</v>
      </c>
      <c r="I361" s="71">
        <v>3</v>
      </c>
      <c r="K361" s="71">
        <v>2</v>
      </c>
    </row>
    <row r="362" spans="1:11" ht="12.75">
      <c r="A362" s="71">
        <v>815609</v>
      </c>
      <c r="B362" s="71" t="s">
        <v>377</v>
      </c>
      <c r="C362" s="71" t="s">
        <v>378</v>
      </c>
      <c r="D362" s="71" t="s">
        <v>180</v>
      </c>
      <c r="E362" s="71">
        <v>425</v>
      </c>
      <c r="F362" s="71">
        <v>8694060</v>
      </c>
      <c r="G362" s="71" t="s">
        <v>379</v>
      </c>
      <c r="H362" s="71" t="s">
        <v>131</v>
      </c>
      <c r="I362" s="71">
        <v>3</v>
      </c>
      <c r="K362" s="71">
        <v>2</v>
      </c>
    </row>
    <row r="363" spans="1:11" ht="12.75">
      <c r="A363" s="71">
        <v>815609</v>
      </c>
      <c r="B363" s="71" t="s">
        <v>377</v>
      </c>
      <c r="C363" s="71" t="s">
        <v>378</v>
      </c>
      <c r="D363" s="71" t="s">
        <v>180</v>
      </c>
      <c r="E363" s="71">
        <v>425</v>
      </c>
      <c r="F363" s="71">
        <v>8694060</v>
      </c>
      <c r="G363" s="71" t="s">
        <v>379</v>
      </c>
      <c r="H363" s="71" t="s">
        <v>122</v>
      </c>
      <c r="I363" s="71">
        <v>0</v>
      </c>
      <c r="K363" s="71">
        <v>53</v>
      </c>
    </row>
    <row r="364" spans="1:11" ht="12.75">
      <c r="A364" s="71">
        <v>893499</v>
      </c>
      <c r="B364" s="71" t="s">
        <v>380</v>
      </c>
      <c r="C364" s="71" t="s">
        <v>381</v>
      </c>
      <c r="D364" s="71" t="s">
        <v>180</v>
      </c>
      <c r="E364" s="71">
        <v>206</v>
      </c>
      <c r="F364" s="71">
        <v>4019509</v>
      </c>
      <c r="G364" s="71" t="s">
        <v>247</v>
      </c>
      <c r="H364" s="71" t="s">
        <v>120</v>
      </c>
      <c r="I364" s="71">
        <v>8</v>
      </c>
      <c r="K364" s="71">
        <v>1</v>
      </c>
    </row>
    <row r="365" spans="1:11" ht="12.75">
      <c r="A365" s="71">
        <v>893499</v>
      </c>
      <c r="B365" s="71" t="s">
        <v>380</v>
      </c>
      <c r="C365" s="71" t="s">
        <v>381</v>
      </c>
      <c r="D365" s="71" t="s">
        <v>180</v>
      </c>
      <c r="E365" s="71">
        <v>206</v>
      </c>
      <c r="F365" s="71">
        <v>4019509</v>
      </c>
      <c r="G365" s="71" t="s">
        <v>247</v>
      </c>
      <c r="H365" s="71" t="s">
        <v>121</v>
      </c>
      <c r="I365" s="71">
        <v>0.45</v>
      </c>
      <c r="K365" s="71">
        <v>3</v>
      </c>
    </row>
    <row r="366" spans="1:11" ht="12.75">
      <c r="A366" s="71">
        <v>893499</v>
      </c>
      <c r="B366" s="71" t="s">
        <v>380</v>
      </c>
      <c r="C366" s="71" t="s">
        <v>381</v>
      </c>
      <c r="D366" s="71" t="s">
        <v>180</v>
      </c>
      <c r="E366" s="71">
        <v>206</v>
      </c>
      <c r="F366" s="71">
        <v>4019509</v>
      </c>
      <c r="G366" s="71" t="s">
        <v>247</v>
      </c>
      <c r="H366" s="71" t="s">
        <v>120</v>
      </c>
      <c r="I366" s="71">
        <v>4</v>
      </c>
      <c r="K366" s="71">
        <v>1</v>
      </c>
    </row>
    <row r="367" spans="1:11" ht="12.75">
      <c r="A367" s="71">
        <v>893499</v>
      </c>
      <c r="B367" s="71" t="s">
        <v>380</v>
      </c>
      <c r="C367" s="71" t="s">
        <v>382</v>
      </c>
      <c r="D367" s="71" t="s">
        <v>180</v>
      </c>
      <c r="E367" s="71">
        <v>425</v>
      </c>
      <c r="F367" s="71">
        <v>6410990</v>
      </c>
      <c r="G367" s="71" t="s">
        <v>247</v>
      </c>
      <c r="H367" s="71" t="s">
        <v>120</v>
      </c>
      <c r="I367" s="71">
        <v>4</v>
      </c>
      <c r="K367" s="71">
        <v>2</v>
      </c>
    </row>
    <row r="368" spans="1:11" ht="12.75">
      <c r="A368" s="71">
        <v>893499</v>
      </c>
      <c r="B368" s="71" t="s">
        <v>380</v>
      </c>
      <c r="C368" s="71" t="s">
        <v>382</v>
      </c>
      <c r="D368" s="71" t="s">
        <v>180</v>
      </c>
      <c r="E368" s="71">
        <v>425</v>
      </c>
      <c r="F368" s="71">
        <v>6410990</v>
      </c>
      <c r="G368" s="71" t="s">
        <v>247</v>
      </c>
      <c r="H368" s="71" t="s">
        <v>121</v>
      </c>
      <c r="I368" s="71">
        <v>0.45</v>
      </c>
      <c r="K368" s="71">
        <v>5</v>
      </c>
    </row>
    <row r="369" spans="1:11" ht="12.75">
      <c r="A369" s="71">
        <v>891878</v>
      </c>
      <c r="B369" s="71" t="s">
        <v>383</v>
      </c>
      <c r="C369" s="71" t="s">
        <v>384</v>
      </c>
      <c r="D369" s="71" t="s">
        <v>118</v>
      </c>
      <c r="E369" s="71">
        <v>425</v>
      </c>
      <c r="F369" s="71">
        <v>3988436</v>
      </c>
      <c r="G369" s="71" t="s">
        <v>385</v>
      </c>
      <c r="H369" s="71" t="s">
        <v>131</v>
      </c>
      <c r="I369" s="71">
        <v>2</v>
      </c>
      <c r="K369" s="71">
        <v>1</v>
      </c>
    </row>
    <row r="370" spans="1:11" ht="12.75">
      <c r="A370" s="71">
        <v>891878</v>
      </c>
      <c r="B370" s="71" t="s">
        <v>383</v>
      </c>
      <c r="C370" s="71" t="s">
        <v>384</v>
      </c>
      <c r="D370" s="71" t="s">
        <v>118</v>
      </c>
      <c r="E370" s="71">
        <v>425</v>
      </c>
      <c r="F370" s="71">
        <v>3988436</v>
      </c>
      <c r="G370" s="71" t="s">
        <v>385</v>
      </c>
      <c r="H370" s="71" t="s">
        <v>131</v>
      </c>
      <c r="I370" s="71">
        <v>3</v>
      </c>
      <c r="K370" s="71">
        <v>1</v>
      </c>
    </row>
    <row r="371" spans="1:11" ht="12.75">
      <c r="A371" s="71">
        <v>891878</v>
      </c>
      <c r="B371" s="71" t="s">
        <v>383</v>
      </c>
      <c r="C371" s="71" t="s">
        <v>384</v>
      </c>
      <c r="D371" s="71" t="s">
        <v>118</v>
      </c>
      <c r="E371" s="71">
        <v>425</v>
      </c>
      <c r="F371" s="71">
        <v>3988436</v>
      </c>
      <c r="G371" s="71" t="s">
        <v>385</v>
      </c>
      <c r="H371" s="71" t="s">
        <v>120</v>
      </c>
      <c r="I371" s="71">
        <v>3</v>
      </c>
      <c r="K371" s="71">
        <v>1</v>
      </c>
    </row>
    <row r="372" spans="1:11" ht="12.75">
      <c r="A372" s="71">
        <v>891878</v>
      </c>
      <c r="B372" s="71" t="s">
        <v>383</v>
      </c>
      <c r="C372" s="71" t="s">
        <v>384</v>
      </c>
      <c r="D372" s="71" t="s">
        <v>118</v>
      </c>
      <c r="E372" s="71">
        <v>425</v>
      </c>
      <c r="F372" s="71">
        <v>3988436</v>
      </c>
      <c r="G372" s="71" t="s">
        <v>385</v>
      </c>
      <c r="H372" s="71" t="s">
        <v>122</v>
      </c>
      <c r="I372" s="71">
        <v>0</v>
      </c>
      <c r="K372" s="71">
        <v>29</v>
      </c>
    </row>
    <row r="373" spans="1:11" ht="12.75">
      <c r="A373" s="71">
        <v>891878</v>
      </c>
      <c r="B373" s="71" t="s">
        <v>383</v>
      </c>
      <c r="C373" s="71" t="s">
        <v>384</v>
      </c>
      <c r="D373" s="71" t="s">
        <v>118</v>
      </c>
      <c r="E373" s="71">
        <v>425</v>
      </c>
      <c r="F373" s="71">
        <v>3988436</v>
      </c>
      <c r="G373" s="71" t="s">
        <v>385</v>
      </c>
      <c r="H373" s="71" t="s">
        <v>120</v>
      </c>
      <c r="I373" s="71">
        <v>4</v>
      </c>
      <c r="K373" s="71">
        <v>1</v>
      </c>
    </row>
    <row r="374" spans="1:11" ht="12.75">
      <c r="A374" s="71">
        <v>5483023</v>
      </c>
      <c r="B374" s="71" t="s">
        <v>386</v>
      </c>
      <c r="C374" s="71" t="s">
        <v>387</v>
      </c>
      <c r="D374" s="71" t="s">
        <v>146</v>
      </c>
      <c r="E374" s="71">
        <v>425</v>
      </c>
      <c r="F374" s="71">
        <v>8988888</v>
      </c>
      <c r="G374" s="71" t="s">
        <v>125</v>
      </c>
      <c r="H374" s="71" t="s">
        <v>120</v>
      </c>
      <c r="I374" s="71">
        <v>8</v>
      </c>
      <c r="K374" s="71">
        <v>1</v>
      </c>
    </row>
    <row r="375" spans="1:11" ht="12.75">
      <c r="A375" s="71">
        <v>5483023</v>
      </c>
      <c r="B375" s="71" t="s">
        <v>386</v>
      </c>
      <c r="C375" s="71" t="s">
        <v>387</v>
      </c>
      <c r="D375" s="71" t="s">
        <v>146</v>
      </c>
      <c r="E375" s="71">
        <v>425</v>
      </c>
      <c r="F375" s="71">
        <v>8988888</v>
      </c>
      <c r="G375" s="71" t="s">
        <v>125</v>
      </c>
      <c r="H375" s="71" t="s">
        <v>121</v>
      </c>
      <c r="I375" s="71">
        <v>0.45</v>
      </c>
      <c r="K375" s="71">
        <v>6</v>
      </c>
    </row>
    <row r="376" spans="1:11" ht="12.75">
      <c r="A376" s="71">
        <v>893398</v>
      </c>
      <c r="B376" s="71" t="s">
        <v>388</v>
      </c>
      <c r="C376" s="71" t="s">
        <v>389</v>
      </c>
      <c r="D376" s="71" t="s">
        <v>118</v>
      </c>
      <c r="E376" s="71">
        <v>206</v>
      </c>
      <c r="F376" s="71">
        <v>3652406</v>
      </c>
      <c r="G376" s="71" t="s">
        <v>390</v>
      </c>
      <c r="H376" s="71" t="s">
        <v>120</v>
      </c>
      <c r="I376" s="71">
        <v>2</v>
      </c>
      <c r="K376" s="71">
        <v>1</v>
      </c>
    </row>
    <row r="377" spans="1:11" ht="12.75">
      <c r="A377" s="71">
        <v>893398</v>
      </c>
      <c r="B377" s="71" t="s">
        <v>388</v>
      </c>
      <c r="C377" s="71" t="s">
        <v>389</v>
      </c>
      <c r="D377" s="71" t="s">
        <v>118</v>
      </c>
      <c r="E377" s="71">
        <v>206</v>
      </c>
      <c r="F377" s="71">
        <v>3652406</v>
      </c>
      <c r="G377" s="71" t="s">
        <v>390</v>
      </c>
      <c r="H377" s="71" t="s">
        <v>122</v>
      </c>
      <c r="I377" s="71">
        <v>0</v>
      </c>
      <c r="K377" s="71">
        <v>57</v>
      </c>
    </row>
    <row r="378" spans="1:11" ht="12.75">
      <c r="A378" s="71">
        <v>893398</v>
      </c>
      <c r="B378" s="71" t="s">
        <v>388</v>
      </c>
      <c r="C378" s="71" t="s">
        <v>389</v>
      </c>
      <c r="D378" s="71" t="s">
        <v>118</v>
      </c>
      <c r="E378" s="71">
        <v>206</v>
      </c>
      <c r="F378" s="71">
        <v>3652406</v>
      </c>
      <c r="G378" s="71" t="s">
        <v>390</v>
      </c>
      <c r="H378" s="71" t="s">
        <v>131</v>
      </c>
      <c r="I378" s="71">
        <v>2</v>
      </c>
      <c r="K378" s="71">
        <v>1</v>
      </c>
    </row>
    <row r="379" spans="1:11" ht="12.75">
      <c r="A379" s="71">
        <v>812834</v>
      </c>
      <c r="B379" s="71" t="s">
        <v>391</v>
      </c>
      <c r="C379" s="71" t="s">
        <v>392</v>
      </c>
      <c r="D379" s="71" t="s">
        <v>118</v>
      </c>
      <c r="E379" s="71">
        <v>206</v>
      </c>
      <c r="F379" s="71">
        <v>2447750</v>
      </c>
      <c r="G379" s="71" t="s">
        <v>125</v>
      </c>
      <c r="H379" s="71" t="s">
        <v>120</v>
      </c>
      <c r="I379" s="71">
        <v>4</v>
      </c>
      <c r="K379" s="71">
        <v>1</v>
      </c>
    </row>
    <row r="381" spans="1:11" ht="12.75">
      <c r="A381" s="71">
        <v>812834</v>
      </c>
      <c r="B381" s="71" t="s">
        <v>391</v>
      </c>
      <c r="C381" s="71" t="s">
        <v>392</v>
      </c>
      <c r="D381" s="71" t="s">
        <v>118</v>
      </c>
      <c r="E381" s="71">
        <v>206</v>
      </c>
      <c r="F381" s="71">
        <v>2447750</v>
      </c>
      <c r="G381" s="71" t="s">
        <v>125</v>
      </c>
      <c r="H381" s="71" t="s">
        <v>122</v>
      </c>
      <c r="I381" s="71">
        <v>0</v>
      </c>
      <c r="K381" s="71">
        <v>9</v>
      </c>
    </row>
    <row r="382" spans="1:11" ht="12.75">
      <c r="A382" s="71">
        <v>892573</v>
      </c>
      <c r="B382" s="71" t="s">
        <v>393</v>
      </c>
      <c r="C382" s="71" t="s">
        <v>394</v>
      </c>
      <c r="D382" s="71" t="s">
        <v>227</v>
      </c>
      <c r="E382" s="71">
        <v>425</v>
      </c>
      <c r="F382" s="71">
        <v>7396811</v>
      </c>
      <c r="G382" s="71" t="s">
        <v>395</v>
      </c>
      <c r="H382" s="71" t="s">
        <v>169</v>
      </c>
      <c r="I382" s="71">
        <v>0.16</v>
      </c>
      <c r="K382" s="71">
        <v>4</v>
      </c>
    </row>
    <row r="383" spans="1:11" ht="12.75">
      <c r="A383" s="71">
        <v>892573</v>
      </c>
      <c r="B383" s="71" t="s">
        <v>393</v>
      </c>
      <c r="C383" s="71" t="s">
        <v>394</v>
      </c>
      <c r="D383" s="71" t="s">
        <v>227</v>
      </c>
      <c r="E383" s="71">
        <v>425</v>
      </c>
      <c r="F383" s="71">
        <v>7396811</v>
      </c>
      <c r="G383" s="71" t="s">
        <v>395</v>
      </c>
      <c r="H383" s="71" t="s">
        <v>122</v>
      </c>
      <c r="I383" s="71">
        <v>0</v>
      </c>
      <c r="K383" s="71">
        <v>4</v>
      </c>
    </row>
    <row r="384" spans="1:11" ht="12.75">
      <c r="A384" s="71">
        <v>826408</v>
      </c>
      <c r="B384" s="71" t="s">
        <v>396</v>
      </c>
      <c r="C384" s="71" t="s">
        <v>397</v>
      </c>
      <c r="D384" s="71" t="s">
        <v>227</v>
      </c>
      <c r="E384" s="71">
        <v>425</v>
      </c>
      <c r="F384" s="71">
        <v>4833699</v>
      </c>
      <c r="G384" s="71" t="s">
        <v>398</v>
      </c>
      <c r="H384" s="71" t="s">
        <v>169</v>
      </c>
      <c r="I384" s="71">
        <v>0.16</v>
      </c>
      <c r="K384" s="71">
        <v>11</v>
      </c>
    </row>
    <row r="385" spans="1:11" ht="12.75">
      <c r="A385" s="71">
        <v>826408</v>
      </c>
      <c r="B385" s="71" t="s">
        <v>396</v>
      </c>
      <c r="C385" s="71" t="s">
        <v>397</v>
      </c>
      <c r="D385" s="71" t="s">
        <v>227</v>
      </c>
      <c r="E385" s="71">
        <v>425</v>
      </c>
      <c r="F385" s="71">
        <v>4833699</v>
      </c>
      <c r="G385" s="71" t="s">
        <v>398</v>
      </c>
      <c r="H385" s="71" t="s">
        <v>121</v>
      </c>
      <c r="I385" s="71">
        <v>0.3</v>
      </c>
      <c r="K385" s="71">
        <v>11</v>
      </c>
    </row>
    <row r="386" spans="1:11" ht="12.75">
      <c r="A386" s="71">
        <v>826408</v>
      </c>
      <c r="B386" s="71" t="s">
        <v>396</v>
      </c>
      <c r="C386" s="71" t="s">
        <v>397</v>
      </c>
      <c r="D386" s="71" t="s">
        <v>227</v>
      </c>
      <c r="E386" s="71">
        <v>425</v>
      </c>
      <c r="F386" s="71">
        <v>4833699</v>
      </c>
      <c r="G386" s="71" t="s">
        <v>398</v>
      </c>
      <c r="H386" s="71" t="s">
        <v>122</v>
      </c>
      <c r="I386" s="71">
        <v>0</v>
      </c>
      <c r="K386" s="71">
        <v>11</v>
      </c>
    </row>
    <row r="387" spans="1:11" ht="12.75">
      <c r="A387" s="71">
        <v>893496</v>
      </c>
      <c r="B387" s="71" t="s">
        <v>399</v>
      </c>
      <c r="C387" s="71" t="s">
        <v>400</v>
      </c>
      <c r="D387" s="71" t="s">
        <v>246</v>
      </c>
      <c r="E387" s="71">
        <v>425</v>
      </c>
      <c r="F387" s="71">
        <v>8973514</v>
      </c>
      <c r="G387" s="71" t="s">
        <v>401</v>
      </c>
      <c r="H387" s="71" t="s">
        <v>169</v>
      </c>
      <c r="I387" s="71">
        <v>0.16</v>
      </c>
      <c r="K387" s="71">
        <v>51</v>
      </c>
    </row>
    <row r="388" spans="1:11" ht="12.75">
      <c r="A388" s="71">
        <v>893496</v>
      </c>
      <c r="B388" s="71" t="s">
        <v>399</v>
      </c>
      <c r="C388" s="71" t="s">
        <v>400</v>
      </c>
      <c r="D388" s="71" t="s">
        <v>246</v>
      </c>
      <c r="E388" s="71">
        <v>425</v>
      </c>
      <c r="F388" s="71">
        <v>8973514</v>
      </c>
      <c r="G388" s="71" t="s">
        <v>401</v>
      </c>
      <c r="H388" s="71" t="s">
        <v>121</v>
      </c>
      <c r="I388" s="71">
        <v>0.45</v>
      </c>
      <c r="K388" s="71">
        <v>51</v>
      </c>
    </row>
    <row r="389" spans="1:11" ht="12.75">
      <c r="A389" s="71">
        <v>813693</v>
      </c>
      <c r="B389" s="71" t="s">
        <v>402</v>
      </c>
      <c r="C389" s="71" t="s">
        <v>403</v>
      </c>
      <c r="D389" s="71" t="s">
        <v>136</v>
      </c>
      <c r="E389" s="71">
        <v>360</v>
      </c>
      <c r="F389" s="71">
        <v>7541045</v>
      </c>
      <c r="G389" s="71" t="s">
        <v>125</v>
      </c>
      <c r="H389" s="71" t="s">
        <v>120</v>
      </c>
      <c r="I389" s="71">
        <v>2</v>
      </c>
      <c r="K389" s="71">
        <v>1</v>
      </c>
    </row>
    <row r="390" spans="1:11" ht="12.75">
      <c r="A390" s="71">
        <v>813693</v>
      </c>
      <c r="B390" s="71" t="s">
        <v>402</v>
      </c>
      <c r="C390" s="71" t="s">
        <v>403</v>
      </c>
      <c r="D390" s="71" t="s">
        <v>136</v>
      </c>
      <c r="E390" s="71">
        <v>360</v>
      </c>
      <c r="F390" s="71">
        <v>7541045</v>
      </c>
      <c r="G390" s="71" t="s">
        <v>125</v>
      </c>
      <c r="H390" s="71" t="s">
        <v>131</v>
      </c>
      <c r="I390" s="71">
        <v>1</v>
      </c>
      <c r="K390" s="71">
        <v>1</v>
      </c>
    </row>
    <row r="391" spans="1:11" ht="12.75">
      <c r="A391" s="71">
        <v>813693</v>
      </c>
      <c r="B391" s="71" t="s">
        <v>402</v>
      </c>
      <c r="C391" s="71" t="s">
        <v>403</v>
      </c>
      <c r="D391" s="71" t="s">
        <v>136</v>
      </c>
      <c r="E391" s="71">
        <v>360</v>
      </c>
      <c r="F391" s="71">
        <v>7541045</v>
      </c>
      <c r="G391" s="71" t="s">
        <v>125</v>
      </c>
      <c r="H391" s="71" t="s">
        <v>121</v>
      </c>
      <c r="I391" s="71">
        <v>0.45</v>
      </c>
      <c r="K391" s="71">
        <v>2</v>
      </c>
    </row>
    <row r="392" spans="1:11" ht="12.75">
      <c r="A392" s="71">
        <v>813693</v>
      </c>
      <c r="B392" s="71" t="s">
        <v>402</v>
      </c>
      <c r="C392" s="71" t="s">
        <v>403</v>
      </c>
      <c r="D392" s="71" t="s">
        <v>136</v>
      </c>
      <c r="E392" s="71">
        <v>360</v>
      </c>
      <c r="F392" s="71">
        <v>7541045</v>
      </c>
      <c r="G392" s="71" t="s">
        <v>125</v>
      </c>
      <c r="H392" s="71" t="s">
        <v>122</v>
      </c>
      <c r="I392" s="71">
        <v>0</v>
      </c>
      <c r="K392" s="71">
        <v>8</v>
      </c>
    </row>
    <row r="393" spans="1:11" ht="12.75">
      <c r="A393" s="71">
        <v>812895</v>
      </c>
      <c r="B393" s="71" t="s">
        <v>404</v>
      </c>
      <c r="C393" s="71" t="s">
        <v>405</v>
      </c>
      <c r="D393" s="71" t="s">
        <v>227</v>
      </c>
      <c r="E393" s="71">
        <v>425</v>
      </c>
      <c r="F393" s="71">
        <v>8236263</v>
      </c>
      <c r="G393" s="71" t="s">
        <v>286</v>
      </c>
      <c r="H393" s="71" t="s">
        <v>120</v>
      </c>
      <c r="I393" s="71">
        <v>4</v>
      </c>
      <c r="K393" s="71">
        <v>1</v>
      </c>
    </row>
    <row r="394" spans="1:11" ht="12.75">
      <c r="A394" s="71">
        <v>812895</v>
      </c>
      <c r="B394" s="71" t="s">
        <v>404</v>
      </c>
      <c r="C394" s="71" t="s">
        <v>405</v>
      </c>
      <c r="D394" s="71" t="s">
        <v>227</v>
      </c>
      <c r="E394" s="71">
        <v>425</v>
      </c>
      <c r="F394" s="71">
        <v>8236263</v>
      </c>
      <c r="G394" s="71" t="s">
        <v>286</v>
      </c>
      <c r="H394" s="71" t="s">
        <v>121</v>
      </c>
      <c r="I394" s="71">
        <v>0.45</v>
      </c>
      <c r="K394" s="71">
        <v>4</v>
      </c>
    </row>
    <row r="395" spans="1:11" ht="12.75">
      <c r="A395" s="71">
        <v>812895</v>
      </c>
      <c r="B395" s="71" t="s">
        <v>404</v>
      </c>
      <c r="C395" s="71" t="s">
        <v>405</v>
      </c>
      <c r="D395" s="71" t="s">
        <v>227</v>
      </c>
      <c r="E395" s="71">
        <v>425</v>
      </c>
      <c r="F395" s="71">
        <v>8236263</v>
      </c>
      <c r="G395" s="71" t="s">
        <v>286</v>
      </c>
      <c r="H395" s="71" t="s">
        <v>122</v>
      </c>
      <c r="I395" s="71">
        <v>0</v>
      </c>
      <c r="K395" s="71">
        <v>20</v>
      </c>
    </row>
    <row r="396" spans="1:11" ht="12.75">
      <c r="A396" s="71">
        <v>5443830</v>
      </c>
      <c r="B396" s="71" t="s">
        <v>406</v>
      </c>
      <c r="C396" s="71" t="s">
        <v>407</v>
      </c>
      <c r="D396" s="71" t="s">
        <v>180</v>
      </c>
      <c r="E396" s="71">
        <v>425</v>
      </c>
      <c r="F396" s="71">
        <v>5572200</v>
      </c>
      <c r="G396" s="71" t="s">
        <v>194</v>
      </c>
      <c r="H396" s="71" t="s">
        <v>121</v>
      </c>
      <c r="I396" s="71">
        <v>0.45</v>
      </c>
      <c r="K396" s="71">
        <v>40</v>
      </c>
    </row>
    <row r="397" spans="1:11" ht="12.75">
      <c r="A397" s="71">
        <v>5443830</v>
      </c>
      <c r="B397" s="71" t="s">
        <v>406</v>
      </c>
      <c r="C397" s="71" t="s">
        <v>407</v>
      </c>
      <c r="D397" s="71" t="s">
        <v>180</v>
      </c>
      <c r="E397" s="71">
        <v>425</v>
      </c>
      <c r="F397" s="71">
        <v>5572200</v>
      </c>
      <c r="G397" s="71" t="s">
        <v>194</v>
      </c>
      <c r="H397" s="71" t="s">
        <v>151</v>
      </c>
      <c r="I397" s="71">
        <v>30</v>
      </c>
      <c r="J397" s="71" t="s">
        <v>152</v>
      </c>
      <c r="K397" s="71">
        <v>1</v>
      </c>
    </row>
    <row r="398" spans="1:11" ht="12.75">
      <c r="A398" s="71">
        <v>833876</v>
      </c>
      <c r="B398" s="71" t="s">
        <v>408</v>
      </c>
      <c r="C398" s="71" t="s">
        <v>409</v>
      </c>
      <c r="D398" s="71" t="s">
        <v>118</v>
      </c>
      <c r="E398" s="71">
        <v>425</v>
      </c>
      <c r="F398" s="71">
        <v>4021245</v>
      </c>
      <c r="G398" s="71" t="s">
        <v>410</v>
      </c>
      <c r="H398" s="71" t="s">
        <v>121</v>
      </c>
      <c r="I398" s="71">
        <v>0.45</v>
      </c>
      <c r="K398" s="71">
        <v>2</v>
      </c>
    </row>
    <row r="399" spans="1:11" ht="12.75">
      <c r="A399" s="71">
        <v>833876</v>
      </c>
      <c r="B399" s="71" t="s">
        <v>408</v>
      </c>
      <c r="C399" s="71" t="s">
        <v>409</v>
      </c>
      <c r="D399" s="71" t="s">
        <v>118</v>
      </c>
      <c r="E399" s="71">
        <v>425</v>
      </c>
      <c r="F399" s="71">
        <v>4021245</v>
      </c>
      <c r="G399" s="71" t="s">
        <v>410</v>
      </c>
      <c r="H399" s="71" t="s">
        <v>120</v>
      </c>
      <c r="I399" s="71">
        <v>1.25</v>
      </c>
      <c r="K399" s="71">
        <v>1</v>
      </c>
    </row>
    <row r="400" spans="1:11" ht="12.75">
      <c r="A400" s="71">
        <v>833876</v>
      </c>
      <c r="B400" s="71" t="s">
        <v>408</v>
      </c>
      <c r="C400" s="71" t="s">
        <v>409</v>
      </c>
      <c r="D400" s="71" t="s">
        <v>118</v>
      </c>
      <c r="E400" s="71">
        <v>425</v>
      </c>
      <c r="F400" s="71">
        <v>4021245</v>
      </c>
      <c r="G400" s="71" t="s">
        <v>410</v>
      </c>
      <c r="H400" s="71" t="s">
        <v>122</v>
      </c>
      <c r="I400" s="71">
        <v>0</v>
      </c>
      <c r="K400" s="71">
        <v>4</v>
      </c>
    </row>
    <row r="401" spans="1:11" ht="12.75">
      <c r="A401" s="71">
        <v>5445336</v>
      </c>
      <c r="B401" s="71" t="s">
        <v>411</v>
      </c>
      <c r="C401" s="71" t="s">
        <v>412</v>
      </c>
      <c r="D401" s="71" t="s">
        <v>180</v>
      </c>
      <c r="E401" s="71">
        <v>425</v>
      </c>
      <c r="F401" s="71">
        <v>3130858</v>
      </c>
      <c r="G401" s="71" t="s">
        <v>125</v>
      </c>
      <c r="H401" s="71" t="s">
        <v>151</v>
      </c>
      <c r="I401" s="71">
        <v>20</v>
      </c>
      <c r="J401" s="71" t="s">
        <v>152</v>
      </c>
      <c r="K401" s="71">
        <v>1</v>
      </c>
    </row>
    <row r="402" spans="1:11" ht="12.75">
      <c r="A402" s="71">
        <v>5445336</v>
      </c>
      <c r="B402" s="71" t="s">
        <v>411</v>
      </c>
      <c r="C402" s="71" t="s">
        <v>412</v>
      </c>
      <c r="D402" s="71" t="s">
        <v>180</v>
      </c>
      <c r="E402" s="71">
        <v>425</v>
      </c>
      <c r="F402" s="71">
        <v>3130858</v>
      </c>
      <c r="G402" s="71" t="s">
        <v>125</v>
      </c>
      <c r="H402" s="71" t="s">
        <v>121</v>
      </c>
      <c r="I402" s="71">
        <v>0.45</v>
      </c>
      <c r="K402" s="71">
        <v>18</v>
      </c>
    </row>
    <row r="403" spans="1:11" ht="12.75">
      <c r="A403" s="71">
        <v>892652</v>
      </c>
      <c r="B403" s="71" t="s">
        <v>413</v>
      </c>
      <c r="C403" s="71" t="s">
        <v>414</v>
      </c>
      <c r="D403" s="71" t="s">
        <v>118</v>
      </c>
      <c r="E403" s="71">
        <v>425</v>
      </c>
      <c r="F403" s="71">
        <v>7884143</v>
      </c>
      <c r="G403" s="71" t="s">
        <v>415</v>
      </c>
      <c r="H403" s="71" t="s">
        <v>120</v>
      </c>
      <c r="I403" s="71">
        <v>8</v>
      </c>
      <c r="K403" s="71">
        <v>1</v>
      </c>
    </row>
    <row r="404" spans="1:11" ht="12.75">
      <c r="A404" s="71">
        <v>892652</v>
      </c>
      <c r="B404" s="71" t="s">
        <v>413</v>
      </c>
      <c r="C404" s="71" t="s">
        <v>414</v>
      </c>
      <c r="D404" s="71" t="s">
        <v>118</v>
      </c>
      <c r="E404" s="71">
        <v>425</v>
      </c>
      <c r="F404" s="71">
        <v>7884143</v>
      </c>
      <c r="G404" s="71" t="s">
        <v>415</v>
      </c>
      <c r="H404" s="71" t="s">
        <v>122</v>
      </c>
      <c r="I404" s="71">
        <v>0</v>
      </c>
      <c r="K404" s="71">
        <v>30</v>
      </c>
    </row>
    <row r="405" spans="1:11" ht="12.75">
      <c r="A405" s="71">
        <v>892345</v>
      </c>
      <c r="B405" s="71" t="s">
        <v>416</v>
      </c>
      <c r="C405" s="71" t="s">
        <v>417</v>
      </c>
      <c r="D405" s="71" t="s">
        <v>118</v>
      </c>
      <c r="E405" s="71">
        <v>206</v>
      </c>
      <c r="F405" s="71">
        <v>9191390</v>
      </c>
      <c r="G405" s="71" t="s">
        <v>418</v>
      </c>
      <c r="H405" s="71" t="s">
        <v>140</v>
      </c>
      <c r="I405" s="71">
        <v>0.45</v>
      </c>
      <c r="K405" s="71">
        <v>2</v>
      </c>
    </row>
    <row r="406" spans="1:11" ht="12.75">
      <c r="A406" s="71">
        <v>892345</v>
      </c>
      <c r="B406" s="71" t="s">
        <v>416</v>
      </c>
      <c r="C406" s="71" t="s">
        <v>417</v>
      </c>
      <c r="D406" s="71" t="s">
        <v>118</v>
      </c>
      <c r="E406" s="71">
        <v>206</v>
      </c>
      <c r="F406" s="71">
        <v>9191390</v>
      </c>
      <c r="G406" s="71" t="s">
        <v>418</v>
      </c>
      <c r="H406" s="71" t="s">
        <v>121</v>
      </c>
      <c r="I406" s="71">
        <v>0.45</v>
      </c>
      <c r="K406" s="71">
        <v>1</v>
      </c>
    </row>
    <row r="407" spans="1:11" ht="12.75">
      <c r="A407" s="71">
        <v>892345</v>
      </c>
      <c r="B407" s="71" t="s">
        <v>416</v>
      </c>
      <c r="C407" s="71" t="s">
        <v>417</v>
      </c>
      <c r="D407" s="71" t="s">
        <v>118</v>
      </c>
      <c r="E407" s="71">
        <v>206</v>
      </c>
      <c r="F407" s="71">
        <v>9191390</v>
      </c>
      <c r="G407" s="71" t="s">
        <v>418</v>
      </c>
      <c r="H407" s="71" t="s">
        <v>122</v>
      </c>
      <c r="I407" s="71">
        <v>0</v>
      </c>
      <c r="K407" s="71">
        <v>4</v>
      </c>
    </row>
    <row r="408" spans="1:11" ht="12.75">
      <c r="A408" s="71">
        <v>814243</v>
      </c>
      <c r="B408" s="71" t="s">
        <v>419</v>
      </c>
      <c r="C408" s="71" t="s">
        <v>420</v>
      </c>
      <c r="D408" s="71" t="s">
        <v>136</v>
      </c>
      <c r="E408" s="71">
        <v>425</v>
      </c>
      <c r="F408" s="71">
        <v>8239270</v>
      </c>
      <c r="G408" s="71" t="s">
        <v>125</v>
      </c>
      <c r="H408" s="71" t="s">
        <v>140</v>
      </c>
      <c r="I408" s="71">
        <v>0.45</v>
      </c>
      <c r="K408" s="71">
        <v>7</v>
      </c>
    </row>
    <row r="409" spans="1:11" ht="12.75">
      <c r="A409" s="71">
        <v>814243</v>
      </c>
      <c r="B409" s="71" t="s">
        <v>419</v>
      </c>
      <c r="C409" s="71" t="s">
        <v>420</v>
      </c>
      <c r="D409" s="71" t="s">
        <v>136</v>
      </c>
      <c r="E409" s="71">
        <v>425</v>
      </c>
      <c r="F409" s="71">
        <v>8239270</v>
      </c>
      <c r="G409" s="71" t="s">
        <v>125</v>
      </c>
      <c r="H409" s="71" t="s">
        <v>170</v>
      </c>
      <c r="I409" s="71">
        <v>0.45</v>
      </c>
      <c r="K409" s="71">
        <v>1</v>
      </c>
    </row>
    <row r="410" spans="1:11" ht="12.75">
      <c r="A410" s="71">
        <v>814243</v>
      </c>
      <c r="B410" s="71" t="s">
        <v>419</v>
      </c>
      <c r="C410" s="71" t="s">
        <v>420</v>
      </c>
      <c r="D410" s="71" t="s">
        <v>136</v>
      </c>
      <c r="E410" s="71">
        <v>425</v>
      </c>
      <c r="F410" s="71">
        <v>8239270</v>
      </c>
      <c r="G410" s="71" t="s">
        <v>125</v>
      </c>
      <c r="H410" s="71" t="s">
        <v>122</v>
      </c>
      <c r="I410" s="71">
        <v>0</v>
      </c>
      <c r="K410" s="71">
        <v>7</v>
      </c>
    </row>
    <row r="411" spans="1:11" ht="12.75">
      <c r="A411" s="71">
        <v>892976</v>
      </c>
      <c r="B411" s="71" t="s">
        <v>421</v>
      </c>
      <c r="C411" s="71" t="s">
        <v>422</v>
      </c>
      <c r="D411" s="71" t="s">
        <v>118</v>
      </c>
      <c r="E411" s="71">
        <v>425</v>
      </c>
      <c r="F411" s="71">
        <v>4883412</v>
      </c>
      <c r="G411" s="71" t="s">
        <v>423</v>
      </c>
      <c r="H411" s="71" t="s">
        <v>120</v>
      </c>
      <c r="I411" s="71">
        <v>2</v>
      </c>
      <c r="K411" s="71">
        <v>1</v>
      </c>
    </row>
    <row r="412" spans="1:11" ht="12.75">
      <c r="A412" s="71">
        <v>892976</v>
      </c>
      <c r="B412" s="71" t="s">
        <v>421</v>
      </c>
      <c r="C412" s="71" t="s">
        <v>422</v>
      </c>
      <c r="D412" s="71" t="s">
        <v>118</v>
      </c>
      <c r="E412" s="71">
        <v>425</v>
      </c>
      <c r="F412" s="71">
        <v>4883412</v>
      </c>
      <c r="G412" s="71" t="s">
        <v>423</v>
      </c>
      <c r="H412" s="71" t="s">
        <v>122</v>
      </c>
      <c r="I412" s="71">
        <v>0</v>
      </c>
      <c r="K412" s="71">
        <v>6</v>
      </c>
    </row>
    <row r="413" spans="1:11" ht="12.75">
      <c r="A413" s="71">
        <v>892924</v>
      </c>
      <c r="B413" s="71" t="s">
        <v>424</v>
      </c>
      <c r="C413" s="71" t="s">
        <v>425</v>
      </c>
      <c r="D413" s="71" t="s">
        <v>118</v>
      </c>
      <c r="E413" s="71">
        <v>425</v>
      </c>
      <c r="F413" s="71">
        <v>7412690</v>
      </c>
      <c r="G413" s="71" t="s">
        <v>426</v>
      </c>
      <c r="H413" s="71" t="s">
        <v>120</v>
      </c>
      <c r="I413" s="71">
        <v>4</v>
      </c>
      <c r="K413" s="71">
        <v>1</v>
      </c>
    </row>
    <row r="414" spans="1:11" ht="12.75">
      <c r="A414" s="71">
        <v>892924</v>
      </c>
      <c r="B414" s="71" t="s">
        <v>424</v>
      </c>
      <c r="C414" s="71" t="s">
        <v>425</v>
      </c>
      <c r="D414" s="71" t="s">
        <v>118</v>
      </c>
      <c r="E414" s="71">
        <v>425</v>
      </c>
      <c r="F414" s="71">
        <v>7412690</v>
      </c>
      <c r="G414" s="71" t="s">
        <v>426</v>
      </c>
      <c r="H414" s="71" t="s">
        <v>121</v>
      </c>
      <c r="I414" s="71">
        <v>0.45</v>
      </c>
      <c r="K414" s="71">
        <v>4</v>
      </c>
    </row>
    <row r="415" spans="1:11" ht="12.75">
      <c r="A415" s="71">
        <v>892924</v>
      </c>
      <c r="B415" s="71" t="s">
        <v>424</v>
      </c>
      <c r="C415" s="71" t="s">
        <v>425</v>
      </c>
      <c r="D415" s="71" t="s">
        <v>118</v>
      </c>
      <c r="E415" s="71">
        <v>425</v>
      </c>
      <c r="F415" s="71">
        <v>7412690</v>
      </c>
      <c r="G415" s="71" t="s">
        <v>426</v>
      </c>
      <c r="H415" s="71" t="s">
        <v>122</v>
      </c>
      <c r="I415" s="71">
        <v>0</v>
      </c>
      <c r="K415" s="71">
        <v>5</v>
      </c>
    </row>
    <row r="416" spans="1:11" ht="12.75">
      <c r="A416" s="71">
        <v>891219</v>
      </c>
      <c r="B416" s="71" t="s">
        <v>427</v>
      </c>
      <c r="C416" s="71" t="s">
        <v>428</v>
      </c>
      <c r="D416" s="71" t="s">
        <v>118</v>
      </c>
      <c r="E416" s="71">
        <v>425</v>
      </c>
      <c r="F416" s="71">
        <v>4024100</v>
      </c>
      <c r="G416" s="71" t="s">
        <v>429</v>
      </c>
      <c r="H416" s="71" t="s">
        <v>131</v>
      </c>
      <c r="I416" s="71">
        <v>4</v>
      </c>
      <c r="K416" s="71">
        <v>3</v>
      </c>
    </row>
    <row r="417" spans="1:11" ht="12.75">
      <c r="A417" s="71">
        <v>891219</v>
      </c>
      <c r="B417" s="71" t="s">
        <v>427</v>
      </c>
      <c r="C417" s="71" t="s">
        <v>428</v>
      </c>
      <c r="D417" s="71" t="s">
        <v>118</v>
      </c>
      <c r="E417" s="71">
        <v>425</v>
      </c>
      <c r="F417" s="71">
        <v>4024100</v>
      </c>
      <c r="G417" s="71" t="s">
        <v>429</v>
      </c>
      <c r="H417" s="71" t="s">
        <v>121</v>
      </c>
      <c r="I417" s="71">
        <v>0.45</v>
      </c>
      <c r="K417" s="71">
        <v>3</v>
      </c>
    </row>
    <row r="418" spans="1:11" ht="12.75">
      <c r="A418" s="71">
        <v>825235</v>
      </c>
      <c r="B418" s="71" t="s">
        <v>427</v>
      </c>
      <c r="C418" s="71" t="s">
        <v>428</v>
      </c>
      <c r="D418" s="71" t="s">
        <v>118</v>
      </c>
      <c r="E418" s="71">
        <v>425</v>
      </c>
      <c r="F418" s="71">
        <v>4024100</v>
      </c>
      <c r="G418" s="71" t="s">
        <v>430</v>
      </c>
      <c r="H418" s="71" t="s">
        <v>151</v>
      </c>
      <c r="I418" s="71">
        <v>30</v>
      </c>
      <c r="J418" s="71" t="s">
        <v>152</v>
      </c>
      <c r="K418" s="71">
        <v>1</v>
      </c>
    </row>
    <row r="419" spans="1:11" ht="12.75">
      <c r="A419" s="71">
        <v>891219</v>
      </c>
      <c r="B419" s="71" t="s">
        <v>427</v>
      </c>
      <c r="C419" s="71" t="s">
        <v>428</v>
      </c>
      <c r="D419" s="71" t="s">
        <v>118</v>
      </c>
      <c r="E419" s="71">
        <v>425</v>
      </c>
      <c r="F419" s="71">
        <v>4024100</v>
      </c>
      <c r="G419" s="71" t="s">
        <v>429</v>
      </c>
      <c r="H419" s="71" t="s">
        <v>122</v>
      </c>
      <c r="I419" s="71">
        <v>0</v>
      </c>
      <c r="K419" s="71">
        <v>180</v>
      </c>
    </row>
    <row r="420" spans="1:11" ht="12.75">
      <c r="A420" s="71">
        <v>812810</v>
      </c>
      <c r="B420" s="71" t="s">
        <v>431</v>
      </c>
      <c r="C420" s="71" t="s">
        <v>432</v>
      </c>
      <c r="D420" s="71" t="s">
        <v>118</v>
      </c>
      <c r="E420" s="71">
        <v>206</v>
      </c>
      <c r="F420" s="71">
        <v>2863584</v>
      </c>
      <c r="G420" s="71" t="s">
        <v>125</v>
      </c>
      <c r="H420" s="71" t="s">
        <v>140</v>
      </c>
      <c r="I420" s="71">
        <v>0.45</v>
      </c>
      <c r="K420" s="71">
        <v>2</v>
      </c>
    </row>
    <row r="421" spans="1:11" ht="12.75">
      <c r="A421" s="71">
        <v>812810</v>
      </c>
      <c r="B421" s="71" t="s">
        <v>431</v>
      </c>
      <c r="C421" s="71" t="s">
        <v>432</v>
      </c>
      <c r="D421" s="71" t="s">
        <v>118</v>
      </c>
      <c r="E421" s="71">
        <v>206</v>
      </c>
      <c r="F421" s="71">
        <v>2863584</v>
      </c>
      <c r="G421" s="71" t="s">
        <v>125</v>
      </c>
      <c r="H421" s="71" t="s">
        <v>121</v>
      </c>
      <c r="I421" s="71">
        <v>0.45</v>
      </c>
      <c r="K421" s="71">
        <v>2</v>
      </c>
    </row>
    <row r="422" spans="1:11" ht="12.75">
      <c r="A422" s="71">
        <v>812810</v>
      </c>
      <c r="B422" s="71" t="s">
        <v>431</v>
      </c>
      <c r="C422" s="71" t="s">
        <v>432</v>
      </c>
      <c r="D422" s="71" t="s">
        <v>118</v>
      </c>
      <c r="E422" s="71">
        <v>206</v>
      </c>
      <c r="F422" s="71">
        <v>2863584</v>
      </c>
      <c r="G422" s="71" t="s">
        <v>125</v>
      </c>
      <c r="H422" s="71" t="s">
        <v>122</v>
      </c>
      <c r="I422" s="71">
        <v>0</v>
      </c>
      <c r="K422" s="71">
        <v>2</v>
      </c>
    </row>
    <row r="423" spans="1:11" ht="12.75">
      <c r="A423" s="71">
        <v>812815</v>
      </c>
      <c r="B423" s="71" t="s">
        <v>431</v>
      </c>
      <c r="C423" s="71" t="s">
        <v>433</v>
      </c>
      <c r="D423" s="71" t="s">
        <v>434</v>
      </c>
      <c r="E423" s="71">
        <v>206</v>
      </c>
      <c r="F423" s="71">
        <v>2863584</v>
      </c>
      <c r="G423" s="71" t="s">
        <v>125</v>
      </c>
      <c r="H423" s="71" t="s">
        <v>140</v>
      </c>
      <c r="I423" s="71">
        <v>0.45</v>
      </c>
      <c r="K423" s="71">
        <v>2</v>
      </c>
    </row>
    <row r="424" spans="1:11" ht="12.75">
      <c r="A424" s="71">
        <v>812815</v>
      </c>
      <c r="B424" s="71" t="s">
        <v>431</v>
      </c>
      <c r="C424" s="71" t="s">
        <v>433</v>
      </c>
      <c r="D424" s="71" t="s">
        <v>434</v>
      </c>
      <c r="E424" s="71">
        <v>206</v>
      </c>
      <c r="F424" s="71">
        <v>2863584</v>
      </c>
      <c r="G424" s="71" t="s">
        <v>125</v>
      </c>
      <c r="H424" s="71" t="s">
        <v>140</v>
      </c>
      <c r="I424" s="71">
        <v>0.3</v>
      </c>
      <c r="K424" s="71">
        <v>1</v>
      </c>
    </row>
    <row r="425" spans="1:11" ht="12.75">
      <c r="A425" s="71">
        <v>812815</v>
      </c>
      <c r="B425" s="71" t="s">
        <v>431</v>
      </c>
      <c r="C425" s="71" t="s">
        <v>433</v>
      </c>
      <c r="D425" s="71" t="s">
        <v>434</v>
      </c>
      <c r="E425" s="71">
        <v>206</v>
      </c>
      <c r="F425" s="71">
        <v>2863584</v>
      </c>
      <c r="G425" s="71" t="s">
        <v>125</v>
      </c>
      <c r="H425" s="71" t="s">
        <v>121</v>
      </c>
      <c r="I425" s="71">
        <v>0.45</v>
      </c>
      <c r="K425" s="71">
        <v>2</v>
      </c>
    </row>
    <row r="426" spans="1:11" ht="12.75">
      <c r="A426" s="71">
        <v>812815</v>
      </c>
      <c r="B426" s="71" t="s">
        <v>431</v>
      </c>
      <c r="C426" s="71" t="s">
        <v>433</v>
      </c>
      <c r="D426" s="71" t="s">
        <v>434</v>
      </c>
      <c r="E426" s="71">
        <v>206</v>
      </c>
      <c r="F426" s="71">
        <v>2863584</v>
      </c>
      <c r="G426" s="71" t="s">
        <v>125</v>
      </c>
      <c r="H426" s="71" t="s">
        <v>122</v>
      </c>
      <c r="I426" s="71">
        <v>0</v>
      </c>
      <c r="K426" s="71">
        <v>4</v>
      </c>
    </row>
    <row r="427" spans="1:11" ht="12.75">
      <c r="A427" s="71">
        <v>893503</v>
      </c>
      <c r="B427" s="71" t="s">
        <v>435</v>
      </c>
      <c r="C427" s="71" t="s">
        <v>436</v>
      </c>
      <c r="D427" s="71" t="s">
        <v>246</v>
      </c>
      <c r="E427" s="71">
        <v>425</v>
      </c>
      <c r="F427" s="71">
        <v>6416060</v>
      </c>
      <c r="G427" s="71" t="s">
        <v>247</v>
      </c>
      <c r="H427" s="71" t="s">
        <v>120</v>
      </c>
      <c r="I427" s="71">
        <v>6</v>
      </c>
      <c r="K427" s="71">
        <v>1</v>
      </c>
    </row>
    <row r="428" spans="1:11" ht="12.75">
      <c r="A428" s="71">
        <v>893503</v>
      </c>
      <c r="B428" s="71" t="s">
        <v>435</v>
      </c>
      <c r="C428" s="71" t="s">
        <v>436</v>
      </c>
      <c r="D428" s="71" t="s">
        <v>246</v>
      </c>
      <c r="E428" s="71">
        <v>425</v>
      </c>
      <c r="F428" s="71">
        <v>6416060</v>
      </c>
      <c r="G428" s="71" t="s">
        <v>247</v>
      </c>
      <c r="H428" s="71" t="s">
        <v>121</v>
      </c>
      <c r="I428" s="71">
        <v>0.45</v>
      </c>
      <c r="K428" s="71">
        <v>3</v>
      </c>
    </row>
    <row r="429" spans="1:11" ht="12.75">
      <c r="A429" s="71">
        <v>833374</v>
      </c>
      <c r="B429" s="71" t="s">
        <v>437</v>
      </c>
      <c r="C429" s="71" t="s">
        <v>438</v>
      </c>
      <c r="D429" s="71" t="s">
        <v>118</v>
      </c>
      <c r="E429" s="71">
        <v>425</v>
      </c>
      <c r="F429" s="71">
        <v>4243304</v>
      </c>
      <c r="G429" s="71" t="s">
        <v>439</v>
      </c>
      <c r="H429" s="71" t="s">
        <v>120</v>
      </c>
      <c r="I429" s="71">
        <v>4</v>
      </c>
      <c r="K429" s="71">
        <v>1</v>
      </c>
    </row>
    <row r="430" spans="1:11" ht="12.75">
      <c r="A430" s="71">
        <v>833374</v>
      </c>
      <c r="B430" s="71" t="s">
        <v>437</v>
      </c>
      <c r="C430" s="71" t="s">
        <v>438</v>
      </c>
      <c r="D430" s="71" t="s">
        <v>118</v>
      </c>
      <c r="E430" s="71">
        <v>425</v>
      </c>
      <c r="F430" s="71">
        <v>4243304</v>
      </c>
      <c r="G430" s="71" t="s">
        <v>439</v>
      </c>
      <c r="H430" s="71" t="s">
        <v>131</v>
      </c>
      <c r="I430" s="71">
        <v>3</v>
      </c>
      <c r="K430" s="71">
        <v>1</v>
      </c>
    </row>
    <row r="431" spans="1:11" ht="12.75">
      <c r="A431" s="71">
        <v>833374</v>
      </c>
      <c r="B431" s="71" t="s">
        <v>437</v>
      </c>
      <c r="C431" s="71" t="s">
        <v>438</v>
      </c>
      <c r="D431" s="71" t="s">
        <v>118</v>
      </c>
      <c r="E431" s="71">
        <v>425</v>
      </c>
      <c r="F431" s="71">
        <v>4243304</v>
      </c>
      <c r="G431" s="71" t="s">
        <v>439</v>
      </c>
      <c r="H431" s="71" t="s">
        <v>122</v>
      </c>
      <c r="I431" s="71">
        <v>0</v>
      </c>
      <c r="K431" s="71">
        <v>21</v>
      </c>
    </row>
    <row r="432" spans="1:11" ht="12.75">
      <c r="A432" s="71">
        <v>892173</v>
      </c>
      <c r="B432" s="71" t="s">
        <v>440</v>
      </c>
      <c r="C432" s="71" t="s">
        <v>441</v>
      </c>
      <c r="D432" s="71" t="s">
        <v>136</v>
      </c>
      <c r="E432" s="71">
        <v>206</v>
      </c>
      <c r="F432" s="71">
        <v>4484800</v>
      </c>
      <c r="G432" s="71" t="s">
        <v>442</v>
      </c>
      <c r="H432" s="71" t="s">
        <v>120</v>
      </c>
      <c r="I432" s="71">
        <v>4</v>
      </c>
      <c r="K432" s="71">
        <v>4</v>
      </c>
    </row>
    <row r="433" spans="1:11" ht="12.75">
      <c r="A433" s="71">
        <v>892173</v>
      </c>
      <c r="B433" s="71" t="s">
        <v>440</v>
      </c>
      <c r="C433" s="71" t="s">
        <v>441</v>
      </c>
      <c r="D433" s="71" t="s">
        <v>136</v>
      </c>
      <c r="E433" s="71">
        <v>206</v>
      </c>
      <c r="F433" s="71">
        <v>4484800</v>
      </c>
      <c r="G433" s="71" t="s">
        <v>442</v>
      </c>
      <c r="H433" s="71" t="s">
        <v>122</v>
      </c>
      <c r="I433" s="71">
        <v>0</v>
      </c>
      <c r="K433" s="71">
        <v>72</v>
      </c>
    </row>
    <row r="434" spans="1:11" ht="12.75">
      <c r="A434" s="71">
        <v>892173</v>
      </c>
      <c r="B434" s="71" t="s">
        <v>440</v>
      </c>
      <c r="C434" s="71" t="s">
        <v>441</v>
      </c>
      <c r="D434" s="71" t="s">
        <v>136</v>
      </c>
      <c r="E434" s="71">
        <v>206</v>
      </c>
      <c r="F434" s="71">
        <v>4484800</v>
      </c>
      <c r="G434" s="71" t="s">
        <v>442</v>
      </c>
      <c r="H434" s="71" t="s">
        <v>121</v>
      </c>
      <c r="I434" s="71">
        <v>0.45</v>
      </c>
      <c r="K434" s="71">
        <v>8</v>
      </c>
    </row>
    <row r="435" spans="1:11" ht="12.75">
      <c r="A435" s="71">
        <v>813253</v>
      </c>
      <c r="B435" s="71" t="s">
        <v>443</v>
      </c>
      <c r="C435" s="71" t="s">
        <v>444</v>
      </c>
      <c r="D435" s="71" t="s">
        <v>227</v>
      </c>
      <c r="E435" s="71">
        <v>425</v>
      </c>
      <c r="F435" s="71">
        <v>8973400</v>
      </c>
      <c r="G435" s="71" t="s">
        <v>125</v>
      </c>
      <c r="H435" s="71" t="s">
        <v>120</v>
      </c>
      <c r="I435" s="71">
        <v>6</v>
      </c>
      <c r="K435" s="71">
        <v>1</v>
      </c>
    </row>
    <row r="436" spans="1:11" ht="12.75">
      <c r="A436" s="71">
        <v>813253</v>
      </c>
      <c r="B436" s="71" t="s">
        <v>443</v>
      </c>
      <c r="C436" s="71" t="s">
        <v>444</v>
      </c>
      <c r="D436" s="71" t="s">
        <v>227</v>
      </c>
      <c r="E436" s="71">
        <v>425</v>
      </c>
      <c r="F436" s="71">
        <v>8973400</v>
      </c>
      <c r="G436" s="71" t="s">
        <v>125</v>
      </c>
      <c r="H436" s="71" t="s">
        <v>120</v>
      </c>
      <c r="I436" s="71">
        <v>4</v>
      </c>
      <c r="K436" s="71">
        <v>1</v>
      </c>
    </row>
    <row r="437" spans="1:11" ht="12.75">
      <c r="A437" s="71">
        <v>813253</v>
      </c>
      <c r="B437" s="71" t="s">
        <v>443</v>
      </c>
      <c r="C437" s="71" t="s">
        <v>444</v>
      </c>
      <c r="D437" s="71" t="s">
        <v>227</v>
      </c>
      <c r="E437" s="71">
        <v>425</v>
      </c>
      <c r="F437" s="71">
        <v>8973400</v>
      </c>
      <c r="G437" s="71" t="s">
        <v>125</v>
      </c>
      <c r="H437" s="71" t="s">
        <v>120</v>
      </c>
      <c r="I437" s="71">
        <v>3</v>
      </c>
      <c r="K437" s="71">
        <v>4</v>
      </c>
    </row>
    <row r="438" spans="1:11" ht="12.75">
      <c r="A438" s="71">
        <v>813253</v>
      </c>
      <c r="B438" s="71" t="s">
        <v>443</v>
      </c>
      <c r="C438" s="71" t="s">
        <v>444</v>
      </c>
      <c r="D438" s="71" t="s">
        <v>227</v>
      </c>
      <c r="E438" s="71">
        <v>425</v>
      </c>
      <c r="F438" s="71">
        <v>8973400</v>
      </c>
      <c r="G438" s="71" t="s">
        <v>125</v>
      </c>
      <c r="H438" s="71" t="s">
        <v>121</v>
      </c>
      <c r="I438" s="71">
        <v>0.45</v>
      </c>
      <c r="K438" s="71">
        <v>13</v>
      </c>
    </row>
    <row r="439" spans="1:11" ht="12.75">
      <c r="A439" s="71">
        <v>813253</v>
      </c>
      <c r="B439" s="71" t="s">
        <v>443</v>
      </c>
      <c r="C439" s="71" t="s">
        <v>444</v>
      </c>
      <c r="D439" s="71" t="s">
        <v>227</v>
      </c>
      <c r="E439" s="71">
        <v>425</v>
      </c>
      <c r="F439" s="71">
        <v>8973400</v>
      </c>
      <c r="G439" s="71" t="s">
        <v>125</v>
      </c>
      <c r="H439" s="71" t="s">
        <v>122</v>
      </c>
      <c r="I439" s="71">
        <v>0</v>
      </c>
      <c r="K439" s="71">
        <v>72</v>
      </c>
    </row>
    <row r="440" spans="1:11" ht="12.75">
      <c r="A440" s="71">
        <v>814177</v>
      </c>
      <c r="B440" s="71" t="s">
        <v>445</v>
      </c>
      <c r="C440" s="71" t="s">
        <v>446</v>
      </c>
      <c r="D440" s="71" t="s">
        <v>136</v>
      </c>
      <c r="E440" s="71">
        <v>425</v>
      </c>
      <c r="F440" s="71">
        <v>8218412</v>
      </c>
      <c r="G440" s="71" t="s">
        <v>125</v>
      </c>
      <c r="H440" s="71" t="s">
        <v>120</v>
      </c>
      <c r="I440" s="71">
        <v>4</v>
      </c>
      <c r="K440" s="71">
        <v>2</v>
      </c>
    </row>
    <row r="441" spans="1:11" ht="12.75">
      <c r="A441" s="71">
        <v>814177</v>
      </c>
      <c r="B441" s="71" t="s">
        <v>445</v>
      </c>
      <c r="C441" s="71" t="s">
        <v>446</v>
      </c>
      <c r="D441" s="71" t="s">
        <v>136</v>
      </c>
      <c r="E441" s="71">
        <v>425</v>
      </c>
      <c r="F441" s="71">
        <v>8218412</v>
      </c>
      <c r="G441" s="71" t="s">
        <v>125</v>
      </c>
      <c r="H441" s="71" t="s">
        <v>120</v>
      </c>
      <c r="I441" s="71">
        <v>8</v>
      </c>
      <c r="K441" s="71">
        <v>4</v>
      </c>
    </row>
    <row r="442" spans="1:11" ht="12.75">
      <c r="A442" s="71">
        <v>814177</v>
      </c>
      <c r="B442" s="71" t="s">
        <v>445</v>
      </c>
      <c r="C442" s="71" t="s">
        <v>446</v>
      </c>
      <c r="D442" s="71" t="s">
        <v>136</v>
      </c>
      <c r="E442" s="71">
        <v>425</v>
      </c>
      <c r="F442" s="71">
        <v>8218412</v>
      </c>
      <c r="G442" s="71" t="s">
        <v>125</v>
      </c>
      <c r="H442" s="71" t="s">
        <v>120</v>
      </c>
      <c r="I442" s="71">
        <v>6</v>
      </c>
      <c r="K442" s="71">
        <v>5</v>
      </c>
    </row>
    <row r="443" spans="1:11" ht="12.75">
      <c r="A443" s="71">
        <v>814177</v>
      </c>
      <c r="B443" s="71" t="s">
        <v>445</v>
      </c>
      <c r="C443" s="71" t="s">
        <v>446</v>
      </c>
      <c r="D443" s="71" t="s">
        <v>136</v>
      </c>
      <c r="E443" s="71">
        <v>425</v>
      </c>
      <c r="F443" s="71">
        <v>8218412</v>
      </c>
      <c r="G443" s="71" t="s">
        <v>125</v>
      </c>
      <c r="H443" s="71" t="s">
        <v>122</v>
      </c>
      <c r="I443" s="71">
        <v>0</v>
      </c>
      <c r="K443" s="71">
        <v>288</v>
      </c>
    </row>
    <row r="444" spans="1:11" ht="12.75">
      <c r="A444" s="71">
        <v>813022</v>
      </c>
      <c r="B444" s="71" t="s">
        <v>447</v>
      </c>
      <c r="C444" s="71" t="s">
        <v>448</v>
      </c>
      <c r="D444" s="71" t="s">
        <v>118</v>
      </c>
      <c r="E444" s="71">
        <v>206</v>
      </c>
      <c r="F444" s="71">
        <v>7234102</v>
      </c>
      <c r="G444" s="71" t="s">
        <v>125</v>
      </c>
      <c r="H444" s="71" t="s">
        <v>121</v>
      </c>
      <c r="I444" s="71">
        <v>0.45</v>
      </c>
      <c r="K444" s="71">
        <v>3</v>
      </c>
    </row>
    <row r="445" spans="1:11" ht="12.75">
      <c r="A445" s="71">
        <v>813022</v>
      </c>
      <c r="B445" s="71" t="s">
        <v>447</v>
      </c>
      <c r="C445" s="71" t="s">
        <v>448</v>
      </c>
      <c r="D445" s="71" t="s">
        <v>118</v>
      </c>
      <c r="E445" s="71">
        <v>206</v>
      </c>
      <c r="F445" s="71">
        <v>7234102</v>
      </c>
      <c r="G445" s="71" t="s">
        <v>125</v>
      </c>
      <c r="H445" s="71" t="s">
        <v>120</v>
      </c>
      <c r="I445" s="71">
        <v>1</v>
      </c>
      <c r="K445" s="71">
        <v>1</v>
      </c>
    </row>
    <row r="446" spans="1:11" ht="12.75">
      <c r="A446" s="71">
        <v>813022</v>
      </c>
      <c r="B446" s="71" t="s">
        <v>447</v>
      </c>
      <c r="C446" s="71" t="s">
        <v>448</v>
      </c>
      <c r="D446" s="71" t="s">
        <v>118</v>
      </c>
      <c r="E446" s="71">
        <v>206</v>
      </c>
      <c r="F446" s="71">
        <v>7234102</v>
      </c>
      <c r="G446" s="71" t="s">
        <v>125</v>
      </c>
      <c r="H446" s="71" t="s">
        <v>122</v>
      </c>
      <c r="I446" s="71">
        <v>0</v>
      </c>
      <c r="K446" s="71">
        <v>4</v>
      </c>
    </row>
    <row r="447" spans="1:11" ht="12.75">
      <c r="A447" s="71">
        <v>893355</v>
      </c>
      <c r="B447" s="71" t="s">
        <v>449</v>
      </c>
      <c r="C447" s="71" t="s">
        <v>450</v>
      </c>
      <c r="D447" s="71" t="s">
        <v>118</v>
      </c>
      <c r="E447" s="71">
        <v>425</v>
      </c>
      <c r="F447" s="71">
        <v>6812787</v>
      </c>
      <c r="G447" s="71" t="s">
        <v>451</v>
      </c>
      <c r="H447" s="71" t="s">
        <v>120</v>
      </c>
      <c r="I447" s="71">
        <v>2</v>
      </c>
      <c r="K447" s="71">
        <v>1</v>
      </c>
    </row>
    <row r="448" spans="1:11" ht="12.75">
      <c r="A448" s="71">
        <v>893355</v>
      </c>
      <c r="B448" s="71" t="s">
        <v>449</v>
      </c>
      <c r="C448" s="71" t="s">
        <v>450</v>
      </c>
      <c r="D448" s="71" t="s">
        <v>118</v>
      </c>
      <c r="E448" s="71">
        <v>425</v>
      </c>
      <c r="F448" s="71">
        <v>6812787</v>
      </c>
      <c r="G448" s="71" t="s">
        <v>451</v>
      </c>
      <c r="H448" s="71" t="s">
        <v>121</v>
      </c>
      <c r="I448" s="71">
        <v>0.45</v>
      </c>
      <c r="K448" s="71">
        <v>4</v>
      </c>
    </row>
    <row r="449" spans="1:11" ht="12.75">
      <c r="A449" s="71">
        <v>893355</v>
      </c>
      <c r="B449" s="71" t="s">
        <v>449</v>
      </c>
      <c r="C449" s="71" t="s">
        <v>450</v>
      </c>
      <c r="D449" s="71" t="s">
        <v>118</v>
      </c>
      <c r="E449" s="71">
        <v>425</v>
      </c>
      <c r="F449" s="71">
        <v>6812787</v>
      </c>
      <c r="G449" s="71" t="s">
        <v>451</v>
      </c>
      <c r="H449" s="71" t="s">
        <v>122</v>
      </c>
      <c r="I449" s="71">
        <v>0</v>
      </c>
      <c r="K449" s="71">
        <v>8</v>
      </c>
    </row>
    <row r="450" spans="1:11" ht="12.75">
      <c r="A450" s="71">
        <v>891529</v>
      </c>
      <c r="B450" s="71" t="s">
        <v>452</v>
      </c>
      <c r="C450" s="71" t="s">
        <v>453</v>
      </c>
      <c r="D450" s="71" t="s">
        <v>136</v>
      </c>
      <c r="E450" s="71">
        <v>425</v>
      </c>
      <c r="F450" s="71">
        <v>4836602</v>
      </c>
      <c r="G450" s="71" t="s">
        <v>454</v>
      </c>
      <c r="H450" s="71" t="s">
        <v>121</v>
      </c>
      <c r="I450" s="71">
        <v>0.45</v>
      </c>
      <c r="K450" s="71">
        <v>2</v>
      </c>
    </row>
    <row r="451" spans="1:11" ht="12.75">
      <c r="A451" s="71">
        <v>891529</v>
      </c>
      <c r="B451" s="71" t="s">
        <v>452</v>
      </c>
      <c r="C451" s="71" t="s">
        <v>453</v>
      </c>
      <c r="D451" s="71" t="s">
        <v>136</v>
      </c>
      <c r="E451" s="71">
        <v>425</v>
      </c>
      <c r="F451" s="71">
        <v>4836602</v>
      </c>
      <c r="G451" s="71" t="s">
        <v>454</v>
      </c>
      <c r="H451" s="71" t="s">
        <v>122</v>
      </c>
      <c r="I451" s="71">
        <v>0</v>
      </c>
      <c r="K451" s="71">
        <v>4</v>
      </c>
    </row>
    <row r="452" spans="1:11" ht="12.75">
      <c r="A452" s="71">
        <v>891529</v>
      </c>
      <c r="B452" s="71" t="s">
        <v>452</v>
      </c>
      <c r="C452" s="71" t="s">
        <v>453</v>
      </c>
      <c r="D452" s="71" t="s">
        <v>136</v>
      </c>
      <c r="E452" s="71">
        <v>425</v>
      </c>
      <c r="F452" s="71">
        <v>4836602</v>
      </c>
      <c r="G452" s="71" t="s">
        <v>454</v>
      </c>
      <c r="H452" s="71" t="s">
        <v>140</v>
      </c>
      <c r="I452" s="71">
        <v>0.45</v>
      </c>
      <c r="K452" s="71">
        <v>2</v>
      </c>
    </row>
    <row r="453" spans="1:11" ht="12.75">
      <c r="A453" s="71">
        <v>826786</v>
      </c>
      <c r="B453" s="71" t="s">
        <v>455</v>
      </c>
      <c r="C453" s="71" t="s">
        <v>456</v>
      </c>
      <c r="D453" s="71" t="s">
        <v>227</v>
      </c>
      <c r="E453" s="71">
        <v>425</v>
      </c>
      <c r="F453" s="71">
        <v>2278753</v>
      </c>
      <c r="G453" s="71" t="s">
        <v>457</v>
      </c>
      <c r="H453" s="71" t="s">
        <v>169</v>
      </c>
      <c r="I453" s="71">
        <v>0.16</v>
      </c>
      <c r="K453" s="71">
        <v>4</v>
      </c>
    </row>
    <row r="454" spans="1:11" ht="12.75">
      <c r="A454" s="71">
        <v>826786</v>
      </c>
      <c r="B454" s="71" t="s">
        <v>455</v>
      </c>
      <c r="C454" s="71" t="s">
        <v>456</v>
      </c>
      <c r="D454" s="71" t="s">
        <v>227</v>
      </c>
      <c r="E454" s="71">
        <v>425</v>
      </c>
      <c r="F454" s="71">
        <v>2278753</v>
      </c>
      <c r="G454" s="71" t="s">
        <v>457</v>
      </c>
      <c r="H454" s="71" t="s">
        <v>121</v>
      </c>
      <c r="I454" s="71">
        <v>0.45</v>
      </c>
      <c r="K454" s="71">
        <v>1</v>
      </c>
    </row>
    <row r="455" spans="1:11" ht="12.75">
      <c r="A455" s="71">
        <v>826786</v>
      </c>
      <c r="B455" s="71" t="s">
        <v>455</v>
      </c>
      <c r="C455" s="71" t="s">
        <v>456</v>
      </c>
      <c r="D455" s="71" t="s">
        <v>227</v>
      </c>
      <c r="E455" s="71">
        <v>425</v>
      </c>
      <c r="F455" s="71">
        <v>2278753</v>
      </c>
      <c r="G455" s="71" t="s">
        <v>457</v>
      </c>
      <c r="H455" s="71" t="s">
        <v>122</v>
      </c>
      <c r="I455" s="71">
        <v>0</v>
      </c>
      <c r="K455" s="71">
        <v>4</v>
      </c>
    </row>
    <row r="456" spans="1:11" ht="12.75">
      <c r="A456" s="71">
        <v>812907</v>
      </c>
      <c r="B456" s="71" t="s">
        <v>458</v>
      </c>
      <c r="C456" s="71" t="s">
        <v>459</v>
      </c>
      <c r="D456" s="71" t="s">
        <v>118</v>
      </c>
      <c r="E456" s="71">
        <v>425</v>
      </c>
      <c r="F456" s="71">
        <v>7756626</v>
      </c>
      <c r="G456" s="71" t="s">
        <v>125</v>
      </c>
      <c r="H456" s="71" t="s">
        <v>120</v>
      </c>
      <c r="I456" s="71">
        <v>8</v>
      </c>
      <c r="K456" s="71">
        <v>1</v>
      </c>
    </row>
    <row r="457" spans="1:11" ht="12.75">
      <c r="A457" s="71">
        <v>812907</v>
      </c>
      <c r="B457" s="71" t="s">
        <v>458</v>
      </c>
      <c r="C457" s="71" t="s">
        <v>459</v>
      </c>
      <c r="D457" s="71" t="s">
        <v>118</v>
      </c>
      <c r="E457" s="71">
        <v>425</v>
      </c>
      <c r="F457" s="71">
        <v>7756626</v>
      </c>
      <c r="G457" s="71" t="s">
        <v>125</v>
      </c>
      <c r="H457" s="71" t="s">
        <v>122</v>
      </c>
      <c r="I457" s="71">
        <v>0</v>
      </c>
      <c r="K457" s="71">
        <v>30</v>
      </c>
    </row>
  </sheetData>
  <printOptions/>
  <pageMargins left="0" right="0" top="0" bottom="0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1">
      <pane ySplit="1020" topLeftCell="BM54" activePane="bottomLeft" state="split"/>
      <selection pane="topLeft" activeCell="A1" sqref="A1:IV16384"/>
      <selection pane="bottomLeft" activeCell="M79" sqref="M79"/>
    </sheetView>
  </sheetViews>
  <sheetFormatPr defaultColWidth="9.140625" defaultRowHeight="12.75"/>
  <cols>
    <col min="1" max="11" width="9.140625" style="50" customWidth="1"/>
    <col min="12" max="12" width="10.28125" style="50" customWidth="1"/>
    <col min="13" max="13" width="9.7109375" style="50" customWidth="1"/>
    <col min="14" max="16384" width="9.140625" style="50" customWidth="1"/>
  </cols>
  <sheetData>
    <row r="1" ht="12.75">
      <c r="A1" s="49" t="s">
        <v>85</v>
      </c>
    </row>
    <row r="2" spans="12:14" ht="12.75">
      <c r="L2" s="51" t="s">
        <v>86</v>
      </c>
      <c r="M2" s="51" t="s">
        <v>87</v>
      </c>
      <c r="N2" s="49" t="s">
        <v>88</v>
      </c>
    </row>
    <row r="3" spans="2:14" ht="12.75">
      <c r="B3" s="52"/>
      <c r="C3" s="53" t="s">
        <v>89</v>
      </c>
      <c r="D3" s="53" t="s">
        <v>90</v>
      </c>
      <c r="E3" s="53" t="s">
        <v>91</v>
      </c>
      <c r="F3" s="53" t="s">
        <v>16</v>
      </c>
      <c r="G3" s="53" t="s">
        <v>17</v>
      </c>
      <c r="H3" s="53" t="s">
        <v>92</v>
      </c>
      <c r="I3" s="53" t="s">
        <v>19</v>
      </c>
      <c r="J3" s="53" t="s">
        <v>20</v>
      </c>
      <c r="K3" s="53" t="s">
        <v>93</v>
      </c>
      <c r="L3" s="53" t="s">
        <v>60</v>
      </c>
      <c r="M3" s="53" t="s">
        <v>94</v>
      </c>
      <c r="N3" s="53" t="s">
        <v>95</v>
      </c>
    </row>
    <row r="4" spans="2:12" ht="12.7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2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2.75">
      <c r="A6" s="54">
        <v>36526</v>
      </c>
      <c r="B6" s="55"/>
      <c r="C6" s="56">
        <f>0.03+0.47+0.04+0.16+0.15+0.9+0.86+2.48</f>
        <v>5.09</v>
      </c>
      <c r="D6" s="56">
        <f>0.43+7.46+0.56+2.57+2.4+14.33+13.83+39.72</f>
        <v>81.3</v>
      </c>
      <c r="E6" s="56">
        <f>0.06+0.97+0.07+0.34+0.31+1.87+1.81+5.19</f>
        <v>10.620000000000001</v>
      </c>
      <c r="F6" s="56">
        <f>0.66+11.55+0.87+3.97+3.72+22.17+21.4+61.47</f>
        <v>125.81</v>
      </c>
      <c r="G6" s="56">
        <f>2.23+39.03+2.93+13.41+12.57+74.91+72.3+207.68+34.66</f>
        <v>459.72</v>
      </c>
      <c r="H6" s="56">
        <f>0.03+0.61+0.05+0.21+0.2+1.16+1.12+3.22</f>
        <v>6.6</v>
      </c>
      <c r="I6" s="56">
        <f>0.03+0.61+0.05+0.21+0.2+1.16+1.12+3.22</f>
        <v>6.6</v>
      </c>
      <c r="J6" s="56">
        <f>0.4+6.98+0.52+2.4+2.25+12.92+37.13</f>
        <v>62.6</v>
      </c>
      <c r="K6" s="55"/>
      <c r="L6" s="56">
        <f aca="true" t="shared" si="0" ref="L6:L17">SUM(C6:K6)</f>
        <v>758.34</v>
      </c>
      <c r="N6" s="56">
        <f>6.94+79.63+14.61+85.96+24.68+286.09+176.74+640.6</f>
        <v>1315.25</v>
      </c>
    </row>
    <row r="7" spans="1:14" ht="12.75">
      <c r="A7" s="54">
        <v>36557</v>
      </c>
      <c r="B7" s="55"/>
      <c r="C7" s="56">
        <f>0.02+0.52+0.09+0.11+0.11+0.81+0.72+2.54</f>
        <v>4.92</v>
      </c>
      <c r="D7" s="56">
        <f>0.35+8.24+1.45+1.79+1.69+12.91+11.5+40.62</f>
        <v>78.55</v>
      </c>
      <c r="E7" s="56">
        <f>0.05+1.08+0.19+0.23+0.22+1.69+1.5+5.3</f>
        <v>10.26</v>
      </c>
      <c r="F7" s="56">
        <f>0.54+12.76+2.25+2.78+2.61+19.97+17.79+62.86</f>
        <v>121.56</v>
      </c>
      <c r="G7" s="56">
        <f>1.84+43.11+7.6+9.38+8.83+67.48+60.11+212.38+20.55</f>
        <v>431.28000000000003</v>
      </c>
      <c r="H7" s="56">
        <f>0.03+0.67+0.12+0.15+0.14+1.05+0.93+3.3</f>
        <v>6.390000000000001</v>
      </c>
      <c r="I7" s="56">
        <f>0.03+0.67+0.12+0.15+0.14+1.05+0.93+3.3</f>
        <v>6.390000000000001</v>
      </c>
      <c r="J7" s="56">
        <f>0.33+7.71+1.36+1.68+1.58+12.06+10.75+37.97</f>
        <v>73.44</v>
      </c>
      <c r="K7" s="55"/>
      <c r="L7" s="56">
        <f t="shared" si="0"/>
        <v>732.79</v>
      </c>
      <c r="N7" s="56">
        <f>6.03+71.54+13.11+76.98+22.25+264.46+163.94+597.04</f>
        <v>1215.35</v>
      </c>
    </row>
    <row r="8" spans="1:14" ht="12.75">
      <c r="A8" s="54">
        <v>36586</v>
      </c>
      <c r="B8" s="55"/>
      <c r="C8" s="56">
        <f>0.02+0.45+0.14+0.19+0.11+0.78+0.78+2.74</f>
        <v>5.21</v>
      </c>
      <c r="D8" s="56">
        <f>0.37+7.26+2.2+3.02+1.83+12.41+12.43+43.79</f>
        <v>83.31</v>
      </c>
      <c r="E8" s="56">
        <f>0.05+0.95+0.29+0.39+0.24+1.62+1.62+5.72</f>
        <v>10.879999999999999</v>
      </c>
      <c r="F8" s="56">
        <f>0.58+11.24+3.41+4.67+2.84+19.21+19.24+67.77</f>
        <v>128.95999999999998</v>
      </c>
      <c r="G8" s="56">
        <f>1.95+37.96+11.51+15.79+9.58+64.9+65+228.96+21.84</f>
        <v>457.48999999999995</v>
      </c>
      <c r="H8" s="56">
        <f>0.03+0.59+0.18+0.25+0.15+1.01+1.01+3.55</f>
        <v>6.77</v>
      </c>
      <c r="I8" s="56">
        <f>0.03+0.59+0.18+0.25+0.15+1.01+1.01+3.55</f>
        <v>6.77</v>
      </c>
      <c r="J8" s="56">
        <f>0.35+6.79+2.06+2.82+1.71+11.6+11.62+40.93</f>
        <v>77.88</v>
      </c>
      <c r="K8" s="55"/>
      <c r="L8" s="56">
        <f t="shared" si="0"/>
        <v>777.2699999999999</v>
      </c>
      <c r="N8" s="56">
        <f>6.76+78.79+14.44+84.32+24.77+295.76+183.02+668.51</f>
        <v>1356.37</v>
      </c>
    </row>
    <row r="9" spans="1:14" ht="12.75">
      <c r="A9" s="54">
        <v>36617</v>
      </c>
      <c r="B9" s="55"/>
      <c r="C9" s="56">
        <f>0.02+0.42+0.12+0.13+0.11+0.68+0.75+2.62</f>
        <v>4.85</v>
      </c>
      <c r="D9" s="56">
        <f>0.33+6.75+1.94+2.06+1.79+10.93+12.01+41.95</f>
        <v>77.76</v>
      </c>
      <c r="E9" s="56">
        <f>0.04+0.88+0.25+0.27+0.23+1.43+1.57+5.48</f>
        <v>10.15</v>
      </c>
      <c r="F9" s="56">
        <f>0.51+10.45+3+3.2+2.77+16.92+18.59+64.92</f>
        <v>120.36</v>
      </c>
      <c r="G9" s="56">
        <f>1.72+35.29+10.13+10.8+9.37+57.16+62.82+219.33+20.34</f>
        <v>426.96</v>
      </c>
      <c r="H9" s="56">
        <f>0.03+0.55+0.16+0.17+0.15+0.89+0.98+3.4</f>
        <v>6.33</v>
      </c>
      <c r="I9" s="56">
        <f>0.03+0.55+0.16+0.17+0.15+0.89+0.98+3.4</f>
        <v>6.33</v>
      </c>
      <c r="J9" s="56">
        <f>0.31+6.31+1.81+1.93+1.68+10.22+11.23+39.21</f>
        <v>72.69999999999999</v>
      </c>
      <c r="K9" s="55"/>
      <c r="L9" s="56">
        <f t="shared" si="0"/>
        <v>725.44</v>
      </c>
      <c r="N9" s="56">
        <f>6.34+71.61+11.87+73.15+22.15+266.41+164.95+601.55</f>
        <v>1218.03</v>
      </c>
    </row>
    <row r="10" spans="1:14" ht="12.75">
      <c r="A10" s="54">
        <v>36647</v>
      </c>
      <c r="B10" s="55"/>
      <c r="C10" s="56">
        <f>0.03+0.48+0.12+0.14+0.17+0.72+0.65+3.32</f>
        <v>5.63</v>
      </c>
      <c r="D10" s="56">
        <f>0.45+7.63+1.86+2.24+2.79+11.54+10.38+53.18</f>
        <v>90.07</v>
      </c>
      <c r="E10" s="56">
        <f>0.06+1+0.24+0.29+0.36+1.51+1.36+6.94</f>
        <v>11.760000000000002</v>
      </c>
      <c r="F10" s="56">
        <f>0.7+11.8+2.89+3.47+4.32+17.86+16.06+82.3</f>
        <v>139.39999999999998</v>
      </c>
      <c r="G10" s="56">
        <f>2.37+39.87+9.75+11.73+14.58+60.35+54.27+278.04+23.59</f>
        <v>494.55</v>
      </c>
      <c r="H10" s="56">
        <f>0.04+0.62+0.15+0.18+0.23+0.94+0.84+4.32</f>
        <v>7.32</v>
      </c>
      <c r="I10" s="56">
        <f>0.04+0.62+0.15+0.18+0.23+0.94+0.84+4.32</f>
        <v>7.32</v>
      </c>
      <c r="J10" s="56">
        <f>0.42+7.13+1.74+2.1+2.61+10.79+9.7+49.71</f>
        <v>84.19999999999999</v>
      </c>
      <c r="K10" s="55"/>
      <c r="L10" s="56">
        <f t="shared" si="0"/>
        <v>840.25</v>
      </c>
      <c r="N10" s="56">
        <f>7.51+85.29+14.22+87.04+26.4+316+195.27+715.6</f>
        <v>1447.33</v>
      </c>
    </row>
    <row r="11" spans="1:14" ht="12.75">
      <c r="A11" s="54">
        <v>36678</v>
      </c>
      <c r="B11" s="55"/>
      <c r="C11" s="56">
        <f>0.02+0.41+0.1+0.18+0.11+0.7+0.83+2.92</f>
        <v>5.27</v>
      </c>
      <c r="D11" s="56">
        <f>0.4+6.55+1.64+2.82+1.81+11.13+13.25+46.78</f>
        <v>84.38</v>
      </c>
      <c r="E11" s="56">
        <f>0.05+0.86+0.21+0.37+0.24+1.45+1.73+6.11</f>
        <v>11.02</v>
      </c>
      <c r="F11" s="56">
        <f>0.62+10.13+2.53+4.36+2.79+17.23+20.51+72.39</f>
        <v>130.56</v>
      </c>
      <c r="G11" s="56">
        <f>2.09+34.24+8.55+14.72+9.44+58.22+69.3+244.59+22.1</f>
        <v>463.25</v>
      </c>
      <c r="H11" s="56">
        <f>0.03+0.53+0.13+0.23+0.15+0.9+1.08+3.8</f>
        <v>6.85</v>
      </c>
      <c r="I11" s="56">
        <f>0.03+0.53+0.13+0.23+0.15+0.9+1.08+3.8</f>
        <v>6.85</v>
      </c>
      <c r="J11" s="56">
        <f>0.37+6.12+1.53+2.63+1.69+10.41+12.39+43.72</f>
        <v>78.86</v>
      </c>
      <c r="K11" s="55"/>
      <c r="L11" s="56">
        <f t="shared" si="0"/>
        <v>787.0400000000001</v>
      </c>
      <c r="N11" s="56">
        <f>7.44+84.13+14.33+86.22+26.82+314.65+193.63+713.14</f>
        <v>1440.36</v>
      </c>
    </row>
    <row r="12" spans="1:14" ht="12.75">
      <c r="A12" s="54">
        <v>36708</v>
      </c>
      <c r="B12" s="55"/>
      <c r="C12" s="56">
        <f>0.02+0.42+0.09+0.15+0.1+0.68+0.83+2.48</f>
        <v>4.77</v>
      </c>
      <c r="D12" s="56">
        <f>0.35+6.66+1.42+2.47+1.58+10.91+13.27+39.61</f>
        <v>76.27</v>
      </c>
      <c r="E12" s="56">
        <f>0.05+0.87+0.19+0.32+0.21+1.43+1.73+5.17</f>
        <v>9.97</v>
      </c>
      <c r="F12" s="56">
        <f>0.54+10.3+2.2+3.82+2.44+16.89+20.54+61.3</f>
        <v>118.03</v>
      </c>
      <c r="G12" s="56">
        <f>1.82+34.81+7.44+12.9+8.25+57.06+69.38+207.1+19.97</f>
        <v>418.73</v>
      </c>
      <c r="H12" s="56">
        <f>0.03+0.54+0.12+0.2+0.13+0.89+1.08+3.21</f>
        <v>6.2</v>
      </c>
      <c r="I12" s="56">
        <f>0.03+0.54+0.12+0.2+0.13+0.89+1.08+3.21</f>
        <v>6.2</v>
      </c>
      <c r="J12" s="56">
        <f>0.32+6.22+1.33+2.31+1.47+10.2+12.4+37.02</f>
        <v>71.27000000000001</v>
      </c>
      <c r="K12" s="55"/>
      <c r="L12" s="56">
        <f t="shared" si="0"/>
        <v>711.44</v>
      </c>
      <c r="N12" s="56">
        <f>7.17+80.36+13.62+82.48+25.19+300.06+183.5+675.27</f>
        <v>1367.65</v>
      </c>
    </row>
    <row r="13" spans="1:14" ht="12.75">
      <c r="A13" s="54">
        <v>36739</v>
      </c>
      <c r="B13" s="55"/>
      <c r="C13" s="56">
        <f>0.02+0.61+0.08+0.27+0.15+0.66+0.89+2.85</f>
        <v>5.53</v>
      </c>
      <c r="D13" s="56">
        <f>0.33+9.81+1.36+4.32+2.43+10.52+14.24+45.53</f>
        <v>88.53999999999999</v>
      </c>
      <c r="E13" s="56">
        <f>0.04+1.28+0.18+0.56+0.32+1.37+1.86+5.95</f>
        <v>11.56</v>
      </c>
      <c r="F13" s="56">
        <f>0.51+15.19+2.1+6.68+3.75+16.28+22.03+70.47</f>
        <v>137.01</v>
      </c>
      <c r="G13" s="56">
        <f>1.73+51.31+7.1+22.57+12.68+55.01+74.44+238.08+23.18</f>
        <v>486.1</v>
      </c>
      <c r="H13" s="56">
        <f>0.03+0.8+0.11+0.35+0.2+0.85+1.16+3.7</f>
        <v>7.2</v>
      </c>
      <c r="I13" s="56">
        <f>0.03+0.8+0.11+0.35+0.2+0.85+1.16+3.7</f>
        <v>7.2</v>
      </c>
      <c r="J13" s="56">
        <f>0.31+9.17+1.27+4.04+2.27+9.83+13.31+42.56</f>
        <v>82.76</v>
      </c>
      <c r="K13" s="55"/>
      <c r="L13" s="56">
        <f t="shared" si="0"/>
        <v>825.9000000000001</v>
      </c>
      <c r="N13" s="56">
        <f>8.06+87.89+15.1+90.38+27.4+325.2+201.92+739.73</f>
        <v>1495.6799999999998</v>
      </c>
    </row>
    <row r="14" spans="1:14" ht="12.75">
      <c r="A14" s="54">
        <v>36770</v>
      </c>
      <c r="B14" s="55"/>
      <c r="C14" s="56">
        <f>0.02+0.46+0.07+0.17+0.12+0.6+0.91+2.86</f>
        <v>5.21</v>
      </c>
      <c r="D14" s="56">
        <f>0.3+7.29+1.2+2.66+1.84+9.57+14.54+45.82</f>
        <v>83.22</v>
      </c>
      <c r="E14" s="56">
        <f>0.04+0.95+0.16+0.35+0.24+1.25+1.9+5.98</f>
        <v>10.870000000000001</v>
      </c>
      <c r="F14" s="56">
        <f>0.47+11.29+1.85+4.11+2.85+14.81+22.51+70.92</f>
        <v>128.81</v>
      </c>
      <c r="G14" s="56">
        <f>1.58+38.14+6.26+13.9+9.63+50.04+76.04+239.6+21.8</f>
        <v>456.98999999999995</v>
      </c>
      <c r="H14" s="56">
        <f>0.02+0.59+0.1+0.22+0.15+0.78+1.18+3.72</f>
        <v>6.76</v>
      </c>
      <c r="I14" s="56">
        <f>0.02+0.59+0.1+0.22+0.15+0.78+1.18+3.72</f>
        <v>6.76</v>
      </c>
      <c r="J14" s="56">
        <f>0.28+6.82+1.12+2.48+1.72+8.94+13.59+42.83</f>
        <v>77.78</v>
      </c>
      <c r="K14" s="55"/>
      <c r="L14" s="56">
        <f t="shared" si="0"/>
        <v>776.3999999999999</v>
      </c>
      <c r="N14" s="56">
        <f>7.18+76.73+13.36+79.53+24.49+290.92+181.01+661.86</f>
        <v>1335.08</v>
      </c>
    </row>
    <row r="15" spans="1:14" ht="12.75">
      <c r="A15" s="54">
        <v>36800</v>
      </c>
      <c r="B15" s="55"/>
      <c r="C15" s="56">
        <f>0.02+0.43+0.08+0.11+0.25+0.64+0.69+3.16</f>
        <v>5.38</v>
      </c>
      <c r="D15" s="56">
        <f>0.32+6.94+1.34+1.84+4.07+10.22+11.08+50.57</f>
        <v>86.38</v>
      </c>
      <c r="E15" s="56">
        <f>0.04+0.91+0.18+0.24+0.53+1.34+1.45+6.6</f>
        <v>11.29</v>
      </c>
      <c r="F15" s="56">
        <f>0.49+10.74+2.08+2.84+6.3+15.82+17.15+78.26</f>
        <v>133.68</v>
      </c>
      <c r="G15" s="56">
        <f>1.67+36.28+7.02+9.61+21.28+53.45+57.95+264.39+22.66</f>
        <v>474.31</v>
      </c>
      <c r="H15" s="56">
        <f>0.03+0.56+0.11+0.15+0.33+0.83+0.9+4.1</f>
        <v>7.01</v>
      </c>
      <c r="I15" s="56">
        <f>0.03+0.56+0.11+0.15+0.33+0.83+0.9+4.1</f>
        <v>7.01</v>
      </c>
      <c r="J15" s="56">
        <f>0.3+6.49+1.26+1.72+3.8+9.56+10.36+47.26</f>
        <v>80.75</v>
      </c>
      <c r="K15" s="55"/>
      <c r="L15" s="56">
        <f t="shared" si="0"/>
        <v>805.81</v>
      </c>
      <c r="N15" s="56">
        <f>6.99+75.53+13.19+78.48+24.15+287.18+178.25+650.63</f>
        <v>1314.4</v>
      </c>
    </row>
    <row r="16" spans="1:14" ht="12.75">
      <c r="A16" s="54">
        <v>36831</v>
      </c>
      <c r="B16" s="55"/>
      <c r="C16" s="56">
        <f>0.02+0.46+0.09+0.18+0.19+0.6+0.68+3.31</f>
        <v>5.53</v>
      </c>
      <c r="D16" s="56">
        <f>0.36+7.32+1.5+2.88+3.04+9.68+10.87+52.89</f>
        <v>88.53999999999999</v>
      </c>
      <c r="E16" s="56">
        <f>0.05+0.96+0.2+0.38+0.4+1.26+1.42+6.91</f>
        <v>11.58</v>
      </c>
      <c r="F16" s="56">
        <f>0.56+11.32+2.32+4.45+4.7+14.98+16.82+81.85</f>
        <v>137</v>
      </c>
      <c r="G16" s="56">
        <f>1.89+38.25+7.83+15.05+15.9+50.6+56.82+276.52+23.2</f>
        <v>486.06</v>
      </c>
      <c r="H16" s="56">
        <f>0.03+0.59+0.12+0.23+0.25+0.79+0.88+4.29</f>
        <v>7.18</v>
      </c>
      <c r="I16" s="56">
        <f>0.03+0.59+0.12+0.23+0.25+0.79+0.88+4.29</f>
        <v>7.18</v>
      </c>
      <c r="J16" s="56">
        <f>0.34+6.84+1.4+2.69+2.84+9.05+10.16+49.43</f>
        <v>82.75</v>
      </c>
      <c r="K16" s="55"/>
      <c r="L16" s="56">
        <f t="shared" si="0"/>
        <v>825.8199999999999</v>
      </c>
      <c r="N16" s="56">
        <f>7.2+77.98+13.32+81.3+24.5+291.95+181.67+663.71</f>
        <v>1341.63</v>
      </c>
    </row>
    <row r="17" spans="1:14" ht="12.75">
      <c r="A17" s="54">
        <v>36861</v>
      </c>
      <c r="B17" s="55"/>
      <c r="C17" s="56">
        <f>0.02+0.44+0.09+0.12+0.1+0.55+0.67+2.85</f>
        <v>4.84</v>
      </c>
      <c r="D17" s="56">
        <f>0.34+7.04+1.37+1.85+1.66+8.85+10.74+45.6</f>
        <v>77.45</v>
      </c>
      <c r="E17" s="56">
        <f>0.04+0.92+0.18+0.24+0.22+1.16+1.4+5.96</f>
        <v>10.120000000000001</v>
      </c>
      <c r="F17" s="56">
        <f>0.53+10.9+2.12+2.87+2.57+13.7+16.61+70.57</f>
        <v>119.86999999999999</v>
      </c>
      <c r="G17" s="56">
        <f>1.78+36.82+7.15+9.7+8.69+46.29+56.13+238.43+20.33</f>
        <v>425.32</v>
      </c>
      <c r="H17" s="56">
        <f>0.03+0.57+0.11+0.15+0.13+0.72+0.87+3.7</f>
        <v>6.28</v>
      </c>
      <c r="I17" s="56">
        <f>0.03+0.57+0.11+0.15+0.13+0.72+0.87+3.7</f>
        <v>6.28</v>
      </c>
      <c r="J17" s="56">
        <f>0.32+6.58+1.28+1.73+1.55+8.27+10.04+42.62</f>
        <v>72.39</v>
      </c>
      <c r="K17" s="55"/>
      <c r="L17" s="56">
        <f t="shared" si="0"/>
        <v>722.55</v>
      </c>
      <c r="N17" s="56">
        <f>6.72+75.78+12.69+79.17+23.64+278.84+171.72+635.43</f>
        <v>1283.9899999999998</v>
      </c>
    </row>
    <row r="18" spans="1:14" ht="12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N18" s="56"/>
    </row>
    <row r="19" spans="1:14" ht="12.75">
      <c r="A19" s="57" t="s">
        <v>96</v>
      </c>
      <c r="B19" s="55"/>
      <c r="C19" s="56">
        <f aca="true" t="shared" si="1" ref="C19:J19">SUM(C6:C17)</f>
        <v>62.230000000000004</v>
      </c>
      <c r="D19" s="56">
        <f t="shared" si="1"/>
        <v>995.77</v>
      </c>
      <c r="E19" s="56">
        <f t="shared" si="1"/>
        <v>130.07999999999998</v>
      </c>
      <c r="F19" s="56">
        <f t="shared" si="1"/>
        <v>1541.0499999999997</v>
      </c>
      <c r="G19" s="56">
        <f t="shared" si="1"/>
        <v>5480.76</v>
      </c>
      <c r="H19" s="56">
        <f t="shared" si="1"/>
        <v>80.89000000000001</v>
      </c>
      <c r="I19" s="56">
        <f t="shared" si="1"/>
        <v>80.89000000000001</v>
      </c>
      <c r="J19" s="56">
        <f t="shared" si="1"/>
        <v>917.38</v>
      </c>
      <c r="K19" s="55"/>
      <c r="L19" s="56">
        <f>SUM(C19:K19)</f>
        <v>9289.049999999997</v>
      </c>
      <c r="M19" s="56">
        <f>L19/12</f>
        <v>774.0874999999997</v>
      </c>
      <c r="N19" s="56">
        <f>SUM(N6:N17)</f>
        <v>16131.12</v>
      </c>
    </row>
    <row r="20" spans="1:14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N20" s="56"/>
    </row>
    <row r="21" spans="1:14" ht="12.75">
      <c r="A21" s="54">
        <v>36892</v>
      </c>
      <c r="B21" s="55"/>
      <c r="C21" s="56">
        <f>0.02+0.59+0.07+0.17+0.1+0.37+0.92+3.24</f>
        <v>5.48</v>
      </c>
      <c r="D21" s="56">
        <f>0.27+9.45+1.13+2.72+1.63+5.99+14.67+51.76</f>
        <v>87.62</v>
      </c>
      <c r="E21" s="56">
        <f>0.04+1.23+0.15+0.36+0.21+0.78+1.92+6.76</f>
        <v>11.45</v>
      </c>
      <c r="F21" s="56">
        <f>0.42+14.62+1.76+4.21+2.52+9.27+22.7+80.1</f>
        <v>135.6</v>
      </c>
      <c r="G21" s="56">
        <f>1.43+49.4+5.93+14.23+8.51+31.32+76.69+270.64+22.97</f>
        <v>481.12</v>
      </c>
      <c r="H21" s="56">
        <f>0.02+0.77+0.09+0.22+0.13+0.49+1.19+4.2</f>
        <v>7.11</v>
      </c>
      <c r="I21" s="56">
        <f>0.02+0.77+0.09+0.22+0.13+0.49+1.19+4.2</f>
        <v>7.11</v>
      </c>
      <c r="J21" s="56">
        <f>0.26+8.83+1.06+2.54+1.52+5.6+13.71+48.38</f>
        <v>81.9</v>
      </c>
      <c r="K21" s="55"/>
      <c r="L21" s="56">
        <f aca="true" t="shared" si="2" ref="L21:L32">SUM(C21:K21)</f>
        <v>817.39</v>
      </c>
      <c r="N21" s="56">
        <f>7.35+80.96+13.6+85.63+25.71+304.34+187.38+690.27</f>
        <v>1395.2399999999998</v>
      </c>
    </row>
    <row r="22" spans="1:14" ht="12.75">
      <c r="A22" s="54">
        <v>36923</v>
      </c>
      <c r="B22" s="55"/>
      <c r="C22" s="56">
        <f>0.01+0.46+0.05+0.05+0.1+0.15+0.64+2.84</f>
        <v>4.3</v>
      </c>
      <c r="D22" s="56">
        <f>0.18+7.4+0.83+0.83+1.68+2.45+10.25+45.49</f>
        <v>69.11</v>
      </c>
      <c r="E22" s="56">
        <f>0.02+0.97+0.11+0.11+0.22+0.32+1.34+5.94</f>
        <v>9.030000000000001</v>
      </c>
      <c r="F22" s="56">
        <f>0.28+11.45+1.28+1.29+2.59+3.79+15.86+70.4</f>
        <v>106.94</v>
      </c>
      <c r="G22" s="56">
        <f>0.94+38.7+4.33+4.36+8.77+12.79+53.57+237.84+18.07</f>
        <v>379.36999999999995</v>
      </c>
      <c r="H22" s="56">
        <f>0.01+0.6+0.07+0.07+0.14+0.2+0.83+3.69</f>
        <v>5.609999999999999</v>
      </c>
      <c r="I22" s="56">
        <f>0.01+0.6+0.07+0.07+0.14+0.2+0.83+3.69</f>
        <v>5.609999999999999</v>
      </c>
      <c r="J22" s="56">
        <f>0.17+6.92+0.77+0.78+1.57+2.29+9.58+42.52</f>
        <v>64.6</v>
      </c>
      <c r="K22" s="55"/>
      <c r="L22" s="56">
        <f t="shared" si="2"/>
        <v>644.57</v>
      </c>
      <c r="N22" s="56">
        <f>6.09+66.73+11.07+68.98+20.72+253.8+25.05+577.39</f>
        <v>1029.83</v>
      </c>
    </row>
    <row r="23" spans="1:14" ht="12.75">
      <c r="A23" s="54">
        <v>36951</v>
      </c>
      <c r="B23" s="55"/>
      <c r="C23" s="56">
        <f>0.01+0.45+0.06+0.17+0.1+0.36+0.25+2.79</f>
        <v>4.1899999999999995</v>
      </c>
      <c r="D23" s="56">
        <f>0.23+7.15+0.98+2.71+1.63+5.72+4.04+44.6</f>
        <v>67.06</v>
      </c>
      <c r="E23" s="56">
        <f>0.03+0.93+0.13+0.35+0.21+0.75+0.53+5.82</f>
        <v>8.75</v>
      </c>
      <c r="F23" s="56">
        <f>0.36+11.07+1.52+4.19+2.52+8.85+6.25+69.02</f>
        <v>103.78</v>
      </c>
      <c r="G23" s="56">
        <f>0.21+37.4+5.13+14.17+8.51+29.89+21.11+233.18+18.57</f>
        <v>368.17</v>
      </c>
      <c r="H23" s="56">
        <f>0.02+0.58+0.08+0.22+0.13+0.46+0.33+3.62</f>
        <v>5.4399999999999995</v>
      </c>
      <c r="I23" s="56">
        <f>0.02+0.58+0.08+0.22+0.13+0.46+0.33+3.62</f>
        <v>5.4399999999999995</v>
      </c>
      <c r="J23" s="56">
        <f>0.22+6.69+0.92+2.53+1.52+5.34+3.77+41.69</f>
        <v>62.67999999999999</v>
      </c>
      <c r="K23" s="55"/>
      <c r="L23" s="56">
        <f t="shared" si="2"/>
        <v>625.5100000000001</v>
      </c>
      <c r="N23" s="56">
        <f>6.76+74.12+12.57+76.71+23.07+282.94+25.34+644.2</f>
        <v>1145.71</v>
      </c>
    </row>
    <row r="24" spans="1:14" ht="12.75">
      <c r="A24" s="54">
        <v>36982</v>
      </c>
      <c r="B24" s="55"/>
      <c r="C24" s="56">
        <f>0.01+0.37+0.06+0.17+0.16+0.27+0.29+2.71</f>
        <v>4.04</v>
      </c>
      <c r="D24" s="56">
        <f>0.21+5.84+0.93+2.69+2.54+4.28+4.7+43.39</f>
        <v>64.58</v>
      </c>
      <c r="E24" s="56">
        <f>0.03+0.76+0.12+0.35+0.33+0.56+0.61+5.67</f>
        <v>8.43</v>
      </c>
      <c r="F24" s="56">
        <f>0.33+9.04+1.44+4.16+3.93+6.63+7.28+67.15</f>
        <v>99.96000000000001</v>
      </c>
      <c r="G24" s="56">
        <f>1.11+30.56+4.85+14.07+13.27+22.39+24.58+226.88+16.93</f>
        <v>354.64</v>
      </c>
      <c r="H24" s="56">
        <f>0.02+0.47+0.08+0.22+0.21+0.35+0.38+3.52</f>
        <v>5.25</v>
      </c>
      <c r="I24" s="56">
        <f>0.02+0.47+0.08+0.22+0.21+0.35+0.38+3.52</f>
        <v>5.25</v>
      </c>
      <c r="J24" s="56">
        <f>0.2+5.46+0.87+2.52+2.37+4+4.39+40.56</f>
        <v>60.370000000000005</v>
      </c>
      <c r="K24" s="55"/>
      <c r="L24" s="56">
        <f t="shared" si="2"/>
        <v>602.52</v>
      </c>
      <c r="N24" s="56">
        <f>6.51+72.76+11.98+74.05+22.42+271.7+24.98+621.4</f>
        <v>1105.8</v>
      </c>
    </row>
    <row r="25" spans="1:14" ht="12.75">
      <c r="A25" s="54">
        <v>37012</v>
      </c>
      <c r="B25" s="55"/>
      <c r="C25" s="56">
        <f>0.02+0.42+0.07+0.11+0.14+0.26+0.37+3.39</f>
        <v>4.78</v>
      </c>
      <c r="D25" s="56">
        <f>0.25+6.7+1.09+1.73+2.28+4.23+5.9+54.19</f>
        <v>76.37</v>
      </c>
      <c r="E25" s="56">
        <f>0.03+0.88+0.14+0.23+0.3+0.55+0.77+7.08</f>
        <v>9.98</v>
      </c>
      <c r="F25" s="56">
        <f>0.39+10.37+1.68+2.67+3.53+6.55+9.13+83.86</f>
        <v>118.18</v>
      </c>
      <c r="G25" s="56">
        <f>1.33+35.05+5.68+9.03+11.92+22.14+30.84+283.33+20.03</f>
        <v>419.35</v>
      </c>
      <c r="H25" s="56">
        <f>0.02+0.54+0.09+0.14+0.18+0.34+0.48+4.4</f>
        <v>6.19</v>
      </c>
      <c r="I25" s="56">
        <f>0.02+0.54+0.09+0.14+0.18+0.34+0.48+4.4</f>
        <v>6.19</v>
      </c>
      <c r="J25" s="56">
        <f>0.24+6.27+1.02+1.61+2.13+3.96+5.51+50.65</f>
        <v>71.39</v>
      </c>
      <c r="K25" s="55"/>
      <c r="L25" s="56">
        <f t="shared" si="2"/>
        <v>712.4300000000002</v>
      </c>
      <c r="N25" s="56">
        <f>7.53+83.46+13.67+85.1+25.75+310.08+28.58+710.5</f>
        <v>1264.67</v>
      </c>
    </row>
    <row r="26" spans="1:14" ht="12.75">
      <c r="A26" s="54">
        <v>37043</v>
      </c>
      <c r="B26" s="55"/>
      <c r="C26" s="56">
        <f>0.01+0.24+0.06+0.24+0.1+0.16+0.26+3.61</f>
        <v>4.68</v>
      </c>
      <c r="D26" s="56">
        <f>0.2+3.78+0.99+3.79+1.59+2.63+4.22+57.84</f>
        <v>75.04</v>
      </c>
      <c r="E26" s="56">
        <f>0.03+0.49+0.13+0.5+0.21+0.34+0.55+7.55</f>
        <v>9.8</v>
      </c>
      <c r="F26" s="56">
        <f>0.31+5.85+1.53+5.87+2.47+4.08+6.52+89.51</f>
        <v>116.14</v>
      </c>
      <c r="G26" s="56">
        <f>1.04+19.77+5.17+19.82+8.33+13.77+22.04+302.4+19.68</f>
        <v>412.02</v>
      </c>
      <c r="H26" s="56">
        <f>0.02+0.31+0.08+0.31+0.13+0.21+0.34+4.69</f>
        <v>6.090000000000001</v>
      </c>
      <c r="I26" s="56">
        <f>0.02+0.31+0.08+0.31+0.13+0.21+0.34+4.69</f>
        <v>6.090000000000001</v>
      </c>
      <c r="J26" s="56">
        <f>0.19+3.54+0.92+3.54+1.49+2.46+3.94+54.06</f>
        <v>70.14</v>
      </c>
      <c r="K26" s="55"/>
      <c r="L26" s="56">
        <f t="shared" si="2"/>
        <v>700</v>
      </c>
      <c r="N26" s="56">
        <f>7.1+78.52+13.02+80.74+24.54+292.79+26.63+671.21</f>
        <v>1194.5500000000002</v>
      </c>
    </row>
    <row r="27" spans="1:14" ht="12.75">
      <c r="A27" s="54">
        <v>37073</v>
      </c>
      <c r="B27" s="55"/>
      <c r="C27" s="56">
        <f>0.01+0.27+0.07+0.3+0.09+0.17+0.31+3.43</f>
        <v>4.65</v>
      </c>
      <c r="D27" s="56">
        <f>0.22+4.34+1.08+4.86+1.51+2.76+4.9+54.83</f>
        <v>74.5</v>
      </c>
      <c r="E27" s="56">
        <f>0.03+0.57+0.14+0.63+0.2+0.36+0.64+7.16</f>
        <v>9.73</v>
      </c>
      <c r="F27" s="56">
        <f>0.34+6.72+1.67+7.52+2.34+4.27+7.59+84.86</f>
        <v>115.31</v>
      </c>
      <c r="G27" s="56">
        <f>0.14+22.71+5.64+25.41+7.89+14.41+25.64+286.7+20.54</f>
        <v>409.08</v>
      </c>
      <c r="H27" s="56">
        <f>0.02+0.35+0.09+0.39+0.12+0.22+0.4+4.45</f>
        <v>6.04</v>
      </c>
      <c r="I27" s="56">
        <f>0.02+0.35+0.09+0.39+0.12+0.22+0.4+4.45</f>
        <v>6.04</v>
      </c>
      <c r="J27" s="56">
        <f>0.2+4.06+1.01+4.54+1.41+2.58+4.58+51.25</f>
        <v>69.63</v>
      </c>
      <c r="K27" s="55"/>
      <c r="L27" s="56">
        <f t="shared" si="2"/>
        <v>694.9799999999999</v>
      </c>
      <c r="N27" s="56">
        <f>7.63+82.94+13.91+85.12+25.89+309.72+28.29+705.4</f>
        <v>1258.9</v>
      </c>
    </row>
    <row r="28" spans="1:14" ht="12.75">
      <c r="A28" s="54">
        <v>37104</v>
      </c>
      <c r="B28" s="55"/>
      <c r="C28" s="56">
        <f>0.02+0.25+0.08+0.39+0.11+0.27+0.24+3.58</f>
        <v>4.94</v>
      </c>
      <c r="D28" s="56">
        <f>0.32+3.93+1.24+6.16+1.69+4.38+3.89+57.26</f>
        <v>78.87</v>
      </c>
      <c r="E28" s="56">
        <f>0.04+0.51+0.16+0.8+0.22+0.57+0.51+7.48</f>
        <v>10.290000000000001</v>
      </c>
      <c r="F28" s="56">
        <f>0.49+6.08+1.92+9.54+2.61+6.78+6.02+88.61</f>
        <v>122.05</v>
      </c>
      <c r="G28" s="56">
        <f>1.66+20.54+6.48+32.22+8.81+22.91+20.34+299.36+20.6</f>
        <v>432.92</v>
      </c>
      <c r="H28" s="56">
        <f>0.03+0.32+0.1+0.5+0.14+0.36+0.32+4.65</f>
        <v>6.42</v>
      </c>
      <c r="I28" s="56">
        <f>0.03+0.32+0.1+0.5+0.14+0.36+0.32+4.65</f>
        <v>6.42</v>
      </c>
      <c r="J28" s="56">
        <f>0.3+3.67+1.16+5.76+1.58+4.1+3.64+53.52</f>
        <v>73.73</v>
      </c>
      <c r="K28" s="55"/>
      <c r="L28" s="56">
        <f t="shared" si="2"/>
        <v>735.64</v>
      </c>
      <c r="N28" s="56">
        <f>7.97+86.83+14.43+89.58+27.21+324.25+29.85+737.74</f>
        <v>1317.8600000000001</v>
      </c>
    </row>
    <row r="29" spans="1:14" ht="12.75">
      <c r="A29" s="54">
        <v>37135</v>
      </c>
      <c r="B29" s="55"/>
      <c r="C29" s="56">
        <f>0.01+0.18+0.06+0.25+0.09+0.06+0.23+3.31</f>
        <v>4.1899999999999995</v>
      </c>
      <c r="D29" s="56">
        <f>0.19+2.94+0.97+4+1.45+0.98+3.72+52.92</f>
        <v>67.17</v>
      </c>
      <c r="E29" s="56">
        <f>0.02+0.38+0.13+0.52+0.19+0.13+0.49+6.91</f>
        <v>8.77</v>
      </c>
      <c r="F29" s="56">
        <f>0.29+4.55+1.5+6.19+2.24+1.51+5.76+81.9</f>
        <v>103.94</v>
      </c>
      <c r="G29" s="56">
        <f>0.99+15.36+5.06+20.92+7.58+5.11+19.46+276.71+17.61</f>
        <v>368.79999999999995</v>
      </c>
      <c r="H29" s="56">
        <f>0.02+0.24+0.08+0.32+0.12+0.08+0.3+4.3</f>
        <v>5.46</v>
      </c>
      <c r="I29" s="56">
        <f>0.02+0.24+0.08+0.32+0.12+0.08+0.3+4.3</f>
        <v>5.46</v>
      </c>
      <c r="J29" s="56">
        <f>0.18+2.75+0.9+3.74+1.36+0.91+3.48+49.47</f>
        <v>62.79</v>
      </c>
      <c r="K29" s="55"/>
      <c r="L29" s="56">
        <f t="shared" si="2"/>
        <v>626.5799999999999</v>
      </c>
      <c r="N29" s="56">
        <f>6.72+72.88+12.23+75.71+22.98+277.22+25.24+599.4</f>
        <v>1092.38</v>
      </c>
    </row>
    <row r="30" spans="1:14" ht="12.75">
      <c r="A30" s="54">
        <v>37165</v>
      </c>
      <c r="B30" s="55"/>
      <c r="C30" s="56">
        <f>0.02+0.26+0.07+0.2+0.18+3.87</f>
        <v>4.6</v>
      </c>
      <c r="D30" s="56">
        <f>0.37+4.2+1.18+3.19+2.94+61.84</f>
        <v>73.72</v>
      </c>
      <c r="E30" s="56">
        <f>0.05+0.55+0.15+0.42+0.38+8.08</f>
        <v>9.63</v>
      </c>
      <c r="F30" s="56">
        <f>0.57+6.5+1.83+4.93+4.56+95.71</f>
        <v>114.1</v>
      </c>
      <c r="G30" s="56">
        <f>1.91+21.96+6.18+16.67+15.4+323.36+19.31</f>
        <v>404.79</v>
      </c>
      <c r="H30" s="56">
        <f>0.03+0.34+0.1+0.26+0.24+5.02</f>
        <v>5.989999999999999</v>
      </c>
      <c r="I30" s="56">
        <f>0.03+0.34+0.1+0.26+0.24+5.02</f>
        <v>5.989999999999999</v>
      </c>
      <c r="J30" s="56">
        <f>0.34+3.93+1.1+2.98+2.75+57.81</f>
        <v>68.91</v>
      </c>
      <c r="K30" s="55"/>
      <c r="L30" s="56">
        <f t="shared" si="2"/>
        <v>687.73</v>
      </c>
      <c r="N30" s="56">
        <f>8.33+88.5+15.04+91.33+28.32+337.58+31.05+713.75</f>
        <v>1313.8999999999999</v>
      </c>
    </row>
    <row r="31" spans="1:14" ht="12.75">
      <c r="A31" s="54">
        <v>37196</v>
      </c>
      <c r="B31" s="55"/>
      <c r="C31" s="56">
        <f>0.02+0.25+0.07+0.19+0.18+3.73</f>
        <v>4.4399999999999995</v>
      </c>
      <c r="D31" s="56">
        <f>0.35+4.06+1.14+3.08+2.84+59.72</f>
        <v>71.19</v>
      </c>
      <c r="E31" s="56">
        <f>0.05+0.53+0.15+0.4+0.37+7.8</f>
        <v>9.3</v>
      </c>
      <c r="F31" s="56">
        <f>0.55+6.28+1.77+4.76+4.4+92.41</f>
        <v>110.16999999999999</v>
      </c>
      <c r="G31" s="56">
        <f>1.84+21.2+5.96+16.1+14.86+312.23+18.65</f>
        <v>390.84</v>
      </c>
      <c r="H31" s="56">
        <f>0.03+0.33+0.09+0.25+0.23+4.85</f>
        <v>5.779999999999999</v>
      </c>
      <c r="I31" s="56">
        <f>0.03+0.33+0.09+0.25+0.23+4.85</f>
        <v>5.779999999999999</v>
      </c>
      <c r="J31" s="56">
        <f>0.33+3.79+1.07+2.88+2.66+55.82</f>
        <v>66.55</v>
      </c>
      <c r="K31" s="55"/>
      <c r="L31" s="56">
        <f t="shared" si="2"/>
        <v>664.0499999999998</v>
      </c>
      <c r="N31" s="56">
        <f>8.54+94.33+15.73+96.2+30.37+354.62+43.08+736.82</f>
        <v>1379.69</v>
      </c>
    </row>
    <row r="32" spans="1:14" ht="12.75">
      <c r="A32" s="54">
        <v>37226</v>
      </c>
      <c r="B32" s="55"/>
      <c r="C32" s="56">
        <f>0.02+0.25+0.07+0.19+0.17+3.65</f>
        <v>4.35</v>
      </c>
      <c r="D32" s="56">
        <f>0.35+3.96+1.11+3.01+2.78+58.37</f>
        <v>69.58</v>
      </c>
      <c r="E32" s="56">
        <f>0.05+0.52+0.15+0.39+0.36+7.62</f>
        <v>9.09</v>
      </c>
      <c r="F32" s="56">
        <f>0.53+6.13+1.73+4.66+4.3+90.33</f>
        <v>107.68</v>
      </c>
      <c r="G32" s="56">
        <f>1.8+20.73+5.83+15.73+14.53+305.17+18.23</f>
        <v>382.02000000000004</v>
      </c>
      <c r="H32" s="56">
        <f>0.03+0.32+0.09+0.24+0.23+4.74</f>
        <v>5.65</v>
      </c>
      <c r="I32" s="56">
        <f>0.03+0.32+0.09+0.24+0.23+4.74</f>
        <v>5.65</v>
      </c>
      <c r="J32" s="56">
        <f>0.32+3.71+1.04+2.81+2.6+54.55</f>
        <v>65.03</v>
      </c>
      <c r="K32" s="55"/>
      <c r="L32" s="56">
        <f t="shared" si="2"/>
        <v>649.05</v>
      </c>
      <c r="N32" s="56">
        <f>8.39+86.22+14.31+87.82+27.97+322.99+54.25+658.73</f>
        <v>1260.68</v>
      </c>
    </row>
    <row r="33" spans="1:14" ht="12.75">
      <c r="A33" s="55"/>
      <c r="B33" s="55"/>
      <c r="C33" s="56"/>
      <c r="D33" s="56"/>
      <c r="E33" s="56"/>
      <c r="F33" s="56"/>
      <c r="G33" s="56"/>
      <c r="H33" s="56"/>
      <c r="I33" s="56"/>
      <c r="J33" s="56"/>
      <c r="K33" s="55"/>
      <c r="L33" s="56"/>
      <c r="N33" s="56"/>
    </row>
    <row r="34" spans="1:14" ht="12.75">
      <c r="A34" s="58" t="s">
        <v>97</v>
      </c>
      <c r="B34" s="55"/>
      <c r="C34" s="56">
        <f aca="true" t="shared" si="3" ref="C34:J34">SUM(C21:C33)</f>
        <v>54.64</v>
      </c>
      <c r="D34" s="56">
        <f t="shared" si="3"/>
        <v>874.8100000000001</v>
      </c>
      <c r="E34" s="56">
        <f t="shared" si="3"/>
        <v>114.25</v>
      </c>
      <c r="F34" s="56">
        <f t="shared" si="3"/>
        <v>1353.8500000000001</v>
      </c>
      <c r="G34" s="56">
        <f t="shared" si="3"/>
        <v>4803.120000000001</v>
      </c>
      <c r="H34" s="56">
        <f t="shared" si="3"/>
        <v>71.03</v>
      </c>
      <c r="I34" s="56">
        <f t="shared" si="3"/>
        <v>71.03</v>
      </c>
      <c r="J34" s="56">
        <f t="shared" si="3"/>
        <v>817.7199999999998</v>
      </c>
      <c r="K34" s="55"/>
      <c r="L34" s="56">
        <f>SUM(C34:K34)</f>
        <v>8160.450000000001</v>
      </c>
      <c r="M34" s="56">
        <f>L34/12</f>
        <v>680.0375</v>
      </c>
      <c r="N34" s="56">
        <f>SUM(N21:N33)</f>
        <v>14759.210000000003</v>
      </c>
    </row>
    <row r="35" spans="1:14" ht="12.7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5"/>
      <c r="L35" s="56"/>
      <c r="N35" s="56"/>
    </row>
    <row r="36" spans="1:14" ht="12.75">
      <c r="A36" s="54">
        <v>37257</v>
      </c>
      <c r="B36" s="55"/>
      <c r="C36" s="56">
        <f>0.02+0.26+0.07+0.2+0.23+3.85</f>
        <v>4.63</v>
      </c>
      <c r="D36" s="56">
        <f>0.36+4.18+1.18+3.18+3.7+61.59</f>
        <v>74.19</v>
      </c>
      <c r="E36" s="56">
        <f>0.05+0.55+0.15+0.41+0.48+8.04</f>
        <v>9.68</v>
      </c>
      <c r="F36" s="56">
        <f>0.56+6.48+1.82+4.91+5.72+95.32</f>
        <v>114.81</v>
      </c>
      <c r="G36" s="56">
        <f>1.91+21.88+6.15+16.6+19.33+322.05+19.44</f>
        <v>407.36</v>
      </c>
      <c r="H36" s="56">
        <f>0.03+0.34+0.1+0.26+0.3+5</f>
        <v>6.03</v>
      </c>
      <c r="I36" s="56">
        <f>0.03+0.34+0.1+0.26+0.3+5</f>
        <v>6.03</v>
      </c>
      <c r="J36" s="56">
        <f>0.34+3.91+1.1+2.97+3.45+57.57</f>
        <v>69.34</v>
      </c>
      <c r="K36" s="55"/>
      <c r="L36" s="56">
        <f aca="true" t="shared" si="4" ref="L36:L47">SUM(C36:K36)</f>
        <v>692.07</v>
      </c>
      <c r="N36" s="56">
        <f>9.15+92.09+15.54+94.69+29.49+348.71+0.63+692.18</f>
        <v>1282.48</v>
      </c>
    </row>
    <row r="37" spans="1:14" ht="12.75">
      <c r="A37" s="54">
        <v>37288</v>
      </c>
      <c r="B37" s="55"/>
      <c r="C37" s="56">
        <f>0.02+0.2+0.06+0.15+0.17+2.89</f>
        <v>3.49</v>
      </c>
      <c r="D37" s="56">
        <f>0.27+3.14+0.88+2.39+2.79+46.21</f>
        <v>55.68</v>
      </c>
      <c r="E37" s="56">
        <f>0.04+0.41+0.12+0.31+0.36+6.04</f>
        <v>7.279999999999999</v>
      </c>
      <c r="F37" s="56">
        <f>0.42+4.86+1.37+3.7+4.31+71.52</f>
        <v>86.17999999999999</v>
      </c>
      <c r="G37" s="56">
        <f>1.43+16.42+4.61+12.51+14.56+241.63+14.6</f>
        <v>305.76</v>
      </c>
      <c r="H37" s="56">
        <f>0.02+0.25+0.07+0.19+0.23+3.75</f>
        <v>4.51</v>
      </c>
      <c r="I37" s="56">
        <f>0.02+0.25+0.07+0.19+0.23+3.75</f>
        <v>4.51</v>
      </c>
      <c r="J37" s="56">
        <f>0.26+2.94+0.82+2.24+2.6+43.2</f>
        <v>52.06</v>
      </c>
      <c r="K37" s="55"/>
      <c r="L37" s="56">
        <f t="shared" si="4"/>
        <v>519.47</v>
      </c>
      <c r="N37" s="56">
        <f>7.45+75.04+12.68+76.74+24.09+283.63+564.24</f>
        <v>1043.87</v>
      </c>
    </row>
    <row r="38" spans="1:14" ht="12.75">
      <c r="A38" s="54">
        <v>37316</v>
      </c>
      <c r="B38" s="55"/>
      <c r="C38" s="56">
        <f>0.02+0.19+0.05+0.15+0.17+2.87</f>
        <v>3.45</v>
      </c>
      <c r="D38" s="56">
        <f>0.27+3.11+0.87+2.35+2.7+45.97</f>
        <v>55.269999999999996</v>
      </c>
      <c r="E38" s="56">
        <f>0.04+0.41+0.11+0.31+0.35+6</f>
        <v>7.22</v>
      </c>
      <c r="F38" s="56">
        <f>0.42+4.81+1.35+3.63+4.18+71.14</f>
        <v>85.53</v>
      </c>
      <c r="G38" s="56">
        <f>1.41+16.25+4.57+12.27+14.12+240.35+14.52</f>
        <v>303.48999999999995</v>
      </c>
      <c r="H38" s="56">
        <f>0.02+0.25+0.07+0.19+0.22+3.73</f>
        <v>4.48</v>
      </c>
      <c r="I38" s="56">
        <f>0.02+0.25+0.07+0.19+0.22+3.73</f>
        <v>4.48</v>
      </c>
      <c r="J38" s="56">
        <f>0.25+2.91+0.82+2.19+2.53+42.97</f>
        <v>51.67</v>
      </c>
      <c r="K38" s="55"/>
      <c r="L38" s="56">
        <f t="shared" si="4"/>
        <v>515.5899999999999</v>
      </c>
      <c r="N38" s="56">
        <f>7.61+77.89+13.61+79.93+24.97+297.63+588.94</f>
        <v>1090.58</v>
      </c>
    </row>
    <row r="39" spans="1:14" ht="12.75">
      <c r="A39" s="54">
        <v>37347</v>
      </c>
      <c r="B39" s="55"/>
      <c r="C39" s="56">
        <f>0.02+0.2+0.06+0.15+0.18+3.42</f>
        <v>4.03</v>
      </c>
      <c r="D39" s="56">
        <f>0.28+3.26+0.91+2.44+2.81+54.74</f>
        <v>64.44</v>
      </c>
      <c r="E39" s="56">
        <f>0.04+0.43+0.12+0.32+0.37+7.15</f>
        <v>8.43</v>
      </c>
      <c r="F39" s="56">
        <f>0.43+5.05+1.41+3.78+4.35+84.71</f>
        <v>99.72999999999999</v>
      </c>
      <c r="G39" s="56">
        <f>1.47+17.06+4.76+12.78+14.71+286.2+16.92</f>
        <v>353.90000000000003</v>
      </c>
      <c r="H39" s="56">
        <f>0.02+0.26+0.07+0.2+0.23+4.44</f>
        <v>5.220000000000001</v>
      </c>
      <c r="I39" s="56">
        <f>0.02+0.26+0.07+0.2+0.23+4.44</f>
        <v>5.220000000000001</v>
      </c>
      <c r="J39" s="56">
        <f>0.26+3.05+0.85+2.28+2.63+51.16</f>
        <v>60.23</v>
      </c>
      <c r="K39" s="55"/>
      <c r="L39" s="56">
        <f t="shared" si="4"/>
        <v>601.2</v>
      </c>
      <c r="N39" s="56">
        <f>8.08+84.81+14.74+87.81+27.1+323.07+634.64</f>
        <v>1180.25</v>
      </c>
    </row>
    <row r="40" spans="1:14" ht="12.75">
      <c r="A40" s="54">
        <v>37377</v>
      </c>
      <c r="B40" s="55"/>
      <c r="C40" s="56">
        <f>0.02+0.1+0.06+0.17+0.19+3.38</f>
        <v>3.92</v>
      </c>
      <c r="D40" s="56">
        <f>0.31+1.62+0.99+2.67+3.07+54.05</f>
        <v>62.709999999999994</v>
      </c>
      <c r="E40" s="56">
        <f>0.04+0.21+0.13+0.35+0.4+7.06</f>
        <v>8.19</v>
      </c>
      <c r="F40" s="56">
        <f>0.47+2.5+1.54+4.13+4.75+83.65</f>
        <v>97.04</v>
      </c>
      <c r="G40" s="56">
        <f>1.6+8.46+5.19+13.94+16.05+282.6+16.41</f>
        <v>344.25000000000006</v>
      </c>
      <c r="H40" s="56">
        <f>0.02+0.13+0.08+0.22+0.25+4.39</f>
        <v>5.09</v>
      </c>
      <c r="I40" s="56">
        <f>0.02+0.13+0.08+0.22+0.25+4.39</f>
        <v>5.09</v>
      </c>
      <c r="J40" s="56">
        <f>0.29+1.51+0.93+2.49+2.87+50.52</f>
        <v>58.61</v>
      </c>
      <c r="K40" s="55"/>
      <c r="L40" s="56">
        <f t="shared" si="4"/>
        <v>584.9000000000002</v>
      </c>
      <c r="N40" s="56">
        <f>8.25+90.59+15.9+94.15+29.56+338.61+669.52</f>
        <v>1246.58</v>
      </c>
    </row>
    <row r="41" spans="1:14" ht="12.75">
      <c r="A41" s="54">
        <v>37408</v>
      </c>
      <c r="B41" s="55"/>
      <c r="C41" s="56">
        <f>0.02+0.21+0.06+0.16+0.18+3.22</f>
        <v>3.85</v>
      </c>
      <c r="D41" s="56">
        <f>0.29+3.35+0.93+2.49+2.87+51.59</f>
        <v>61.52</v>
      </c>
      <c r="E41" s="56">
        <f>0.04+0.44+0.12+0.33+0.37+6.74</f>
        <v>8.04</v>
      </c>
      <c r="F41" s="56">
        <f>0.44+5.19+1.44+3.85+4.44+79.84</f>
        <v>95.2</v>
      </c>
      <c r="G41" s="56">
        <f>1.5+17.52+4.85+13.02+14.99+269.75+16.09</f>
        <v>337.71999999999997</v>
      </c>
      <c r="H41" s="56">
        <f>0.02+0.27+0.08+0.2+0.23+4.19</f>
        <v>4.99</v>
      </c>
      <c r="I41" s="56">
        <f>0.02+0.27+0.08+0.2+0.23+4.19</f>
        <v>4.99</v>
      </c>
      <c r="J41" s="56">
        <f>0.27+3.13+0.87+2.33+2.68+48.22</f>
        <v>57.5</v>
      </c>
      <c r="K41" s="55"/>
      <c r="L41" s="56">
        <f t="shared" si="4"/>
        <v>573.81</v>
      </c>
      <c r="N41" s="56">
        <f>7.73+86.22+15.71+90.44+27.8+329.08+645.93</f>
        <v>1202.9099999999999</v>
      </c>
    </row>
    <row r="42" spans="1:14" ht="12.75">
      <c r="A42" s="54">
        <v>37438</v>
      </c>
      <c r="B42" s="55"/>
      <c r="C42" s="56">
        <f>0.02+0.12+0.06+0.16+0.19+2.97</f>
        <v>3.5200000000000005</v>
      </c>
      <c r="D42" s="56">
        <f>0.3+1.95+0.96+2.57+2.96+47.54</f>
        <v>56.28</v>
      </c>
      <c r="E42" s="56">
        <f>0.04+0.25+0.13+0.34+0.39+6.21</f>
        <v>7.359999999999999</v>
      </c>
      <c r="F42" s="56">
        <f>0.46+3.02+1.48+3.98+4.59+73.57</f>
        <v>87.1</v>
      </c>
      <c r="G42" s="56">
        <f>1.55+10.2+5.01+13.46+15.49+248.56+14.74</f>
        <v>309.01</v>
      </c>
      <c r="H42" s="56">
        <f>0.02+0.16+0.08+0.21+0.24+3.86</f>
        <v>4.57</v>
      </c>
      <c r="I42" s="56">
        <f>0.02+0.16+0.08+0.21+0.24+3.86</f>
        <v>4.57</v>
      </c>
      <c r="J42" s="56">
        <f>0.28+1.82+0.9+2.41+2.77+44.44</f>
        <v>52.62</v>
      </c>
      <c r="K42" s="55"/>
      <c r="L42" s="56">
        <f t="shared" si="4"/>
        <v>525.03</v>
      </c>
      <c r="N42" s="56">
        <f>8.69+96.09+17.06+101.18+32.59+366.38+717.09</f>
        <v>1339.08</v>
      </c>
    </row>
    <row r="43" spans="1:14" ht="12.75">
      <c r="A43" s="54">
        <v>37469</v>
      </c>
      <c r="B43" s="55"/>
      <c r="C43" s="56">
        <f>0.02+0.2+0.06+0.16+0.18+2.96</f>
        <v>3.58</v>
      </c>
      <c r="D43" s="56">
        <f>0.29+3.15+0.94+2.52+2.9+47.41</f>
        <v>57.209999999999994</v>
      </c>
      <c r="E43" s="56">
        <f>0.04+0.41+0.12+0.33+0.38+6.19</f>
        <v>7.470000000000001</v>
      </c>
      <c r="F43" s="56">
        <f>0.45+4.88+1.45+3.9+4.48+73.37</f>
        <v>88.53</v>
      </c>
      <c r="G43" s="56">
        <f>1.51+16.48+4.9+13.16+15.14+247.9+14.96</f>
        <v>314.05</v>
      </c>
      <c r="H43" s="56">
        <f>0.02+0.26+0.08+0.2+0.24+3.85</f>
        <v>4.65</v>
      </c>
      <c r="I43" s="56">
        <f>0.02+0.26+0.08+0.2+0.24+3.85</f>
        <v>4.65</v>
      </c>
      <c r="J43" s="56">
        <f>0.27+2.95+0.88+2.35+2.71+44.32</f>
        <v>53.480000000000004</v>
      </c>
      <c r="K43" s="55"/>
      <c r="L43" s="56">
        <f t="shared" si="4"/>
        <v>533.62</v>
      </c>
      <c r="N43" s="56">
        <f>7.88+90.64+16.09+95.32+29.82+346.92+677.67</f>
        <v>1264.3400000000001</v>
      </c>
    </row>
    <row r="44" spans="1:14" ht="12.75">
      <c r="A44" s="54">
        <v>37500</v>
      </c>
      <c r="B44" s="55"/>
      <c r="C44" s="56">
        <f>0.03+0.21+0.08+0.16+0.09+3.08</f>
        <v>3.65</v>
      </c>
      <c r="D44" s="56">
        <f>0.54+3.38+1.32+2.51+1.45+49.21</f>
        <v>58.41</v>
      </c>
      <c r="E44" s="56">
        <f>0.07+0.44+0.17+0.33+0.19+6.43</f>
        <v>7.63</v>
      </c>
      <c r="F44" s="56">
        <f>0.84+5.22+2.04+3.89+2.24+76.16</f>
        <v>90.39</v>
      </c>
      <c r="G44" s="56">
        <f>2.83+17.65+6.89+13.13+7.57+257.3+15.3</f>
        <v>320.67</v>
      </c>
      <c r="H44" s="56">
        <f>0.04+0.27+0.11+0.2+0.12+3.99</f>
        <v>4.73</v>
      </c>
      <c r="I44" s="56">
        <f>0.04+0.27+0.11+0.2+0.12+3.99</f>
        <v>4.73</v>
      </c>
      <c r="J44" s="56">
        <f>0.51+3.16+1.23+2.35+1.35+46</f>
        <v>54.6</v>
      </c>
      <c r="K44" s="55"/>
      <c r="L44" s="56">
        <f t="shared" si="4"/>
        <v>544.8100000000001</v>
      </c>
      <c r="N44" s="56">
        <f>7.42+82.83+14.57+87.25+27.26+320.24+624.73</f>
        <v>1164.3</v>
      </c>
    </row>
    <row r="45" spans="1:14" ht="12.75">
      <c r="A45" s="54">
        <v>37530</v>
      </c>
      <c r="B45" s="55"/>
      <c r="C45" s="56">
        <f>0.03+0.15+0.11+0.22+0.16+3.45</f>
        <v>4.12</v>
      </c>
      <c r="D45" s="56">
        <f>0.45+2.33+1.82+3.46+2.63+55.2</f>
        <v>65.89</v>
      </c>
      <c r="E45" s="56">
        <f>0.06+0.3+0.24+0.45+0.34+7.21</f>
        <v>8.6</v>
      </c>
      <c r="F45" s="56">
        <f>0.69+3.61+2.82+5.36+4.06+85.42</f>
        <v>101.96000000000001</v>
      </c>
      <c r="G45" s="56">
        <f>2.34+12.19+9.52+18.12+13.73+288.59+17.26</f>
        <v>361.75</v>
      </c>
      <c r="H45" s="56">
        <f>0.04+0.19+0.15+0.28+0.21+4.48</f>
        <v>5.3500000000000005</v>
      </c>
      <c r="I45" s="56">
        <f>0.04+0.19+0.15+0.28+0.21+4.48</f>
        <v>5.3500000000000005</v>
      </c>
      <c r="J45" s="56">
        <f>0.42+2.18+1.7+3.24+2.45+51.59</f>
        <v>61.580000000000005</v>
      </c>
      <c r="K45" s="55"/>
      <c r="L45" s="56">
        <f t="shared" si="4"/>
        <v>614.6</v>
      </c>
      <c r="N45" s="56">
        <f>7.59+87.52+15.55+91.76+28.87+335.8+655.52</f>
        <v>1222.6100000000001</v>
      </c>
    </row>
    <row r="46" spans="1:14" ht="12.75">
      <c r="A46" s="54">
        <v>37561</v>
      </c>
      <c r="B46" s="55"/>
      <c r="C46" s="56">
        <f>0.04+0.18+0.07+0.12+0.13+3.29</f>
        <v>3.83</v>
      </c>
      <c r="D46" s="56">
        <f>0.6+2.81+1.04+1.98+2.01+52.61</f>
        <v>61.05</v>
      </c>
      <c r="E46" s="56">
        <f>0.08+0.37+0.14+0.26+0.26+6.87</f>
        <v>7.98</v>
      </c>
      <c r="F46" s="56">
        <f>0.93+4.34+1.61+3.07+3.11+81.42</f>
        <v>94.48</v>
      </c>
      <c r="G46" s="56">
        <f>3.13+14.67+5.45+10.36+10.51+275.07+16.01</f>
        <v>335.2</v>
      </c>
      <c r="H46" s="56">
        <f>0.05+0.23+0.08+0.16+0.16+4.27</f>
        <v>4.949999999999999</v>
      </c>
      <c r="I46" s="56">
        <f>0.05+0.23+0.08+0.16+0.16+4.27</f>
        <v>4.949999999999999</v>
      </c>
      <c r="J46" s="56">
        <f>0.56+2.62+0.97+1.85+1.88+49.17</f>
        <v>57.050000000000004</v>
      </c>
      <c r="K46" s="55"/>
      <c r="L46" s="56">
        <f t="shared" si="4"/>
        <v>569.4899999999999</v>
      </c>
      <c r="N46" s="56">
        <f>7.4+85.22+14.83+88.71+28.15+325.49+634.14</f>
        <v>1183.94</v>
      </c>
    </row>
    <row r="47" spans="1:14" ht="12.75">
      <c r="A47" s="54">
        <v>37591</v>
      </c>
      <c r="B47" s="55"/>
      <c r="C47" s="56">
        <f>0.04+0.16+0.09+0.17+0.1+3.04</f>
        <v>3.6</v>
      </c>
      <c r="D47" s="56">
        <f>0.63+2.52+1.4+2.67+1.6+48.56</f>
        <v>57.38</v>
      </c>
      <c r="E47" s="56">
        <f>0.08+0.33+0.18+0.35+0.21+6.34</f>
        <v>7.49</v>
      </c>
      <c r="F47" s="56">
        <f>0.97+3.9+2.17+4.14+2.47+75.16</f>
        <v>88.81</v>
      </c>
      <c r="G47" s="56">
        <f>3.28+13.18+7.34+13.97+8.34+253.92+15.04</f>
        <v>315.07</v>
      </c>
      <c r="H47" s="56">
        <f>0.05+0.2+0.11+0.22+0.13+3.94</f>
        <v>4.65</v>
      </c>
      <c r="I47" s="56">
        <f>0.05+0.2+0.11+0.22+0.13+3.94</f>
        <v>4.65</v>
      </c>
      <c r="J47" s="56">
        <f>0.59+2.36+1.31+2.5+1.49+45.39</f>
        <v>53.64</v>
      </c>
      <c r="K47" s="55"/>
      <c r="L47" s="56">
        <f t="shared" si="4"/>
        <v>535.29</v>
      </c>
      <c r="N47" s="56">
        <f>7.61+86.48+15.34+91.44+28.71+336.9+652.86</f>
        <v>1219.3400000000001</v>
      </c>
    </row>
    <row r="48" spans="1:14" ht="12.75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5"/>
      <c r="L48" s="56"/>
      <c r="N48" s="56"/>
    </row>
    <row r="49" spans="1:14" ht="12.75">
      <c r="A49" s="57" t="s">
        <v>98</v>
      </c>
      <c r="B49" s="55"/>
      <c r="C49" s="56">
        <f aca="true" t="shared" si="5" ref="C49:J49">SUM(C36:C48)</f>
        <v>45.67</v>
      </c>
      <c r="D49" s="56">
        <f t="shared" si="5"/>
        <v>730.0299999999999</v>
      </c>
      <c r="E49" s="56">
        <f t="shared" si="5"/>
        <v>95.36999999999999</v>
      </c>
      <c r="F49" s="56">
        <f t="shared" si="5"/>
        <v>1129.76</v>
      </c>
      <c r="G49" s="56">
        <f t="shared" si="5"/>
        <v>4008.23</v>
      </c>
      <c r="H49" s="56">
        <f t="shared" si="5"/>
        <v>59.21999999999999</v>
      </c>
      <c r="I49" s="56">
        <f t="shared" si="5"/>
        <v>59.21999999999999</v>
      </c>
      <c r="J49" s="56">
        <f t="shared" si="5"/>
        <v>682.38</v>
      </c>
      <c r="K49" s="55"/>
      <c r="L49" s="56">
        <f>SUM(C49:K49)</f>
        <v>6809.88</v>
      </c>
      <c r="M49" s="56">
        <f>L49/12</f>
        <v>567.49</v>
      </c>
      <c r="N49" s="56">
        <f>SUM(N36:N48)</f>
        <v>14440.28</v>
      </c>
    </row>
    <row r="50" spans="1:14" ht="12.7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5"/>
      <c r="L50" s="56"/>
      <c r="N50" s="56"/>
    </row>
    <row r="51" spans="1:14" ht="12.75">
      <c r="A51" s="54">
        <v>37622</v>
      </c>
      <c r="B51" s="55"/>
      <c r="C51" s="56">
        <f>0.03+0.22+0.09+0.18+0.16+3.94</f>
        <v>4.62</v>
      </c>
      <c r="D51" s="56">
        <f>0.59+3.99+1.71+3.26+2.89+72.39</f>
        <v>84.83</v>
      </c>
      <c r="E51" s="56">
        <f>0.04+0.3+0.13+0.24+0.21+5.39</f>
        <v>6.31</v>
      </c>
      <c r="F51" s="56">
        <f>0.34+2.27+0.98+1.86+1.64+41.22</f>
        <v>48.31</v>
      </c>
      <c r="G51" s="56">
        <f>2.32+15.57+6.69+12.73+11.26+282.58-0.22</f>
        <v>330.92999999999995</v>
      </c>
      <c r="H51" s="56">
        <f>0.03+0.17+0.08+0.14+0.13+3.17</f>
        <v>3.7199999999999998</v>
      </c>
      <c r="I51" s="56">
        <f>0.03+0.17+0.08+0.14+0.13+3.17</f>
        <v>3.7199999999999998</v>
      </c>
      <c r="J51" s="56">
        <f>0.51+3.43+1.47+2.8+2.48+62.24</f>
        <v>72.93</v>
      </c>
      <c r="K51" s="55">
        <f>0.06+0.39+0.17+0.32+0.28+7.07</f>
        <v>8.290000000000001</v>
      </c>
      <c r="L51" s="56">
        <f aca="true" t="shared" si="6" ref="L51:L64">SUM(C51:K51)</f>
        <v>563.66</v>
      </c>
      <c r="N51" s="56">
        <f>7.87+91.31+15.84+95.61+30.14+352.66+683.13</f>
        <v>1276.56</v>
      </c>
    </row>
    <row r="52" spans="1:14" ht="12.75">
      <c r="A52" s="54">
        <v>37653</v>
      </c>
      <c r="B52" s="55"/>
      <c r="C52" s="56">
        <f>0.03+0.12+0.07+0.13+0.11+3.45</f>
        <v>3.91</v>
      </c>
      <c r="D52" s="56">
        <f>0.58+2.27+1.21+2.3+2.08+63.33</f>
        <v>71.77</v>
      </c>
      <c r="E52" s="56">
        <f>0.04+0.17+0.09+0.17+0.16+4.71</f>
        <v>5.34</v>
      </c>
      <c r="F52" s="56">
        <f>0.33+1.29+0.69+1.31+1.19+36.06</f>
        <v>40.870000000000005</v>
      </c>
      <c r="G52" s="56">
        <f>2.27+8.85+4.71+8.97+8.14+247.02</f>
        <v>279.96000000000004</v>
      </c>
      <c r="H52" s="56">
        <f>0.03+0.1+0.05+0.1+0.09+2.78</f>
        <v>3.15</v>
      </c>
      <c r="I52" s="56">
        <f>0.03+0.1+0.05+0.1+0.09+2.78</f>
        <v>3.15</v>
      </c>
      <c r="J52" s="56">
        <f>0.5+1.95+1.04+1.97+1.79+54.45</f>
        <v>61.7</v>
      </c>
      <c r="K52" s="55">
        <f>0.06+0.22+0.12+0.22+0.2+6.19</f>
        <v>7.010000000000001</v>
      </c>
      <c r="L52" s="56">
        <f t="shared" si="6"/>
        <v>476.85999999999996</v>
      </c>
      <c r="N52" s="56">
        <f>6.11+71.11+12.44+74.28+23.47+275.13+538.06</f>
        <v>1000.5999999999999</v>
      </c>
    </row>
    <row r="53" spans="1:14" ht="12.75">
      <c r="A53" s="54">
        <v>37681</v>
      </c>
      <c r="B53" s="55"/>
      <c r="C53" s="56">
        <f>0.04+0.19+0.08+0.16+0.14+3.44</f>
        <v>4.05</v>
      </c>
      <c r="D53" s="56">
        <f>0.72+3.6+1.57+3+2.6+64.83</f>
        <v>76.32</v>
      </c>
      <c r="E53" s="56">
        <f>0.05+0.25+0.11+0.21+0.18+4.59</f>
        <v>5.39</v>
      </c>
      <c r="F53" s="56">
        <f>0.4+2.02+0.89+1.69+1.46+36.45</f>
        <v>42.910000000000004</v>
      </c>
      <c r="G53" s="56">
        <f>2.72+13.7+5.99+11.41+9.91+246.76-3.33</f>
        <v>287.16</v>
      </c>
      <c r="H53" s="56">
        <f>0.03+0.16+0.07+0.13+0.11+2.8</f>
        <v>3.3</v>
      </c>
      <c r="I53" s="56">
        <f>0.03+0.16+0.07+0.13+0.11+2.8</f>
        <v>3.3</v>
      </c>
      <c r="J53" s="56">
        <f>0.63+3.16+1.38+2.63+2.28+56.85</f>
        <v>66.93</v>
      </c>
      <c r="K53" s="56">
        <f>0.1+0.51+0.22+0.42+0.37+9.18</f>
        <v>10.8</v>
      </c>
      <c r="L53" s="56">
        <f t="shared" si="6"/>
        <v>500.1600000000001</v>
      </c>
      <c r="N53" s="56">
        <f>6.56+75.35+13.24+79.89+25.29+296.3+575.5</f>
        <v>1072.13</v>
      </c>
    </row>
    <row r="54" spans="1:14" ht="12.75">
      <c r="A54" s="54">
        <v>37712</v>
      </c>
      <c r="B54" s="55"/>
      <c r="C54" s="56">
        <f>0.03+0.18+0.08+0.15+0.18+4.05</f>
        <v>4.67</v>
      </c>
      <c r="D54" s="56">
        <f>0.62+3.32+1.49+2.84+3.41+76.25</f>
        <v>87.93</v>
      </c>
      <c r="E54" s="56">
        <f>0.04+0.23+0.11+0.2+0.24+5.4</f>
        <v>6.220000000000001</v>
      </c>
      <c r="F54" s="56">
        <f>0.35+1.87+0.84+1.59+1.92+42.87</f>
        <v>49.44</v>
      </c>
      <c r="G54" s="56">
        <f>2.35+12.63+5.67+10.79+12.99+290.23-3.86</f>
        <v>330.8</v>
      </c>
      <c r="H54" s="56">
        <f>0.03+0.14+0.06+0.12+0.15+3.3</f>
        <v>3.8</v>
      </c>
      <c r="I54" s="56">
        <f>0.03+0.14+0.06+0.12+0.15+3.3</f>
        <v>3.8</v>
      </c>
      <c r="J54" s="56">
        <f>0.54+2.91+1.31+2.49+2.99+66.86</f>
        <v>77.1</v>
      </c>
      <c r="K54" s="56">
        <f>0.09+0.47+0.21+0.4+0.48+10.79</f>
        <v>12.44</v>
      </c>
      <c r="L54" s="56">
        <f t="shared" si="6"/>
        <v>576.2</v>
      </c>
      <c r="N54" s="56">
        <f>7.4+82.59+14.7+86.5+27.64+324.26+627.4</f>
        <v>1170.4899999999998</v>
      </c>
    </row>
    <row r="55" spans="1:14" ht="12.75">
      <c r="A55" s="54">
        <v>37742</v>
      </c>
      <c r="B55" s="55"/>
      <c r="C55" s="56">
        <f>0.03+0.29+0.1+0.19+0.1+3.41</f>
        <v>4.12</v>
      </c>
      <c r="D55" s="56">
        <f>0.64+5.87+2.06+3.91+2.14+69.69</f>
        <v>84.31</v>
      </c>
      <c r="E55" s="56">
        <f>0.05+0.49+0.17+0.33+0.18+5.82</f>
        <v>7.04</v>
      </c>
      <c r="F55" s="56">
        <f>0.37+3.42+1.2+2.28+1.25+40.55</f>
        <v>49.06999999999999</v>
      </c>
      <c r="G55" s="56">
        <f>2.53+23.17+8.12+15.45+8.46+275.11+12.64</f>
        <v>345.48</v>
      </c>
      <c r="H55" s="56">
        <f>0.03+0.29+0.1+0.19+0.1+3.41</f>
        <v>4.12</v>
      </c>
      <c r="I55" s="56">
        <f>0.03+0.29+0.1+0.19+0.1+3.41</f>
        <v>4.12</v>
      </c>
      <c r="J55" s="56">
        <f>0.42+3.85+1.35+2.57+1.4+45.7</f>
        <v>55.290000000000006</v>
      </c>
      <c r="K55" s="55">
        <f>0.14+1.31+0.46+0.87+0.48+15.57</f>
        <v>18.830000000000002</v>
      </c>
      <c r="L55" s="56">
        <f t="shared" si="6"/>
        <v>572.3800000000001</v>
      </c>
      <c r="N55" s="56">
        <f>7.54+86.81+15.09+91.47+28.95+336.28+649.89</f>
        <v>1216.03</v>
      </c>
    </row>
    <row r="56" spans="1:14" ht="12.75">
      <c r="A56" s="54">
        <v>37773</v>
      </c>
      <c r="B56" s="55"/>
      <c r="C56" s="56">
        <f>0.04+0.29+0.09+0.17+0.12+3.21</f>
        <v>3.92</v>
      </c>
      <c r="D56" s="56">
        <f>0.9+5.93+1.81+3.44+2.47+65.71</f>
        <v>80.25999999999999</v>
      </c>
      <c r="E56" s="56">
        <f>0.07+0.49+0.15+0.28+0.2+5.43</f>
        <v>6.62</v>
      </c>
      <c r="F56" s="56">
        <f>0.52+3.43+1.05+1.99+1.43+37.97</f>
        <v>46.39</v>
      </c>
      <c r="G56" s="56">
        <f>3.56+23.38+7.13+13.57+9.74+258.88+11.97</f>
        <v>328.23</v>
      </c>
      <c r="H56" s="56">
        <f>0.04+0.29+0.09+0.17+0.12+3.21</f>
        <v>3.92</v>
      </c>
      <c r="I56" s="56">
        <f>0.04+0.29+0.09+0.17+0.12+3.21</f>
        <v>3.92</v>
      </c>
      <c r="J56" s="56">
        <f>0.6+3.91+1.19+2.27+1.63+43.27</f>
        <v>52.870000000000005</v>
      </c>
      <c r="K56" s="55">
        <f>0.2+1.31+0.4+0.76+0.55+14.51</f>
        <v>17.73</v>
      </c>
      <c r="L56" s="56">
        <f t="shared" si="6"/>
        <v>543.8600000000001</v>
      </c>
      <c r="N56" s="56">
        <f>7.5+85.48+14.81+88.66+28.53+330.72+640.32</f>
        <v>1196.02</v>
      </c>
    </row>
    <row r="57" spans="1:14" ht="12.75">
      <c r="A57" s="54">
        <v>37803</v>
      </c>
      <c r="B57" s="55"/>
      <c r="C57" s="56">
        <f>0.03+0.13+0.08+0.15+0.13+2.29+0.88</f>
        <v>3.69</v>
      </c>
      <c r="D57" s="56">
        <f>0.71+2.73+1.67+3.17+2.72+47+18.12</f>
        <v>76.12</v>
      </c>
      <c r="E57" s="56">
        <f>0.06+0.23+0.14+0.26+0.22+3.88+1.5</f>
        <v>6.29</v>
      </c>
      <c r="F57" s="56">
        <f>0.41+1.58+0.96+1.83+1.57+27.16+10.47</f>
        <v>43.98</v>
      </c>
      <c r="G57" s="56">
        <f>2.79+10.75+6.57+12.49+10.72+185.16+8.68+71.39+2.72</f>
        <v>311.27000000000004</v>
      </c>
      <c r="H57" s="56">
        <f>0.03+0.13+0.08+0.15+0.13+2.29+0.88</f>
        <v>3.69</v>
      </c>
      <c r="I57" s="56">
        <f>0.03+0.13+0.08+0.15+0.13+2.29+0.88</f>
        <v>3.69</v>
      </c>
      <c r="J57" s="56">
        <f>0.47+1.8+1.1+2.09+1.79+30.95+11.93</f>
        <v>50.13</v>
      </c>
      <c r="K57" s="55">
        <f>0.16+0.6+0.37+0.7+0.6+10.38+4</f>
        <v>16.810000000000002</v>
      </c>
      <c r="L57" s="56">
        <f t="shared" si="6"/>
        <v>515.6700000000001</v>
      </c>
      <c r="N57" s="56">
        <f>8.17+92.92+16.4+96.65+31.44+356.97+689.5</f>
        <v>1292.0500000000002</v>
      </c>
    </row>
    <row r="58" spans="1:14" ht="12.75">
      <c r="A58" s="54">
        <v>37834</v>
      </c>
      <c r="B58" s="55"/>
      <c r="C58" s="56">
        <f>0.04+0.14+0.1+0.18+0.16+2.33+0.61</f>
        <v>3.56</v>
      </c>
      <c r="D58" s="56">
        <f>0.77+2.9+1.97+3.75+3.25+47.79+12.44</f>
        <v>72.87</v>
      </c>
      <c r="E58" s="56">
        <f>0.06+0.24+0.16+0.31+0.27+3.95+1.03</f>
        <v>6.0200000000000005</v>
      </c>
      <c r="F58" s="56">
        <f>0.45+1.67+1.14+2.17+1.88+27.62+7.19</f>
        <v>42.12</v>
      </c>
      <c r="G58" s="56">
        <f>3.04+11.41+7.77+14.79+12.8+188.26+9.01+49.01+1.84</f>
        <v>297.92999999999995</v>
      </c>
      <c r="H58" s="56">
        <f>0.04+0.14+0.1+0.18+0.16+2.33+0.61</f>
        <v>3.56</v>
      </c>
      <c r="I58" s="56">
        <f>0.04+0.14+0.1+0.18+0.16+2.33+0.61</f>
        <v>3.56</v>
      </c>
      <c r="J58" s="56">
        <f>0.51+1.91+1.3+2.47+2.14+31.47+8.19</f>
        <v>47.989999999999995</v>
      </c>
      <c r="K58" s="55">
        <f>0.17+0.64+0.44+0.83+0.72+10.55+2.75</f>
        <v>16.1</v>
      </c>
      <c r="L58" s="56">
        <f t="shared" si="6"/>
        <v>493.71</v>
      </c>
      <c r="N58" s="56">
        <f>7.59+86.05+14.71+88.83+28.68+328.86+638.06</f>
        <v>1192.78</v>
      </c>
    </row>
    <row r="59" spans="1:14" ht="12.75">
      <c r="A59" s="54">
        <v>37865</v>
      </c>
      <c r="B59" s="55"/>
      <c r="C59" s="56">
        <f>0.04+0.12+0.12+0.23+0.12+0.73+2.74</f>
        <v>4.1</v>
      </c>
      <c r="D59" s="56">
        <f>1.15+3.27+3.27+6.23+3.12+19.46+73.23</f>
        <v>109.73</v>
      </c>
      <c r="E59" s="56">
        <f>0.08+0.23+0.23+0.45+0.22+1.4+5.25</f>
        <v>7.859999999999999</v>
      </c>
      <c r="F59" s="56">
        <f>0.56+1.59+1.59+3.03+1.52+9.47+35.64</f>
        <v>53.4</v>
      </c>
      <c r="G59" s="56">
        <f>3.74+10.65+10.65+20.28+10.16+63.34+238.34-0.03</f>
        <v>357.13000000000005</v>
      </c>
      <c r="H59" s="56">
        <v>3.84</v>
      </c>
      <c r="I59" s="56">
        <v>3.84</v>
      </c>
      <c r="J59" s="56">
        <f>0.34+0.96+0.96+1.82+0.91+5.69+21.4</f>
        <v>32.08</v>
      </c>
      <c r="K59" s="55">
        <f>0.25+0.72+0.72+1.37+0.69+4.27+16.07</f>
        <v>24.09</v>
      </c>
      <c r="L59" s="56">
        <f t="shared" si="6"/>
        <v>596.0700000000002</v>
      </c>
      <c r="N59" s="56">
        <f>8.03+88.06+15.32+92.05+29.59+343.82+667.81</f>
        <v>1244.6799999999998</v>
      </c>
    </row>
    <row r="60" spans="1:14" ht="12.75">
      <c r="A60" s="54">
        <v>37895</v>
      </c>
      <c r="B60" s="55"/>
      <c r="C60" s="56">
        <f>0.04+0.22+0.09+0.17+0.12+0.59+3.04</f>
        <v>4.27</v>
      </c>
      <c r="D60" s="56">
        <f>0.94+5.39+2.16+4.11+2.9+14.46+75.16</f>
        <v>105.12</v>
      </c>
      <c r="E60" s="56">
        <f>0.07+0.39+0.16+0.3+0.21+1.04+5.4</f>
        <v>7.57</v>
      </c>
      <c r="F60" s="56">
        <f>0.46+2.64+1.06+2.02+1.42+7.09+36.87</f>
        <v>51.559999999999995</v>
      </c>
      <c r="G60" s="56">
        <f>3.15+17.97+7.2+13.71+9.68+48.22+250.68+0.08</f>
        <v>350.69</v>
      </c>
      <c r="H60" s="56">
        <f>0.03+0.16+0.06+0.12+0.09+0.42+2.21</f>
        <v>3.09</v>
      </c>
      <c r="I60" s="56">
        <f>0.03+0.16+0.06+0.12+0.09+0.42+2.21</f>
        <v>3.09</v>
      </c>
      <c r="J60" s="56">
        <f>0.48+2.75+1.1+2.1+1.48+7.37+38.33</f>
        <v>53.61</v>
      </c>
      <c r="K60" s="55">
        <f>0.19+1.06+0.42+0.81+0.57+2.84+14.75</f>
        <v>20.64</v>
      </c>
      <c r="L60" s="56">
        <f t="shared" si="6"/>
        <v>599.6400000000001</v>
      </c>
      <c r="N60" s="56">
        <v>1256.2</v>
      </c>
    </row>
    <row r="61" spans="1:14" ht="12.75">
      <c r="A61" s="54">
        <v>37926</v>
      </c>
      <c r="B61" s="55"/>
      <c r="C61" s="56">
        <f>0.05+0.19+0.1+0.19+0.11+0.71+2.52</f>
        <v>3.87</v>
      </c>
      <c r="D61" s="56">
        <f>1.32+4.81+2.43+4.62+2.72+17.63+62.69</f>
        <v>96.22</v>
      </c>
      <c r="E61" s="56">
        <f>0.09+0.34+0.17+0.32+0.19+1.24+4.41</f>
        <v>6.76</v>
      </c>
      <c r="F61" s="56">
        <f>0.65+2.35+1.19+2.26+1.33+8.62+30.65</f>
        <v>47.05</v>
      </c>
      <c r="G61" s="56">
        <f>4.39+15.96+8.05+15.33+9.01+58.53+208.09+0.03</f>
        <v>319.39</v>
      </c>
      <c r="H61" s="56">
        <f>0.04+0.14+0.07+0.14+0.08+0.52+1.85</f>
        <v>2.84</v>
      </c>
      <c r="I61" s="56">
        <f>0.04+0.14+0.07+0.14+0.08+0.52+1.85</f>
        <v>2.84</v>
      </c>
      <c r="J61" s="56">
        <f>0.66+2.4+1.21+2.31+1.36+8.81+31.33</f>
        <v>48.08</v>
      </c>
      <c r="K61" s="55">
        <f>0.26+0.93+0.47+0.9+0.53+3.42+12.16</f>
        <v>18.67</v>
      </c>
      <c r="L61" s="56">
        <f t="shared" si="6"/>
        <v>545.7199999999999</v>
      </c>
      <c r="N61" s="56">
        <v>1106.09</v>
      </c>
    </row>
    <row r="62" spans="1:14" ht="12.75">
      <c r="A62" s="54">
        <v>37956</v>
      </c>
      <c r="B62" s="55"/>
      <c r="C62" s="56">
        <v>4.56</v>
      </c>
      <c r="D62" s="56">
        <v>94.22</v>
      </c>
      <c r="E62" s="56">
        <v>8.04</v>
      </c>
      <c r="F62" s="56">
        <v>55.2</v>
      </c>
      <c r="G62" s="56">
        <v>375.52</v>
      </c>
      <c r="H62" s="56">
        <v>3.29</v>
      </c>
      <c r="I62" s="56">
        <v>3.29</v>
      </c>
      <c r="J62" s="56">
        <v>56.87</v>
      </c>
      <c r="K62" s="55">
        <v>40.84</v>
      </c>
      <c r="L62" s="56">
        <f t="shared" si="6"/>
        <v>641.8299999999999</v>
      </c>
      <c r="N62" s="56">
        <v>1298.21</v>
      </c>
    </row>
    <row r="63" spans="1:14" ht="12.75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5"/>
      <c r="L63" s="56">
        <f t="shared" si="6"/>
        <v>0</v>
      </c>
      <c r="N63" s="56"/>
    </row>
    <row r="64" spans="1:14" ht="12.75">
      <c r="A64" s="58" t="s">
        <v>99</v>
      </c>
      <c r="B64" s="55"/>
      <c r="C64" s="56">
        <f aca="true" t="shared" si="7" ref="C64:K64">SUM(C51:C63)</f>
        <v>49.339999999999996</v>
      </c>
      <c r="D64" s="56">
        <f t="shared" si="7"/>
        <v>1039.7</v>
      </c>
      <c r="E64" s="56">
        <f t="shared" si="7"/>
        <v>79.46000000000001</v>
      </c>
      <c r="F64" s="56">
        <f t="shared" si="7"/>
        <v>570.3000000000001</v>
      </c>
      <c r="G64" s="56">
        <f t="shared" si="7"/>
        <v>3914.49</v>
      </c>
      <c r="H64" s="56">
        <f t="shared" si="7"/>
        <v>42.32</v>
      </c>
      <c r="I64" s="56">
        <f t="shared" si="7"/>
        <v>42.32</v>
      </c>
      <c r="J64" s="56">
        <f t="shared" si="7"/>
        <v>675.58</v>
      </c>
      <c r="K64" s="56">
        <f t="shared" si="7"/>
        <v>212.25000000000003</v>
      </c>
      <c r="L64" s="56">
        <f t="shared" si="6"/>
        <v>6625.759999999999</v>
      </c>
      <c r="M64" s="56">
        <f>L64/12</f>
        <v>552.1466666666666</v>
      </c>
      <c r="N64" s="56">
        <f>SUM(N51:N63)</f>
        <v>14321.840000000004</v>
      </c>
    </row>
    <row r="65" spans="1:1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1:14" ht="12.75">
      <c r="A66" s="54">
        <v>37987</v>
      </c>
      <c r="B66" s="55"/>
      <c r="C66" s="56">
        <v>4.12</v>
      </c>
      <c r="D66" s="56">
        <v>85.59</v>
      </c>
      <c r="E66" s="56">
        <v>7.22</v>
      </c>
      <c r="F66" s="56">
        <v>50.01</v>
      </c>
      <c r="G66" s="56">
        <v>340.44</v>
      </c>
      <c r="H66" s="56">
        <v>3.01</v>
      </c>
      <c r="I66" s="56">
        <v>3.01</v>
      </c>
      <c r="J66" s="56">
        <v>51.29</v>
      </c>
      <c r="K66" s="55">
        <v>36.82</v>
      </c>
      <c r="L66" s="56">
        <f aca="true" t="shared" si="8" ref="L66:L77">SUM(C66:K66)</f>
        <v>581.51</v>
      </c>
      <c r="N66" s="56">
        <v>1230.65</v>
      </c>
    </row>
    <row r="67" spans="1:14" ht="12.75">
      <c r="A67" s="54">
        <v>38018</v>
      </c>
      <c r="B67" s="55"/>
      <c r="C67" s="56">
        <v>3.63</v>
      </c>
      <c r="D67" s="56">
        <v>74.87</v>
      </c>
      <c r="E67" s="56">
        <v>6.38</v>
      </c>
      <c r="F67" s="56">
        <v>43.91</v>
      </c>
      <c r="G67" s="56">
        <v>298.17</v>
      </c>
      <c r="H67" s="56">
        <v>2.63</v>
      </c>
      <c r="I67" s="56">
        <v>2.63</v>
      </c>
      <c r="J67" s="56">
        <v>45.54</v>
      </c>
      <c r="K67" s="55">
        <v>32.2</v>
      </c>
      <c r="L67" s="56">
        <f t="shared" si="8"/>
        <v>509.96000000000004</v>
      </c>
      <c r="N67" s="56">
        <v>1023.14</v>
      </c>
    </row>
    <row r="68" spans="1:14" ht="12.75">
      <c r="A68" s="54">
        <v>38047</v>
      </c>
      <c r="B68" s="55"/>
      <c r="C68" s="56">
        <v>4.33</v>
      </c>
      <c r="D68" s="56">
        <v>89.65</v>
      </c>
      <c r="E68" s="56">
        <v>7.63</v>
      </c>
      <c r="F68" s="56">
        <v>52.61</v>
      </c>
      <c r="G68" s="56">
        <v>356.9</v>
      </c>
      <c r="H68" s="56">
        <v>3.14</v>
      </c>
      <c r="I68" s="56">
        <v>3.14</v>
      </c>
      <c r="J68" s="56">
        <v>54.31</v>
      </c>
      <c r="K68" s="56">
        <v>38.58</v>
      </c>
      <c r="L68" s="56">
        <f t="shared" si="8"/>
        <v>610.2900000000001</v>
      </c>
      <c r="N68" s="56">
        <v>1210.43</v>
      </c>
    </row>
    <row r="69" spans="1:14" ht="12.75">
      <c r="A69" s="54">
        <v>38078</v>
      </c>
      <c r="B69" s="55"/>
      <c r="C69" s="56">
        <f>0.03+0.17+0.07+0.13+0.11+0.73+2.79</f>
        <v>4.03</v>
      </c>
      <c r="D69" s="56">
        <f>0.59+3.43+1.44+2.73+2.34+14.84+57.02</f>
        <v>82.39</v>
      </c>
      <c r="E69" s="56">
        <f>0.05+0.29+0.12+0.23+0.2+1.26+4.85</f>
        <v>7</v>
      </c>
      <c r="F69" s="56">
        <f>0.34+2.01+0.84+1.6+1.37+8.7+33.42</f>
        <v>48.28</v>
      </c>
      <c r="G69" s="56">
        <f>2.34+13.65+5.72+10.88+9.34+59.11+227.12</f>
        <v>328.16</v>
      </c>
      <c r="H69" s="56">
        <f>0.02+0.12+0.05+0.1+0.08+0.53+2.02</f>
        <v>2.92</v>
      </c>
      <c r="I69" s="56">
        <v>2.92</v>
      </c>
      <c r="J69" s="56">
        <f>0.35+2.06+0.87+1.65+1.41+8.94+34.35</f>
        <v>49.63</v>
      </c>
      <c r="K69" s="56">
        <v>35.54</v>
      </c>
      <c r="L69" s="56">
        <f t="shared" si="8"/>
        <v>560.87</v>
      </c>
      <c r="N69" s="56">
        <v>1196.17</v>
      </c>
    </row>
    <row r="70" spans="1:14" ht="12.75">
      <c r="A70" s="54">
        <v>38108</v>
      </c>
      <c r="B70" s="55"/>
      <c r="C70" s="56">
        <f>0.04+0.11+0.06+0.12+0.13+0.78+2.58</f>
        <v>3.8200000000000003</v>
      </c>
      <c r="D70" s="56">
        <f>0.75+2.25+1.33+2.53+2.61+16.07+53.35</f>
        <v>78.89</v>
      </c>
      <c r="E70" s="56">
        <f>0.06+0.19+0.11+0.22+0.22+1.37+4.54</f>
        <v>6.71</v>
      </c>
      <c r="F70" s="56">
        <f>0.44+1.32+0.78+1.48+1.53+9.43+31.29</f>
        <v>46.269999999999996</v>
      </c>
      <c r="G70" s="56">
        <f>2.98+8.98+5.29+10.07+10.38+64.04+212.6</f>
        <v>314.34000000000003</v>
      </c>
      <c r="H70" s="56">
        <f>0.03+0.08+0.05+0.09+0.09+0.57+1.89</f>
        <v>2.8</v>
      </c>
      <c r="I70" s="56">
        <f>0.03+0.08+0.05+0.09+0.09+0.57+1.89</f>
        <v>2.8</v>
      </c>
      <c r="J70" s="56">
        <f>0.45+1.36+0.8+1.53+1.57+9.7+32.2</f>
        <v>47.61</v>
      </c>
      <c r="K70" s="55">
        <f>0.32+0.97+0.57+1.09+1.13+6.94+23.04+0.05</f>
        <v>34.11</v>
      </c>
      <c r="L70" s="56">
        <f t="shared" si="8"/>
        <v>537.35</v>
      </c>
      <c r="N70" s="56">
        <v>1160.47</v>
      </c>
    </row>
    <row r="71" spans="1:14" ht="12.75">
      <c r="A71" s="54">
        <v>38139</v>
      </c>
      <c r="B71" s="55"/>
      <c r="C71" s="56">
        <v>3.83</v>
      </c>
      <c r="D71" s="56">
        <v>79.47</v>
      </c>
      <c r="E71" s="56">
        <v>6.57</v>
      </c>
      <c r="F71" s="56">
        <v>47.91</v>
      </c>
      <c r="G71" s="56">
        <v>314.9</v>
      </c>
      <c r="H71" s="56">
        <v>2.77</v>
      </c>
      <c r="I71" s="56">
        <v>2.77</v>
      </c>
      <c r="J71" s="56">
        <v>47.91</v>
      </c>
      <c r="K71" s="55">
        <v>32.26</v>
      </c>
      <c r="L71" s="56">
        <f t="shared" si="8"/>
        <v>538.3899999999999</v>
      </c>
      <c r="N71" s="56">
        <v>1230.86</v>
      </c>
    </row>
    <row r="72" spans="1:14" ht="12.75">
      <c r="A72" s="54">
        <v>38169</v>
      </c>
      <c r="B72" s="55"/>
      <c r="C72" s="56">
        <f>0.04+0.2+0.07+0.13+0.13+0.76+2.72</f>
        <v>4.050000000000001</v>
      </c>
      <c r="D72" s="56">
        <f>0.74+4.11+1.44+2.75+2.61+15.71+55.89</f>
        <v>83.25</v>
      </c>
      <c r="E72" s="56">
        <f>0.06+0.36+0.13+0.24+0.23+1.38+4.9</f>
        <v>7.300000000000001</v>
      </c>
      <c r="F72" s="56">
        <f>0.43+2.42+0.85+1.62+1.54+9.25+32.91</f>
        <v>49.019999999999996</v>
      </c>
      <c r="G72" s="56">
        <f>2.96+16.5+5.79+11.03+10.46+63.03+224.18</f>
        <v>333.95000000000005</v>
      </c>
      <c r="H72" s="56">
        <f>0.03+0.15+0.05+0.1+0.09+0.56+1.99</f>
        <v>2.9699999999999998</v>
      </c>
      <c r="I72" s="56">
        <f>0.03+0.15+0.05+0.1+0.09+0.56+1.99</f>
        <v>2.9699999999999998</v>
      </c>
      <c r="J72" s="56">
        <f>0.45+2.5+0.88+1.67+1.59+9.55+33.98</f>
        <v>50.62</v>
      </c>
      <c r="K72" s="55">
        <f>0.32+1.81+0.63+1.21+1.15+6.9+24.52</f>
        <v>36.54</v>
      </c>
      <c r="L72" s="56">
        <f t="shared" si="8"/>
        <v>570.6700000000001</v>
      </c>
      <c r="N72" s="56">
        <v>1191.64</v>
      </c>
    </row>
    <row r="73" spans="1:14" ht="12.75">
      <c r="A73" s="54">
        <v>38200</v>
      </c>
      <c r="B73" s="55"/>
      <c r="C73" s="56">
        <v>4.07</v>
      </c>
      <c r="D73" s="56">
        <v>83.89</v>
      </c>
      <c r="E73" s="56">
        <v>7.28</v>
      </c>
      <c r="F73" s="56">
        <v>49.43</v>
      </c>
      <c r="G73" s="56">
        <v>335.46</v>
      </c>
      <c r="H73" s="56">
        <v>2.98</v>
      </c>
      <c r="I73" s="56">
        <v>2.98</v>
      </c>
      <c r="J73" s="56">
        <v>50.69</v>
      </c>
      <c r="K73" s="55">
        <v>36.66</v>
      </c>
      <c r="L73" s="56">
        <f t="shared" si="8"/>
        <v>573.4399999999999</v>
      </c>
      <c r="N73" s="56">
        <v>1163.81</v>
      </c>
    </row>
    <row r="74" spans="1:14" ht="12.75">
      <c r="A74" s="54">
        <v>38231</v>
      </c>
      <c r="B74" s="55"/>
      <c r="C74" s="56">
        <v>4.16</v>
      </c>
      <c r="D74" s="56">
        <v>85.61</v>
      </c>
      <c r="E74" s="56">
        <v>7.44</v>
      </c>
      <c r="F74" s="56">
        <v>50.44</v>
      </c>
      <c r="G74" s="56">
        <v>342.3</v>
      </c>
      <c r="H74" s="56">
        <v>3.04</v>
      </c>
      <c r="I74" s="56">
        <v>3.04</v>
      </c>
      <c r="J74" s="56">
        <v>51.73</v>
      </c>
      <c r="K74" s="55">
        <v>37.36</v>
      </c>
      <c r="L74" s="56">
        <f t="shared" si="8"/>
        <v>585.12</v>
      </c>
      <c r="N74" s="56">
        <v>1175.97</v>
      </c>
    </row>
    <row r="75" spans="1:14" ht="12.75">
      <c r="A75" s="54">
        <v>38261</v>
      </c>
      <c r="B75" s="55"/>
      <c r="C75" s="56">
        <v>3.83</v>
      </c>
      <c r="D75" s="56">
        <v>79.02</v>
      </c>
      <c r="E75" s="56">
        <v>6.79</v>
      </c>
      <c r="F75" s="56">
        <v>46.38</v>
      </c>
      <c r="G75" s="56">
        <v>315.48</v>
      </c>
      <c r="H75" s="56">
        <v>2.78</v>
      </c>
      <c r="I75" s="56">
        <v>2.78</v>
      </c>
      <c r="J75" s="56">
        <v>48.12</v>
      </c>
      <c r="K75" s="55">
        <v>34.29</v>
      </c>
      <c r="L75" s="56">
        <f t="shared" si="8"/>
        <v>539.4699999999999</v>
      </c>
      <c r="N75" s="56">
        <v>1050.19</v>
      </c>
    </row>
    <row r="76" spans="1:14" ht="12.75">
      <c r="A76" s="54">
        <v>38292</v>
      </c>
      <c r="B76" s="55"/>
      <c r="C76" s="56">
        <v>4.41</v>
      </c>
      <c r="D76" s="56">
        <v>91.13</v>
      </c>
      <c r="E76" s="56">
        <v>7.62</v>
      </c>
      <c r="F76" s="56">
        <v>53.29</v>
      </c>
      <c r="G76" s="56">
        <v>362.11</v>
      </c>
      <c r="H76" s="56">
        <v>3.2</v>
      </c>
      <c r="I76" s="56">
        <v>3.2</v>
      </c>
      <c r="J76" s="56">
        <v>54.99</v>
      </c>
      <c r="K76" s="55">
        <v>39.16</v>
      </c>
      <c r="L76" s="56">
        <f t="shared" si="8"/>
        <v>619.11</v>
      </c>
      <c r="N76" s="56">
        <v>1154.11</v>
      </c>
    </row>
    <row r="77" spans="1:14" ht="12.75">
      <c r="A77" s="54">
        <v>38322</v>
      </c>
      <c r="B77" s="55"/>
      <c r="C77" s="56">
        <v>4.91</v>
      </c>
      <c r="D77" s="56">
        <v>101.53</v>
      </c>
      <c r="E77" s="56">
        <v>8.66</v>
      </c>
      <c r="F77" s="56">
        <v>59.64</v>
      </c>
      <c r="G77" s="56">
        <v>405.26</v>
      </c>
      <c r="H77" s="56">
        <v>3.6</v>
      </c>
      <c r="I77" s="56">
        <v>3.6</v>
      </c>
      <c r="J77" s="56">
        <v>61.23</v>
      </c>
      <c r="K77" s="55">
        <v>44.18</v>
      </c>
      <c r="L77" s="56">
        <f t="shared" si="8"/>
        <v>692.61</v>
      </c>
      <c r="N77" s="56">
        <v>1192.5</v>
      </c>
    </row>
    <row r="78" spans="1:14" ht="12.75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5"/>
      <c r="L78" s="56"/>
      <c r="N78" s="56"/>
    </row>
    <row r="79" spans="1:14" ht="12.75">
      <c r="A79" s="58" t="s">
        <v>99</v>
      </c>
      <c r="B79" s="55"/>
      <c r="C79" s="56">
        <f aca="true" t="shared" si="9" ref="C79:K79">SUM(C66:C78)</f>
        <v>49.19</v>
      </c>
      <c r="D79" s="56">
        <f t="shared" si="9"/>
        <v>1015.29</v>
      </c>
      <c r="E79" s="56">
        <f t="shared" si="9"/>
        <v>86.60000000000001</v>
      </c>
      <c r="F79" s="56">
        <f t="shared" si="9"/>
        <v>597.1899999999999</v>
      </c>
      <c r="G79" s="56">
        <f t="shared" si="9"/>
        <v>4047.470000000001</v>
      </c>
      <c r="H79" s="56">
        <f t="shared" si="9"/>
        <v>35.84</v>
      </c>
      <c r="I79" s="56">
        <f t="shared" si="9"/>
        <v>35.84</v>
      </c>
      <c r="J79" s="56">
        <f t="shared" si="9"/>
        <v>613.67</v>
      </c>
      <c r="K79" s="56">
        <f t="shared" si="9"/>
        <v>437.7</v>
      </c>
      <c r="L79" s="56">
        <f>SUM(C79:K79)</f>
        <v>6918.790000000002</v>
      </c>
      <c r="M79" s="56">
        <f>L79/12</f>
        <v>576.5658333333334</v>
      </c>
      <c r="N79" s="56">
        <f>SUM(N66:N78)</f>
        <v>13979.94</v>
      </c>
    </row>
    <row r="80" spans="1:12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</sheetData>
  <printOptions/>
  <pageMargins left="0" right="0" top="0.25" bottom="0" header="0.5" footer="0.5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61">
      <selection activeCell="M79" sqref="M79"/>
    </sheetView>
  </sheetViews>
  <sheetFormatPr defaultColWidth="9.140625" defaultRowHeight="12.75"/>
  <cols>
    <col min="1" max="12" width="9.140625" style="60" customWidth="1"/>
    <col min="13" max="13" width="10.00390625" style="60" bestFit="1" customWidth="1"/>
    <col min="14" max="16384" width="9.140625" style="60" customWidth="1"/>
  </cols>
  <sheetData>
    <row r="1" ht="12.75">
      <c r="A1" s="59" t="s">
        <v>100</v>
      </c>
    </row>
    <row r="2" spans="13:14" ht="12.75">
      <c r="M2" s="61" t="s">
        <v>101</v>
      </c>
      <c r="N2" s="61" t="s">
        <v>102</v>
      </c>
    </row>
    <row r="3" spans="2:14" ht="12.75">
      <c r="B3" s="62"/>
      <c r="C3" s="63" t="s">
        <v>89</v>
      </c>
      <c r="D3" s="63" t="s">
        <v>90</v>
      </c>
      <c r="E3" s="63" t="s">
        <v>91</v>
      </c>
      <c r="F3" s="63" t="s">
        <v>16</v>
      </c>
      <c r="G3" s="63" t="s">
        <v>17</v>
      </c>
      <c r="H3" s="63" t="s">
        <v>92</v>
      </c>
      <c r="I3" s="63" t="s">
        <v>19</v>
      </c>
      <c r="J3" s="63" t="s">
        <v>20</v>
      </c>
      <c r="K3" s="63" t="s">
        <v>93</v>
      </c>
      <c r="L3" s="63" t="s">
        <v>60</v>
      </c>
      <c r="M3" s="63" t="s">
        <v>103</v>
      </c>
      <c r="N3" s="63" t="s">
        <v>95</v>
      </c>
    </row>
    <row r="4" spans="2:12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12.7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4">
        <v>36526</v>
      </c>
      <c r="B6" s="65"/>
      <c r="C6" s="66">
        <f>0.03+0.47+0.04+0.16+0.15+0.9+0.86+2.48</f>
        <v>5.09</v>
      </c>
      <c r="D6" s="66">
        <f>0.43+7.46+0.56+2.57+2.4+14.33+13.83+39.72</f>
        <v>81.3</v>
      </c>
      <c r="E6" s="66">
        <f>0.06+0.97+0.07+0.34+0.31+1.87+1.81+5.19</f>
        <v>10.620000000000001</v>
      </c>
      <c r="F6" s="66">
        <f>0.66+11.55+0.87+3.97+3.72+22.17+21.4+61.47</f>
        <v>125.81</v>
      </c>
      <c r="G6" s="66">
        <f>2.23+39.03+2.93+13.41+12.57+74.91+72.3+207.68+34.66</f>
        <v>459.72</v>
      </c>
      <c r="H6" s="66">
        <f>0.03+0.61+0.05+0.21+0.2+1.16+1.12+3.22</f>
        <v>6.6</v>
      </c>
      <c r="I6" s="66">
        <f>0.03+0.61+0.05+0.21+0.2+1.16+1.12+3.22</f>
        <v>6.6</v>
      </c>
      <c r="J6" s="66">
        <f>0.4+6.98+0.52+2.4+2.25+12.92+37.13</f>
        <v>62.6</v>
      </c>
      <c r="K6" s="65"/>
      <c r="L6" s="66">
        <f aca="true" t="shared" si="0" ref="L6:L17">SUM(C6:K6)</f>
        <v>758.34</v>
      </c>
    </row>
    <row r="7" spans="1:12" ht="12.75">
      <c r="A7" s="64">
        <v>36557</v>
      </c>
      <c r="B7" s="65"/>
      <c r="C7" s="66">
        <f>0.02+0.52+0.09+0.11+0.11+0.81+0.72+2.54</f>
        <v>4.92</v>
      </c>
      <c r="D7" s="66">
        <f>0.35+8.24+1.45+1.79+1.69+12.91+11.5+40.62</f>
        <v>78.55</v>
      </c>
      <c r="E7" s="66">
        <f>0.05+1.08+0.19+0.23+0.22+1.69+1.5+5.3</f>
        <v>10.26</v>
      </c>
      <c r="F7" s="66">
        <f>0.54+12.76+2.25+2.78+2.61+19.97+17.79+62.86</f>
        <v>121.56</v>
      </c>
      <c r="G7" s="66">
        <f>1.84+43.11+7.6+9.38+8.83+67.48+60.11+212.38+20.55</f>
        <v>431.28000000000003</v>
      </c>
      <c r="H7" s="66">
        <f>0.03+0.67+0.12+0.15+0.14+1.05+0.93+3.3</f>
        <v>6.390000000000001</v>
      </c>
      <c r="I7" s="66">
        <f>0.03+0.67+0.12+0.15+0.14+1.05+0.93+3.3</f>
        <v>6.390000000000001</v>
      </c>
      <c r="J7" s="66">
        <f>0.33+7.71+1.36+1.68+1.58+12.06+10.75+37.97</f>
        <v>73.44</v>
      </c>
      <c r="K7" s="65"/>
      <c r="L7" s="66">
        <f t="shared" si="0"/>
        <v>732.79</v>
      </c>
    </row>
    <row r="8" spans="1:12" ht="12.75">
      <c r="A8" s="64">
        <v>36586</v>
      </c>
      <c r="B8" s="65"/>
      <c r="C8" s="66">
        <f>0.02+0.45+0.14+0.19+0.11+0.78+0.78+2.74</f>
        <v>5.21</v>
      </c>
      <c r="D8" s="66">
        <f>0.37+7.26+2.2+3.02+1.83+12.41+12.43+43.79</f>
        <v>83.31</v>
      </c>
      <c r="E8" s="66">
        <f>0.05+0.95+0.29+0.39+0.24+1.62+1.62+5.72</f>
        <v>10.879999999999999</v>
      </c>
      <c r="F8" s="66">
        <f>0.58+11.24+3.41+4.67+2.84+19.21+19.24+67.77</f>
        <v>128.95999999999998</v>
      </c>
      <c r="G8" s="66">
        <f>1.95+37.96+11.51+15.79+9.58+64.9+65+228.96+21.84</f>
        <v>457.48999999999995</v>
      </c>
      <c r="H8" s="66">
        <f>0.03+0.59+0.18+0.25+0.15+1.01+1.01+3.55</f>
        <v>6.77</v>
      </c>
      <c r="I8" s="66">
        <f>0.03+0.59+0.18+0.25+0.15+1.01+1.01+3.55</f>
        <v>6.77</v>
      </c>
      <c r="J8" s="66">
        <f>0.35+6.79+2.06+2.82+1.71+11.6+11.62+40.93</f>
        <v>77.88</v>
      </c>
      <c r="K8" s="65"/>
      <c r="L8" s="66">
        <f t="shared" si="0"/>
        <v>777.2699999999999</v>
      </c>
    </row>
    <row r="9" spans="1:12" ht="12.75">
      <c r="A9" s="64">
        <v>36617</v>
      </c>
      <c r="B9" s="65"/>
      <c r="C9" s="66">
        <f>0.02+0.42+0.12+0.13+0.11+0.68+0.75+2.62</f>
        <v>4.85</v>
      </c>
      <c r="D9" s="66">
        <f>0.33+6.75+1.94+2.06+1.79+10.93+12.01+41.95</f>
        <v>77.76</v>
      </c>
      <c r="E9" s="66">
        <f>0.04+0.88+0.25+0.27+0.23+1.43+1.57+5.48</f>
        <v>10.15</v>
      </c>
      <c r="F9" s="66">
        <f>0.51+10.45+3+3.2+2.77+16.92+18.59+64.92</f>
        <v>120.36</v>
      </c>
      <c r="G9" s="66">
        <f>1.72+35.29+10.13+10.8+9.37+57.16+62.82+219.33+20.34</f>
        <v>426.96</v>
      </c>
      <c r="H9" s="66">
        <f>0.03+0.55+0.16+0.17+0.15+0.89+0.98+3.4</f>
        <v>6.33</v>
      </c>
      <c r="I9" s="66">
        <f>0.03+0.55+0.16+0.17+0.15+0.89+0.98+3.4</f>
        <v>6.33</v>
      </c>
      <c r="J9" s="66">
        <f>0.31+6.31+1.81+1.93+1.68+10.22+11.23+39.21</f>
        <v>72.69999999999999</v>
      </c>
      <c r="K9" s="65"/>
      <c r="L9" s="66">
        <f t="shared" si="0"/>
        <v>725.44</v>
      </c>
    </row>
    <row r="10" spans="1:12" ht="12.75">
      <c r="A10" s="64">
        <v>36647</v>
      </c>
      <c r="B10" s="65"/>
      <c r="C10" s="66">
        <f>0.03+0.48+0.12+0.14+0.17+0.72+0.65+3.32</f>
        <v>5.63</v>
      </c>
      <c r="D10" s="66">
        <f>0.45+7.63+1.86+2.24+2.79+11.54+10.38+53.18</f>
        <v>90.07</v>
      </c>
      <c r="E10" s="66">
        <f>0.06+1+0.24+0.29+0.36+1.51+1.36+6.94</f>
        <v>11.760000000000002</v>
      </c>
      <c r="F10" s="66">
        <f>0.7+11.8+2.89+3.47+4.32+17.86+16.06+82.3</f>
        <v>139.39999999999998</v>
      </c>
      <c r="G10" s="66">
        <f>2.37+39.87+9.75+11.73+14.58+60.35+54.27+278.04+23.59</f>
        <v>494.55</v>
      </c>
      <c r="H10" s="66">
        <f>0.04+0.62+0.15+0.18+0.23+0.94+0.84+4.32</f>
        <v>7.32</v>
      </c>
      <c r="I10" s="66">
        <f>0.04+0.62+0.15+0.18+0.23+0.94+0.84+4.32</f>
        <v>7.32</v>
      </c>
      <c r="J10" s="66">
        <f>0.42+7.13+1.74+2.1+2.61+10.79+9.7+49.71</f>
        <v>84.19999999999999</v>
      </c>
      <c r="K10" s="65"/>
      <c r="L10" s="66">
        <f t="shared" si="0"/>
        <v>840.25</v>
      </c>
    </row>
    <row r="11" spans="1:12" ht="12.75">
      <c r="A11" s="64">
        <v>36678</v>
      </c>
      <c r="B11" s="65"/>
      <c r="C11" s="66">
        <f>0.02+0.41+0.1+0.18+0.11+0.7+0.83+2.92</f>
        <v>5.27</v>
      </c>
      <c r="D11" s="66">
        <f>0.4+6.55+1.64+2.82+1.81+11.13+13.25+46.78</f>
        <v>84.38</v>
      </c>
      <c r="E11" s="66">
        <f>0.05+0.86+0.21+0.37+0.24+1.45+1.73+6.11</f>
        <v>11.02</v>
      </c>
      <c r="F11" s="66">
        <f>0.62+10.13+2.53+4.36+2.79+17.23+20.51+72.39</f>
        <v>130.56</v>
      </c>
      <c r="G11" s="66">
        <f>2.09+34.24+8.55+14.72+9.44+58.22+69.3+244.59+22.1</f>
        <v>463.25</v>
      </c>
      <c r="H11" s="66">
        <f>0.03+0.53+0.13+0.23+0.15+0.9+1.08+3.8</f>
        <v>6.85</v>
      </c>
      <c r="I11" s="66">
        <f>0.03+0.53+0.13+0.23+0.15+0.9+1.08+3.8</f>
        <v>6.85</v>
      </c>
      <c r="J11" s="66">
        <f>0.37+6.12+1.53+2.63+1.69+10.41+12.39+43.72</f>
        <v>78.86</v>
      </c>
      <c r="K11" s="65"/>
      <c r="L11" s="66">
        <f t="shared" si="0"/>
        <v>787.0400000000001</v>
      </c>
    </row>
    <row r="12" spans="1:12" ht="12.75">
      <c r="A12" s="64">
        <v>36708</v>
      </c>
      <c r="B12" s="65"/>
      <c r="C12" s="66">
        <f>0.02+0.42+0.09+0.15+0.1+0.68+0.83+2.48</f>
        <v>4.77</v>
      </c>
      <c r="D12" s="66">
        <f>0.35+6.66+1.42+2.47+1.58+10.91+13.27+39.61</f>
        <v>76.27</v>
      </c>
      <c r="E12" s="66">
        <f>0.05+0.87+0.19+0.32+0.21+1.43+1.73+5.17</f>
        <v>9.97</v>
      </c>
      <c r="F12" s="66">
        <f>0.54+10.3+2.2+3.82+2.44+16.89+20.54+61.3</f>
        <v>118.03</v>
      </c>
      <c r="G12" s="66">
        <f>1.82+34.81+7.44+12.9+8.25+57.06+69.38+207.1+19.97</f>
        <v>418.73</v>
      </c>
      <c r="H12" s="66">
        <f>0.03+0.54+0.12+0.2+0.13+0.89+1.08+3.21</f>
        <v>6.2</v>
      </c>
      <c r="I12" s="66">
        <f>0.03+0.54+0.12+0.2+0.13+0.89+1.08+3.21</f>
        <v>6.2</v>
      </c>
      <c r="J12" s="66">
        <f>0.32+6.22+1.33+2.31+1.47+10.2+12.4+37.02</f>
        <v>71.27000000000001</v>
      </c>
      <c r="K12" s="65"/>
      <c r="L12" s="66">
        <f t="shared" si="0"/>
        <v>711.44</v>
      </c>
    </row>
    <row r="13" spans="1:12" ht="12.75">
      <c r="A13" s="64">
        <v>36739</v>
      </c>
      <c r="B13" s="65"/>
      <c r="C13" s="66">
        <f>0.02+0.61+0.08+0.27+0.15+0.66+0.89+2.85</f>
        <v>5.53</v>
      </c>
      <c r="D13" s="66">
        <f>0.33+9.81+1.36+4.32+2.43+10.52+14.24+45.53</f>
        <v>88.53999999999999</v>
      </c>
      <c r="E13" s="66">
        <f>0.04+1.28+0.18+0.56+0.32+1.37+1.86+5.95</f>
        <v>11.56</v>
      </c>
      <c r="F13" s="66">
        <f>0.51+15.19+2.1+6.68+3.75+16.28+22.03+70.47</f>
        <v>137.01</v>
      </c>
      <c r="G13" s="66">
        <f>1.73+51.31+7.1+22.57+12.68+55.01+74.44+238.08+23.18</f>
        <v>486.1</v>
      </c>
      <c r="H13" s="66">
        <f>0.03+0.8+0.11+0.35+0.2+0.85+1.16+3.7</f>
        <v>7.2</v>
      </c>
      <c r="I13" s="66">
        <f>0.03+0.8+0.11+0.35+0.2+0.85+1.16+3.7</f>
        <v>7.2</v>
      </c>
      <c r="J13" s="66">
        <f>0.31+9.17+1.27+4.04+2.27+9.83+13.31+42.56</f>
        <v>82.76</v>
      </c>
      <c r="K13" s="65"/>
      <c r="L13" s="66">
        <f t="shared" si="0"/>
        <v>825.9000000000001</v>
      </c>
    </row>
    <row r="14" spans="1:12" ht="12.75">
      <c r="A14" s="64">
        <v>36770</v>
      </c>
      <c r="B14" s="65"/>
      <c r="C14" s="66">
        <f>0.02+0.46+0.07+0.17+0.12+0.6+0.91+2.86</f>
        <v>5.21</v>
      </c>
      <c r="D14" s="66">
        <f>0.3+7.29+1.2+2.66+1.84+9.57+14.54+45.82</f>
        <v>83.22</v>
      </c>
      <c r="E14" s="66">
        <f>0.04+0.95+0.16+0.35+0.24+1.25+1.9+5.98</f>
        <v>10.870000000000001</v>
      </c>
      <c r="F14" s="66">
        <f>0.47+11.29+1.85+4.11+2.85+14.81+22.51+70.92</f>
        <v>128.81</v>
      </c>
      <c r="G14" s="66">
        <f>1.58+38.14+6.26+13.9+9.63+50.04+76.04+239.6+21.8</f>
        <v>456.98999999999995</v>
      </c>
      <c r="H14" s="66">
        <f>0.02+0.59+0.1+0.22+0.15+0.78+1.18+3.72</f>
        <v>6.76</v>
      </c>
      <c r="I14" s="66">
        <f>0.02+0.59+0.1+0.22+0.15+0.78+1.18+3.72</f>
        <v>6.76</v>
      </c>
      <c r="J14" s="66">
        <f>0.28+6.82+1.12+2.48+1.72+8.94+13.59+42.83</f>
        <v>77.78</v>
      </c>
      <c r="K14" s="65"/>
      <c r="L14" s="66">
        <f t="shared" si="0"/>
        <v>776.3999999999999</v>
      </c>
    </row>
    <row r="15" spans="1:12" ht="12.75">
      <c r="A15" s="64">
        <v>36800</v>
      </c>
      <c r="B15" s="65"/>
      <c r="C15" s="66">
        <f>0.02+0.43+0.08+0.11+0.25+0.64+0.69+3.16</f>
        <v>5.38</v>
      </c>
      <c r="D15" s="66">
        <f>0.32+6.94+1.34+1.84+4.07+10.22+11.08+50.57</f>
        <v>86.38</v>
      </c>
      <c r="E15" s="66">
        <f>0.04+0.91+0.18+0.24+0.53+1.34+1.45+6.6</f>
        <v>11.29</v>
      </c>
      <c r="F15" s="66">
        <f>0.49+10.74+2.08+2.84+6.3+15.82+17.15+78.26</f>
        <v>133.68</v>
      </c>
      <c r="G15" s="66">
        <f>1.67+36.28+7.02+9.61+21.28+53.45+57.95+264.39+22.66</f>
        <v>474.31</v>
      </c>
      <c r="H15" s="66">
        <f>0.03+0.56+0.11+0.15+0.33+0.83+0.9+4.1</f>
        <v>7.01</v>
      </c>
      <c r="I15" s="66">
        <f>0.03+0.56+0.11+0.15+0.33+0.83+0.9+4.1</f>
        <v>7.01</v>
      </c>
      <c r="J15" s="66">
        <f>0.3+6.49+1.26+1.72+3.8+9.56+10.36+47.26</f>
        <v>80.75</v>
      </c>
      <c r="K15" s="65"/>
      <c r="L15" s="66">
        <f t="shared" si="0"/>
        <v>805.81</v>
      </c>
    </row>
    <row r="16" spans="1:12" ht="12.75">
      <c r="A16" s="64">
        <v>36831</v>
      </c>
      <c r="B16" s="65"/>
      <c r="C16" s="66">
        <f>0.02+0.46+0.09+0.18+0.19+0.6+0.68+3.31</f>
        <v>5.53</v>
      </c>
      <c r="D16" s="66">
        <f>0.36+7.32+1.5+2.88+3.04+9.68+10.87+52.89</f>
        <v>88.53999999999999</v>
      </c>
      <c r="E16" s="66">
        <f>0.05+0.96+0.2+0.38+0.4+1.26+1.42+6.91</f>
        <v>11.58</v>
      </c>
      <c r="F16" s="66">
        <f>0.56+11.32+2.32+4.45+4.7+14.98+16.82+81.85</f>
        <v>137</v>
      </c>
      <c r="G16" s="66">
        <f>1.89+38.25+7.83+15.05+15.9+50.6+56.82+276.52+23.2</f>
        <v>486.06</v>
      </c>
      <c r="H16" s="66">
        <f>0.03+0.59+0.12+0.23+0.25+0.79+0.88+4.29</f>
        <v>7.18</v>
      </c>
      <c r="I16" s="66">
        <f>0.03+0.59+0.12+0.23+0.25+0.79+0.88+4.29</f>
        <v>7.18</v>
      </c>
      <c r="J16" s="66">
        <f>0.34+6.84+1.4+2.69+2.84+9.05+10.16+49.43</f>
        <v>82.75</v>
      </c>
      <c r="K16" s="65"/>
      <c r="L16" s="66">
        <f t="shared" si="0"/>
        <v>825.8199999999999</v>
      </c>
    </row>
    <row r="17" spans="1:12" ht="12.75">
      <c r="A17" s="64">
        <v>36861</v>
      </c>
      <c r="B17" s="65"/>
      <c r="C17" s="66">
        <f>0.02+0.44+0.09+0.12+0.1+0.55+0.67+2.85</f>
        <v>4.84</v>
      </c>
      <c r="D17" s="66">
        <f>0.34+7.04+1.37+1.85+1.66+8.85+10.74+45.6</f>
        <v>77.45</v>
      </c>
      <c r="E17" s="66">
        <f>0.04+0.92+0.18+0.24+0.22+1.16+1.4+5.96</f>
        <v>10.120000000000001</v>
      </c>
      <c r="F17" s="66">
        <f>0.53+10.9+2.12+2.87+2.57+13.7+16.61+70.57</f>
        <v>119.86999999999999</v>
      </c>
      <c r="G17" s="66">
        <f>1.78+36.82+7.15+9.7+8.69+46.29+56.13+238.43+20.33</f>
        <v>425.32</v>
      </c>
      <c r="H17" s="66">
        <f>0.03+0.57+0.11+0.15+0.13+0.72+0.87+3.7</f>
        <v>6.28</v>
      </c>
      <c r="I17" s="66">
        <f>0.03+0.57+0.11+0.15+0.13+0.72+0.87+3.7</f>
        <v>6.28</v>
      </c>
      <c r="J17" s="66">
        <f>0.32+6.58+1.28+1.73+1.55+8.27+10.04+42.62</f>
        <v>72.39</v>
      </c>
      <c r="K17" s="65"/>
      <c r="L17" s="66">
        <f t="shared" si="0"/>
        <v>722.55</v>
      </c>
    </row>
    <row r="18" spans="1:12" ht="12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</row>
    <row r="19" spans="1:13" ht="12.75">
      <c r="A19" s="67" t="s">
        <v>96</v>
      </c>
      <c r="B19" s="65"/>
      <c r="C19" s="66">
        <f aca="true" t="shared" si="1" ref="C19:J19">SUM(C6:C17)</f>
        <v>62.230000000000004</v>
      </c>
      <c r="D19" s="66">
        <f t="shared" si="1"/>
        <v>995.77</v>
      </c>
      <c r="E19" s="66">
        <f t="shared" si="1"/>
        <v>130.07999999999998</v>
      </c>
      <c r="F19" s="66">
        <f t="shared" si="1"/>
        <v>1541.0499999999997</v>
      </c>
      <c r="G19" s="66">
        <f t="shared" si="1"/>
        <v>5480.76</v>
      </c>
      <c r="H19" s="66">
        <f t="shared" si="1"/>
        <v>80.89000000000001</v>
      </c>
      <c r="I19" s="66">
        <f t="shared" si="1"/>
        <v>80.89000000000001</v>
      </c>
      <c r="J19" s="66">
        <f t="shared" si="1"/>
        <v>917.38</v>
      </c>
      <c r="K19" s="65"/>
      <c r="L19" s="68">
        <f>SUM(C19:K19)</f>
        <v>9289.049999999997</v>
      </c>
      <c r="M19" s="66">
        <f>L19/12</f>
        <v>774.0874999999997</v>
      </c>
    </row>
    <row r="20" spans="1:12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4" ht="12.75">
      <c r="A21" s="64">
        <v>36892</v>
      </c>
      <c r="B21" s="65"/>
      <c r="C21" s="66">
        <f>0.02+0.59+0.07+0.17+0.1+0.37+0.92+3.24</f>
        <v>5.48</v>
      </c>
      <c r="D21" s="66">
        <f>0.27+9.45+1.13+2.72+1.63+5.99+14.67+51.76</f>
        <v>87.62</v>
      </c>
      <c r="E21" s="66">
        <f>0.04+1.23+0.15+0.36+0.21+0.78+1.92+6.76</f>
        <v>11.45</v>
      </c>
      <c r="F21" s="66">
        <f>0.42+14.62+1.76+4.21+2.52+9.27+22.7+80.1</f>
        <v>135.6</v>
      </c>
      <c r="G21" s="66">
        <f>1.43+49.4+5.93+14.23+8.51+31.32+76.69+270.64+22.97</f>
        <v>481.12</v>
      </c>
      <c r="H21" s="66">
        <f>0.02+0.77+0.09+0.22+0.13+0.49+1.19+4.2</f>
        <v>7.11</v>
      </c>
      <c r="I21" s="66">
        <f>0.02+0.77+0.09+0.22+0.13+0.49+1.19+4.2</f>
        <v>7.11</v>
      </c>
      <c r="J21" s="66">
        <f>0.26+8.83+1.06+2.54+1.52+5.6+13.71+48.38</f>
        <v>81.9</v>
      </c>
      <c r="K21" s="65"/>
      <c r="L21" s="66">
        <f aca="true" t="shared" si="2" ref="L21:L32">SUM(C21:K21)</f>
        <v>817.39</v>
      </c>
      <c r="N21" s="68">
        <v>617.47</v>
      </c>
    </row>
    <row r="22" spans="1:14" ht="12.75">
      <c r="A22" s="64">
        <v>36923</v>
      </c>
      <c r="B22" s="65"/>
      <c r="C22" s="66">
        <f>0.01+0.46+0.05+0.05+0.1+0.15+0.64+2.84</f>
        <v>4.3</v>
      </c>
      <c r="D22" s="66">
        <f>0.18+7.4+0.83+0.83+1.68+2.45+10.25+45.49</f>
        <v>69.11</v>
      </c>
      <c r="E22" s="66">
        <f>0.02+0.97+0.11+0.11+0.22+0.32+1.34+5.94</f>
        <v>9.030000000000001</v>
      </c>
      <c r="F22" s="66">
        <f>0.28+11.45+1.28+1.29+2.59+3.79+15.86+70.4</f>
        <v>106.94</v>
      </c>
      <c r="G22" s="66">
        <f>0.94+38.7+4.33+4.36+8.77+12.79+53.57+237.84+18.07</f>
        <v>379.36999999999995</v>
      </c>
      <c r="H22" s="66">
        <f>0.01+0.6+0.07+0.07+0.14+0.2+0.83+3.69</f>
        <v>5.609999999999999</v>
      </c>
      <c r="I22" s="66">
        <f>0.01+0.6+0.07+0.07+0.14+0.2+0.83+3.69</f>
        <v>5.609999999999999</v>
      </c>
      <c r="J22" s="66">
        <f>0.17+6.92+0.77+0.78+1.57+2.29+9.58+42.52</f>
        <v>64.6</v>
      </c>
      <c r="K22" s="65"/>
      <c r="L22" s="66">
        <f t="shared" si="2"/>
        <v>644.57</v>
      </c>
      <c r="N22" s="68">
        <v>480.55</v>
      </c>
    </row>
    <row r="23" spans="1:14" ht="12.75">
      <c r="A23" s="64">
        <v>36951</v>
      </c>
      <c r="B23" s="65"/>
      <c r="C23" s="66">
        <f>0.01+0.45+0.06+0.17+0.1+0.36+0.25+2.79</f>
        <v>4.1899999999999995</v>
      </c>
      <c r="D23" s="66">
        <f>0.23+7.15+0.98+2.71+1.63+5.72+4.04+44.6</f>
        <v>67.06</v>
      </c>
      <c r="E23" s="66">
        <f>0.03+0.93+0.13+0.35+0.21+0.75+0.53+5.82</f>
        <v>8.75</v>
      </c>
      <c r="F23" s="66">
        <f>0.36+11.07+1.52+4.19+2.52+8.85+6.25+69.02</f>
        <v>103.78</v>
      </c>
      <c r="G23" s="66">
        <f>0.21+37.4+5.13+14.17+8.51+29.89+21.11+233.18+18.57</f>
        <v>368.17</v>
      </c>
      <c r="H23" s="66">
        <f>0.02+0.58+0.08+0.22+0.13+0.46+0.33+3.62</f>
        <v>5.4399999999999995</v>
      </c>
      <c r="I23" s="66">
        <f>0.02+0.58+0.08+0.22+0.13+0.46+0.33+3.62</f>
        <v>5.4399999999999995</v>
      </c>
      <c r="J23" s="66">
        <f>0.22+6.69+0.92+2.53+1.52+5.34+3.77+41.69</f>
        <v>62.67999999999999</v>
      </c>
      <c r="K23" s="65"/>
      <c r="L23" s="66">
        <f t="shared" si="2"/>
        <v>625.5100000000001</v>
      </c>
      <c r="N23" s="68">
        <v>593.08</v>
      </c>
    </row>
    <row r="24" spans="1:14" ht="12.75">
      <c r="A24" s="64">
        <v>36982</v>
      </c>
      <c r="B24" s="65"/>
      <c r="C24" s="66">
        <f>0.01+0.37+0.06+0.17+0.16+0.27+0.29+2.71</f>
        <v>4.04</v>
      </c>
      <c r="D24" s="66">
        <f>0.21+5.84+0.93+2.69+2.54+4.28+4.7+43.39</f>
        <v>64.58</v>
      </c>
      <c r="E24" s="66">
        <f>0.03+0.76+0.12+0.35+0.33+0.56+0.61+5.67</f>
        <v>8.43</v>
      </c>
      <c r="F24" s="66">
        <f>0.33+9.04+1.44+4.16+3.93+6.63+7.28+67.15</f>
        <v>99.96000000000001</v>
      </c>
      <c r="G24" s="66">
        <f>1.11+30.56+4.85+14.07+13.27+22.39+24.58+226.88+16.93</f>
        <v>354.64</v>
      </c>
      <c r="H24" s="66">
        <f>0.02+0.47+0.08+0.22+0.21+0.35+0.38+3.52</f>
        <v>5.25</v>
      </c>
      <c r="I24" s="66">
        <f>0.02+0.47+0.08+0.22+0.21+0.35+0.38+3.52</f>
        <v>5.25</v>
      </c>
      <c r="J24" s="66">
        <f>0.2+5.46+0.87+2.52+2.37+4+4.39+40.56</f>
        <v>60.370000000000005</v>
      </c>
      <c r="K24" s="65"/>
      <c r="L24" s="66">
        <f t="shared" si="2"/>
        <v>602.52</v>
      </c>
      <c r="N24" s="68">
        <v>565.9</v>
      </c>
    </row>
    <row r="25" spans="1:14" ht="12.75">
      <c r="A25" s="64">
        <v>37012</v>
      </c>
      <c r="B25" s="65"/>
      <c r="C25" s="66">
        <f>0.02+0.42+0.07+0.11+0.14+0.26+0.37+3.39</f>
        <v>4.78</v>
      </c>
      <c r="D25" s="66">
        <f>0.25+6.7+1.09+1.73+2.28+4.23+5.9+54.19</f>
        <v>76.37</v>
      </c>
      <c r="E25" s="66">
        <f>0.03+0.88+0.14+0.23+0.3+0.55+0.77+7.08</f>
        <v>9.98</v>
      </c>
      <c r="F25" s="66">
        <f>0.39+10.37+1.68+2.67+3.53+6.55+9.13+83.86</f>
        <v>118.18</v>
      </c>
      <c r="G25" s="66">
        <f>1.33+35.05+5.68+9.03+11.92+22.14+30.84+283.33+20.03</f>
        <v>419.35</v>
      </c>
      <c r="H25" s="66">
        <f>0.02+0.54+0.09+0.14+0.18+0.34+0.48+4.4</f>
        <v>6.19</v>
      </c>
      <c r="I25" s="66">
        <f>0.02+0.54+0.09+0.14+0.18+0.34+0.48+4.4</f>
        <v>6.19</v>
      </c>
      <c r="J25" s="66">
        <f>0.24+6.27+1.02+1.61+2.13+3.96+5.51+50.65</f>
        <v>71.39</v>
      </c>
      <c r="K25" s="65"/>
      <c r="L25" s="66">
        <f t="shared" si="2"/>
        <v>712.4300000000002</v>
      </c>
      <c r="N25" s="68">
        <v>595.52</v>
      </c>
    </row>
    <row r="26" spans="1:14" ht="12.75">
      <c r="A26" s="64">
        <v>37043</v>
      </c>
      <c r="B26" s="65"/>
      <c r="C26" s="66">
        <f>0.01+0.24+0.06+0.24+0.1+0.16+0.26+3.61</f>
        <v>4.68</v>
      </c>
      <c r="D26" s="66">
        <f>0.2+3.78+0.99+3.79+1.59+2.63+4.22+57.84</f>
        <v>75.04</v>
      </c>
      <c r="E26" s="66">
        <f>0.03+0.49+0.13+0.5+0.21+0.34+0.55+7.55</f>
        <v>9.8</v>
      </c>
      <c r="F26" s="66">
        <f>0.31+5.85+1.53+5.87+2.47+4.08+6.52+89.51</f>
        <v>116.14</v>
      </c>
      <c r="G26" s="66">
        <f>1.04+19.77+5.17+19.82+8.33+13.77+22.04+302.4+19.68</f>
        <v>412.02</v>
      </c>
      <c r="H26" s="66">
        <f>0.02+0.31+0.08+0.31+0.13+0.21+0.34+4.69</f>
        <v>6.090000000000001</v>
      </c>
      <c r="I26" s="66">
        <f>0.02+0.31+0.08+0.31+0.13+0.21+0.34+4.69</f>
        <v>6.090000000000001</v>
      </c>
      <c r="J26" s="66">
        <f>0.19+3.54+0.92+3.54+1.49+2.46+3.94+54.06</f>
        <v>70.14</v>
      </c>
      <c r="K26" s="65"/>
      <c r="L26" s="66">
        <f t="shared" si="2"/>
        <v>700</v>
      </c>
      <c r="N26" s="68">
        <v>620.49</v>
      </c>
    </row>
    <row r="27" spans="1:14" ht="12.75">
      <c r="A27" s="64">
        <v>37073</v>
      </c>
      <c r="B27" s="65"/>
      <c r="C27" s="66">
        <f>0.01+0.27+0.07+0.3+0.09+0.17+0.31+3.43</f>
        <v>4.65</v>
      </c>
      <c r="D27" s="66">
        <f>0.22+4.34+1.08+4.86+1.51+2.76+4.9+54.83</f>
        <v>74.5</v>
      </c>
      <c r="E27" s="66">
        <f>0.03+0.57+0.14+0.63+0.2+0.36+0.64+7.16</f>
        <v>9.73</v>
      </c>
      <c r="F27" s="66">
        <f>0.34+6.72+1.67+7.52+2.34+4.27+7.59+84.86</f>
        <v>115.31</v>
      </c>
      <c r="G27" s="66">
        <f>0.14+22.71+5.64+25.41+7.89+14.41+25.64+286.7+20.54</f>
        <v>409.08</v>
      </c>
      <c r="H27" s="66">
        <f>0.02+0.35+0.09+0.39+0.12+0.22+0.4+4.45</f>
        <v>6.04</v>
      </c>
      <c r="I27" s="66">
        <f>0.02+0.35+0.09+0.39+0.12+0.22+0.4+4.45</f>
        <v>6.04</v>
      </c>
      <c r="J27" s="66">
        <f>0.2+4.06+1.01+4.54+1.41+2.58+4.58+51.25</f>
        <v>69.63</v>
      </c>
      <c r="K27" s="65"/>
      <c r="L27" s="66">
        <f t="shared" si="2"/>
        <v>694.9799999999999</v>
      </c>
      <c r="N27" s="68">
        <v>613.76</v>
      </c>
    </row>
    <row r="28" spans="1:14" ht="12.75">
      <c r="A28" s="64">
        <v>37104</v>
      </c>
      <c r="B28" s="65"/>
      <c r="C28" s="66">
        <f>0.02+0.25+0.08+0.39+0.11+0.27+0.24+3.58</f>
        <v>4.94</v>
      </c>
      <c r="D28" s="66">
        <f>0.32+3.93+1.24+6.16+1.69+4.38+3.89+57.26</f>
        <v>78.87</v>
      </c>
      <c r="E28" s="66">
        <f>0.04+0.51+0.16+0.8+0.22+0.57+0.51+7.48</f>
        <v>10.290000000000001</v>
      </c>
      <c r="F28" s="66">
        <f>0.49+6.08+1.92+9.54+2.61+6.78+6.02+88.61</f>
        <v>122.05</v>
      </c>
      <c r="G28" s="66">
        <f>1.66+20.54+6.48+32.22+8.81+22.91+20.34+299.36+20.6</f>
        <v>432.92</v>
      </c>
      <c r="H28" s="66">
        <f>0.03+0.32+0.1+0.5+0.14+0.36+0.32+4.65</f>
        <v>6.42</v>
      </c>
      <c r="I28" s="66">
        <f>0.03+0.32+0.1+0.5+0.14+0.36+0.32+4.65</f>
        <v>6.42</v>
      </c>
      <c r="J28" s="66">
        <f>0.3+3.67+1.16+5.76+1.58+4.1+3.64+53.52</f>
        <v>73.73</v>
      </c>
      <c r="K28" s="65"/>
      <c r="L28" s="66">
        <f t="shared" si="2"/>
        <v>735.64</v>
      </c>
      <c r="N28" s="68">
        <v>674.23</v>
      </c>
    </row>
    <row r="29" spans="1:14" ht="12.75">
      <c r="A29" s="64">
        <v>37135</v>
      </c>
      <c r="B29" s="65"/>
      <c r="C29" s="66">
        <f>0.01+0.18+0.06+0.25+0.09+0.06+0.23+3.31</f>
        <v>4.1899999999999995</v>
      </c>
      <c r="D29" s="66">
        <f>0.19+2.94+0.97+4+1.45+0.98+3.72+52.92</f>
        <v>67.17</v>
      </c>
      <c r="E29" s="66">
        <f>0.02+0.38+0.13+0.52+0.19+0.13+0.49+6.91</f>
        <v>8.77</v>
      </c>
      <c r="F29" s="66">
        <f>0.29+4.55+1.5+6.19+2.24+1.51+5.76+81.9</f>
        <v>103.94</v>
      </c>
      <c r="G29" s="66">
        <f>0.99+15.36+5.06+20.92+7.58+5.11+19.46+276.71+17.61</f>
        <v>368.79999999999995</v>
      </c>
      <c r="H29" s="66">
        <f>0.02+0.24+0.08+0.32+0.12+0.08+0.3+4.3</f>
        <v>5.46</v>
      </c>
      <c r="I29" s="66">
        <f>0.02+0.24+0.08+0.32+0.12+0.08+0.3+4.3</f>
        <v>5.46</v>
      </c>
      <c r="J29" s="66">
        <f>0.18+2.75+0.9+3.74+1.36+0.91+3.48+49.47</f>
        <v>62.79</v>
      </c>
      <c r="K29" s="65"/>
      <c r="L29" s="66">
        <f t="shared" si="2"/>
        <v>626.5799999999999</v>
      </c>
      <c r="N29" s="68">
        <v>587.43</v>
      </c>
    </row>
    <row r="30" spans="1:14" ht="12.75">
      <c r="A30" s="64">
        <v>37165</v>
      </c>
      <c r="B30" s="65"/>
      <c r="C30" s="66">
        <f>0.02+0.26+0.07+0.2+0.18+3.87</f>
        <v>4.6</v>
      </c>
      <c r="D30" s="66">
        <f>0.37+4.2+1.18+3.19+2.94+61.84</f>
        <v>73.72</v>
      </c>
      <c r="E30" s="66">
        <f>0.05+0.55+0.15+0.42+0.38+8.08</f>
        <v>9.63</v>
      </c>
      <c r="F30" s="66">
        <f>0.57+6.5+1.83+4.93+4.56+95.71</f>
        <v>114.1</v>
      </c>
      <c r="G30" s="66">
        <f>1.91+21.96+6.18+16.67+15.4+323.36+19.31</f>
        <v>404.79</v>
      </c>
      <c r="H30" s="66">
        <f>0.03+0.34+0.1+0.26+0.24+5.02</f>
        <v>5.989999999999999</v>
      </c>
      <c r="I30" s="66">
        <f>0.03+0.34+0.1+0.26+0.24+5.02</f>
        <v>5.989999999999999</v>
      </c>
      <c r="J30" s="66">
        <f>0.34+3.93+1.1+2.98+2.75+57.81</f>
        <v>68.91</v>
      </c>
      <c r="K30" s="65"/>
      <c r="L30" s="66">
        <f t="shared" si="2"/>
        <v>687.73</v>
      </c>
      <c r="N30" s="68">
        <v>595.18</v>
      </c>
    </row>
    <row r="31" spans="1:14" ht="12.75">
      <c r="A31" s="64">
        <v>37196</v>
      </c>
      <c r="B31" s="65"/>
      <c r="C31" s="66">
        <f>0.02+0.25+0.07+0.19+0.18+3.73</f>
        <v>4.4399999999999995</v>
      </c>
      <c r="D31" s="66">
        <f>0.35+4.06+1.14+3.08+2.84+59.72</f>
        <v>71.19</v>
      </c>
      <c r="E31" s="66">
        <f>0.05+0.53+0.15+0.4+0.37+7.8</f>
        <v>9.3</v>
      </c>
      <c r="F31" s="66">
        <f>0.55+6.28+1.77+4.76+4.4+92.41</f>
        <v>110.16999999999999</v>
      </c>
      <c r="G31" s="66">
        <f>1.84+21.2+5.96+16.1+14.86+312.23+18.65</f>
        <v>390.84</v>
      </c>
      <c r="H31" s="66">
        <f>0.03+0.33+0.09+0.25+0.23+4.85</f>
        <v>5.779999999999999</v>
      </c>
      <c r="I31" s="66">
        <f>0.03+0.33+0.09+0.25+0.23+4.85</f>
        <v>5.779999999999999</v>
      </c>
      <c r="J31" s="66">
        <f>0.33+3.79+1.07+2.88+2.66+55.82</f>
        <v>66.55</v>
      </c>
      <c r="K31" s="65"/>
      <c r="L31" s="66">
        <f t="shared" si="2"/>
        <v>664.0499999999998</v>
      </c>
      <c r="N31" s="68">
        <v>596.68</v>
      </c>
    </row>
    <row r="32" spans="1:14" ht="12.75">
      <c r="A32" s="64">
        <v>37226</v>
      </c>
      <c r="B32" s="65"/>
      <c r="C32" s="66">
        <f>0.02+0.25+0.07+0.19+0.17+3.65</f>
        <v>4.35</v>
      </c>
      <c r="D32" s="66">
        <f>0.35+3.96+1.11+3.01+2.78+58.37</f>
        <v>69.58</v>
      </c>
      <c r="E32" s="66">
        <f>0.05+0.52+0.15+0.39+0.36+7.62</f>
        <v>9.09</v>
      </c>
      <c r="F32" s="66">
        <f>0.53+6.13+1.73+4.66+4.3+90.33</f>
        <v>107.68</v>
      </c>
      <c r="G32" s="66">
        <f>1.8+20.73+5.83+15.73+14.53+305.17+18.23</f>
        <v>382.02000000000004</v>
      </c>
      <c r="H32" s="66">
        <f>0.03+0.32+0.09+0.24+0.23+4.74</f>
        <v>5.65</v>
      </c>
      <c r="I32" s="66">
        <f>0.03+0.32+0.09+0.24+0.23+4.74</f>
        <v>5.65</v>
      </c>
      <c r="J32" s="66">
        <f>0.32+3.71+1.04+2.81+2.6+54.55</f>
        <v>65.03</v>
      </c>
      <c r="K32" s="65"/>
      <c r="L32" s="66">
        <f t="shared" si="2"/>
        <v>649.05</v>
      </c>
      <c r="N32" s="68">
        <v>567.96</v>
      </c>
    </row>
    <row r="33" spans="1:14" ht="12.75">
      <c r="A33" s="65"/>
      <c r="B33" s="65"/>
      <c r="C33" s="66"/>
      <c r="D33" s="66"/>
      <c r="E33" s="66"/>
      <c r="F33" s="66"/>
      <c r="G33" s="66"/>
      <c r="H33" s="66"/>
      <c r="I33" s="66"/>
      <c r="J33" s="66"/>
      <c r="K33" s="65"/>
      <c r="L33" s="66"/>
      <c r="N33" s="68"/>
    </row>
    <row r="34" spans="1:14" ht="12.75">
      <c r="A34" s="69" t="s">
        <v>97</v>
      </c>
      <c r="B34" s="65"/>
      <c r="C34" s="66">
        <f aca="true" t="shared" si="3" ref="C34:J34">SUM(C21:C33)</f>
        <v>54.64</v>
      </c>
      <c r="D34" s="66">
        <f t="shared" si="3"/>
        <v>874.8100000000001</v>
      </c>
      <c r="E34" s="66">
        <f t="shared" si="3"/>
        <v>114.25</v>
      </c>
      <c r="F34" s="66">
        <f t="shared" si="3"/>
        <v>1353.8500000000001</v>
      </c>
      <c r="G34" s="66">
        <f t="shared" si="3"/>
        <v>4803.120000000001</v>
      </c>
      <c r="H34" s="66">
        <f t="shared" si="3"/>
        <v>71.03</v>
      </c>
      <c r="I34" s="66">
        <f t="shared" si="3"/>
        <v>71.03</v>
      </c>
      <c r="J34" s="66">
        <f t="shared" si="3"/>
        <v>817.7199999999998</v>
      </c>
      <c r="K34" s="65"/>
      <c r="L34" s="68">
        <f>SUM(C34:K34)</f>
        <v>8160.450000000001</v>
      </c>
      <c r="M34" s="66">
        <f>L34/12</f>
        <v>680.0375</v>
      </c>
      <c r="N34" s="68">
        <f>SUM(N21:N33)</f>
        <v>7108.250000000001</v>
      </c>
    </row>
    <row r="35" spans="1:12" ht="12.75">
      <c r="A35" s="65"/>
      <c r="B35" s="65"/>
      <c r="C35" s="66"/>
      <c r="D35" s="66"/>
      <c r="E35" s="66"/>
      <c r="F35" s="66"/>
      <c r="G35" s="66"/>
      <c r="H35" s="66"/>
      <c r="I35" s="66"/>
      <c r="J35" s="66"/>
      <c r="K35" s="65"/>
      <c r="L35" s="66"/>
    </row>
    <row r="36" spans="1:14" ht="12.75">
      <c r="A36" s="64">
        <v>37257</v>
      </c>
      <c r="B36" s="65"/>
      <c r="C36" s="66">
        <f>0.02+0.26+0.07+0.2+0.23+3.85</f>
        <v>4.63</v>
      </c>
      <c r="D36" s="66">
        <f>0.36+4.18+1.18+3.18+3.7+61.59</f>
        <v>74.19</v>
      </c>
      <c r="E36" s="66">
        <f>0.05+0.55+0.15+0.41+0.48+8.04</f>
        <v>9.68</v>
      </c>
      <c r="F36" s="66">
        <f>0.56+6.48+1.82+4.91+5.72+95.32</f>
        <v>114.81</v>
      </c>
      <c r="G36" s="66">
        <f>1.91+21.88+6.15+16.6+19.33+322.05+19.44</f>
        <v>407.36</v>
      </c>
      <c r="H36" s="66">
        <f>0.03+0.34+0.1+0.26+0.3+5</f>
        <v>6.03</v>
      </c>
      <c r="I36" s="66">
        <f>0.03+0.34+0.1+0.26+0.3+5</f>
        <v>6.03</v>
      </c>
      <c r="J36" s="66">
        <f>0.34+3.91+1.1+2.97+3.45+57.57</f>
        <v>69.34</v>
      </c>
      <c r="K36" s="65"/>
      <c r="L36" s="66">
        <f aca="true" t="shared" si="4" ref="L36:L47">SUM(C36:K36)</f>
        <v>692.07</v>
      </c>
      <c r="N36" s="65">
        <v>627.76</v>
      </c>
    </row>
    <row r="37" spans="1:14" ht="12.75">
      <c r="A37" s="64">
        <v>37288</v>
      </c>
      <c r="B37" s="65"/>
      <c r="C37" s="66">
        <f>0.02+0.2+0.06+0.15+0.17+2.89</f>
        <v>3.49</v>
      </c>
      <c r="D37" s="66">
        <f>0.27+3.14+0.88+2.39+2.79+46.21</f>
        <v>55.68</v>
      </c>
      <c r="E37" s="66">
        <f>0.04+0.41+0.12+0.31+0.36+6.04</f>
        <v>7.279999999999999</v>
      </c>
      <c r="F37" s="66">
        <f>0.42+4.86+1.37+3.7+4.31+71.52</f>
        <v>86.17999999999999</v>
      </c>
      <c r="G37" s="66">
        <f>1.43+16.42+4.61+12.51+14.56+241.63+14.6</f>
        <v>305.76</v>
      </c>
      <c r="H37" s="66">
        <f>0.02+0.25+0.07+0.19+0.23+3.75</f>
        <v>4.51</v>
      </c>
      <c r="I37" s="66">
        <f>0.02+0.25+0.07+0.19+0.23+3.75</f>
        <v>4.51</v>
      </c>
      <c r="J37" s="66">
        <f>0.26+2.94+0.82+2.24+2.6+43.2</f>
        <v>52.06</v>
      </c>
      <c r="K37" s="65"/>
      <c r="L37" s="66">
        <f t="shared" si="4"/>
        <v>519.47</v>
      </c>
      <c r="N37" s="65">
        <v>516.63</v>
      </c>
    </row>
    <row r="38" spans="1:14" ht="12.75">
      <c r="A38" s="64">
        <v>37316</v>
      </c>
      <c r="B38" s="65"/>
      <c r="C38" s="66">
        <f>0.02+0.19+0.05+0.15+0.17+2.87</f>
        <v>3.45</v>
      </c>
      <c r="D38" s="66">
        <f>0.27+3.11+0.87+2.35+2.7+45.97</f>
        <v>55.269999999999996</v>
      </c>
      <c r="E38" s="66">
        <f>0.04+0.41+0.11+0.31+0.35+6</f>
        <v>7.22</v>
      </c>
      <c r="F38" s="66">
        <f>0.42+4.81+1.35+3.63+4.18+71.14</f>
        <v>85.53</v>
      </c>
      <c r="G38" s="66">
        <f>1.41+16.25+4.57+12.27+14.12+240.35+14.52</f>
        <v>303.48999999999995</v>
      </c>
      <c r="H38" s="66">
        <f>0.02+0.25+0.07+0.19+0.22+3.73</f>
        <v>4.48</v>
      </c>
      <c r="I38" s="66">
        <f>0.02+0.25+0.07+0.19+0.22+3.73</f>
        <v>4.48</v>
      </c>
      <c r="J38" s="66">
        <f>0.25+2.91+0.82+2.19+2.53+42.97</f>
        <v>51.67</v>
      </c>
      <c r="K38" s="65"/>
      <c r="L38" s="66">
        <f t="shared" si="4"/>
        <v>515.5899999999999</v>
      </c>
      <c r="N38" s="65">
        <v>532.94</v>
      </c>
    </row>
    <row r="39" spans="1:14" ht="12.75">
      <c r="A39" s="64">
        <v>37347</v>
      </c>
      <c r="B39" s="65"/>
      <c r="C39" s="66">
        <f>0.02+0.2+0.06+0.15+0.18+3.42</f>
        <v>4.03</v>
      </c>
      <c r="D39" s="66">
        <f>0.28+3.26+0.91+2.44+2.81+54.74</f>
        <v>64.44</v>
      </c>
      <c r="E39" s="66">
        <f>0.04+0.43+0.12+0.32+0.37+7.15</f>
        <v>8.43</v>
      </c>
      <c r="F39" s="66">
        <f>0.43+5.05+1.41+3.78+4.35+84.71</f>
        <v>99.72999999999999</v>
      </c>
      <c r="G39" s="66">
        <f>1.47+17.06+4.76+12.78+14.71+286.2+16.92</f>
        <v>353.90000000000003</v>
      </c>
      <c r="H39" s="66">
        <f>0.02+0.26+0.07+0.2+0.23+4.44</f>
        <v>5.220000000000001</v>
      </c>
      <c r="I39" s="66">
        <f>0.02+0.26+0.07+0.2+0.23+4.44</f>
        <v>5.220000000000001</v>
      </c>
      <c r="J39" s="66">
        <f>0.26+3.05+0.85+2.28+2.63+51.16</f>
        <v>60.23</v>
      </c>
      <c r="K39" s="65"/>
      <c r="L39" s="66">
        <f t="shared" si="4"/>
        <v>601.2</v>
      </c>
      <c r="N39" s="65">
        <v>634.67</v>
      </c>
    </row>
    <row r="40" spans="1:14" ht="12.75">
      <c r="A40" s="64">
        <v>37377</v>
      </c>
      <c r="B40" s="65"/>
      <c r="C40" s="66">
        <f>0.02+0.1+0.06+0.17+0.19+3.38</f>
        <v>3.92</v>
      </c>
      <c r="D40" s="66">
        <f>0.31+1.62+0.99+2.67+3.07+54.05</f>
        <v>62.709999999999994</v>
      </c>
      <c r="E40" s="66">
        <f>0.04+0.21+0.13+0.35+0.4+7.06</f>
        <v>8.19</v>
      </c>
      <c r="F40" s="66">
        <f>0.47+2.5+1.54+4.13+4.75+83.65</f>
        <v>97.04</v>
      </c>
      <c r="G40" s="66">
        <f>1.6+8.46+5.19+13.94+16.05+282.6+16.41</f>
        <v>344.25000000000006</v>
      </c>
      <c r="H40" s="66">
        <f>0.02+0.13+0.08+0.22+0.25+4.39</f>
        <v>5.09</v>
      </c>
      <c r="I40" s="66">
        <f>0.02+0.13+0.08+0.22+0.25+4.39</f>
        <v>5.09</v>
      </c>
      <c r="J40" s="66">
        <f>0.29+1.51+0.93+2.49+2.87+50.52</f>
        <v>58.61</v>
      </c>
      <c r="K40" s="65"/>
      <c r="L40" s="66">
        <f t="shared" si="4"/>
        <v>584.9000000000002</v>
      </c>
      <c r="N40" s="65">
        <v>679.72</v>
      </c>
    </row>
    <row r="41" spans="1:14" ht="12.75">
      <c r="A41" s="64">
        <v>37408</v>
      </c>
      <c r="B41" s="65"/>
      <c r="C41" s="66">
        <f>0.02+0.21+0.06+0.16+0.18+3.22</f>
        <v>3.85</v>
      </c>
      <c r="D41" s="66">
        <f>0.29+3.35+0.93+2.49+2.87+51.59</f>
        <v>61.52</v>
      </c>
      <c r="E41" s="66">
        <f>0.04+0.44+0.12+0.33+0.37+6.74</f>
        <v>8.04</v>
      </c>
      <c r="F41" s="66">
        <f>0.44+5.19+1.44+3.85+4.44+79.84</f>
        <v>95.2</v>
      </c>
      <c r="G41" s="66">
        <f>1.5+17.52+4.85+13.02+14.99+269.75+16.09</f>
        <v>337.71999999999997</v>
      </c>
      <c r="H41" s="66">
        <f>0.02+0.27+0.08+0.2+0.23+4.19</f>
        <v>4.99</v>
      </c>
      <c r="I41" s="66">
        <f>0.02+0.27+0.08+0.2+0.23+4.19</f>
        <v>4.99</v>
      </c>
      <c r="J41" s="66">
        <f>0.27+3.13+0.87+2.33+2.68+48.22</f>
        <v>57.5</v>
      </c>
      <c r="K41" s="65"/>
      <c r="L41" s="66">
        <f t="shared" si="4"/>
        <v>573.81</v>
      </c>
      <c r="N41" s="66">
        <v>591.1</v>
      </c>
    </row>
    <row r="42" spans="1:14" ht="12.75">
      <c r="A42" s="64">
        <v>37438</v>
      </c>
      <c r="B42" s="65"/>
      <c r="C42" s="66">
        <f>0.02+0.12+0.06+0.16+0.19+2.97</f>
        <v>3.5200000000000005</v>
      </c>
      <c r="D42" s="66">
        <f>0.3+1.95+0.96+2.57+2.96+47.54</f>
        <v>56.28</v>
      </c>
      <c r="E42" s="66">
        <f>0.04+0.25+0.13+0.34+0.39+6.21</f>
        <v>7.359999999999999</v>
      </c>
      <c r="F42" s="66">
        <f>0.46+3.02+1.48+3.98+4.59+73.57</f>
        <v>87.1</v>
      </c>
      <c r="G42" s="66">
        <f>1.55+10.2+5.01+13.46+15.49+248.56+14.74</f>
        <v>309.01</v>
      </c>
      <c r="H42" s="66">
        <f>0.02+0.16+0.08+0.21+0.24+3.86</f>
        <v>4.57</v>
      </c>
      <c r="I42" s="66">
        <f>0.02+0.16+0.08+0.21+0.24+3.86</f>
        <v>4.57</v>
      </c>
      <c r="J42" s="66">
        <f>0.28+1.82+0.9+2.41+2.77+44.44</f>
        <v>52.62</v>
      </c>
      <c r="K42" s="65"/>
      <c r="L42" s="66">
        <f t="shared" si="4"/>
        <v>525.03</v>
      </c>
      <c r="N42" s="65">
        <v>652.23</v>
      </c>
    </row>
    <row r="43" spans="1:14" ht="12.75">
      <c r="A43" s="64">
        <v>37469</v>
      </c>
      <c r="B43" s="65"/>
      <c r="C43" s="66">
        <f>0.02+0.2+0.06+0.16+0.18+2.96</f>
        <v>3.58</v>
      </c>
      <c r="D43" s="66">
        <f>0.29+3.15+0.94+2.52+2.9+47.41</f>
        <v>57.209999999999994</v>
      </c>
      <c r="E43" s="66">
        <f>0.04+0.41+0.12+0.33+0.38+6.19</f>
        <v>7.470000000000001</v>
      </c>
      <c r="F43" s="66">
        <f>0.45+4.88+1.45+3.9+4.48+73.37</f>
        <v>88.53</v>
      </c>
      <c r="G43" s="66">
        <f>1.51+16.48+4.9+13.16+15.14+247.9+14.96</f>
        <v>314.05</v>
      </c>
      <c r="H43" s="66">
        <f>0.02+0.26+0.08+0.2+0.24+3.85</f>
        <v>4.65</v>
      </c>
      <c r="I43" s="66">
        <f>0.02+0.26+0.08+0.2+0.24+3.85</f>
        <v>4.65</v>
      </c>
      <c r="J43" s="66">
        <f>0.27+2.95+0.88+2.35+2.71+44.32</f>
        <v>53.480000000000004</v>
      </c>
      <c r="K43" s="65"/>
      <c r="L43" s="66">
        <f t="shared" si="4"/>
        <v>533.62</v>
      </c>
      <c r="N43" s="65">
        <v>615.31</v>
      </c>
    </row>
    <row r="44" spans="1:14" ht="12.75">
      <c r="A44" s="64">
        <v>37500</v>
      </c>
      <c r="B44" s="65"/>
      <c r="C44" s="66">
        <f>0.03+0.21+0.08+0.16+0.09+3.08</f>
        <v>3.65</v>
      </c>
      <c r="D44" s="66">
        <f>0.54+3.38+1.32+2.51+1.45+49.21</f>
        <v>58.41</v>
      </c>
      <c r="E44" s="66">
        <f>0.07+0.44+0.17+0.33+0.19+6.43</f>
        <v>7.63</v>
      </c>
      <c r="F44" s="66">
        <f>0.84+5.22+2.04+3.89+2.24+76.16</f>
        <v>90.39</v>
      </c>
      <c r="G44" s="66">
        <f>2.83+17.65+6.89+13.13+7.57+257.3+15.3</f>
        <v>320.67</v>
      </c>
      <c r="H44" s="66">
        <f>0.04+0.27+0.11+0.2+0.12+3.99</f>
        <v>4.73</v>
      </c>
      <c r="I44" s="66">
        <f>0.04+0.27+0.11+0.2+0.12+3.99</f>
        <v>4.73</v>
      </c>
      <c r="J44" s="66">
        <f>0.51+3.16+1.23+2.35+1.35+46</f>
        <v>54.6</v>
      </c>
      <c r="K44" s="65"/>
      <c r="L44" s="66">
        <f t="shared" si="4"/>
        <v>544.8100000000001</v>
      </c>
      <c r="N44" s="65">
        <v>603.77</v>
      </c>
    </row>
    <row r="45" spans="1:14" ht="12.75">
      <c r="A45" s="64">
        <v>37530</v>
      </c>
      <c r="B45" s="65"/>
      <c r="C45" s="66">
        <f>0.03+0.15+0.11+0.22+0.16+3.45</f>
        <v>4.12</v>
      </c>
      <c r="D45" s="66">
        <f>0.45+2.33+1.82+3.46+2.63+55.2</f>
        <v>65.89</v>
      </c>
      <c r="E45" s="66">
        <f>0.06+0.3+0.24+0.45+0.34+7.21</f>
        <v>8.6</v>
      </c>
      <c r="F45" s="66">
        <f>0.69+3.61+2.82+5.36+4.06+85.42</f>
        <v>101.96000000000001</v>
      </c>
      <c r="G45" s="66">
        <f>2.34+12.19+9.52+18.12+13.73+288.59+17.26</f>
        <v>361.75</v>
      </c>
      <c r="H45" s="66">
        <f>0.04+0.19+0.15+0.28+0.21+4.48</f>
        <v>5.3500000000000005</v>
      </c>
      <c r="I45" s="66">
        <f>0.04+0.19+0.15+0.28+0.21+4.48</f>
        <v>5.3500000000000005</v>
      </c>
      <c r="J45" s="66">
        <f>0.42+2.18+1.7+3.24+2.45+51.59</f>
        <v>61.580000000000005</v>
      </c>
      <c r="K45" s="65"/>
      <c r="L45" s="66">
        <f t="shared" si="4"/>
        <v>614.6</v>
      </c>
      <c r="N45" s="65">
        <f>612.49+35.74</f>
        <v>648.23</v>
      </c>
    </row>
    <row r="46" spans="1:14" ht="12.75">
      <c r="A46" s="64">
        <v>37561</v>
      </c>
      <c r="B46" s="65"/>
      <c r="C46" s="66">
        <f>0.04+0.18+0.07+0.12+0.13+3.29</f>
        <v>3.83</v>
      </c>
      <c r="D46" s="66">
        <f>0.6+2.81+1.04+1.98+2.01+52.61</f>
        <v>61.05</v>
      </c>
      <c r="E46" s="66">
        <f>0.08+0.37+0.14+0.26+0.26+6.87</f>
        <v>7.98</v>
      </c>
      <c r="F46" s="66">
        <f>0.93+4.34+1.61+3.07+3.11+81.42</f>
        <v>94.48</v>
      </c>
      <c r="G46" s="66">
        <f>3.13+14.67+5.45+10.36+10.51+275.07+16.01</f>
        <v>335.2</v>
      </c>
      <c r="H46" s="66">
        <f>0.05+0.23+0.08+0.16+0.16+4.27</f>
        <v>4.949999999999999</v>
      </c>
      <c r="I46" s="66">
        <f>0.05+0.23+0.08+0.16+0.16+4.27</f>
        <v>4.949999999999999</v>
      </c>
      <c r="J46" s="66">
        <f>0.56+2.62+0.97+1.85+1.88+49.17</f>
        <v>57.050000000000004</v>
      </c>
      <c r="K46" s="65"/>
      <c r="L46" s="66">
        <f t="shared" si="4"/>
        <v>569.4899999999999</v>
      </c>
      <c r="N46" s="65">
        <f>576.76+34.75</f>
        <v>611.51</v>
      </c>
    </row>
    <row r="47" spans="1:14" ht="12.75">
      <c r="A47" s="64">
        <v>37591</v>
      </c>
      <c r="B47" s="65"/>
      <c r="C47" s="66">
        <f>0.04+0.16+0.09+0.17+0.1+3.04</f>
        <v>3.6</v>
      </c>
      <c r="D47" s="66">
        <f>0.63+2.52+1.4+2.67+1.6+48.56</f>
        <v>57.38</v>
      </c>
      <c r="E47" s="66">
        <f>0.08+0.33+0.18+0.35+0.21+6.34</f>
        <v>7.49</v>
      </c>
      <c r="F47" s="66">
        <f>0.97+3.9+2.17+4.14+2.47+75.16</f>
        <v>88.81</v>
      </c>
      <c r="G47" s="66">
        <f>3.28+13.18+7.34+13.97+8.34+253.92+15.04</f>
        <v>315.07</v>
      </c>
      <c r="H47" s="66">
        <f>0.05+0.2+0.11+0.22+0.13+3.94</f>
        <v>4.65</v>
      </c>
      <c r="I47" s="66">
        <f>0.05+0.2+0.11+0.22+0.13+3.94</f>
        <v>4.65</v>
      </c>
      <c r="J47" s="66">
        <f>0.59+2.36+1.31+2.5+1.49+45.39</f>
        <v>53.64</v>
      </c>
      <c r="K47" s="65"/>
      <c r="L47" s="66">
        <f t="shared" si="4"/>
        <v>535.29</v>
      </c>
      <c r="N47" s="65">
        <f>664.01+36.02</f>
        <v>700.03</v>
      </c>
    </row>
    <row r="48" spans="1:12" ht="12.7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5"/>
      <c r="L48" s="66"/>
    </row>
    <row r="49" spans="1:14" ht="12.75">
      <c r="A49" s="67" t="s">
        <v>98</v>
      </c>
      <c r="B49" s="65"/>
      <c r="C49" s="66">
        <f aca="true" t="shared" si="5" ref="C49:J49">SUM(C36:C48)</f>
        <v>45.67</v>
      </c>
      <c r="D49" s="66">
        <f t="shared" si="5"/>
        <v>730.0299999999999</v>
      </c>
      <c r="E49" s="66">
        <f t="shared" si="5"/>
        <v>95.36999999999999</v>
      </c>
      <c r="F49" s="66">
        <f t="shared" si="5"/>
        <v>1129.76</v>
      </c>
      <c r="G49" s="66">
        <f t="shared" si="5"/>
        <v>4008.23</v>
      </c>
      <c r="H49" s="66">
        <f t="shared" si="5"/>
        <v>59.21999999999999</v>
      </c>
      <c r="I49" s="66">
        <f t="shared" si="5"/>
        <v>59.21999999999999</v>
      </c>
      <c r="J49" s="66">
        <f t="shared" si="5"/>
        <v>682.38</v>
      </c>
      <c r="K49" s="65"/>
      <c r="L49" s="68">
        <f>SUM(C49:K49)</f>
        <v>6809.88</v>
      </c>
      <c r="M49" s="66">
        <f>L49/12</f>
        <v>567.49</v>
      </c>
      <c r="N49" s="68">
        <f>SUM(N36:N48)</f>
        <v>7413.900000000001</v>
      </c>
    </row>
    <row r="50" spans="1:12" ht="12.75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5"/>
      <c r="L50" s="66"/>
    </row>
    <row r="51" spans="1:14" ht="12.75">
      <c r="A51" s="64">
        <v>37622</v>
      </c>
      <c r="B51" s="65"/>
      <c r="C51" s="66">
        <f>0.03+0.22+0.09+0.18+0.16+3.94</f>
        <v>4.62</v>
      </c>
      <c r="D51" s="66">
        <f>0.59+3.99+1.71+3.26+2.89+72.39</f>
        <v>84.83</v>
      </c>
      <c r="E51" s="66">
        <f>0.04+0.3+0.13+0.24+0.21+5.39</f>
        <v>6.31</v>
      </c>
      <c r="F51" s="66">
        <f>0.34+2.27+0.98+1.86+1.64+41.22</f>
        <v>48.31</v>
      </c>
      <c r="G51" s="66">
        <f>2.32+15.57+6.69+12.73+11.26+282.58-0.22</f>
        <v>330.92999999999995</v>
      </c>
      <c r="H51" s="66">
        <f>0.03+0.17+0.08+0.14+0.13+3.17</f>
        <v>3.7199999999999998</v>
      </c>
      <c r="I51" s="66">
        <f>0.03+0.17+0.08+0.14+0.13+3.17</f>
        <v>3.7199999999999998</v>
      </c>
      <c r="J51" s="66">
        <f>0.51+3.43+1.47+2.8+2.48+62.24</f>
        <v>72.93</v>
      </c>
      <c r="K51" s="65">
        <f>0.06+0.39+0.17+0.32+0.28+7.07</f>
        <v>8.290000000000001</v>
      </c>
      <c r="L51" s="66">
        <f aca="true" t="shared" si="6" ref="L51:L64">SUM(C51:K51)</f>
        <v>563.66</v>
      </c>
      <c r="N51" s="65">
        <f>572.4+36.69</f>
        <v>609.0899999999999</v>
      </c>
    </row>
    <row r="52" spans="1:14" ht="12.75">
      <c r="A52" s="64">
        <v>37653</v>
      </c>
      <c r="B52" s="65"/>
      <c r="C52" s="66">
        <f>0.03+0.12+0.07+0.13+0.11+3.45</f>
        <v>3.91</v>
      </c>
      <c r="D52" s="66">
        <f>0.58+2.27+1.21+2.3+2.08+63.33</f>
        <v>71.77</v>
      </c>
      <c r="E52" s="66">
        <f>0.04+0.17+0.09+0.17+0.16+4.71</f>
        <v>5.34</v>
      </c>
      <c r="F52" s="66">
        <f>0.33+1.29+0.69+1.31+1.19+36.06</f>
        <v>40.870000000000005</v>
      </c>
      <c r="G52" s="66">
        <f>2.27+8.85+4.71+8.97+8.14+247.02</f>
        <v>279.96000000000004</v>
      </c>
      <c r="H52" s="66">
        <f>0.03+0.1+0.05+0.1+0.09+2.78</f>
        <v>3.15</v>
      </c>
      <c r="I52" s="66">
        <f>0.03+0.1+0.05+0.1+0.09+2.78</f>
        <v>3.15</v>
      </c>
      <c r="J52" s="66">
        <f>0.5+1.95+1.04+1.97+1.79+54.45</f>
        <v>61.7</v>
      </c>
      <c r="K52" s="65">
        <f>0.06+0.22+0.12+0.22+0.2+6.19</f>
        <v>7.010000000000001</v>
      </c>
      <c r="L52" s="66">
        <f t="shared" si="6"/>
        <v>476.85999999999996</v>
      </c>
      <c r="N52" s="65">
        <f>516.58+28.73</f>
        <v>545.3100000000001</v>
      </c>
    </row>
    <row r="53" spans="1:14" ht="12.75">
      <c r="A53" s="64">
        <v>37681</v>
      </c>
      <c r="B53" s="65"/>
      <c r="C53" s="66">
        <f>0.04+0.19+0.08+0.16+0.14+3.44</f>
        <v>4.05</v>
      </c>
      <c r="D53" s="66">
        <f>0.72+3.6+1.57+3+2.6+64.83</f>
        <v>76.32</v>
      </c>
      <c r="E53" s="66">
        <f>0.05+0.25+0.11+0.21+0.18+4.59</f>
        <v>5.39</v>
      </c>
      <c r="F53" s="66">
        <f>0.4+2.02+0.89+1.69+1.46+36.45</f>
        <v>42.910000000000004</v>
      </c>
      <c r="G53" s="66">
        <f>2.72+13.7+5.99+11.41+9.91+246.76-3.33</f>
        <v>287.16</v>
      </c>
      <c r="H53" s="66">
        <f>0.03+0.16+0.07+0.13+0.11+2.8</f>
        <v>3.3</v>
      </c>
      <c r="I53" s="66">
        <f>0.03+0.16+0.07+0.13+0.11+2.8</f>
        <v>3.3</v>
      </c>
      <c r="J53" s="66">
        <f>0.63+3.16+1.38+2.63+2.28+56.85</f>
        <v>66.93</v>
      </c>
      <c r="K53" s="66">
        <f>0.1+0.51+0.22+0.42+0.37+9.18</f>
        <v>10.8</v>
      </c>
      <c r="L53" s="66">
        <f t="shared" si="6"/>
        <v>500.1600000000001</v>
      </c>
      <c r="N53" s="65">
        <f>481.26+30.79</f>
        <v>512.05</v>
      </c>
    </row>
    <row r="54" spans="1:14" ht="12.75">
      <c r="A54" s="64">
        <v>37712</v>
      </c>
      <c r="B54" s="65"/>
      <c r="C54" s="66">
        <f>0.03+0.18+0.08+0.15+0.18+4.05</f>
        <v>4.67</v>
      </c>
      <c r="D54" s="66">
        <f>0.62+3.32+1.49+2.84+3.41+76.25</f>
        <v>87.93</v>
      </c>
      <c r="E54" s="66">
        <f>0.04+0.23+0.11+0.2+0.24+5.4</f>
        <v>6.220000000000001</v>
      </c>
      <c r="F54" s="66">
        <f>0.35+1.87+0.84+1.59+1.92+42.87</f>
        <v>49.44</v>
      </c>
      <c r="G54" s="66">
        <f>2.35+12.63+5.67+10.79+12.99+290.23-3.86</f>
        <v>330.8</v>
      </c>
      <c r="H54" s="66">
        <f>0.03+0.14+0.06+0.12+0.15+3.3</f>
        <v>3.8</v>
      </c>
      <c r="I54" s="66">
        <f>0.03+0.14+0.06+0.12+0.15+3.3</f>
        <v>3.8</v>
      </c>
      <c r="J54" s="66">
        <f>0.54+2.91+1.31+2.49+2.99+66.86</f>
        <v>77.1</v>
      </c>
      <c r="K54" s="66">
        <f>0.09+0.47+0.21+0.4+0.48+10.79</f>
        <v>12.44</v>
      </c>
      <c r="L54" s="66">
        <f t="shared" si="6"/>
        <v>576.2</v>
      </c>
      <c r="N54" s="65">
        <f>526.89+34.14</f>
        <v>561.03</v>
      </c>
    </row>
    <row r="55" spans="1:14" ht="12.75">
      <c r="A55" s="64">
        <v>37742</v>
      </c>
      <c r="B55" s="65"/>
      <c r="C55" s="66">
        <f>0.03+0.29+0.1+0.19+0.1+3.41</f>
        <v>4.12</v>
      </c>
      <c r="D55" s="66">
        <f>0.64+5.87+2.06+3.91+2.14+69.69</f>
        <v>84.31</v>
      </c>
      <c r="E55" s="66">
        <f>0.05+0.49+0.17+0.33+0.18+5.82</f>
        <v>7.04</v>
      </c>
      <c r="F55" s="66">
        <f>0.37+3.42+1.2+2.28+1.25+40.55</f>
        <v>49.06999999999999</v>
      </c>
      <c r="G55" s="66">
        <f>2.53+23.17+8.12+15.45+8.46+275.11+12.64</f>
        <v>345.48</v>
      </c>
      <c r="H55" s="66">
        <f>0.03+0.29+0.1+0.19+0.1+3.41</f>
        <v>4.12</v>
      </c>
      <c r="I55" s="66">
        <f>0.03+0.29+0.1+0.19+0.1+3.41</f>
        <v>4.12</v>
      </c>
      <c r="J55" s="66">
        <f>0.42+3.85+1.35+2.57+1.4+45.7</f>
        <v>55.290000000000006</v>
      </c>
      <c r="K55" s="65">
        <f>0.14+1.31+0.46+0.87+0.48+15.57</f>
        <v>18.830000000000002</v>
      </c>
      <c r="L55" s="66">
        <f t="shared" si="6"/>
        <v>572.3800000000001</v>
      </c>
      <c r="N55" s="65">
        <f>604.25+36.09</f>
        <v>640.34</v>
      </c>
    </row>
    <row r="56" spans="1:14" ht="12.75">
      <c r="A56" s="64">
        <v>37773</v>
      </c>
      <c r="B56" s="65"/>
      <c r="C56" s="66">
        <f>0.04+0.29+0.09+0.17+0.12+3.21</f>
        <v>3.92</v>
      </c>
      <c r="D56" s="66">
        <f>0.9+5.93+1.81+3.44+2.47+65.71</f>
        <v>80.25999999999999</v>
      </c>
      <c r="E56" s="66">
        <f>0.07+0.49+0.15+0.28+0.2+5.43</f>
        <v>6.62</v>
      </c>
      <c r="F56" s="66">
        <f>0.52+3.43+1.05+1.99+1.43+37.97</f>
        <v>46.39</v>
      </c>
      <c r="G56" s="66">
        <f>3.56+23.38+7.13+13.57+9.74+258.88+11.97</f>
        <v>328.23</v>
      </c>
      <c r="H56" s="66">
        <f>0.04+0.29+0.09+0.17+0.12+3.21</f>
        <v>3.92</v>
      </c>
      <c r="I56" s="66">
        <f>0.04+0.29+0.09+0.17+0.12+3.21</f>
        <v>3.92</v>
      </c>
      <c r="J56" s="66">
        <f>0.6+3.91+1.19+2.27+1.63+43.27</f>
        <v>52.870000000000005</v>
      </c>
      <c r="K56" s="65">
        <f>0.2+1.31+0.4+0.76+0.55+14.51</f>
        <v>17.73</v>
      </c>
      <c r="L56" s="66">
        <f t="shared" si="6"/>
        <v>543.8600000000001</v>
      </c>
      <c r="N56" s="65">
        <f>543.29+35.56</f>
        <v>578.8499999999999</v>
      </c>
    </row>
    <row r="57" spans="1:14" ht="12.75">
      <c r="A57" s="64">
        <v>37803</v>
      </c>
      <c r="B57" s="65"/>
      <c r="C57" s="66">
        <f>0.03+0.13+0.08+0.15+0.13+2.29+0.88</f>
        <v>3.69</v>
      </c>
      <c r="D57" s="66">
        <f>0.71+2.73+1.67+3.17+2.72+47+18.12</f>
        <v>76.12</v>
      </c>
      <c r="E57" s="66">
        <f>0.06+0.23+0.14+0.26+0.22+3.88+1.5</f>
        <v>6.29</v>
      </c>
      <c r="F57" s="66">
        <f>0.41+1.58+0.96+1.83+1.57+27.16+10.47</f>
        <v>43.98</v>
      </c>
      <c r="G57" s="66">
        <f>2.79+10.75+6.57+12.49+10.72+185.16+8.68+71.39+2.72</f>
        <v>311.27000000000004</v>
      </c>
      <c r="H57" s="66">
        <f>0.03+0.13+0.08+0.15+0.13+2.29+0.88</f>
        <v>3.69</v>
      </c>
      <c r="I57" s="66">
        <f>0.03+0.13+0.08+0.15+0.13+2.29+0.88</f>
        <v>3.69</v>
      </c>
      <c r="J57" s="66">
        <f>0.47+1.8+1.1+2.09+1.79+30.95+11.93</f>
        <v>50.13</v>
      </c>
      <c r="K57" s="65">
        <f>0.16+0.6+0.37+0.7+0.6+10.38+4</f>
        <v>16.810000000000002</v>
      </c>
      <c r="L57" s="66">
        <f t="shared" si="6"/>
        <v>515.6700000000001</v>
      </c>
      <c r="N57" s="65">
        <f>581.72+38.29</f>
        <v>620.01</v>
      </c>
    </row>
    <row r="58" spans="1:14" ht="12.75">
      <c r="A58" s="64">
        <v>37834</v>
      </c>
      <c r="B58" s="65"/>
      <c r="C58" s="66">
        <f>0.04+0.14+0.1+0.18+0.16+2.33+0.61</f>
        <v>3.56</v>
      </c>
      <c r="D58" s="66">
        <f>0.77+2.9+1.97+3.75+3.25+47.79+12.44</f>
        <v>72.87</v>
      </c>
      <c r="E58" s="66">
        <f>0.06+0.24+0.16+0.31+0.27+3.95+1.03</f>
        <v>6.0200000000000005</v>
      </c>
      <c r="F58" s="66">
        <f>0.45+1.67+1.14+2.17+1.88+27.62+7.19</f>
        <v>42.12</v>
      </c>
      <c r="G58" s="66">
        <f>3.04+11.41+7.77+14.79+12.8+188.26+9.01+49.01+1.84</f>
        <v>297.92999999999995</v>
      </c>
      <c r="H58" s="66">
        <f>0.04+0.14+0.1+0.18+0.16+2.33+0.61</f>
        <v>3.56</v>
      </c>
      <c r="I58" s="66">
        <f>0.04+0.14+0.1+0.18+0.16+2.33+0.61</f>
        <v>3.56</v>
      </c>
      <c r="J58" s="66">
        <f>0.51+1.91+1.3+2.47+2.14+31.47+8.19</f>
        <v>47.989999999999995</v>
      </c>
      <c r="K58" s="65">
        <f>0.17+0.64+0.44+0.83+0.72+10.55+2.75</f>
        <v>16.1</v>
      </c>
      <c r="L58" s="66">
        <f t="shared" si="6"/>
        <v>493.71</v>
      </c>
      <c r="N58" s="65">
        <f>545.36+34.93</f>
        <v>580.29</v>
      </c>
    </row>
    <row r="59" spans="1:14" ht="12.75">
      <c r="A59" s="64">
        <v>37865</v>
      </c>
      <c r="B59" s="65"/>
      <c r="C59" s="66">
        <f>0.04+0.12+0.12+0.23+0.12+0.73+2.74</f>
        <v>4.1</v>
      </c>
      <c r="D59" s="66">
        <f>1.15+3.27+3.27+6.23+3.12+19.46+73.23</f>
        <v>109.73</v>
      </c>
      <c r="E59" s="66">
        <f>0.08+0.23+0.23+0.45+0.22+1.4+5.25</f>
        <v>7.859999999999999</v>
      </c>
      <c r="F59" s="66">
        <f>0.56+1.59+1.59+3.03+1.52+9.47+35.64</f>
        <v>53.4</v>
      </c>
      <c r="G59" s="66">
        <f>3.74+10.65+10.65+20.28+10.16+63.34+238.34-0.03</f>
        <v>357.13000000000005</v>
      </c>
      <c r="H59" s="66">
        <v>3.84</v>
      </c>
      <c r="I59" s="66">
        <v>3.84</v>
      </c>
      <c r="J59" s="66">
        <f>0.34+0.96+0.96+1.82+0.91+5.69+21.4</f>
        <v>32.08</v>
      </c>
      <c r="K59" s="65">
        <f>0.25+0.72+0.72+1.37+0.69+4.27+16.07</f>
        <v>24.09</v>
      </c>
      <c r="L59" s="66">
        <f t="shared" si="6"/>
        <v>596.0700000000002</v>
      </c>
      <c r="N59" s="65">
        <f>573.81+36.34</f>
        <v>610.15</v>
      </c>
    </row>
    <row r="60" spans="1:14" ht="12.75">
      <c r="A60" s="64">
        <v>37895</v>
      </c>
      <c r="B60" s="65"/>
      <c r="C60" s="66">
        <f>2.55+0.19</f>
        <v>2.7399999999999998</v>
      </c>
      <c r="D60" s="66">
        <f>62.91+4.58</f>
        <v>67.49</v>
      </c>
      <c r="E60" s="66">
        <f>4.52+0.33</f>
        <v>4.85</v>
      </c>
      <c r="F60" s="66">
        <f>30.86+2.25</f>
        <v>33.11</v>
      </c>
      <c r="G60" s="66">
        <f>209.84+15.29</f>
        <v>225.13</v>
      </c>
      <c r="H60" s="66">
        <f>1.85+0.13</f>
        <v>1.98</v>
      </c>
      <c r="I60" s="66">
        <v>1.98</v>
      </c>
      <c r="J60" s="66">
        <f>32.08+2.34</f>
        <v>34.42</v>
      </c>
      <c r="K60" s="65">
        <v>13.33</v>
      </c>
      <c r="L60" s="66">
        <f t="shared" si="6"/>
        <v>385.03000000000003</v>
      </c>
      <c r="N60" s="65">
        <f>579.17+36.46</f>
        <v>615.63</v>
      </c>
    </row>
    <row r="61" spans="1:14" ht="12.75">
      <c r="A61" s="64">
        <v>37926</v>
      </c>
      <c r="B61" s="65"/>
      <c r="C61" s="66">
        <f>2.28+0.15</f>
        <v>2.4299999999999997</v>
      </c>
      <c r="D61" s="66">
        <f>56.72+3.75</f>
        <v>60.47</v>
      </c>
      <c r="E61" s="66">
        <f>3.99+0.26</f>
        <v>4.25</v>
      </c>
      <c r="F61" s="66">
        <f>27.73+1.83</f>
        <v>29.560000000000002</v>
      </c>
      <c r="G61" s="66">
        <f>188.28+12.44</f>
        <v>200.72</v>
      </c>
      <c r="H61" s="66">
        <f>1.67+0.11</f>
        <v>1.78</v>
      </c>
      <c r="I61" s="66">
        <v>1.78</v>
      </c>
      <c r="J61" s="66">
        <f>28.34+1.87</f>
        <v>30.21</v>
      </c>
      <c r="K61" s="65">
        <v>11.78</v>
      </c>
      <c r="L61" s="66">
        <f t="shared" si="6"/>
        <v>342.9799999999999</v>
      </c>
      <c r="N61" s="65">
        <f>513.29+33.09</f>
        <v>546.38</v>
      </c>
    </row>
    <row r="62" spans="1:14" ht="12.75">
      <c r="A62" s="64">
        <v>37956</v>
      </c>
      <c r="B62" s="65"/>
      <c r="C62" s="66">
        <f>2.71+0.27</f>
        <v>2.98</v>
      </c>
      <c r="D62" s="66">
        <f>56.05+5.68</f>
        <v>61.73</v>
      </c>
      <c r="E62" s="66">
        <f>4.77+0.48</f>
        <v>5.25</v>
      </c>
      <c r="F62" s="66">
        <f>32.84+3.33</f>
        <v>36.17</v>
      </c>
      <c r="G62" s="66">
        <f>223.4+22.64</f>
        <v>246.04000000000002</v>
      </c>
      <c r="H62" s="66">
        <f>1.97+0.2</f>
        <v>2.17</v>
      </c>
      <c r="I62" s="66">
        <v>2.17</v>
      </c>
      <c r="J62" s="66">
        <f>33.83+3.43</f>
        <v>37.26</v>
      </c>
      <c r="K62" s="65">
        <v>26.74</v>
      </c>
      <c r="L62" s="66">
        <f t="shared" si="6"/>
        <v>420.51000000000005</v>
      </c>
      <c r="N62" s="65">
        <f>614.34+39.72</f>
        <v>654.0600000000001</v>
      </c>
    </row>
    <row r="63" spans="1:14" ht="12.75">
      <c r="A63" s="65"/>
      <c r="B63" s="65"/>
      <c r="C63" s="66"/>
      <c r="D63" s="66"/>
      <c r="E63" s="66"/>
      <c r="F63" s="66"/>
      <c r="G63" s="66"/>
      <c r="H63" s="66"/>
      <c r="I63" s="66"/>
      <c r="J63" s="66"/>
      <c r="K63" s="65"/>
      <c r="L63" s="66">
        <f t="shared" si="6"/>
        <v>0</v>
      </c>
      <c r="N63" s="65"/>
    </row>
    <row r="64" spans="1:14" ht="12.75">
      <c r="A64" s="69" t="s">
        <v>99</v>
      </c>
      <c r="B64" s="65"/>
      <c r="C64" s="66">
        <f aca="true" t="shared" si="7" ref="C64:K64">SUM(C51:C63)</f>
        <v>44.79</v>
      </c>
      <c r="D64" s="66">
        <f t="shared" si="7"/>
        <v>933.83</v>
      </c>
      <c r="E64" s="66">
        <f t="shared" si="7"/>
        <v>71.44</v>
      </c>
      <c r="F64" s="66">
        <f t="shared" si="7"/>
        <v>515.33</v>
      </c>
      <c r="G64" s="66">
        <f t="shared" si="7"/>
        <v>3540.7799999999997</v>
      </c>
      <c r="H64" s="66">
        <f t="shared" si="7"/>
        <v>39.029999999999994</v>
      </c>
      <c r="I64" s="66">
        <f t="shared" si="7"/>
        <v>39.029999999999994</v>
      </c>
      <c r="J64" s="66">
        <f t="shared" si="7"/>
        <v>618.91</v>
      </c>
      <c r="K64" s="66">
        <f t="shared" si="7"/>
        <v>183.95000000000005</v>
      </c>
      <c r="L64" s="68">
        <f t="shared" si="6"/>
        <v>5987.089999999999</v>
      </c>
      <c r="M64" s="66">
        <f>L64/12</f>
        <v>498.9241666666666</v>
      </c>
      <c r="N64" s="68">
        <f>SUM(N51:N63)</f>
        <v>7073.1900000000005</v>
      </c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  <c r="N65" s="65"/>
    </row>
    <row r="66" spans="1:14" ht="12.75">
      <c r="A66" s="64">
        <v>37987</v>
      </c>
      <c r="B66" s="65"/>
      <c r="C66" s="66">
        <f>2.65+0.24</f>
        <v>2.8899999999999997</v>
      </c>
      <c r="D66" s="66">
        <f>54.96+4.97</f>
        <v>59.93</v>
      </c>
      <c r="E66" s="66">
        <f>4.63+0.42</f>
        <v>5.05</v>
      </c>
      <c r="F66" s="66">
        <f>32.11+2.91</f>
        <v>35.019999999999996</v>
      </c>
      <c r="G66" s="66">
        <f>218.59+19.77</f>
        <v>238.36</v>
      </c>
      <c r="H66" s="66">
        <f>1.94+0.18</f>
        <v>2.12</v>
      </c>
      <c r="I66" s="66">
        <v>2.12</v>
      </c>
      <c r="J66" s="66">
        <f>32.93+2.98</f>
        <v>35.91</v>
      </c>
      <c r="K66" s="65">
        <f>23.64+2.14</f>
        <v>25.78</v>
      </c>
      <c r="L66" s="66">
        <f aca="true" t="shared" si="8" ref="L66:L79">SUM(C66:K66)</f>
        <v>407.17999999999995</v>
      </c>
      <c r="N66" s="65">
        <f>587.36+36.55</f>
        <v>623.91</v>
      </c>
    </row>
    <row r="67" spans="1:14" ht="12.75">
      <c r="A67" s="64">
        <v>38018</v>
      </c>
      <c r="B67" s="65"/>
      <c r="C67" s="66">
        <f>2.01+0.24</f>
        <v>2.25</v>
      </c>
      <c r="D67" s="66">
        <f>41.46+5</f>
        <v>46.46</v>
      </c>
      <c r="E67" s="66">
        <f>3.53+0.43</f>
        <v>3.96</v>
      </c>
      <c r="F67" s="66">
        <f>24.32+2.94</f>
        <v>27.26</v>
      </c>
      <c r="G67" s="66">
        <f>165.15+19.93</f>
        <v>185.08</v>
      </c>
      <c r="H67" s="66">
        <f>1.45+0.18</f>
        <v>1.63</v>
      </c>
      <c r="I67" s="66">
        <v>1.63</v>
      </c>
      <c r="J67" s="66">
        <f>25.22+3.04</f>
        <v>28.259999999999998</v>
      </c>
      <c r="K67" s="65">
        <v>20.01</v>
      </c>
      <c r="L67" s="66">
        <f t="shared" si="8"/>
        <v>316.53999999999996</v>
      </c>
      <c r="N67" s="65">
        <f>484.67+30.41</f>
        <v>515.08</v>
      </c>
    </row>
    <row r="68" spans="1:14" ht="12.75">
      <c r="A68" s="64">
        <v>38047</v>
      </c>
      <c r="B68" s="65"/>
      <c r="C68" s="66">
        <f>2.37+0.25</f>
        <v>2.62</v>
      </c>
      <c r="D68" s="66">
        <f>48.96+5.21</f>
        <v>54.17</v>
      </c>
      <c r="E68" s="66">
        <f>4.17+0.44</f>
        <v>4.61</v>
      </c>
      <c r="F68" s="66">
        <f>28.73+3.06</f>
        <v>31.79</v>
      </c>
      <c r="G68" s="66">
        <f>194.89+20.75</f>
        <v>215.64</v>
      </c>
      <c r="H68" s="66">
        <f>1.72+0.18</f>
        <v>1.9</v>
      </c>
      <c r="I68" s="66">
        <v>1.9</v>
      </c>
      <c r="J68" s="66">
        <f>29.66+3.16</f>
        <v>32.82</v>
      </c>
      <c r="K68" s="66">
        <f>21.06+2.24</f>
        <v>23.299999999999997</v>
      </c>
      <c r="L68" s="66">
        <f t="shared" si="8"/>
        <v>368.74999999999994</v>
      </c>
      <c r="N68" s="65">
        <f>579.35+36</f>
        <v>615.35</v>
      </c>
    </row>
    <row r="69" spans="1:14" ht="12.75">
      <c r="A69" s="64">
        <v>38078</v>
      </c>
      <c r="B69" s="65"/>
      <c r="C69" s="66">
        <v>2.2</v>
      </c>
      <c r="D69" s="66">
        <v>44.96</v>
      </c>
      <c r="E69" s="66">
        <v>3.83</v>
      </c>
      <c r="F69" s="66">
        <v>26.35</v>
      </c>
      <c r="G69" s="66">
        <v>179.06</v>
      </c>
      <c r="H69" s="66">
        <v>1.59</v>
      </c>
      <c r="I69" s="66">
        <v>1.59</v>
      </c>
      <c r="J69" s="66">
        <v>27.08</v>
      </c>
      <c r="K69" s="66">
        <v>19.37</v>
      </c>
      <c r="L69" s="66">
        <f t="shared" si="8"/>
        <v>306.0299999999999</v>
      </c>
      <c r="N69" s="65">
        <v>571.65</v>
      </c>
    </row>
    <row r="70" spans="1:14" ht="12.75">
      <c r="A70" s="64">
        <v>38108</v>
      </c>
      <c r="B70" s="65"/>
      <c r="C70" s="66">
        <f>0.24+2.32</f>
        <v>2.5599999999999996</v>
      </c>
      <c r="D70" s="66">
        <f>4.95+47.91</f>
        <v>52.86</v>
      </c>
      <c r="E70" s="66">
        <f>0.42+4.08</f>
        <v>4.5</v>
      </c>
      <c r="F70" s="66">
        <f>2.91+28.1</f>
        <v>31.01</v>
      </c>
      <c r="G70" s="66">
        <f>19.74+190.9</f>
        <v>210.64000000000001</v>
      </c>
      <c r="H70" s="66">
        <f>0.18+1.7</f>
        <v>1.88</v>
      </c>
      <c r="I70" s="66">
        <f>0.18+1.7</f>
        <v>1.88</v>
      </c>
      <c r="J70" s="66">
        <f>2.99+28.91</f>
        <v>31.9</v>
      </c>
      <c r="K70" s="65">
        <f>2.14+20.69+0.02</f>
        <v>22.85</v>
      </c>
      <c r="L70" s="66">
        <f t="shared" si="8"/>
        <v>360.08000000000004</v>
      </c>
      <c r="N70" s="65">
        <v>592.58</v>
      </c>
    </row>
    <row r="71" spans="1:14" ht="12.75">
      <c r="A71" s="64">
        <v>38139</v>
      </c>
      <c r="B71" s="65"/>
      <c r="C71" s="66">
        <v>2.73</v>
      </c>
      <c r="D71" s="66">
        <v>56.77</v>
      </c>
      <c r="E71" s="66">
        <v>4.69</v>
      </c>
      <c r="F71" s="66">
        <v>34.23</v>
      </c>
      <c r="G71" s="66">
        <v>224.97</v>
      </c>
      <c r="H71" s="66">
        <v>1.98</v>
      </c>
      <c r="I71" s="66">
        <v>1.98</v>
      </c>
      <c r="J71" s="66">
        <v>34.23</v>
      </c>
      <c r="K71" s="65">
        <v>23.06</v>
      </c>
      <c r="L71" s="66">
        <f t="shared" si="8"/>
        <v>384.64000000000004</v>
      </c>
      <c r="N71" s="65">
        <v>722.91</v>
      </c>
    </row>
    <row r="72" spans="1:14" ht="12.75">
      <c r="A72" s="64">
        <v>38169</v>
      </c>
      <c r="B72" s="65"/>
      <c r="C72" s="66">
        <f>0.18+2.72</f>
        <v>2.9000000000000004</v>
      </c>
      <c r="D72" s="66">
        <f>3.66+55.83</f>
        <v>59.489999999999995</v>
      </c>
      <c r="E72" s="66">
        <f>0.32+4.9</f>
        <v>5.220000000000001</v>
      </c>
      <c r="F72" s="66">
        <f>2.15+32.87</f>
        <v>35.019999999999996</v>
      </c>
      <c r="G72" s="66">
        <f>14.67+223.92</f>
        <v>238.58999999999997</v>
      </c>
      <c r="H72" s="66">
        <f>0.13+1.99</f>
        <v>2.12</v>
      </c>
      <c r="I72" s="66">
        <f>0.13+1.99</f>
        <v>2.12</v>
      </c>
      <c r="J72" s="66">
        <f>2.22+33.94</f>
        <v>36.16</v>
      </c>
      <c r="K72" s="65">
        <f>1.61+24.47</f>
        <v>26.08</v>
      </c>
      <c r="L72" s="66">
        <f t="shared" si="8"/>
        <v>407.7</v>
      </c>
      <c r="N72" s="65">
        <v>610.83</v>
      </c>
    </row>
    <row r="73" spans="1:14" ht="12.75">
      <c r="A73" s="64">
        <v>38200</v>
      </c>
      <c r="B73" s="65"/>
      <c r="C73" s="66">
        <v>2.91</v>
      </c>
      <c r="D73" s="66">
        <v>59.94</v>
      </c>
      <c r="E73" s="66">
        <v>5.2</v>
      </c>
      <c r="F73" s="66">
        <v>35.31</v>
      </c>
      <c r="G73" s="66">
        <v>239.67</v>
      </c>
      <c r="H73" s="66">
        <v>2.13</v>
      </c>
      <c r="I73" s="66">
        <v>2.13</v>
      </c>
      <c r="J73" s="66">
        <v>36.22</v>
      </c>
      <c r="K73" s="65">
        <v>26.17</v>
      </c>
      <c r="L73" s="66">
        <f t="shared" si="8"/>
        <v>409.68</v>
      </c>
      <c r="N73" s="65">
        <v>598.37</v>
      </c>
    </row>
    <row r="74" spans="1:14" ht="12.75">
      <c r="A74" s="64">
        <v>38231</v>
      </c>
      <c r="B74" s="65"/>
      <c r="C74" s="66">
        <v>2.97</v>
      </c>
      <c r="D74" s="66">
        <v>64.13</v>
      </c>
      <c r="E74" s="66">
        <v>5.31</v>
      </c>
      <c r="F74" s="66">
        <v>36.04</v>
      </c>
      <c r="G74" s="66">
        <v>244.55</v>
      </c>
      <c r="H74" s="66">
        <v>2.17</v>
      </c>
      <c r="I74" s="66">
        <v>2.17</v>
      </c>
      <c r="J74" s="66">
        <v>36.95</v>
      </c>
      <c r="K74" s="65">
        <v>26.71</v>
      </c>
      <c r="L74" s="66">
        <f t="shared" si="8"/>
        <v>421</v>
      </c>
      <c r="N74" s="65">
        <v>608.79</v>
      </c>
    </row>
    <row r="75" spans="1:14" ht="12.75">
      <c r="A75" s="64">
        <v>38261</v>
      </c>
      <c r="B75" s="65"/>
      <c r="C75" s="66">
        <v>2.74</v>
      </c>
      <c r="D75" s="66">
        <v>56.46</v>
      </c>
      <c r="E75" s="66">
        <v>4.86</v>
      </c>
      <c r="F75" s="66">
        <v>33.15</v>
      </c>
      <c r="G75" s="66">
        <v>225.39</v>
      </c>
      <c r="H75" s="66">
        <v>1.98</v>
      </c>
      <c r="I75" s="66">
        <v>1.98</v>
      </c>
      <c r="J75" s="66">
        <v>34.38</v>
      </c>
      <c r="K75" s="65">
        <v>24.48</v>
      </c>
      <c r="L75" s="66">
        <f t="shared" si="8"/>
        <v>385.4200000000001</v>
      </c>
      <c r="N75" s="65">
        <v>546.29</v>
      </c>
    </row>
    <row r="76" spans="1:14" ht="12.75">
      <c r="A76" s="64">
        <v>38292</v>
      </c>
      <c r="B76" s="65"/>
      <c r="C76" s="66">
        <v>2.81</v>
      </c>
      <c r="D76" s="66">
        <v>58.25</v>
      </c>
      <c r="E76" s="66">
        <v>4.86</v>
      </c>
      <c r="F76" s="66">
        <v>34.07</v>
      </c>
      <c r="G76" s="66">
        <v>231.46</v>
      </c>
      <c r="H76" s="66">
        <v>2.04</v>
      </c>
      <c r="I76" s="66">
        <v>2.04</v>
      </c>
      <c r="J76" s="66">
        <v>35.14</v>
      </c>
      <c r="K76" s="65">
        <v>25.05</v>
      </c>
      <c r="L76" s="66">
        <f t="shared" si="8"/>
        <v>395.7200000000001</v>
      </c>
      <c r="N76" s="65">
        <v>706.14</v>
      </c>
    </row>
    <row r="77" spans="1:14" ht="12.75">
      <c r="A77" s="64">
        <v>38322</v>
      </c>
      <c r="B77" s="65"/>
      <c r="C77" s="66">
        <v>3.16</v>
      </c>
      <c r="D77" s="66">
        <v>65.2</v>
      </c>
      <c r="E77" s="66">
        <v>5.56</v>
      </c>
      <c r="F77" s="66">
        <v>38.29</v>
      </c>
      <c r="G77" s="66">
        <v>260.24</v>
      </c>
      <c r="H77" s="66">
        <v>2.31</v>
      </c>
      <c r="I77" s="66">
        <v>2.31</v>
      </c>
      <c r="J77" s="66">
        <v>39.32</v>
      </c>
      <c r="K77" s="65">
        <v>28.37</v>
      </c>
      <c r="L77" s="66">
        <f t="shared" si="8"/>
        <v>444.76000000000005</v>
      </c>
      <c r="N77" s="65">
        <v>732.52</v>
      </c>
    </row>
    <row r="78" spans="1:12" ht="12.75">
      <c r="A78" s="65"/>
      <c r="B78" s="65"/>
      <c r="C78" s="66"/>
      <c r="D78" s="66"/>
      <c r="E78" s="66"/>
      <c r="F78" s="66"/>
      <c r="G78" s="66"/>
      <c r="H78" s="66"/>
      <c r="I78" s="66"/>
      <c r="J78" s="66"/>
      <c r="K78" s="65"/>
      <c r="L78" s="66">
        <f t="shared" si="8"/>
        <v>0</v>
      </c>
    </row>
    <row r="79" spans="1:14" ht="12.75">
      <c r="A79" s="69" t="s">
        <v>104</v>
      </c>
      <c r="B79" s="65"/>
      <c r="C79" s="66">
        <f aca="true" t="shared" si="9" ref="C79:K79">SUM(C66:C78)</f>
        <v>32.739999999999995</v>
      </c>
      <c r="D79" s="66">
        <f t="shared" si="9"/>
        <v>678.62</v>
      </c>
      <c r="E79" s="66">
        <f t="shared" si="9"/>
        <v>57.65000000000001</v>
      </c>
      <c r="F79" s="66">
        <f t="shared" si="9"/>
        <v>397.53999999999996</v>
      </c>
      <c r="G79" s="66">
        <f t="shared" si="9"/>
        <v>2693.6500000000005</v>
      </c>
      <c r="H79" s="66">
        <f t="shared" si="9"/>
        <v>23.85</v>
      </c>
      <c r="I79" s="66">
        <f t="shared" si="9"/>
        <v>23.85</v>
      </c>
      <c r="J79" s="66">
        <f t="shared" si="9"/>
        <v>408.3699999999999</v>
      </c>
      <c r="K79" s="66">
        <f t="shared" si="9"/>
        <v>291.23</v>
      </c>
      <c r="L79" s="68">
        <f t="shared" si="8"/>
        <v>4607.5</v>
      </c>
      <c r="M79" s="66">
        <f>L79/12</f>
        <v>383.9583333333333</v>
      </c>
      <c r="N79" s="68">
        <f>SUM(N66:N78)</f>
        <v>7444.42</v>
      </c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</sheetData>
  <printOptions/>
  <pageMargins left="0" right="0" top="0.25" bottom="0.25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pane ySplit="1020" topLeftCell="BM43" activePane="bottomLeft" state="split"/>
      <selection pane="topLeft" activeCell="A1" sqref="A1"/>
      <selection pane="bottomLeft" activeCell="E69" sqref="E69"/>
    </sheetView>
  </sheetViews>
  <sheetFormatPr defaultColWidth="9.140625" defaultRowHeight="12.75"/>
  <cols>
    <col min="1" max="16384" width="9.140625" style="50" customWidth="1"/>
  </cols>
  <sheetData>
    <row r="1" ht="12.75">
      <c r="A1" s="49" t="s">
        <v>460</v>
      </c>
    </row>
    <row r="3" spans="2:5" ht="12.75">
      <c r="B3" s="52"/>
      <c r="C3" s="53" t="s">
        <v>16</v>
      </c>
      <c r="D3" s="53" t="s">
        <v>461</v>
      </c>
      <c r="E3" s="53" t="s">
        <v>462</v>
      </c>
    </row>
    <row r="5" spans="1:6" ht="12.75">
      <c r="A5" s="54">
        <v>36526</v>
      </c>
      <c r="C5" s="56">
        <v>85.5</v>
      </c>
      <c r="D5" s="56">
        <v>65.17</v>
      </c>
      <c r="E5" s="56">
        <v>30.09</v>
      </c>
      <c r="F5" s="56"/>
    </row>
    <row r="6" spans="1:6" ht="12.75">
      <c r="A6" s="54">
        <v>36557</v>
      </c>
      <c r="C6" s="56">
        <v>97.24</v>
      </c>
      <c r="D6" s="56">
        <v>69.3</v>
      </c>
      <c r="E6" s="56">
        <v>-2.5</v>
      </c>
      <c r="F6" s="56"/>
    </row>
    <row r="7" spans="1:6" ht="12.75">
      <c r="A7" s="54">
        <v>36586</v>
      </c>
      <c r="C7" s="56">
        <v>108</v>
      </c>
      <c r="D7" s="56">
        <v>77.53</v>
      </c>
      <c r="E7" s="56">
        <v>-1.95</v>
      </c>
      <c r="F7" s="56"/>
    </row>
    <row r="8" spans="1:6" ht="12.75">
      <c r="A8" s="54">
        <v>36617</v>
      </c>
      <c r="C8" s="56">
        <v>123.77</v>
      </c>
      <c r="D8" s="56">
        <v>89.21</v>
      </c>
      <c r="E8" s="56">
        <v>-3.55</v>
      </c>
      <c r="F8" s="56"/>
    </row>
    <row r="9" spans="1:6" ht="12.75">
      <c r="A9" s="54">
        <v>36647</v>
      </c>
      <c r="C9" s="56">
        <v>130.5</v>
      </c>
      <c r="D9" s="56">
        <v>90.4</v>
      </c>
      <c r="E9" s="56">
        <v>16.94</v>
      </c>
      <c r="F9" s="56"/>
    </row>
    <row r="10" spans="1:6" ht="12.75">
      <c r="A10" s="54">
        <v>36678</v>
      </c>
      <c r="C10" s="56">
        <v>121.5</v>
      </c>
      <c r="D10" s="56">
        <v>79.12</v>
      </c>
      <c r="E10" s="56">
        <v>27.13</v>
      </c>
      <c r="F10" s="56"/>
    </row>
    <row r="11" spans="1:6" ht="12.75">
      <c r="A11" s="54">
        <v>36708</v>
      </c>
      <c r="C11" s="56">
        <v>121.5</v>
      </c>
      <c r="D11" s="56">
        <v>51.44</v>
      </c>
      <c r="E11" s="56">
        <v>16.14</v>
      </c>
      <c r="F11" s="56"/>
    </row>
    <row r="12" spans="1:6" ht="12.75">
      <c r="A12" s="54">
        <v>36739</v>
      </c>
      <c r="C12" s="56">
        <v>108.9</v>
      </c>
      <c r="D12" s="56">
        <v>60.35</v>
      </c>
      <c r="E12" s="56">
        <v>16.52</v>
      </c>
      <c r="F12" s="56"/>
    </row>
    <row r="13" spans="1:6" ht="12.75">
      <c r="A13" s="54">
        <v>36770</v>
      </c>
      <c r="C13" s="56">
        <v>94.5</v>
      </c>
      <c r="D13" s="56">
        <v>63.64</v>
      </c>
      <c r="E13" s="56">
        <v>16.42</v>
      </c>
      <c r="F13" s="56"/>
    </row>
    <row r="14" spans="1:6" ht="12.75">
      <c r="A14" s="54">
        <v>36800</v>
      </c>
      <c r="C14" s="56">
        <v>107.06</v>
      </c>
      <c r="D14" s="56">
        <v>65.65</v>
      </c>
      <c r="E14" s="56">
        <v>14.73</v>
      </c>
      <c r="F14" s="56"/>
    </row>
    <row r="15" spans="1:6" ht="12.75">
      <c r="A15" s="54">
        <v>36831</v>
      </c>
      <c r="C15" s="56">
        <v>103.5</v>
      </c>
      <c r="D15" s="56">
        <v>56.35</v>
      </c>
      <c r="E15" s="56">
        <v>11.78</v>
      </c>
      <c r="F15" s="56"/>
    </row>
    <row r="16" spans="1:6" ht="12.75">
      <c r="A16" s="54">
        <v>36861</v>
      </c>
      <c r="C16" s="56">
        <v>85.5</v>
      </c>
      <c r="D16" s="56">
        <v>28.77</v>
      </c>
      <c r="E16" s="56">
        <v>11.5</v>
      </c>
      <c r="F16" s="56"/>
    </row>
    <row r="18" spans="1:6" ht="12.75">
      <c r="A18" s="54">
        <v>36892</v>
      </c>
      <c r="C18" s="56">
        <v>81</v>
      </c>
      <c r="D18" s="56">
        <v>32.82</v>
      </c>
      <c r="E18" s="56">
        <v>12.38</v>
      </c>
      <c r="F18" s="56"/>
    </row>
    <row r="19" spans="1:6" ht="12.75">
      <c r="A19" s="54">
        <v>36923</v>
      </c>
      <c r="C19" s="56">
        <v>81</v>
      </c>
      <c r="D19" s="56">
        <v>32.82</v>
      </c>
      <c r="E19" s="56">
        <v>12.38</v>
      </c>
      <c r="F19" s="56"/>
    </row>
    <row r="20" spans="1:6" ht="12.75">
      <c r="A20" s="54">
        <v>36951</v>
      </c>
      <c r="C20" s="56">
        <v>81</v>
      </c>
      <c r="D20" s="56">
        <v>45.27</v>
      </c>
      <c r="E20" s="56">
        <v>12.17</v>
      </c>
      <c r="F20" s="56"/>
    </row>
    <row r="21" spans="1:6" ht="12.75">
      <c r="A21" s="54">
        <v>36982</v>
      </c>
      <c r="C21" s="56">
        <v>81</v>
      </c>
      <c r="D21" s="56">
        <v>42.94</v>
      </c>
      <c r="E21" s="56">
        <v>11.06</v>
      </c>
      <c r="F21" s="56"/>
    </row>
    <row r="22" spans="1:6" ht="12.75">
      <c r="A22" s="54">
        <v>37012</v>
      </c>
      <c r="C22" s="56">
        <v>81</v>
      </c>
      <c r="D22" s="56">
        <v>42.94</v>
      </c>
      <c r="E22" s="56">
        <v>11.09</v>
      </c>
      <c r="F22" s="56"/>
    </row>
    <row r="23" spans="1:6" ht="12.75">
      <c r="A23" s="54">
        <v>37043</v>
      </c>
      <c r="C23" s="56">
        <v>76.5</v>
      </c>
      <c r="D23" s="56">
        <v>42.94</v>
      </c>
      <c r="E23" s="56">
        <v>8.09</v>
      </c>
      <c r="F23" s="56"/>
    </row>
    <row r="24" spans="1:6" ht="12.75">
      <c r="A24" s="54">
        <v>37073</v>
      </c>
      <c r="C24" s="56">
        <v>76.5</v>
      </c>
      <c r="D24" s="56">
        <v>36.61</v>
      </c>
      <c r="E24" s="56">
        <v>9.28</v>
      </c>
      <c r="F24" s="56"/>
    </row>
    <row r="25" spans="1:6" ht="12.75">
      <c r="A25" s="54">
        <v>37104</v>
      </c>
      <c r="C25" s="56">
        <v>70.2</v>
      </c>
      <c r="D25" s="56">
        <v>36.95</v>
      </c>
      <c r="E25" s="56">
        <v>9.33</v>
      </c>
      <c r="F25" s="56"/>
    </row>
    <row r="26" spans="1:6" ht="12.75">
      <c r="A26" s="54">
        <v>37135</v>
      </c>
      <c r="C26" s="56">
        <v>75.56</v>
      </c>
      <c r="D26" s="56">
        <v>39.03</v>
      </c>
      <c r="E26" s="56">
        <v>8.3</v>
      </c>
      <c r="F26" s="56"/>
    </row>
    <row r="27" spans="1:6" ht="12.75">
      <c r="A27" s="54">
        <v>37165</v>
      </c>
      <c r="C27" s="56">
        <v>72</v>
      </c>
      <c r="D27" s="56">
        <v>40.29</v>
      </c>
      <c r="E27" s="56">
        <v>6.25</v>
      </c>
      <c r="F27" s="56"/>
    </row>
    <row r="28" spans="1:6" ht="12.75">
      <c r="A28" s="54">
        <v>37196</v>
      </c>
      <c r="C28" s="56">
        <v>72.23</v>
      </c>
      <c r="D28" s="56">
        <v>42.35</v>
      </c>
      <c r="E28" s="56">
        <v>5.72</v>
      </c>
      <c r="F28" s="56"/>
    </row>
    <row r="29" spans="1:6" ht="12.75">
      <c r="A29" s="54">
        <v>37226</v>
      </c>
      <c r="C29" s="56">
        <v>79.43</v>
      </c>
      <c r="D29" s="56">
        <v>42.94</v>
      </c>
      <c r="E29" s="56">
        <v>6.52</v>
      </c>
      <c r="F29" s="56"/>
    </row>
    <row r="31" spans="1:6" ht="12.75">
      <c r="A31" s="54">
        <v>37258</v>
      </c>
      <c r="C31" s="56">
        <v>72</v>
      </c>
      <c r="D31" s="56">
        <v>42.37</v>
      </c>
      <c r="E31" s="56">
        <v>7.5</v>
      </c>
      <c r="F31" s="56"/>
    </row>
    <row r="32" spans="1:6" ht="12.75">
      <c r="A32" s="54">
        <v>37289</v>
      </c>
      <c r="C32" s="56">
        <v>72</v>
      </c>
      <c r="D32" s="56">
        <v>36.43</v>
      </c>
      <c r="E32" s="56">
        <v>6.73</v>
      </c>
      <c r="F32" s="56"/>
    </row>
    <row r="33" spans="1:6" ht="12.75">
      <c r="A33" s="54">
        <v>37317</v>
      </c>
      <c r="C33" s="56">
        <v>72.3</v>
      </c>
      <c r="D33" s="56">
        <v>34.42</v>
      </c>
      <c r="E33" s="56">
        <v>8.14</v>
      </c>
      <c r="F33" s="56"/>
    </row>
    <row r="34" spans="1:6" ht="12.75">
      <c r="A34" s="54">
        <v>37348</v>
      </c>
      <c r="C34" s="56">
        <v>72</v>
      </c>
      <c r="D34" s="56">
        <v>40.4</v>
      </c>
      <c r="E34" s="56">
        <v>4.39</v>
      </c>
      <c r="F34" s="56"/>
    </row>
    <row r="35" spans="1:6" ht="12.75">
      <c r="A35" s="54">
        <v>37378</v>
      </c>
      <c r="C35" s="56">
        <v>72</v>
      </c>
      <c r="D35" s="56">
        <v>49.5</v>
      </c>
      <c r="E35" s="56">
        <v>3.38</v>
      </c>
      <c r="F35" s="56"/>
    </row>
    <row r="36" spans="1:6" ht="12.75">
      <c r="A36" s="54">
        <v>37409</v>
      </c>
      <c r="C36" s="56">
        <v>81</v>
      </c>
      <c r="D36" s="56">
        <v>60.74</v>
      </c>
      <c r="E36" s="56">
        <v>3.95</v>
      </c>
      <c r="F36" s="56"/>
    </row>
    <row r="37" spans="1:6" ht="12.75">
      <c r="A37" s="54">
        <v>37439</v>
      </c>
      <c r="C37" s="56">
        <v>81</v>
      </c>
      <c r="D37" s="56">
        <v>53.11</v>
      </c>
      <c r="E37" s="56">
        <v>3.26</v>
      </c>
      <c r="F37" s="56"/>
    </row>
    <row r="38" spans="1:6" ht="12.75">
      <c r="A38" s="54">
        <v>37470</v>
      </c>
      <c r="C38" s="56">
        <v>90</v>
      </c>
      <c r="D38" s="56">
        <v>44.82</v>
      </c>
      <c r="E38" s="56">
        <v>-4.21</v>
      </c>
      <c r="F38" s="56"/>
    </row>
    <row r="39" spans="1:6" ht="12.75">
      <c r="A39" s="54">
        <v>37501</v>
      </c>
      <c r="C39" s="56">
        <v>90</v>
      </c>
      <c r="D39" s="56">
        <v>49.73</v>
      </c>
      <c r="E39" s="56">
        <v>1.5</v>
      </c>
      <c r="F39" s="56"/>
    </row>
    <row r="40" spans="1:6" ht="12.75">
      <c r="A40" s="54">
        <v>37531</v>
      </c>
      <c r="C40" s="56">
        <v>90</v>
      </c>
      <c r="D40" s="56">
        <v>58.33</v>
      </c>
      <c r="E40" s="56">
        <v>2.6</v>
      </c>
      <c r="F40" s="56"/>
    </row>
    <row r="41" spans="1:6" ht="12.75">
      <c r="A41" s="54">
        <v>37562</v>
      </c>
      <c r="C41" s="56">
        <v>85.5</v>
      </c>
      <c r="D41" s="56">
        <v>57.36</v>
      </c>
      <c r="E41" s="56">
        <v>4.09</v>
      </c>
      <c r="F41" s="56"/>
    </row>
    <row r="42" spans="1:6" ht="12.75">
      <c r="A42" s="54">
        <v>37592</v>
      </c>
      <c r="C42" s="56">
        <v>83.4</v>
      </c>
      <c r="D42" s="56">
        <v>60.67</v>
      </c>
      <c r="E42" s="56">
        <v>6.65</v>
      </c>
      <c r="F42" s="56"/>
    </row>
    <row r="44" spans="1:6" ht="12.75">
      <c r="A44" s="54">
        <v>37622</v>
      </c>
      <c r="C44" s="56">
        <v>77.64</v>
      </c>
      <c r="D44" s="56">
        <v>66.34</v>
      </c>
      <c r="E44" s="56">
        <v>2.57</v>
      </c>
      <c r="F44" s="56"/>
    </row>
    <row r="45" spans="1:6" ht="12.75">
      <c r="A45" s="54">
        <v>37653</v>
      </c>
      <c r="C45" s="56">
        <v>79.44</v>
      </c>
      <c r="D45" s="56">
        <v>71.99</v>
      </c>
      <c r="E45" s="56">
        <v>4.51</v>
      </c>
      <c r="F45" s="56"/>
    </row>
    <row r="46" spans="1:6" ht="12.75">
      <c r="A46" s="54">
        <v>37681</v>
      </c>
      <c r="C46" s="56">
        <v>85.94</v>
      </c>
      <c r="D46" s="56">
        <v>79.1</v>
      </c>
      <c r="E46" s="56">
        <v>5.61</v>
      </c>
      <c r="F46" s="56"/>
    </row>
    <row r="47" spans="1:6" ht="12.75">
      <c r="A47" s="54">
        <v>37712</v>
      </c>
      <c r="C47" s="56">
        <v>83.94</v>
      </c>
      <c r="D47" s="56">
        <v>67.85</v>
      </c>
      <c r="E47" s="56">
        <v>2.3</v>
      </c>
      <c r="F47" s="56"/>
    </row>
    <row r="48" spans="1:6" ht="12.75">
      <c r="A48" s="54">
        <v>37742</v>
      </c>
      <c r="C48" s="56">
        <v>69.53</v>
      </c>
      <c r="D48" s="56">
        <v>62.64</v>
      </c>
      <c r="E48" s="56">
        <v>-3.43</v>
      </c>
      <c r="F48" s="56"/>
    </row>
    <row r="49" spans="1:6" ht="12.75">
      <c r="A49" s="54">
        <v>37773</v>
      </c>
      <c r="C49" s="56">
        <v>75.41</v>
      </c>
      <c r="D49" s="56">
        <v>62.12</v>
      </c>
      <c r="E49" s="56">
        <v>-4.13</v>
      </c>
      <c r="F49" s="56"/>
    </row>
    <row r="50" spans="1:6" ht="12.75">
      <c r="A50" s="54">
        <v>37803</v>
      </c>
      <c r="C50" s="56">
        <v>69.62</v>
      </c>
      <c r="D50" s="56">
        <v>60.6</v>
      </c>
      <c r="E50" s="56">
        <v>-1.63</v>
      </c>
      <c r="F50" s="56"/>
    </row>
    <row r="51" spans="1:6" ht="12.75">
      <c r="A51" s="54">
        <v>37834</v>
      </c>
      <c r="C51" s="56">
        <v>72.9</v>
      </c>
      <c r="D51" s="56">
        <v>66.68</v>
      </c>
      <c r="E51" s="56">
        <v>-2.61</v>
      </c>
      <c r="F51" s="56"/>
    </row>
    <row r="52" spans="1:6" ht="12.75">
      <c r="A52" s="54">
        <v>37865</v>
      </c>
      <c r="C52" s="56">
        <v>77.31</v>
      </c>
      <c r="D52" s="56">
        <v>68.01</v>
      </c>
      <c r="E52" s="56">
        <v>-2.71</v>
      </c>
      <c r="F52" s="56"/>
    </row>
    <row r="53" spans="1:5" ht="12.75">
      <c r="A53" s="54">
        <v>37895</v>
      </c>
      <c r="C53" s="56">
        <v>84.09</v>
      </c>
      <c r="D53" s="56">
        <v>68.81</v>
      </c>
      <c r="E53" s="56">
        <v>-1.05</v>
      </c>
    </row>
    <row r="54" spans="1:5" ht="12.75">
      <c r="A54" s="54">
        <v>37926</v>
      </c>
      <c r="C54" s="56">
        <v>87.33</v>
      </c>
      <c r="D54" s="56">
        <v>71.74</v>
      </c>
      <c r="E54" s="56">
        <v>0.33</v>
      </c>
    </row>
    <row r="55" spans="1:5" ht="12.75">
      <c r="A55" s="54">
        <v>37956</v>
      </c>
      <c r="C55" s="56">
        <v>84</v>
      </c>
      <c r="D55" s="56">
        <v>70.46</v>
      </c>
      <c r="E55" s="56">
        <v>1.27</v>
      </c>
    </row>
    <row r="57" spans="1:5" ht="12.75">
      <c r="A57" s="54">
        <v>37987</v>
      </c>
      <c r="C57" s="55">
        <v>84.64</v>
      </c>
      <c r="D57" s="56">
        <v>71.2</v>
      </c>
      <c r="E57" s="55">
        <v>3.16</v>
      </c>
    </row>
    <row r="58" spans="1:5" ht="12.75">
      <c r="A58" s="54">
        <v>38018</v>
      </c>
      <c r="C58" s="55">
        <v>88.56</v>
      </c>
      <c r="D58" s="55">
        <v>75.98</v>
      </c>
      <c r="E58" s="55">
        <v>2.66</v>
      </c>
    </row>
    <row r="59" spans="1:5" ht="12.75">
      <c r="A59" s="54">
        <v>38047</v>
      </c>
      <c r="C59" s="55">
        <v>87.51</v>
      </c>
      <c r="D59" s="55">
        <v>75.48</v>
      </c>
      <c r="E59" s="55">
        <v>4.76</v>
      </c>
    </row>
    <row r="60" spans="1:5" ht="12.75">
      <c r="A60" s="54">
        <v>38078</v>
      </c>
      <c r="C60" s="55">
        <v>87.81</v>
      </c>
      <c r="D60" s="55">
        <v>71.56</v>
      </c>
      <c r="E60" s="55">
        <v>2.25</v>
      </c>
    </row>
    <row r="61" spans="1:5" ht="12.75">
      <c r="A61" s="54">
        <v>38108</v>
      </c>
      <c r="C61" s="55">
        <v>88.76</v>
      </c>
      <c r="D61" s="55">
        <v>76.16</v>
      </c>
      <c r="E61" s="55">
        <v>-1.16</v>
      </c>
    </row>
    <row r="62" spans="1:5" ht="12.75">
      <c r="A62" s="54">
        <v>38139</v>
      </c>
      <c r="C62" s="56">
        <v>88.1</v>
      </c>
      <c r="D62" s="55">
        <v>69.56</v>
      </c>
      <c r="E62" s="55">
        <v>0.65</v>
      </c>
    </row>
    <row r="63" spans="1:5" ht="12.75">
      <c r="A63" s="54">
        <v>38169</v>
      </c>
      <c r="C63" s="55">
        <v>87.61</v>
      </c>
      <c r="D63" s="55">
        <v>60.38</v>
      </c>
      <c r="E63" s="55">
        <v>4.76</v>
      </c>
    </row>
    <row r="64" spans="1:5" ht="12.75">
      <c r="A64" s="54">
        <v>38200</v>
      </c>
      <c r="C64" s="55">
        <v>82.87</v>
      </c>
      <c r="D64" s="55">
        <v>57.82</v>
      </c>
      <c r="E64" s="55">
        <v>4.73</v>
      </c>
    </row>
    <row r="65" spans="1:5" ht="12.75">
      <c r="A65" s="54">
        <v>38231</v>
      </c>
      <c r="C65" s="55">
        <v>84.46</v>
      </c>
      <c r="D65" s="55">
        <v>58.75</v>
      </c>
      <c r="E65" s="55">
        <v>1.29</v>
      </c>
    </row>
    <row r="66" spans="1:5" ht="12.75">
      <c r="A66" s="54">
        <v>38261</v>
      </c>
      <c r="C66" s="55">
        <v>89.22</v>
      </c>
      <c r="D66" s="55">
        <v>55.72</v>
      </c>
      <c r="E66" s="55">
        <v>4.11</v>
      </c>
    </row>
    <row r="67" spans="1:5" ht="12.75">
      <c r="A67" s="54">
        <v>38292</v>
      </c>
      <c r="C67" s="55">
        <v>92.86</v>
      </c>
      <c r="D67" s="55">
        <v>65.48</v>
      </c>
      <c r="E67" s="55">
        <v>9.32</v>
      </c>
    </row>
    <row r="68" spans="1:5" ht="12.75">
      <c r="A68" s="54">
        <v>38322</v>
      </c>
      <c r="C68" s="55">
        <v>95.72</v>
      </c>
      <c r="D68" s="55">
        <v>63.36</v>
      </c>
      <c r="E68" s="55">
        <v>9.39</v>
      </c>
    </row>
  </sheetData>
  <printOptions/>
  <pageMargins left="0.75" right="0.75" top="0.25" bottom="0.25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2005-02-01T22:22:16Z</cp:lastPrinted>
  <dcterms:created xsi:type="dcterms:W3CDTF">2005-02-01T19:19:37Z</dcterms:created>
  <dcterms:modified xsi:type="dcterms:W3CDTF">2005-10-25T16:06:57Z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