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customProperty13.bin" ContentType="application/vnd.openxmlformats-officedocument.spreadsheetml.customProperty"/>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customProperty7.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8.bin" ContentType="application/vnd.openxmlformats-officedocument.spreadsheetml.customProperty"/>
  <Override PartName="/xl/customProperty12.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3.bin" ContentType="application/vnd.openxmlformats-officedocument.spreadsheetml.customProperty"/>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customProperty2.bin" ContentType="application/vnd.openxmlformats-officedocument.spreadsheetml.customProperty"/>
  <Override PartName="/xl/customProperty1.bin" ContentType="application/vnd.openxmlformats-officedocument.spreadsheetml.customProperty"/>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ariffs\1. Open Advices\2022-15 Natural Gas Schedule 149 - CRM (UE-220xxx) (Eff 11-01-22)\"/>
    </mc:Choice>
  </mc:AlternateContent>
  <bookViews>
    <workbookView xWindow="-990" yWindow="210" windowWidth="17370" windowHeight="4965" tabRatio="817"/>
  </bookViews>
  <sheets>
    <sheet name="Summary" sheetId="67" r:id="rId1"/>
    <sheet name="Work Papers--&gt;" sheetId="27" r:id="rId2"/>
    <sheet name="2022 CAP CRM" sheetId="87" r:id="rId3"/>
    <sheet name="2022 C&amp;OM" sheetId="77" r:id="rId4"/>
    <sheet name="Summary 2021" sheetId="84" r:id="rId5"/>
    <sheet name="Prior Yr Support =&gt;" sheetId="91" r:id="rId6"/>
    <sheet name="2021 + true up CAP" sheetId="85" r:id="rId7"/>
    <sheet name="2021TrueUp" sheetId="69" r:id="rId8"/>
    <sheet name="2021 CRM " sheetId="90" r:id="rId9"/>
    <sheet name="2020 CRM" sheetId="76" r:id="rId10"/>
    <sheet name="2019 CRM" sheetId="74" r:id="rId11"/>
    <sheet name="CRM CAP Forecast(from2019filin)" sheetId="89" r:id="rId12"/>
    <sheet name="2017 4.01 G" sheetId="72" r:id="rId13"/>
    <sheet name="2019 GRC" sheetId="82" r:id="rId14"/>
    <sheet name="MACRS 20" sheetId="7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_____Jun09">" BS!$AI$7:$AI$1643"</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Sep03">[3]BS!$Q$7:$Q$3582</definedName>
    <definedName name="_____Sep04">[1]BS!$Z$7:$Z$3582</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Sep03">[3]BS!$Q$7:$Q$3582</definedName>
    <definedName name="____Sep04">[1]BS!$Z$7:$Z$3582</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123Graph_ABUDG6_DSCRPR">[5]Quant!$D$71:$O$71</definedName>
    <definedName name="__123Graph_ABUDG6_ESCRPR1">[5]Quant!$D$100:$O$100</definedName>
    <definedName name="__123Graph_BBUDG6_DSCRPR">[5]Quant!$D$72:$O$72</definedName>
    <definedName name="__123Graph_BBUDG6_ESCRPR1">[5]Quant!$D$88:$O$88</definedName>
    <definedName name="__123Graph_X">[5]Quant!$D$5:$O$5</definedName>
    <definedName name="__123Graph_XBUDG6_DSCRPR">[5]Quant!$D$5:$O$5</definedName>
    <definedName name="__123Graph_XBUDG6_ESCRPR1">[5]Quant!$D$5:$O$5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1__123Graph_ABUDG6_D_ESCRPR">[5]Quant!$D$71:$O$71</definedName>
    <definedName name="_3__123Graph_BBUDG6_D_ESCRPR">[5]Quant!$D$72:$O$72</definedName>
    <definedName name="_4__123Graph_BBUDG6_Dtons_inv">[5]Quant!$D$9:$O$9</definedName>
    <definedName name="_5__123Graph_CBUDG6_D_ESCRPR">[5]Quant!$D$100:$O$100</definedName>
    <definedName name="_6__123Graph_DBUDG6_D_ESCRPR">[5]Quant!$D$88:$O$88</definedName>
    <definedName name="_7__123Graph_XBUDG6_D_ESCRPR">[5]Quant!$D$5:$O$5</definedName>
    <definedName name="_8__123Graph_XBUDG6_Dtons_inv">[5]Quant!$D$5:$O$5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Feb04">[1]BS!$S$7:$S$3582</definedName>
    <definedName name="_FEB09" xml:space="preserve"> [2]BS!$S$7:$S$1726</definedName>
    <definedName name="_FEDERAL_INCOME_TAX">'[6]MJS-7'!$N$21</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Mar04">[1]BS!$T$7:$T$3582</definedName>
    <definedName name="_May04">[1]BS!$V$7:$V$3582</definedName>
    <definedName name="_May09" xml:space="preserve"> [2]BS!$V$7:$V$1726</definedName>
    <definedName name="_Nov03">[3]BS!$S$7:$S$3582</definedName>
    <definedName name="_Nov04">[1]BS!$AB$7:$AB$3582</definedName>
    <definedName name="_Oct03">[3]BS!$R$7:$R$3582</definedName>
    <definedName name="_Oct04">[1]BS!$AA$7:$AA$3582</definedName>
    <definedName name="_Oct09" xml:space="preserve"> [2]BS!$AA$7:$AA$1726</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SEC24">[4]EXTERNAL!$A$112:$IV$114</definedName>
    <definedName name="_Sep03">[3]BS!$Q$7:$Q$3582</definedName>
    <definedName name="_Sep04">[1]BS!$Z$7:$Z$3582</definedName>
    <definedName name="AccessDatabase">"I:\COMTREL\FINICLE\TradeSummary.mdb"</definedName>
    <definedName name="Acct2281SO">'[7]Func Study'!$H$2190</definedName>
    <definedName name="Acct2283SO">'[7]Func Study'!$H$2198</definedName>
    <definedName name="Acct228SO">'[7]Func Study'!$H$2194</definedName>
    <definedName name="Acct350">'[7]Func Study'!$H$1628</definedName>
    <definedName name="Acct352">'[7]Func Study'!$H$1635</definedName>
    <definedName name="Acct353">'[7]Func Study'!$H$1641</definedName>
    <definedName name="Acct354">'[7]Func Study'!$H$1647</definedName>
    <definedName name="Acct355">'[7]Func Study'!$H$1654</definedName>
    <definedName name="Acct356">'[7]Func Study'!$H$1660</definedName>
    <definedName name="Acct357">'[7]Func Study'!$H$1666</definedName>
    <definedName name="Acct358">'[7]Func Study'!$H$1672</definedName>
    <definedName name="Acct359">'[7]Func Study'!$H$1678</definedName>
    <definedName name="Acct360">'[7]Func Study'!$H$1698</definedName>
    <definedName name="Acct361">'[7]Func Study'!$H$1704</definedName>
    <definedName name="Acct362">'[7]Func Study'!$H$1710</definedName>
    <definedName name="Acct364">'[7]Func Study'!$H$1717</definedName>
    <definedName name="Acct365">'[7]Func Study'!$H$1724</definedName>
    <definedName name="Acct366">'[7]Func Study'!$H$1731</definedName>
    <definedName name="Acct367">'[7]Func Study'!$H$1738</definedName>
    <definedName name="Acct368">'[7]Func Study'!$H$1744</definedName>
    <definedName name="Acct369">'[7]Func Study'!$H$1751</definedName>
    <definedName name="Acct370">'[7]Func Study'!$H$1762</definedName>
    <definedName name="Acct371">'[7]Func Study'!$H$1769</definedName>
    <definedName name="Acct372">'[7]Func Study'!$H$1776</definedName>
    <definedName name="Acct372A">'[7]Func Study'!$H$1775</definedName>
    <definedName name="Acct372DP">'[7]Func Study'!$H$1773</definedName>
    <definedName name="Acct372DS">'[7]Func Study'!$H$1774</definedName>
    <definedName name="Acct373">'[7]Func Study'!$H$1782</definedName>
    <definedName name="Acct448S">'[7]Func Study'!$H$274</definedName>
    <definedName name="Acct450S">'[7]Func Study'!$H$302</definedName>
    <definedName name="Acct451S">'[7]Func Study'!$H$307</definedName>
    <definedName name="Acct454S">'[7]Func Study'!$H$318</definedName>
    <definedName name="Acct456S">'[7]Func Study'!$H$325</definedName>
    <definedName name="ACCT557CAGE">'[7]Func Study'!$H$683</definedName>
    <definedName name="Acct557CT">'[7]Func Study'!$H$681</definedName>
    <definedName name="Acct580">'[7]Func Study'!$H$791</definedName>
    <definedName name="Acct581">'[7]Func Study'!$H$796</definedName>
    <definedName name="Acct582">'[7]Func Study'!$H$801</definedName>
    <definedName name="Acct583">'[7]Func Study'!$H$806</definedName>
    <definedName name="Acct584">'[7]Func Study'!$H$811</definedName>
    <definedName name="Acct585">'[7]Func Study'!$H$816</definedName>
    <definedName name="Acct586">'[7]Func Study'!$H$821</definedName>
    <definedName name="Acct587">'[7]Func Study'!$H$826</definedName>
    <definedName name="Acct588">'[7]Func Study'!$H$831</definedName>
    <definedName name="Acct589">'[7]Func Study'!$H$836</definedName>
    <definedName name="Acct590">'[7]Func Study'!$H$841</definedName>
    <definedName name="Acct591">'[7]Func Study'!$H$846</definedName>
    <definedName name="Acct592">'[7]Func Study'!$H$851</definedName>
    <definedName name="Acct593">'[7]Func Study'!$H$856</definedName>
    <definedName name="Acct594">'[7]Func Study'!$H$861</definedName>
    <definedName name="Acct595">'[7]Func Study'!$H$866</definedName>
    <definedName name="Acct596">'[7]Func Study'!$H$876</definedName>
    <definedName name="Acct597">'[7]Func Study'!$H$881</definedName>
    <definedName name="Acct598">'[7]Func Study'!$H$886</definedName>
    <definedName name="AcctAGA">'[7]Func Study'!$H$296</definedName>
    <definedName name="AcctTable">[8]Variables!$AK$42:$AK$396</definedName>
    <definedName name="AcctTS0">'[7]Func Study'!$H$1686</definedName>
    <definedName name="Acq1Plant">'[9]Acquisition Inputs'!$C$8</definedName>
    <definedName name="Acq2Plant">'[9]Acquisition Inputs'!$C$70</definedName>
    <definedName name="ActualROR">'[10]G+T+D+R+M'!$H$61</definedName>
    <definedName name="ADJPTDCE.T">[4]INTERNAL!$A$31:$IV$33</definedName>
    <definedName name="Adjs2avg">[11]Inputs!$L$255:'[11]Inputs'!$T$505</definedName>
    <definedName name="After_Tax_Cash_Discount">'[12]Assumptions (Input)'!$D$37</definedName>
    <definedName name="afudc_flag">'[12]Assumptions (Input)'!$B$13</definedName>
    <definedName name="ANCIL">[4]EXTERNAL!$A$163:$IV$165</definedName>
    <definedName name="Apr04AMA">[1]BS!$AG$7:$AG$3582</definedName>
    <definedName name="APR09AMA">[2]BS!$AN$7:$AN$1725</definedName>
    <definedName name="Apr10AMA">[2]BS!$AZ$7:$AZ$1726</definedName>
    <definedName name="aquila_lookup">'[13]Cabot Gas Replacement'!$B$8:$F$16</definedName>
    <definedName name="AS2DocOpenMode">"AS2DocumentEdit"</definedName>
    <definedName name="Assessment_Rate">'[12]Assumptions (Input)'!$B$7</definedName>
    <definedName name="Asset_Class_Switch">[14]Assumptions!$D$5</definedName>
    <definedName name="Aug04AMA">[1]BS!$AK$7:$AK$3582</definedName>
    <definedName name="Aug09AMA">[2]BS!$AR$7:$AR$1726</definedName>
    <definedName name="Aurora_Prices">"Monthly Price Summary'!$C$4:$H$63"</definedName>
    <definedName name="AvgFactors">[8]Factors!$B$3:$P$99</definedName>
    <definedName name="Beg_Unb_KWHs">[15]LeadSht!$L$10</definedName>
    <definedName name="BOOK_LIFE">'[16]Lvl FCR'!$G$10</definedName>
    <definedName name="BPAX">[4]EXTERNAL!$A$121:$IV$123</definedName>
    <definedName name="Button_1">"TradeSummary_Ken_Finicle_List"</definedName>
    <definedName name="CAE.T">[4]INTERNAL!$A$34:$IV$36</definedName>
    <definedName name="CAES1.T">[4]INTERNAL!$A$37:$IV$39</definedName>
    <definedName name="cap">[17]Readings!$B$2</definedName>
    <definedName name="Capital_Inflation">'[12]Assumptions (Input)'!$B$11</definedName>
    <definedName name="CASE">[18]INPUTS!$C$8</definedName>
    <definedName name="CASE_GAS">'[19]Named Ranges G'!$C$4</definedName>
    <definedName name="Case_Name">'[20]KJB-6,13 Cmn Adj'!$B$8</definedName>
    <definedName name="CaseDescription">'[9]Dispatch Cases'!$C$11</definedName>
    <definedName name="CBWorkbookPriority">-2060790043</definedName>
    <definedName name="CCGT_HeatRate">[9]Assumptions!$H$23</definedName>
    <definedName name="CCGTPrice">[9]Assumptions!$H$22</definedName>
    <definedName name="CL_RT2">'[21]Transp Data'!$A$6:$C$81</definedName>
    <definedName name="Close_Date">'[12]Capital Projects(Input)'!$D$7:$D$53</definedName>
    <definedName name="Comp_GAS">'[19]Named Ranges G'!$C$8</definedName>
    <definedName name="Construction_OH">'[22]Virtual 49 Back-Up'!$E$54</definedName>
    <definedName name="ConversionFactor">[9]Assumptions!$I$65</definedName>
    <definedName name="COSFacVal">[7]Inputs!$R$5</definedName>
    <definedName name="CurrQtr">'[23]Inc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ta.Avg">'[23]Avg Amts'!$A$5:$BP$34</definedName>
    <definedName name="Data.Qtrs.Avg">'[23]Avg Amts'!$A$5:$IV$5</definedName>
    <definedName name="data1">'[24]Mix Variance'!$O$5:$T$25</definedName>
    <definedName name="DebtPerc">[9]Assumptions!$I$58</definedName>
    <definedName name="Dec03AMA">[3]BS!$AJ$7:$AJ$3582</definedName>
    <definedName name="Dec04AMA">[1]BS!$AO$7:$AO$3582</definedName>
    <definedName name="Dec08AMA">[2]BS!$AJ$7:$AJ$1726</definedName>
    <definedName name="Dec09AMA">[2]BS!$AV$7:$AV$1726</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[25]Inputs!$D$11</definedName>
    <definedName name="DES1.T">[4]INTERNAL!$A$40:$IV$42</definedName>
    <definedName name="DES2.T">[4]INTERNAL!$A$43:$IV$45</definedName>
    <definedName name="DF_HeatRate">[9]Assumptions!$L$23</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'[7]Func Study'!$AB$250</definedName>
    <definedName name="Discount_for_Revenue_Reqmt">'[26]Assumptions of Purchase'!$B$45</definedName>
    <definedName name="DisFac">'[7]Func Dist Factor Table'!$A$11:$G$25</definedName>
    <definedName name="DocketNumber">'[27]JHS-4'!$AP$2</definedName>
    <definedName name="DP.T">[4]INTERNAL!$A$46:$IV$48</definedName>
    <definedName name="EBFIT.T">[4]INTERNAL!$A$88:$IV$90</definedName>
    <definedName name="EffTax">[4]INPUTS!$F$31</definedName>
    <definedName name="Electric_Prices">'[28]Monthly Price Summary'!$B$4:$E$27</definedName>
    <definedName name="ElRBLine">[1]BS!$AQ$7:$AQ$3303</definedName>
    <definedName name="EndDate">[9]Assumptions!$C$11</definedName>
    <definedName name="ENERGY_1">[4]EXTERNAL!$A$4:$IV$6</definedName>
    <definedName name="ENERGY_2">[4]EXTERNAL!$A$145:$IV$147</definedName>
    <definedName name="Engy">[10]Inputs!$D$9</definedName>
    <definedName name="Engy2">[25]Inputs!$D$12</definedName>
    <definedName name="EPIS.T">[4]INTERNAL!$A$49:$IV$51</definedName>
    <definedName name="Escalator">1.025</definedName>
    <definedName name="Exhibit_No.______MJS_4">'[6]MJS-4'!$O$3</definedName>
    <definedName name="Exhibit_No.______MJS_5">'[6]MJS-5'!$E$3</definedName>
    <definedName name="Exhibit_No.______MJS_6">'[6]MJS-6'!$F$3</definedName>
    <definedName name="Factorck">'[7]COS Factor Table'!$O$15:$O$113</definedName>
    <definedName name="FactorType">[8]Variables!$AK$2:$AL$12</definedName>
    <definedName name="FactSum">'[7]COS Factor Table'!$A$14:$O$113</definedName>
    <definedName name="FCR">'[22]Virtual 49 Back-Up'!$B$20</definedName>
    <definedName name="Feb04AMA">[1]BS!$AE$7:$AE$3582</definedName>
    <definedName name="Feb09AMA">[2]BS!$AL$7:$AL$1725</definedName>
    <definedName name="Feb10AMA">[2]BS!$AX$7:$AX$1726</definedName>
    <definedName name="Fed_Cap_Tax">[29]Inputs!$E$112</definedName>
    <definedName name="FedTaxRate">[9]Assumptions!$C$33</definedName>
    <definedName name="FERC_Lookup">'[30]Map Table'!$E$2:$F$58</definedName>
    <definedName name="FIT">'[31]ROR &amp; CONV FACTOR'!$J$20</definedName>
    <definedName name="FIT_GAS">'[19]Named Ranges G'!$C$3</definedName>
    <definedName name="FIT_Tax_Rate">'[12]Assumptions (Input)'!$B$5</definedName>
    <definedName name="FranchiseTax">[11]Variables!$D$26</definedName>
    <definedName name="FTAX">[4]INPUTS!$F$30</definedName>
    <definedName name="Func">'[7]Func Factor Table'!$A$10:$H$77</definedName>
    <definedName name="Function">'[7]Func Study'!$AB$250</definedName>
    <definedName name="GasRBLine">[1]BS!$AS$7:$AS$3631</definedName>
    <definedName name="GasWC_LineItem">[1]BS!$AR$7:$AR$3631</definedName>
    <definedName name="GP.T">[4]INTERNAL!$A$52:$IV$54</definedName>
    <definedName name="HTML_CodePage">1252</definedName>
    <definedName name="HTML_Control" localSheetId="7">{"'Sheet1'!$A$1:$J$121"}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taxrate">0.4</definedName>
    <definedName name="Insurance_Rate">'[12]Assumptions (Input)'!$B$9</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Jan04AMA">[1]BS!$AD$7:$AD$3582</definedName>
    <definedName name="Jan09AMA">[2]BS!$AK$7:$AK$1743</definedName>
    <definedName name="Jan10AMA">[2]BS!$AW$7:$AW$1726</definedName>
    <definedName name="jjj">[32]Inputs!$N$18</definedName>
    <definedName name="JP_Bal">[33]ACCOUNTS!$AG$31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risdiction">[8]Variables!$AK$15</definedName>
    <definedName name="JurisNumber">[8]Variables!$AL$15</definedName>
    <definedName name="k_Docket_Number">'[20]KJB-12 Sum'!$AS$2</definedName>
    <definedName name="k_FITrate">'[20]KJB-3,11 Def'!$L$20</definedName>
    <definedName name="keep_Docket_Number">'[34]KJB-3 Sum'!$AQ$2</definedName>
    <definedName name="keep_FIT">'[34]KJB-7 Def'!$L$20</definedName>
    <definedName name="keep_KJB_3_Rate_Increase">'[34]KJB-7 Def'!$C$3</definedName>
    <definedName name="keep_KJB_4_Electric_Summary">'[34]KJB-3 Sum'!$AQ$3</definedName>
    <definedName name="keep_KJB_8_Common_Adjs">'[34]KJB-5 Cmn Adj'!$L$3</definedName>
    <definedName name="keep_KJB_9_Electric_Only">'[34]KJB-5 El Adj'!$E$3</definedName>
    <definedName name="keep_PSE">'[35]Gas Summary'!$I$5</definedName>
    <definedName name="keep_TESTYEAR">'[35]Gas Detail Pages'!$A$8</definedName>
    <definedName name="kp_DOCKET">'[35]Gas Detail Pages'!$A$9</definedName>
    <definedName name="Last_Row" localSheetId="10">IF('2019 CRM'!Values_Entered,Header_Row+'2019 CRM'!Number_of_Payments,Header_Row)</definedName>
    <definedName name="Last_Row" localSheetId="9">IF('2020 CRM'!Values_Entered,Header_Row+'2020 CRM'!Number_of_Payments,Header_Row)</definedName>
    <definedName name="Last_Row" localSheetId="6">IF('2021 + true up CAP'!Values_Entered,Header_Row+'2021 + true up CAP'!Number_of_Payments,Header_Row)</definedName>
    <definedName name="Last_Row" localSheetId="8">IF('2021 CRM '!Values_Entered,Header_Row+'2021 CRM '!Number_of_Payments,Header_Row)</definedName>
    <definedName name="Last_Row" localSheetId="2">IF('2022 CAP CRM'!Values_Entered,Header_Row+'2022 CAP CRM'!Number_of_Payments,Header_Row)</definedName>
    <definedName name="Last_Row">IF([36]!Values_Entered,Header_Row+[36]!Number_of_Payments,Header_Row)</definedName>
    <definedName name="Levy_Rate">'[12]Assumptions (Input)'!$B$6</definedName>
    <definedName name="limcount">1</definedName>
    <definedName name="LINE.T">[4]INTERNAL!$A$55:$IV$57</definedName>
    <definedName name="LinkCos">'[7]JAM Download'!$K$4</definedName>
    <definedName name="Load_Factor">[33]ACCOUNTS!$AG$167</definedName>
    <definedName name="LoadArray">'[37]Load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M9100F4_v4">[38]M9100F4!$A$1:$V$99</definedName>
    <definedName name="MACRS">'[12]MACRS RATES'!$A$3:$AT$10</definedName>
    <definedName name="Mar04AMA">[1]BS!$AF$7:$AF$3582</definedName>
    <definedName name="MAR09AMA">[2]BS!$AM$7:$AM$1725</definedName>
    <definedName name="Mar10AMA">[2]BS!$AY$7:$AY$1726</definedName>
    <definedName name="May04AMA">[1]BS!$AH$7:$AH$3582</definedName>
    <definedName name="MAY09AMA">[2]BS!$AO$7:$AO$1726</definedName>
    <definedName name="May10AMA">[2]BS!$BA$7:$BA$1726</definedName>
    <definedName name="menu1_Button5_Click" localSheetId="10">[39]!menu1_Button5_Click</definedName>
    <definedName name="menu1_Button5_Click" localSheetId="9">[39]!menu1_Button5_Click</definedName>
    <definedName name="menu1_Button5_Click" localSheetId="6">[39]!menu1_Button5_Click</definedName>
    <definedName name="menu1_Button5_Click" localSheetId="8">[39]!menu1_Button5_Click</definedName>
    <definedName name="menu1_Button5_Click" localSheetId="2">[39]!menu1_Button5_Click</definedName>
    <definedName name="menu1_Button5_Click">[39]!menu1_Button5_Click</definedName>
    <definedName name="menu1_Button6_Click" localSheetId="10">[39]!menu1_Button6_Click</definedName>
    <definedName name="menu1_Button6_Click" localSheetId="9">[39]!menu1_Button6_Click</definedName>
    <definedName name="menu1_Button6_Click" localSheetId="6">[39]!menu1_Button6_Click</definedName>
    <definedName name="menu1_Button6_Click" localSheetId="8">[39]!menu1_Button6_Click</definedName>
    <definedName name="menu1_Button6_Click" localSheetId="2">[39]!menu1_Button6_Click</definedName>
    <definedName name="menu1_Button6_Click">[39]!menu1_Button6_Click</definedName>
    <definedName name="MERGER_COST">[40]Sheet1!$AF$3:$AJ$28</definedName>
    <definedName name="METER">[4]EXTERNAL!$A$34:$IV$36</definedName>
    <definedName name="Method">[10]Inputs!$C$6</definedName>
    <definedName name="monthlist">[41]Table!$R$2:$S$13</definedName>
    <definedName name="monthtotals">'[41]WA SBC'!$D$40:$O$40</definedName>
    <definedName name="MTD_Format">[42]Mthly!$B$11:$D$11,[42]Mthly!$B$32:$D$32</definedName>
    <definedName name="MTR_YR3">[43]Variables!$E$14</definedName>
    <definedName name="NCP_360">[4]EXTERNAL!$A$13:$IV$15</definedName>
    <definedName name="NCP_361">[4]EXTERNAL!$A$16:$IV$18</definedName>
    <definedName name="NCP_362">[4]EXTERNAL!$A$19:$IV$21</definedName>
    <definedName name="Net_to_Gross_Factor">[7]Inputs!$G$8</definedName>
    <definedName name="NetToGross">[11]Variables!$D$23</definedName>
    <definedName name="Nov03AMA">[3]BS!$AI$7:$AI$3582</definedName>
    <definedName name="Nov04AMA">[1]BS!$AN$7:$AN$3582</definedName>
    <definedName name="Nov09AMA">[2]BS!$AU$7:$AU$1726</definedName>
    <definedName name="NPC">[44]Inputs!$N$18</definedName>
    <definedName name="NRG">[4]CLASSIFIERS!$A$5:$IV$5</definedName>
    <definedName name="Number_of_Payments" localSheetId="10">MATCH(0.01,End_Bal,-1)+1</definedName>
    <definedName name="Number_of_Payments" localSheetId="9">MATCH(0.01,End_Bal,-1)+1</definedName>
    <definedName name="Number_of_Payments" localSheetId="6">MATCH(0.01,End_Bal,-1)+1</definedName>
    <definedName name="Number_of_Payments" localSheetId="8">MATCH(0.01,End_Bal,-1)+1</definedName>
    <definedName name="Number_of_Payments" localSheetId="2">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'[12]MiscItems(Input)'!$B$5:$AO$8,'[12]MiscItems(Input)'!$B$13:$AO$13,'[12]MiscItems(Input)'!$B$15:$B$17,'[12]MiscItems(Input)'!$B$17:$AO$17,'[12]MiscItems(Input)'!$B$15:$AO$15</definedName>
    <definedName name="O_M_Rate">'[22]Virtual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ption">'[45]Dist Misc'!$F$120</definedName>
    <definedName name="OthRCF">[18]INPUTS!$F$41</definedName>
    <definedName name="OthUnc">[4]INPUTS!$F$36</definedName>
    <definedName name="outlookdata">'[46]pivoted data'!$D$3:$Q$90</definedName>
    <definedName name="peak_new_table">'[47]2008 Extreme Peaks - 080403'!$E$5:$AD$8</definedName>
    <definedName name="peak_table">'[47]Peaks-F01'!$C$5:$E$243</definedName>
    <definedName name="PeakMethod">[10]Inputs!$T$5</definedName>
    <definedName name="Percent_debt">[29]Inputs!$E$129</definedName>
    <definedName name="Plant_Input">'[12]Plant(Input)'!$B$7:$AP$9,'[12]Plant(Input)'!$B$11,'[12]Plant(Input)'!$B$15:$AP$15,'[12]Plant(Input)'!$B$18,'[12]Plant(Input)'!$B$20:$AP$20</definedName>
    <definedName name="POWER.T">[4]INTERNAL!$A$58:$IV$60</definedName>
    <definedName name="PP.T">[4]INTERNAL!$A$61:$IV$63</definedName>
    <definedName name="PreTaxDebtCost">[9]Assumptions!$I$56</definedName>
    <definedName name="PreTaxWACC">[9]Assumptions!$I$62</definedName>
    <definedName name="Prices_Aurora">'[28]Monthly Price Summary'!$C$4:$H$63</definedName>
    <definedName name="_xlnm.Print_Area" localSheetId="12">'2017 4.01 G'!$B$1:$F$21</definedName>
    <definedName name="Prior_Month">[48]Sch_120!$I$21</definedName>
    <definedName name="PROFORMA">[4]EXTERNAL!$A$67:$IV$69</definedName>
    <definedName name="PROFORMA_RETAIL">[4]EXTERNAL!$A$91:$IV$93</definedName>
    <definedName name="PROFORMA_RETAIL_TAX">[4]EXTERNAL!$A$169:$IV$171</definedName>
    <definedName name="Projects">[49]Sheet1!$A$1147:$B$1887</definedName>
    <definedName name="Prov_Cap_Tax">[29]Inputs!$E$111</definedName>
    <definedName name="PSE">'[50]4.04'!$A$6</definedName>
    <definedName name="PSE_Pre_Tax_Equity_Rate">'[26]Assumptions of Purchase'!$B$42</definedName>
    <definedName name="PTDGP.T">[4]INTERNAL!$A$64:$IV$66</definedName>
    <definedName name="PTDP.T">[4]INTERNAL!$A$67:$IV$69</definedName>
    <definedName name="QTD_Format">[51]QTD!$B$11:$D$11,[51]QTD!$B$35:$D$35</definedName>
    <definedName name="RATE2">'[21]Transp Data'!$A$8:$I$112</definedName>
    <definedName name="Rates">[52]Codes!$A$1:$C$500</definedName>
    <definedName name="RB.T">[4]INTERNAL!$A$70:$IV$72</definedName>
    <definedName name="RCF">[33]INPUTS!$F$48</definedName>
    <definedName name="Requlated_scenario">'[12]Assumptions (Input)'!$B$12</definedName>
    <definedName name="ResExchCrRate">[48]Sch_194!$M$31</definedName>
    <definedName name="RESID">[4]EXTERNAL!$A$88:$IV$90</definedName>
    <definedName name="resource_lookup">'[53]#REF'!$B$3:$C$112</definedName>
    <definedName name="ResourceSupplier">[11]Variables!$D$28</definedName>
    <definedName name="ResRCF">[18]INPUTS!$F$39</definedName>
    <definedName name="ResUnc">[4]INPUTS!$F$34</definedName>
    <definedName name="RevClass">[52]Codes!$F$2:$G$10</definedName>
    <definedName name="revenue_flag">'[12]Assumptions (Input)'!$C$12</definedName>
    <definedName name="Revenue_Taxes">'[12]Assumptions (Input)'!$B$8</definedName>
    <definedName name="REVFAC1.T">[4]INTERNAL!$A$73:$IV$75</definedName>
    <definedName name="ROD">[54]INPUTS!$F$25</definedName>
    <definedName name="ROR">[55]INPUTS!$F$29</definedName>
    <definedName name="SAPBEXdnldView">"46HLPWIQ6J3TDMPT5WG7XVEBI"</definedName>
    <definedName name="SAPBEXhrIndnt">"Wide"</definedName>
    <definedName name="SAPBEXrevision">1</definedName>
    <definedName name="SAPBEXsysID">"BWP"</definedName>
    <definedName name="SAPBEXwbID">"3XJ3VOPHHLH2D0QXSYZLUHSMI"</definedName>
    <definedName name="SAPCrosstab1">#REF!</definedName>
    <definedName name="SAPsysID">"708C5W7SBKP804JT78WJ0JNKI"</definedName>
    <definedName name="SAPwbID">"ARS"</definedName>
    <definedName name="SBRCF">[18]INPUTS!$F$40</definedName>
    <definedName name="SbUnc">[4]INPUTS!$F$35</definedName>
    <definedName name="Sch194Rlfwd">'[56]Sch94 Rlfwd'!$B$11</definedName>
    <definedName name="Schedule">[44]Inputs!$N$14</definedName>
    <definedName name="Sep03AMA">[3]BS!$AG$7:$AG$3582</definedName>
    <definedName name="Sep04AMA">[1]BS!$AL$7:$AL$3582</definedName>
    <definedName name="Sep09AMA">[2]BS!$AS$7:$AS$1726</definedName>
    <definedName name="solver_eval">0</definedName>
    <definedName name="solver_ntri">1000</definedName>
    <definedName name="solver_rsmp">1</definedName>
    <definedName name="solver_seed">0</definedName>
    <definedName name="StartDate">[9]Assumptions!$C$9</definedName>
    <definedName name="STATE_UTILITY_TAX">'[6]MJS-7'!$N$16</definedName>
    <definedName name="STAX">[4]INPUTS!$F$29</definedName>
    <definedName name="SW.T">[4]INTERNAL!$A$76:$IV$78</definedName>
    <definedName name="SWPTD.T">[4]INTERNAL!$A$79:$IV$81</definedName>
    <definedName name="TableName">"Dummy"</definedName>
    <definedName name="TargetROR">[10]Inputs!$G$29</definedName>
    <definedName name="TDP.T">[4]INTERNAL!$A$82:$IV$84</definedName>
    <definedName name="TestPeriod">[7]Inputs!$C$5</definedName>
    <definedName name="TESTYEAR">'[27]JHS-6'!$A$7</definedName>
    <definedName name="TESTYEAR_GAS">'[19]Named Ranges G'!$C$5</definedName>
    <definedName name="TFR">[4]CLASSIFIERS!$A$11:$IV$11</definedName>
    <definedName name="ThermalBookLife">[9]Assumptions!$C$25</definedName>
    <definedName name="Title">[9]Assumptions!$A$1</definedName>
    <definedName name="Total_Payment" localSheetId="10">Scheduled_Payment+Extra_Payment</definedName>
    <definedName name="Total_Payment" localSheetId="9">Scheduled_Payment+Extra_Payment</definedName>
    <definedName name="Total_Payment" localSheetId="6">Scheduled_Payment+Extra_Payment</definedName>
    <definedName name="Total_Payment" localSheetId="8">Scheduled_Payment+Extra_Payment</definedName>
    <definedName name="Total_Payment" localSheetId="2">Scheduled_Payment+Extra_Payment</definedName>
    <definedName name="Total_Payment">Scheduled_Payment+Extra_Payment</definedName>
    <definedName name="TotalRateBase">'[7]G+T+D+R+M'!$H$58</definedName>
    <definedName name="TP.T">[4]INTERNAL!$A$91:$IV$93</definedName>
    <definedName name="transdb">'[57]Transp Unbilled'!$A$8:$E$174</definedName>
    <definedName name="TRANSM_2">[58]Transm2!$A$1:$M$461:'[58]10 Yr FC'!$M$47</definedName>
    <definedName name="UAcct103">'[7]Func Study'!$AB$1613</definedName>
    <definedName name="UAcct105Dnpg">'[7]Func Study'!$AB$2010</definedName>
    <definedName name="UAcct105S">'[7]Func Study'!$AB$2005</definedName>
    <definedName name="UAcct105Seu">'[7]Func Study'!$AB$2009</definedName>
    <definedName name="UAcct105Snppo">'[7]Func Study'!$AB$2008</definedName>
    <definedName name="UAcct105Snpps">'[7]Func Study'!$AB$2006</definedName>
    <definedName name="UAcct105Snpt">'[7]Func Study'!$AB$2007</definedName>
    <definedName name="UAcct1081390">'[7]Func Study'!$AB$2451</definedName>
    <definedName name="UAcct1081390Rcl">'[7]Func Study'!$AB$2450</definedName>
    <definedName name="UAcct1081399">'[7]Func Study'!$AB$2459</definedName>
    <definedName name="UAcct1081399Rcl">'[7]Func Study'!$AB$2458</definedName>
    <definedName name="UAcct108360">'[7]Func Study'!$AB$2355</definedName>
    <definedName name="UAcct108361">'[7]Func Study'!$AB$2359</definedName>
    <definedName name="UAcct108362">'[7]Func Study'!$AB$2363</definedName>
    <definedName name="UAcct108364">'[7]Func Study'!$AB$2367</definedName>
    <definedName name="UAcct108365">'[7]Func Study'!$AB$2371</definedName>
    <definedName name="UAcct108366">'[7]Func Study'!$AB$2375</definedName>
    <definedName name="UAcct108367">'[7]Func Study'!$AB$2379</definedName>
    <definedName name="UAcct108368">'[7]Func Study'!$AB$2383</definedName>
    <definedName name="UAcct108369">'[7]Func Study'!$AB$2387</definedName>
    <definedName name="UAcct108370">'[7]Func Study'!$AB$2391</definedName>
    <definedName name="UAcct108371">'[7]Func Study'!$AB$2395</definedName>
    <definedName name="UAcct108372">'[7]Func Study'!$AB$2399</definedName>
    <definedName name="UAcct108373">'[7]Func Study'!$AB$2403</definedName>
    <definedName name="UAcct108D">'[7]Func Study'!$AB$2415</definedName>
    <definedName name="UAcct108D00">'[7]Func Study'!$AB$2407</definedName>
    <definedName name="UAcct108Ds">'[7]Func Study'!$AB$2411</definedName>
    <definedName name="UAcct108Ep">'[7]Func Study'!$AB$2327</definedName>
    <definedName name="UAcct108Gpcn">'[7]Func Study'!$AB$2429</definedName>
    <definedName name="UAcct108Gps">'[7]Func Study'!$AB$2425</definedName>
    <definedName name="UAcct108Gpse">'[7]Func Study'!$AB$2431</definedName>
    <definedName name="UAcct108Gpsg">'[7]Func Study'!$AB$2428</definedName>
    <definedName name="UAcct108Gpsgp">'[7]Func Study'!$AB$2426</definedName>
    <definedName name="UAcct108Gpsgu">'[7]Func Study'!$AB$2427</definedName>
    <definedName name="UAcct108Gpso">'[7]Func Study'!$AB$2430</definedName>
    <definedName name="UACCT108GPSSGCH">'[7]Func Study'!$AB$2434</definedName>
    <definedName name="UACCT108GPSSGCT">'[7]Func Study'!$AB$2433</definedName>
    <definedName name="UAcct108Hp">'[7]Func Study'!$AB$2313</definedName>
    <definedName name="UAcct108Mp">'[7]Func Study'!$AB$2444</definedName>
    <definedName name="UAcct108Np">'[7]Func Study'!$AB$2305</definedName>
    <definedName name="UAcct108Op">'[7]Func Study'!$AB$2322</definedName>
    <definedName name="UACCT108OPSSCCT">'[7]Func Study'!$AB$2321</definedName>
    <definedName name="UAcct108Sp">'[7]Func Study'!$AB$2299</definedName>
    <definedName name="UACCT108SPSSGCH">'[7]Func Study'!$AB$2298</definedName>
    <definedName name="UAcct108Tp">'[7]Func Study'!$AB$2346</definedName>
    <definedName name="UAcct111Clg">'[7]Func Study'!$AB$2487</definedName>
    <definedName name="UAcct111Clgsou">'[7]Func Study'!$AB$2485</definedName>
    <definedName name="UAcct111Clh">'[7]Func Study'!$AB$2493</definedName>
    <definedName name="UAcct111Cls">'[7]Func Study'!$AB$2478</definedName>
    <definedName name="UAcct111Ipcn">'[7]Func Study'!$AB$2502</definedName>
    <definedName name="UAcct111Ips">'[7]Func Study'!$AB$2497</definedName>
    <definedName name="UAcct111Ipse">'[7]Func Study'!$AB$2500</definedName>
    <definedName name="UAcct111Ipsg">'[7]Func Study'!$AB$2501</definedName>
    <definedName name="UAcct111Ipsgp">'[7]Func Study'!$AB$2498</definedName>
    <definedName name="UAcct111Ipsgu">'[7]Func Study'!$AB$2499</definedName>
    <definedName name="UAcct111Ipso">'[7]Func Study'!$AB$2506</definedName>
    <definedName name="UACCT111IPSSGCH">'[7]Func Study'!$AB$2505</definedName>
    <definedName name="UACCT111IPSSGCT">'[7]Func Study'!$AB$2504</definedName>
    <definedName name="UAcct114">'[7]Func Study'!$AB$2017</definedName>
    <definedName name="UAcct120">'[7]Func Study'!$AB$2021</definedName>
    <definedName name="UAcct124">'[7]Func Study'!$AB$2026</definedName>
    <definedName name="UAcct141">'[7]Func Study'!$AB$2173</definedName>
    <definedName name="UAcct151">'[7]Func Study'!$AB$2049</definedName>
    <definedName name="Uacct151SSECT">'[7]Func Study'!$AB$2047</definedName>
    <definedName name="UAcct154">'[7]Func Study'!$AB$2083</definedName>
    <definedName name="Uacct154SSGCT">'[7]Func Study'!$AB$2080</definedName>
    <definedName name="UAcct163">'[7]Func Study'!$AB$2093</definedName>
    <definedName name="UAcct165">'[7]Func Study'!$AB$2108</definedName>
    <definedName name="UAcct165Gps">'[7]Func Study'!$AB$2104</definedName>
    <definedName name="UAcct182">'[7]Func Study'!$AB$2033</definedName>
    <definedName name="UAcct18222">'[7]Func Study'!$AB$2163</definedName>
    <definedName name="UAcct182M">'[7]Func Study'!$AB$2118</definedName>
    <definedName name="UAcct182MSSGCH">'[7]Func Study'!$AB$2113</definedName>
    <definedName name="UAcct186">'[7]Func Study'!$AB$2041</definedName>
    <definedName name="UAcct1869">'[7]Func Study'!$AB$2168</definedName>
    <definedName name="UAcct186M">'[7]Func Study'!$AB$2129</definedName>
    <definedName name="UAcct190">'[7]Func Study'!$AB$2243</definedName>
    <definedName name="UAcct190Baddebt">'[7]Func Study'!$AB$2237</definedName>
    <definedName name="UAcct190Dop">'[7]Func Study'!$AB$2235</definedName>
    <definedName name="UAcct2281">'[7]Func Study'!$AB$2191</definedName>
    <definedName name="UAcct2282">'[7]Func Study'!$AB$2195</definedName>
    <definedName name="UAcct2283">'[7]Func Study'!$AB$2200</definedName>
    <definedName name="UACCT22841SG">'[7]Func Study'!$AB$2205</definedName>
    <definedName name="UAcct22842">'[7]Func Study'!$AB$2211</definedName>
    <definedName name="UAcct235">'[7]Func Study'!$AB$2187</definedName>
    <definedName name="UACCT235CN">'[7]Func Study'!$AB$2186</definedName>
    <definedName name="UAcct252">'[7]Func Study'!$AB$2219</definedName>
    <definedName name="UAcct25316">'[7]Func Study'!$AB$2057</definedName>
    <definedName name="UAcct25317">'[7]Func Study'!$AB$2061</definedName>
    <definedName name="UAcct25318">'[7]Func Study'!$AB$2098</definedName>
    <definedName name="UAcct25319">'[7]Func Study'!$AB$2065</definedName>
    <definedName name="uacct25398">'[7]Func Study'!$AB$2222</definedName>
    <definedName name="UAcct25399">'[7]Func Study'!$AB$2230</definedName>
    <definedName name="UACCT254SO">'[7]Func Study'!$AB$2202</definedName>
    <definedName name="UAcct255">'[7]Func Study'!$AB$2284</definedName>
    <definedName name="UAcct281">'[7]Func Study'!$AB$2249</definedName>
    <definedName name="UAcct282">'[7]Func Study'!$AB$2259</definedName>
    <definedName name="UAcct282Cn">'[7]Func Study'!$AB$2256</definedName>
    <definedName name="UAcct282So">'[7]Func Study'!$AB$2255</definedName>
    <definedName name="UAcct283">'[7]Func Study'!$AB$2271</definedName>
    <definedName name="UAcct283So">'[7]Func Study'!$AB$2265</definedName>
    <definedName name="UAcct301S">'[7]Func Study'!$AB$1964</definedName>
    <definedName name="UAcct301Sg">'[7]Func Study'!$AB$1966</definedName>
    <definedName name="UAcct301So">'[7]Func Study'!$AB$1965</definedName>
    <definedName name="UAcct302S">'[7]Func Study'!$AB$1969</definedName>
    <definedName name="UAcct302Sg">'[7]Func Study'!$AB$1970</definedName>
    <definedName name="UAcct302Sgp">'[7]Func Study'!$AB$1971</definedName>
    <definedName name="UAcct302Sgu">'[7]Func Study'!$AB$1972</definedName>
    <definedName name="UAcct303Cn">'[7]Func Study'!$AB$1980</definedName>
    <definedName name="UAcct303S">'[7]Func Study'!$AB$1976</definedName>
    <definedName name="UAcct303Se">'[7]Func Study'!$AB$1979</definedName>
    <definedName name="UAcct303Sg">'[7]Func Study'!$AB$1977</definedName>
    <definedName name="UAcct303Sgu">'[7]Func Study'!$AB$1981</definedName>
    <definedName name="UAcct303So">'[7]Func Study'!$AB$1978</definedName>
    <definedName name="UACCT303SSGCH">'[7]Func Study'!$AB$1983</definedName>
    <definedName name="UAcct310">'[7]Func Study'!$AB$1414</definedName>
    <definedName name="UAcct310JBG">'[7]Func Study'!$AB$1413</definedName>
    <definedName name="UAcct311">'[7]Func Study'!$AB$1421</definedName>
    <definedName name="UAcct311JBG">'[7]Func Study'!$AB$1420</definedName>
    <definedName name="UAcct312">'[7]Func Study'!$AB$1428</definedName>
    <definedName name="UAcct312JBG">'[7]Func Study'!$AB$1427</definedName>
    <definedName name="UAcct314">'[7]Func Study'!$AB$1435</definedName>
    <definedName name="UAcct314JBG">'[7]Func Study'!$AB$1434</definedName>
    <definedName name="UAcct315">'[7]Func Study'!$AB$1442</definedName>
    <definedName name="UAcct315JBG">'[7]Func Study'!$AB$1441</definedName>
    <definedName name="UAcct316">'[7]Func Study'!$AB$1450</definedName>
    <definedName name="UAcct316JBG">'[7]Func Study'!$AB$1449</definedName>
    <definedName name="UAcct320">'[7]Func Study'!$AB$1466</definedName>
    <definedName name="UAcct321">'[7]Func Study'!$AB$1471</definedName>
    <definedName name="UAcct322">'[7]Func Study'!$AB$1476</definedName>
    <definedName name="UAcct323">'[7]Func Study'!$AB$1481</definedName>
    <definedName name="UAcct324">'[7]Func Study'!$AB$1486</definedName>
    <definedName name="UAcct325">'[7]Func Study'!$AB$1491</definedName>
    <definedName name="UAcct33">'[7]Func Study'!$AB$295</definedName>
    <definedName name="UAcct330">'[7]Func Study'!$AB$1508</definedName>
    <definedName name="UAcct331">'[7]Func Study'!$AB$1513</definedName>
    <definedName name="UAcct332">'[7]Func Study'!$AB$1518</definedName>
    <definedName name="UAcct333">'[7]Func Study'!$AB$1523</definedName>
    <definedName name="UAcct334">'[7]Func Study'!$AB$1528</definedName>
    <definedName name="UAcct335">'[7]Func Study'!$AB$1533</definedName>
    <definedName name="UAcct336">'[7]Func Study'!$AB$1539</definedName>
    <definedName name="UAcct340Dgu">'[7]Func Study'!$AB$1564</definedName>
    <definedName name="UAcct340Sgu">'[7]Func Study'!$AB$1565</definedName>
    <definedName name="UAcct341Dgu">'[7]Func Study'!$AB$1569</definedName>
    <definedName name="UAcct341Sgu">'[7]Func Study'!$AB$1570</definedName>
    <definedName name="UAcct342Dgu">'[7]Func Study'!$AB$1574</definedName>
    <definedName name="UAcct342Sgu">'[7]Func Study'!$AB$1575</definedName>
    <definedName name="UAcct343">'[7]Func Study'!$AB$1584</definedName>
    <definedName name="UAcct344S">'[7]Func Study'!$AB$1587</definedName>
    <definedName name="UAcct344Sgp">'[7]Func Study'!$AB$1588</definedName>
    <definedName name="UAcct345Dgu">'[7]Func Study'!$AB$1594</definedName>
    <definedName name="UAcct345Sgu">'[7]Func Study'!$AB$1595</definedName>
    <definedName name="UAcct346">'[7]Func Study'!$AB$1601</definedName>
    <definedName name="UAcct350">'[7]Func Study'!$AB$1628</definedName>
    <definedName name="UAcct352">'[7]Func Study'!$AB$1635</definedName>
    <definedName name="UAcct353">'[7]Func Study'!$AB$1641</definedName>
    <definedName name="UAcct354">'[7]Func Study'!$AB$1647</definedName>
    <definedName name="UAcct355">'[7]Func Study'!$AB$1654</definedName>
    <definedName name="UAcct356">'[7]Func Study'!$AB$1660</definedName>
    <definedName name="UAcct357">'[7]Func Study'!$AB$1666</definedName>
    <definedName name="UAcct358">'[7]Func Study'!$AB$1672</definedName>
    <definedName name="UAcct359">'[7]Func Study'!$AB$1678</definedName>
    <definedName name="UAcct360">'[7]Func Study'!$AB$1698</definedName>
    <definedName name="UAcct361">'[7]Func Study'!$AB$1704</definedName>
    <definedName name="UAcct362">'[7]Func Study'!$AB$1710</definedName>
    <definedName name="UAcct368">'[7]Func Study'!$AB$1744</definedName>
    <definedName name="UAcct369">'[7]Func Study'!$AB$1751</definedName>
    <definedName name="UAcct370">'[7]Func Study'!$AB$1762</definedName>
    <definedName name="UAcct372A">'[7]Func Study'!$AB$1775</definedName>
    <definedName name="UAcct372Dp">'[7]Func Study'!$AB$1773</definedName>
    <definedName name="UAcct372Ds">'[7]Func Study'!$AB$1774</definedName>
    <definedName name="UAcct373">'[7]Func Study'!$AB$1782</definedName>
    <definedName name="UAcct389Cn">'[7]Func Study'!$AB$1800</definedName>
    <definedName name="UAcct389S">'[7]Func Study'!$AB$1799</definedName>
    <definedName name="UAcct389Sg">'[7]Func Study'!$AB$1802</definedName>
    <definedName name="UAcct389Sgu">'[7]Func Study'!$AB$1801</definedName>
    <definedName name="UAcct389So">'[7]Func Study'!$AB$1803</definedName>
    <definedName name="UAcct390Cn">'[7]Func Study'!$AB$1810</definedName>
    <definedName name="UAcct390JBG">'[7]Func Study'!$AB$1812</definedName>
    <definedName name="UAcct390L">'[7]Func Study'!$AB$1927</definedName>
    <definedName name="UACCT390LRCL">'[7]Func Study'!$AB$1929</definedName>
    <definedName name="UAcct390S">'[7]Func Study'!$AB$1807</definedName>
    <definedName name="UAcct390Sgp">'[7]Func Study'!$AB$1808</definedName>
    <definedName name="UAcct390Sgu">'[7]Func Study'!$AB$1809</definedName>
    <definedName name="UAcct390Sop">'[7]Func Study'!$AB$1811</definedName>
    <definedName name="UAcct390Sou">'[7]Func Study'!$AB$1813</definedName>
    <definedName name="UAcct391Cn">'[7]Func Study'!$AB$1820</definedName>
    <definedName name="UACCT391JBE">'[7]Func Study'!$AB$1825</definedName>
    <definedName name="UAcct391S">'[7]Func Study'!$AB$1817</definedName>
    <definedName name="UAcct391Sg">'[7]Func Study'!$AB$1821</definedName>
    <definedName name="UAcct391Sgp">'[7]Func Study'!$AB$1818</definedName>
    <definedName name="UAcct391Sgu">'[7]Func Study'!$AB$1819</definedName>
    <definedName name="UAcct391So">'[7]Func Study'!$AB$1823</definedName>
    <definedName name="UACCT391SSGCH">'[7]Func Study'!$AB$1824</definedName>
    <definedName name="UAcct392Cn">'[7]Func Study'!$AB$1832</definedName>
    <definedName name="UAcct392L">'[7]Func Study'!$AB$1935</definedName>
    <definedName name="UAcct392Lrcl">'[7]Func Study'!$AB$1937</definedName>
    <definedName name="UAcct392S">'[7]Func Study'!$AB$1829</definedName>
    <definedName name="UAcct392Se">'[7]Func Study'!$AB$1834</definedName>
    <definedName name="UAcct392Sg">'[7]Func Study'!$AB$1831</definedName>
    <definedName name="UAcct392Sgp">'[7]Func Study'!$AB$1835</definedName>
    <definedName name="UAcct392Sgu">'[7]Func Study'!$AB$1833</definedName>
    <definedName name="UAcct392So">'[7]Func Study'!$AB$1830</definedName>
    <definedName name="UACCT392SSGCH">'[7]Func Study'!$AB$1836</definedName>
    <definedName name="UAcct393S">'[7]Func Study'!$AB$1841</definedName>
    <definedName name="UAcct393Sg">'[7]Func Study'!$AB$1845</definedName>
    <definedName name="UAcct393Sgp">'[7]Func Study'!$AB$1842</definedName>
    <definedName name="UAcct393Sgu">'[7]Func Study'!$AB$1843</definedName>
    <definedName name="UAcct393So">'[7]Func Study'!$AB$1844</definedName>
    <definedName name="UACCT393SSGCT">'[7]Func Study'!$AB$1846</definedName>
    <definedName name="UAcct394S">'[7]Func Study'!$AB$1850</definedName>
    <definedName name="UAcct394Se">'[7]Func Study'!$AB$1854</definedName>
    <definedName name="UAcct394Sg">'[7]Func Study'!$AB$1855</definedName>
    <definedName name="UAcct394Sgp">'[7]Func Study'!$AB$1851</definedName>
    <definedName name="UAcct394Sgu">'[7]Func Study'!$AB$1852</definedName>
    <definedName name="UAcct394So">'[7]Func Study'!$AB$1853</definedName>
    <definedName name="UACCT394SSGCH">'[7]Func Study'!$AB$1856</definedName>
    <definedName name="UAcct395S">'[7]Func Study'!$AB$1861</definedName>
    <definedName name="UAcct395Se">'[7]Func Study'!$AB$1865</definedName>
    <definedName name="UAcct395Sg">'[7]Func Study'!$AB$1866</definedName>
    <definedName name="UAcct395Sgp">'[7]Func Study'!$AB$1862</definedName>
    <definedName name="UAcct395Sgu">'[7]Func Study'!$AB$1863</definedName>
    <definedName name="UAcct395So">'[7]Func Study'!$AB$1864</definedName>
    <definedName name="UACCT395SSGCH">'[7]Func Study'!$AB$1867</definedName>
    <definedName name="UAcct396S">'[7]Func Study'!$AB$1872</definedName>
    <definedName name="UAcct396Se">'[7]Func Study'!$AB$1877</definedName>
    <definedName name="UAcct396Sg">'[7]Func Study'!$AB$1874</definedName>
    <definedName name="UAcct396Sgp">'[7]Func Study'!$AB$1873</definedName>
    <definedName name="UAcct396Sgu">'[7]Func Study'!$AB$1876</definedName>
    <definedName name="UAcct396So">'[7]Func Study'!$AB$1875</definedName>
    <definedName name="UACCT396SSGCH">'[7]Func Study'!$AB$1879</definedName>
    <definedName name="UACCT396SSGCT">'[7]Func Study'!$AB$1878</definedName>
    <definedName name="UAcct397Cn">'[7]Func Study'!$AB$1890</definedName>
    <definedName name="UAcct397JBG">'[7]Func Study'!$AB$1893</definedName>
    <definedName name="UAcct397S">'[7]Func Study'!$AB$1886</definedName>
    <definedName name="UAcct397Se">'[7]Func Study'!$AB$1892</definedName>
    <definedName name="UAcct397Sg">'[7]Func Study'!$AB$1891</definedName>
    <definedName name="UAcct397Sgp">'[7]Func Study'!$AB$1887</definedName>
    <definedName name="UAcct397Sgu">'[7]Func Study'!$AB$1888</definedName>
    <definedName name="UAcct397So">'[7]Func Study'!$AB$1889</definedName>
    <definedName name="UAcct398Cn">'[7]Func Study'!$AB$1902</definedName>
    <definedName name="UAcct398S">'[7]Func Study'!$AB$1899</definedName>
    <definedName name="UAcct398Se">'[7]Func Study'!$AB$1904</definedName>
    <definedName name="UAcct398Sg">'[7]Func Study'!$AB$1905</definedName>
    <definedName name="UAcct398Sgp">'[7]Func Study'!$AB$1900</definedName>
    <definedName name="UAcct398Sgu">'[7]Func Study'!$AB$1901</definedName>
    <definedName name="UAcct398So">'[7]Func Study'!$AB$1903</definedName>
    <definedName name="UACCT398SSGCT">'[7]Func Study'!$AB$1906</definedName>
    <definedName name="UAcct399">'[7]Func Study'!$AB$1913</definedName>
    <definedName name="UAcct399G">'[7]Func Study'!$AB$1955</definedName>
    <definedName name="UAcct399L">'[7]Func Study'!$AB$1917</definedName>
    <definedName name="UAcct399Lrcl">'[7]Func Study'!$AB$1919</definedName>
    <definedName name="UAcct403360">'[7]Func Study'!$AB$1090</definedName>
    <definedName name="UAcct403361">'[7]Func Study'!$AB$1091</definedName>
    <definedName name="UAcct403362">'[7]Func Study'!$AB$1092</definedName>
    <definedName name="UAcct403364">'[7]Func Study'!$AB$1094</definedName>
    <definedName name="UAcct403365">'[7]Func Study'!$AB$1095</definedName>
    <definedName name="UAcct403366">'[7]Func Study'!$AB$1096</definedName>
    <definedName name="UAcct403367">'[7]Func Study'!$AB$1097</definedName>
    <definedName name="UAcct403368">'[7]Func Study'!$AB$1098</definedName>
    <definedName name="UAcct403369">'[7]Func Study'!$AB$1099</definedName>
    <definedName name="UAcct403370">'[7]Func Study'!$AB$1100</definedName>
    <definedName name="UAcct403371">'[7]Func Study'!$AB$1101</definedName>
    <definedName name="UAcct403372">'[7]Func Study'!$AB$1102</definedName>
    <definedName name="UAcct403373">'[7]Func Study'!$AB$1103</definedName>
    <definedName name="UAcct403Ep">'[7]Func Study'!$AB$1130</definedName>
    <definedName name="UAcct403Gpcn">'[7]Func Study'!$AB$1111</definedName>
    <definedName name="UAcct403GPDGP">'[7]Func Study'!$AB$1108</definedName>
    <definedName name="UAcct403GPDGU">'[7]Func Study'!$AB$1109</definedName>
    <definedName name="UAcct403GPJBG">'[7]Func Study'!$AB$1115</definedName>
    <definedName name="UAcct403Gps">'[7]Func Study'!$AB$1107</definedName>
    <definedName name="UAcct403Gpsg">'[7]Func Study'!$AB$1112</definedName>
    <definedName name="UAcct403Gpso">'[7]Func Study'!$AB$1113</definedName>
    <definedName name="UAcct403Gv0">'[7]Func Study'!$AB$1121</definedName>
    <definedName name="UAcct403Hp">'[7]Func Study'!$AB$1072</definedName>
    <definedName name="UACCT403JBE">'[7]Func Study'!$AB$1116</definedName>
    <definedName name="UAcct403Mp">'[7]Func Study'!$AB$1125</definedName>
    <definedName name="UAcct403Np">'[7]Func Study'!$AB$1065</definedName>
    <definedName name="UAcct403Op">'[7]Func Study'!$AB$1080</definedName>
    <definedName name="UAcct403OPCAGE">'[7]Func Study'!$AB$1078</definedName>
    <definedName name="UAcct403Sp">'[7]Func Study'!$AB$1061</definedName>
    <definedName name="UAcct403SPJBG">'[7]Func Study'!$AB$1058</definedName>
    <definedName name="UAcct403Tp">'[7]Func Study'!$AB$1087</definedName>
    <definedName name="UAcct404330">'[7]Func Study'!$AB$1177</definedName>
    <definedName name="UACCT404GP">'[7]Func Study'!$AB$1146</definedName>
    <definedName name="UACCT404GPCN">'[7]Func Study'!$AB$1143</definedName>
    <definedName name="UACCT404GPSO">'[7]Func Study'!$AB$1141</definedName>
    <definedName name="UAcct404Ipcn">'[7]Func Study'!$AB$1158</definedName>
    <definedName name="UAcct404IPJBG">'[7]Func Study'!$AB$1163</definedName>
    <definedName name="UAcct404Ips">'[7]Func Study'!$AB$1154</definedName>
    <definedName name="UAcct404Ipse">'[7]Func Study'!$AB$1155</definedName>
    <definedName name="UAcct404Ipsg">'[7]Func Study'!$AB$1156</definedName>
    <definedName name="UAcct404Ipsg1">'[7]Func Study'!$AB$1159</definedName>
    <definedName name="UAcct404Ipsg2">'[7]Func Study'!$AB$1160</definedName>
    <definedName name="UAcct404Ipso">'[7]Func Study'!$AB$1157</definedName>
    <definedName name="UAcct404M">'[7]Func Study'!$AB$1168</definedName>
    <definedName name="UACCT404OP">'[7]Func Study'!$AB$1172</definedName>
    <definedName name="UACCT404SP">'[7]Func Study'!$AB$1151</definedName>
    <definedName name="UAcct405">'[7]Func Study'!$AB$1185</definedName>
    <definedName name="UAcct406">'[7]Func Study'!$AB$1193</definedName>
    <definedName name="UAcct407">'[7]Func Study'!$AB$1202</definedName>
    <definedName name="UAcct408">'[7]Func Study'!$AB$1221</definedName>
    <definedName name="UAcct408S">'[7]Func Study'!$AB$1213</definedName>
    <definedName name="UAcct41010">'[7]Func Study'!$AB$1294</definedName>
    <definedName name="UAcct41011">'[7]Func Study'!$AB$1309</definedName>
    <definedName name="UAcct41110">'[7]Func Study'!$AB$1325</definedName>
    <definedName name="UAcct41140">'[7]Func Study'!$AB$1232</definedName>
    <definedName name="UAcct41141">'[7]Func Study'!$AB$1237</definedName>
    <definedName name="UAcct41160">'[7]Func Study'!$AB$369</definedName>
    <definedName name="UAcct41170">'[7]Func Study'!$AB$374</definedName>
    <definedName name="UAcct4118">'[7]Func Study'!$AB$378</definedName>
    <definedName name="UAcct41181">'[7]Func Study'!$AB$381</definedName>
    <definedName name="UAcct4194">'[7]Func Study'!$AB$385</definedName>
    <definedName name="UAcct421">'[7]Func Study'!$AB$394</definedName>
    <definedName name="UAcct4311">'[7]Func Study'!$AB$401</definedName>
    <definedName name="UAcct442Se">'[7]Func Study'!$AB$259</definedName>
    <definedName name="UAcct442Sg">'[7]Func Study'!$AB$260</definedName>
    <definedName name="UAcct447">'[7]Func Study'!$AB$281</definedName>
    <definedName name="UACCT447NPC">'[7]Func Study'!$AB$289</definedName>
    <definedName name="UACCT447NPCCAEW">'[7]Func Study'!$AB$286</definedName>
    <definedName name="UACCT447NPCCAGW">'[7]Func Study'!$AB$287</definedName>
    <definedName name="UACCT447NPCDGP">'[7]Func Study'!$AB$288</definedName>
    <definedName name="UAcct447S">'[7]Func Study'!$AB$280</definedName>
    <definedName name="UAcct448S">'[7]Func Study'!$AB$274</definedName>
    <definedName name="UAcct448So">'[7]Func Study'!$AB$275</definedName>
    <definedName name="UAcct449">'[7]Func Study'!$AB$294</definedName>
    <definedName name="UAcct450">'[7]Func Study'!$AB$304</definedName>
    <definedName name="UAcct450S">'[7]Func Study'!$AB$302</definedName>
    <definedName name="UAcct450So">'[7]Func Study'!$AB$303</definedName>
    <definedName name="UAcct451S">'[7]Func Study'!$AB$307</definedName>
    <definedName name="UAcct451Sg">'[7]Func Study'!$AB$308</definedName>
    <definedName name="UAcct451So">'[7]Func Study'!$AB$309</definedName>
    <definedName name="UAcct453">'[7]Func Study'!$AB$315</definedName>
    <definedName name="UAcct454">'[7]Func Study'!$AB$322</definedName>
    <definedName name="UAcct454JBG">'[7]Func Study'!$AB$319</definedName>
    <definedName name="UAcct454S">'[7]Func Study'!$AB$318</definedName>
    <definedName name="UAcct454Sg">'[7]Func Study'!$AB$320</definedName>
    <definedName name="UAcct454So">'[7]Func Study'!$AB$321</definedName>
    <definedName name="UAcct456">'[7]Func Study'!$AB$332</definedName>
    <definedName name="UAcct456CAEW">'[7]Func Study'!$AB$331</definedName>
    <definedName name="UAcct456S">'[7]Func Study'!$AB$325</definedName>
    <definedName name="UAcct456So">'[7]Func Study'!$AB$329</definedName>
    <definedName name="UAcct500">'[7]Func Study'!$AB$416</definedName>
    <definedName name="UAcct500JBG">'[7]Func Study'!$AB$414</definedName>
    <definedName name="UAcct501">'[7]Func Study'!$AB$423</definedName>
    <definedName name="UAcct501CAEW">'[7]Func Study'!$AB$420</definedName>
    <definedName name="UAcct501JBE">'[7]Func Study'!$AB$421</definedName>
    <definedName name="UACCT501NPCCAEW">'[7]Func Study'!$AB$426</definedName>
    <definedName name="UAcct502">'[7]Func Study'!$AB$433</definedName>
    <definedName name="UAcct502CAGE">'[7]Func Study'!$AB$431</definedName>
    <definedName name="UAcct503">'[7]Func Study'!$AB$437</definedName>
    <definedName name="UACCT503NPC">'[7]Func Study'!$AB$443</definedName>
    <definedName name="UAcct505">'[7]Func Study'!$AB$449</definedName>
    <definedName name="UAcct505CAGE">'[7]Func Study'!$AB$447</definedName>
    <definedName name="UAcct506">'[7]Func Study'!$AB$455</definedName>
    <definedName name="UAcct506CAGE">'[7]Func Study'!$AB$452</definedName>
    <definedName name="UAcct507">'[7]Func Study'!$AB$464</definedName>
    <definedName name="UAcct507CAGE">'[7]Func Study'!$AB$462</definedName>
    <definedName name="UAcct510">'[7]Func Study'!$AB$469</definedName>
    <definedName name="UAcct510CAGE">'[7]Func Study'!$AB$467</definedName>
    <definedName name="UAcct511">'[7]Func Study'!$AB$474</definedName>
    <definedName name="UAcct511CAGE">'[7]Func Study'!$AB$472</definedName>
    <definedName name="UAcct512">'[7]Func Study'!$AB$479</definedName>
    <definedName name="UAcct512CAGE">'[7]Func Study'!$AB$477</definedName>
    <definedName name="UAcct513">'[7]Func Study'!$AB$484</definedName>
    <definedName name="UAcct513CAGE">'[7]Func Study'!$AB$482</definedName>
    <definedName name="UAcct514">'[7]Func Study'!$AB$489</definedName>
    <definedName name="UAcct514CAGE">'[7]Func Study'!$AB$487</definedName>
    <definedName name="UAcct517">'[7]Func Study'!$AB$498</definedName>
    <definedName name="UAcct518">'[7]Func Study'!$AB$502</definedName>
    <definedName name="UAcct519">'[7]Func Study'!$AB$507</definedName>
    <definedName name="UAcct520">'[7]Func Study'!$AB$511</definedName>
    <definedName name="UAcct523">'[7]Func Study'!$AB$515</definedName>
    <definedName name="UAcct524">'[7]Func Study'!$AB$519</definedName>
    <definedName name="UAcct528">'[7]Func Study'!$AB$523</definedName>
    <definedName name="UAcct529">'[7]Func Study'!$AB$527</definedName>
    <definedName name="UAcct530">'[7]Func Study'!$AB$531</definedName>
    <definedName name="UAcct531">'[7]Func Study'!$AB$535</definedName>
    <definedName name="UAcct532">'[7]Func Study'!$AB$539</definedName>
    <definedName name="UAcct535">'[7]Func Study'!$AB$551</definedName>
    <definedName name="UAcct536">'[7]Func Study'!$AB$555</definedName>
    <definedName name="UAcct537">'[7]Func Study'!$AB$559</definedName>
    <definedName name="UAcct538">'[7]Func Study'!$AB$563</definedName>
    <definedName name="UAcct539">'[7]Func Study'!$AB$568</definedName>
    <definedName name="UAcct540">'[7]Func Study'!$AB$572</definedName>
    <definedName name="UAcct541">'[7]Func Study'!$AB$576</definedName>
    <definedName name="UAcct542">'[7]Func Study'!$AB$580</definedName>
    <definedName name="UAcct543">'[7]Func Study'!$AB$584</definedName>
    <definedName name="UAcct544">'[7]Func Study'!$AB$588</definedName>
    <definedName name="UAcct545">'[7]Func Study'!$AB$592</definedName>
    <definedName name="UAcct546">'[7]Func Study'!$AB$606</definedName>
    <definedName name="UAcct546CAGE">'[7]Func Study'!$AB$605</definedName>
    <definedName name="UAcct547CAEW">'[7]Func Study'!$AB$610</definedName>
    <definedName name="UACCT547NPCCAEW">'[7]Func Study'!$AB$613</definedName>
    <definedName name="UAcct547Se">'[7]Func Study'!$AB$609</definedName>
    <definedName name="UAcct548">'[7]Func Study'!$AB$621</definedName>
    <definedName name="UACCT548CAGE">'[7]Func Study'!$AB$620</definedName>
    <definedName name="UAcct549">'[7]Func Study'!$AB$626</definedName>
    <definedName name="Uacct549CAGE">'[7]Func Study'!$AB$625</definedName>
    <definedName name="UAcct551CAGE">'[7]Func Study'!$AB$634</definedName>
    <definedName name="UACCT551SG">'[7]Func Study'!$AB$635</definedName>
    <definedName name="UACCT552CAGE">'[7]Func Study'!$AB$640</definedName>
    <definedName name="UAcct552SG">'[7]Func Study'!$AB$639</definedName>
    <definedName name="UACCT553CAGE">'[7]Func Study'!$AB$646</definedName>
    <definedName name="UAcct553SG">'[7]Func Study'!$AB$645</definedName>
    <definedName name="UACCT554CAGE">'[7]Func Study'!$AB$651</definedName>
    <definedName name="UAcct554SG">'[7]Func Study'!$AB$650</definedName>
    <definedName name="UAcct555CAEW">'[7]Func Study'!$AB$665</definedName>
    <definedName name="UAcct555CAGW">'[7]Func Study'!$AB$664</definedName>
    <definedName name="UACCT555DGP">'[7]Func Study'!$AB$670</definedName>
    <definedName name="UACCT555NPCCAEW">'[7]Func Study'!$AB$669</definedName>
    <definedName name="UACCT555NPCCAGW">'[7]Func Study'!$AB$668</definedName>
    <definedName name="UAcct555S">'[7]Func Study'!$AB$663</definedName>
    <definedName name="UAcct555Se">'[7]Func Study'!$AB$665</definedName>
    <definedName name="UACCT555SG">'[7]Func Study'!$AB$664</definedName>
    <definedName name="UAcct556">'[7]Func Study'!$AB$676</definedName>
    <definedName name="UAcct557">'[7]Func Study'!$AB$685</definedName>
    <definedName name="UAcct560">'[7]Func Study'!$AB$715</definedName>
    <definedName name="UAcct561">'[7]Func Study'!$AB$720</definedName>
    <definedName name="UAcct562">'[7]Func Study'!$AB$726</definedName>
    <definedName name="UAcct563">'[7]Func Study'!$AB$731</definedName>
    <definedName name="UAcct564">'[7]Func Study'!$AB$735</definedName>
    <definedName name="UAcct565">'[7]Func Study'!$AB$739</definedName>
    <definedName name="UACCT565NPC">'[7]Func Study'!$AB$744</definedName>
    <definedName name="UACCT565NPCCAGW">'[7]Func Study'!$AB$742</definedName>
    <definedName name="UAcct566">'[7]Func Study'!$AB$748</definedName>
    <definedName name="UAcct567">'[7]Func Study'!$AB$752</definedName>
    <definedName name="UAcct568">'[7]Func Study'!$AB$756</definedName>
    <definedName name="UAcct569">'[7]Func Study'!$AB$760</definedName>
    <definedName name="UAcct570">'[7]Func Study'!$AB$765</definedName>
    <definedName name="UAcct571">'[7]Func Study'!$AB$770</definedName>
    <definedName name="UAcct572">'[7]Func Study'!$AB$774</definedName>
    <definedName name="UAcct573">'[7]Func Study'!$AB$778</definedName>
    <definedName name="UAcct580">'[7]Func Study'!$AB$791</definedName>
    <definedName name="UAcct581">'[7]Func Study'!$AB$796</definedName>
    <definedName name="UAcct582">'[7]Func Study'!$AB$801</definedName>
    <definedName name="UAcct583">'[7]Func Study'!$AB$806</definedName>
    <definedName name="UAcct584">'[7]Func Study'!$AB$811</definedName>
    <definedName name="UAcct585">'[7]Func Study'!$AB$816</definedName>
    <definedName name="UAcct586">'[7]Func Study'!$AB$821</definedName>
    <definedName name="UAcct587">'[7]Func Study'!$AB$826</definedName>
    <definedName name="UAcct588">'[7]Func Study'!$AB$831</definedName>
    <definedName name="UAcct589">'[7]Func Study'!$AB$836</definedName>
    <definedName name="UAcct590">'[7]Func Study'!$AB$841</definedName>
    <definedName name="UAcct591">'[7]Func Study'!$AB$846</definedName>
    <definedName name="UAcct592">'[7]Func Study'!$AB$851</definedName>
    <definedName name="UAcct593">'[7]Func Study'!$AB$856</definedName>
    <definedName name="UAcct594">'[7]Func Study'!$AB$861</definedName>
    <definedName name="UAcct595">'[7]Func Study'!$AB$866</definedName>
    <definedName name="UAcct596">'[7]Func Study'!$AB$876</definedName>
    <definedName name="UAcct597">'[7]Func Study'!$AB$881</definedName>
    <definedName name="UAcct598">'[7]Func Study'!$AB$886</definedName>
    <definedName name="UAcct901">'[7]Func Study'!$AB$898</definedName>
    <definedName name="UAcct902">'[7]Func Study'!$AB$903</definedName>
    <definedName name="UAcct903">'[7]Func Study'!$AB$908</definedName>
    <definedName name="UAcct904">'[7]Func Study'!$AB$914</definedName>
    <definedName name="UAcct905">'[7]Func Study'!$AB$919</definedName>
    <definedName name="UAcct907">'[7]Func Study'!$AB$933</definedName>
    <definedName name="UAcct908">'[7]Func Study'!$AB$938</definedName>
    <definedName name="UAcct909">'[7]Func Study'!$AB$943</definedName>
    <definedName name="UAcct910">'[7]Func Study'!$AB$948</definedName>
    <definedName name="UAcct911">'[7]Func Study'!$AB$959</definedName>
    <definedName name="UAcct912">'[7]Func Study'!$AB$964</definedName>
    <definedName name="UAcct913">'[7]Func Study'!$AB$969</definedName>
    <definedName name="UAcct916">'[7]Func Study'!$AB$974</definedName>
    <definedName name="UAcct920">'[7]Func Study'!$AB$985</definedName>
    <definedName name="UAcct920Cn">'[7]Func Study'!$AB$983</definedName>
    <definedName name="UAcct921">'[7]Func Study'!$AB$991</definedName>
    <definedName name="UAcct921Cn">'[7]Func Study'!$AB$989</definedName>
    <definedName name="UAcct923">'[7]Func Study'!$AB$997</definedName>
    <definedName name="UAcct923CAGW">'[7]Func Study'!$AB$995</definedName>
    <definedName name="UAcct924">'[7]Func Study'!$AB$1001</definedName>
    <definedName name="UAcct925">'[7]Func Study'!$AB$1005</definedName>
    <definedName name="UAcct926">'[7]Func Study'!$AB$1011</definedName>
    <definedName name="UAcct927">'[7]Func Study'!$AB$1016</definedName>
    <definedName name="UAcct928">'[7]Func Study'!$AB$1023</definedName>
    <definedName name="UAcct929">'[7]Func Study'!$AB$1028</definedName>
    <definedName name="UAcct930">'[7]Func Study'!$AB$1034</definedName>
    <definedName name="UAcct931">'[7]Func Study'!$AB$1039</definedName>
    <definedName name="UAcct935">'[7]Func Study'!$AB$1045</definedName>
    <definedName name="UAcctAGA">'[7]Func Study'!$AB$296</definedName>
    <definedName name="UAcctcwc">'[7]Func Study'!$AB$2136</definedName>
    <definedName name="UAcctd00">'[7]Func Study'!$AB$1786</definedName>
    <definedName name="UAcctds0">'[7]Func Study'!$AB$1790</definedName>
    <definedName name="UACCTECDDGP">'[7]Func Study'!$AB$687</definedName>
    <definedName name="UACCTECDMC">'[7]Func Study'!$AB$689</definedName>
    <definedName name="UACCTECDS">'[7]Func Study'!$AB$691</definedName>
    <definedName name="UACCTECDSG1">'[7]Func Study'!$AB$688</definedName>
    <definedName name="UACCTECDSG2">'[7]Func Study'!$AB$690</definedName>
    <definedName name="UACCTECDSG3">'[7]Func Study'!$AB$692</definedName>
    <definedName name="UAcctfit">'[7]Func Study'!$AB$1395</definedName>
    <definedName name="UAcctg00">'[7]Func Study'!$AB$1947</definedName>
    <definedName name="UAccth00">'[7]Func Study'!$AB$1545</definedName>
    <definedName name="UAccti00">'[7]Func Study'!$AB$1993</definedName>
    <definedName name="UAcctn00">'[7]Func Study'!$AB$1496</definedName>
    <definedName name="UAccto00">'[7]Func Study'!$AB$1606</definedName>
    <definedName name="UAcctowc">'[7]Func Study'!$AB$2149</definedName>
    <definedName name="UACCTOWCSSECH">'[7]Func Study'!$AB$2148</definedName>
    <definedName name="UAccts00">'[7]Func Study'!$AB$1455</definedName>
    <definedName name="UAcctsttax">'[7]Func Study'!$AB$1377</definedName>
    <definedName name="UAcctt00">'[7]Func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[11]Variables!$D$25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[11]Variables!$D$29</definedName>
    <definedName name="ValidAccount">[8]Variables!$AK$43:$AK$369</definedName>
    <definedName name="Values_Entered" localSheetId="10">IF(Loan_Amount*Interest_Rate*Loan_Years*Loan_Start&gt;0,1,0)</definedName>
    <definedName name="Values_Entered" localSheetId="9">IF(Loan_Amount*Interest_Rate*Loan_Years*Loan_Start&gt;0,1,0)</definedName>
    <definedName name="Values_Entered" localSheetId="6">IF(Loan_Amount*Interest_Rate*Loan_Years*Loan_Start&gt;0,1,0)</definedName>
    <definedName name="Values_Entered" localSheetId="8">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OMEsc">[9]Assumptions!$C$21</definedName>
    <definedName name="WACC">[9]Assumptions!$I$61</definedName>
    <definedName name="WaRevenueTax">[11]Variables!$D$27</definedName>
    <definedName name="Winter">'[59]Input Tab'!$B$11</definedName>
    <definedName name="WinterPeak">'[60]Load Data'!$D$9:$H$12,'[60]Load Data'!$D$20:$H$22</definedName>
    <definedName name="WUTC_Docket_No._UG_11____">'[6]MJS-6'!$F$2</definedName>
    <definedName name="WUTC_FILING_FEE">'[6]MJS-7'!$O$15</definedName>
    <definedName name="Years_evaluated">'[61]Revison Inputs'!$B$6</definedName>
    <definedName name="YEFactors">[8]Factors!$S$3:$AG$99</definedName>
    <definedName name="YTD_Format">[51]YTD!$B$13:$D$13,[51]YTD!$B$36:$D$36</definedName>
  </definedNames>
  <calcPr calcId="162913"/>
</workbook>
</file>

<file path=xl/calcChain.xml><?xml version="1.0" encoding="utf-8"?>
<calcChain xmlns="http://schemas.openxmlformats.org/spreadsheetml/2006/main">
  <c r="F71" i="89" l="1"/>
  <c r="E71" i="89" s="1"/>
  <c r="AP66" i="87"/>
  <c r="B11" i="67" l="1"/>
  <c r="G38" i="76"/>
  <c r="G37" i="76"/>
  <c r="G34" i="76"/>
  <c r="G33" i="76"/>
  <c r="G27" i="76"/>
  <c r="H38" i="74"/>
  <c r="H33" i="74"/>
  <c r="H53" i="74"/>
  <c r="H27" i="74"/>
  <c r="H34" i="74"/>
  <c r="H52" i="74" s="1"/>
  <c r="H12" i="74"/>
  <c r="H11" i="74"/>
  <c r="G53" i="76"/>
  <c r="G29" i="76"/>
  <c r="F38" i="85"/>
  <c r="F37" i="85"/>
  <c r="F34" i="85"/>
  <c r="F33" i="85"/>
  <c r="F53" i="85"/>
  <c r="F27" i="85"/>
  <c r="F7" i="69"/>
  <c r="F52" i="85"/>
  <c r="F29" i="85"/>
  <c r="E34" i="74"/>
  <c r="E33" i="74"/>
  <c r="I32" i="74"/>
  <c r="H32" i="74"/>
  <c r="H13" i="74"/>
  <c r="H29" i="74" l="1"/>
  <c r="F25" i="77"/>
  <c r="F16" i="87"/>
  <c r="N17" i="77" l="1"/>
  <c r="K17" i="77"/>
  <c r="O14" i="77"/>
  <c r="L14" i="77"/>
  <c r="K14" i="77"/>
  <c r="E17" i="77"/>
  <c r="D17" i="77"/>
  <c r="E16" i="77"/>
  <c r="D16" i="77"/>
  <c r="E14" i="77"/>
  <c r="D14" i="77"/>
  <c r="E5" i="77"/>
  <c r="D5" i="77"/>
  <c r="E4" i="77"/>
  <c r="D4" i="77"/>
  <c r="E32" i="69" l="1"/>
  <c r="AU29" i="76"/>
  <c r="AR27" i="76"/>
  <c r="AS27" i="74" l="1"/>
  <c r="AU27" i="74"/>
  <c r="AV28" i="74" s="1"/>
  <c r="H38" i="76" l="1"/>
  <c r="I38" i="76"/>
  <c r="J38" i="76"/>
  <c r="K38" i="76"/>
  <c r="L38" i="76"/>
  <c r="M38" i="76"/>
  <c r="N38" i="76"/>
  <c r="O38" i="76"/>
  <c r="P38" i="76"/>
  <c r="Q38" i="76"/>
  <c r="R38" i="76"/>
  <c r="S38" i="76"/>
  <c r="T38" i="76"/>
  <c r="U38" i="76"/>
  <c r="V38" i="76"/>
  <c r="W38" i="76"/>
  <c r="X38" i="76"/>
  <c r="Y38" i="76"/>
  <c r="Z38" i="76"/>
  <c r="AA38" i="76"/>
  <c r="AB38" i="76"/>
  <c r="AC38" i="76"/>
  <c r="AD38" i="76"/>
  <c r="AE38" i="76"/>
  <c r="AF38" i="76"/>
  <c r="AG38" i="76"/>
  <c r="AH38" i="76"/>
  <c r="AI38" i="76"/>
  <c r="AJ38" i="76"/>
  <c r="AK38" i="76"/>
  <c r="AL38" i="76"/>
  <c r="AM38" i="76"/>
  <c r="AN38" i="76"/>
  <c r="AO38" i="76"/>
  <c r="AP38" i="76"/>
  <c r="AQ38" i="76"/>
  <c r="J38" i="74"/>
  <c r="K38" i="74"/>
  <c r="L38" i="74"/>
  <c r="M38" i="74"/>
  <c r="N38" i="74"/>
  <c r="O38" i="74"/>
  <c r="P38" i="74"/>
  <c r="Q38" i="74"/>
  <c r="R38" i="74"/>
  <c r="S38" i="74"/>
  <c r="T38" i="74"/>
  <c r="U38" i="74"/>
  <c r="V38" i="74"/>
  <c r="W38" i="74"/>
  <c r="X38" i="74"/>
  <c r="Y38" i="74"/>
  <c r="Z38" i="74"/>
  <c r="AA38" i="74"/>
  <c r="AB38" i="74"/>
  <c r="AC38" i="74"/>
  <c r="AD38" i="74"/>
  <c r="AE38" i="74"/>
  <c r="AF38" i="74"/>
  <c r="AG38" i="74"/>
  <c r="AH38" i="74"/>
  <c r="AI38" i="74"/>
  <c r="AJ38" i="74"/>
  <c r="AK38" i="74"/>
  <c r="AL38" i="74"/>
  <c r="AM38" i="74"/>
  <c r="AN38" i="74"/>
  <c r="AO38" i="74"/>
  <c r="AP38" i="74"/>
  <c r="AQ38" i="74"/>
  <c r="AR38" i="74"/>
  <c r="I38" i="74"/>
  <c r="G27" i="74"/>
  <c r="G17" i="85"/>
  <c r="G16" i="85"/>
  <c r="G15" i="85"/>
  <c r="G12" i="85"/>
  <c r="G11" i="85"/>
  <c r="G13" i="85" s="1"/>
  <c r="G16" i="76"/>
  <c r="G17" i="76"/>
  <c r="G15" i="76"/>
  <c r="G12" i="76"/>
  <c r="G11" i="76"/>
  <c r="G13" i="76"/>
  <c r="H16" i="74"/>
  <c r="G18" i="82"/>
  <c r="F14" i="82"/>
  <c r="F15" i="82" s="1"/>
  <c r="F16" i="82" s="1"/>
  <c r="F17" i="82" s="1"/>
  <c r="F18" i="82" s="1"/>
  <c r="F13" i="82"/>
  <c r="F19" i="82" l="1"/>
  <c r="F20" i="82" s="1"/>
  <c r="G14" i="82"/>
  <c r="G20" i="82" l="1"/>
  <c r="F15" i="84" l="1"/>
  <c r="R8" i="84"/>
  <c r="R6" i="84"/>
  <c r="R7" i="84"/>
  <c r="Q6" i="84"/>
  <c r="E19" i="77" l="1"/>
  <c r="D10" i="69" l="1"/>
  <c r="G22" i="85" l="1"/>
  <c r="Y66" i="90" l="1"/>
  <c r="X66" i="90"/>
  <c r="W66" i="90"/>
  <c r="V66" i="90"/>
  <c r="U66" i="90"/>
  <c r="T66" i="90"/>
  <c r="S66" i="90"/>
  <c r="R66" i="90"/>
  <c r="Q66" i="90"/>
  <c r="P66" i="90"/>
  <c r="O66" i="90"/>
  <c r="N66" i="90"/>
  <c r="M66" i="90"/>
  <c r="L66" i="90"/>
  <c r="K66" i="90"/>
  <c r="J66" i="90"/>
  <c r="I66" i="90"/>
  <c r="H66" i="90"/>
  <c r="G66" i="90"/>
  <c r="F66" i="90"/>
  <c r="E66" i="90"/>
  <c r="Y65" i="90"/>
  <c r="Y62" i="90" s="1"/>
  <c r="X65" i="90"/>
  <c r="W65" i="90"/>
  <c r="V65" i="90"/>
  <c r="U65" i="90"/>
  <c r="T65" i="90"/>
  <c r="S65" i="90"/>
  <c r="S62" i="90" s="1"/>
  <c r="R65" i="90"/>
  <c r="Q65" i="90"/>
  <c r="Q62" i="90" s="1"/>
  <c r="P65" i="90"/>
  <c r="O65" i="90"/>
  <c r="N65" i="90"/>
  <c r="M65" i="90"/>
  <c r="L65" i="90"/>
  <c r="K65" i="90"/>
  <c r="K62" i="90" s="1"/>
  <c r="J65" i="90"/>
  <c r="I65" i="90"/>
  <c r="I62" i="90" s="1"/>
  <c r="H65" i="90"/>
  <c r="G65" i="90"/>
  <c r="F65" i="90"/>
  <c r="E65" i="90"/>
  <c r="X62" i="90"/>
  <c r="W62" i="90"/>
  <c r="V62" i="90"/>
  <c r="U62" i="90"/>
  <c r="T62" i="90"/>
  <c r="R62" i="90"/>
  <c r="P62" i="90"/>
  <c r="O62" i="90"/>
  <c r="N62" i="90"/>
  <c r="M62" i="90"/>
  <c r="L62" i="90"/>
  <c r="J62" i="90"/>
  <c r="H62" i="90"/>
  <c r="G62" i="90"/>
  <c r="F62" i="90"/>
  <c r="E62" i="90"/>
  <c r="B62" i="90"/>
  <c r="AS58" i="90"/>
  <c r="AS59" i="90" s="1"/>
  <c r="AJ58" i="90"/>
  <c r="AD58" i="90"/>
  <c r="AC58" i="90"/>
  <c r="T58" i="90"/>
  <c r="N58" i="90"/>
  <c r="M58" i="90"/>
  <c r="AS57" i="90"/>
  <c r="AT56" i="90"/>
  <c r="AT55" i="90"/>
  <c r="AT51" i="90"/>
  <c r="AT50" i="90"/>
  <c r="AT41" i="90"/>
  <c r="AT40" i="90"/>
  <c r="AT36" i="90"/>
  <c r="E31" i="90"/>
  <c r="A29" i="90"/>
  <c r="A32" i="90" s="1"/>
  <c r="A33" i="90" s="1"/>
  <c r="A34" i="90" s="1"/>
  <c r="A35"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63" i="90" s="1"/>
  <c r="A64" i="90" s="1"/>
  <c r="A65" i="90" s="1"/>
  <c r="A66" i="90" s="1"/>
  <c r="AN58" i="90"/>
  <c r="F16" i="90"/>
  <c r="F15" i="90"/>
  <c r="F13" i="90"/>
  <c r="F12" i="90"/>
  <c r="E12" i="90"/>
  <c r="D12" i="90"/>
  <c r="F11" i="90"/>
  <c r="E11" i="90"/>
  <c r="D11" i="90"/>
  <c r="D13" i="90" s="1"/>
  <c r="AS60" i="90" l="1"/>
  <c r="P58" i="90"/>
  <c r="AF58" i="90"/>
  <c r="AP66" i="90"/>
  <c r="E58" i="90"/>
  <c r="U58" i="90"/>
  <c r="AK58" i="90"/>
  <c r="F58" i="90"/>
  <c r="V58" i="90"/>
  <c r="AL58" i="90"/>
  <c r="AU27" i="90"/>
  <c r="H58" i="90"/>
  <c r="X58" i="90"/>
  <c r="AQ58" i="90"/>
  <c r="AI58" i="90"/>
  <c r="AA58" i="90"/>
  <c r="S58" i="90"/>
  <c r="K58" i="90"/>
  <c r="AP58" i="90"/>
  <c r="AH58" i="90"/>
  <c r="Z58" i="90"/>
  <c r="R58" i="90"/>
  <c r="J58" i="90"/>
  <c r="AO58" i="90"/>
  <c r="AG58" i="90"/>
  <c r="Y58" i="90"/>
  <c r="Q58" i="90"/>
  <c r="I58" i="90"/>
  <c r="AM58" i="90"/>
  <c r="AE58" i="90"/>
  <c r="W58" i="90"/>
  <c r="O58" i="90"/>
  <c r="G58" i="90"/>
  <c r="L58" i="90"/>
  <c r="AB58" i="90"/>
  <c r="AR58" i="90"/>
  <c r="AT58" i="90" l="1"/>
  <c r="B87" i="89" l="1"/>
  <c r="B86" i="89"/>
  <c r="E81" i="89"/>
  <c r="E83" i="89" s="1"/>
  <c r="E80" i="89"/>
  <c r="C86" i="89" s="1"/>
  <c r="E78" i="89"/>
  <c r="D78" i="89"/>
  <c r="C78" i="89"/>
  <c r="E77" i="89"/>
  <c r="E76" i="89"/>
  <c r="E75" i="89"/>
  <c r="B65" i="89"/>
  <c r="B64" i="89"/>
  <c r="B57" i="89"/>
  <c r="B56" i="89"/>
  <c r="D47" i="89"/>
  <c r="C47" i="89"/>
  <c r="E46" i="89"/>
  <c r="E50" i="89" s="1"/>
  <c r="E45" i="89"/>
  <c r="E44" i="89"/>
  <c r="E49" i="89" s="1"/>
  <c r="B36" i="89"/>
  <c r="D36" i="89" s="1"/>
  <c r="B35" i="89"/>
  <c r="B20" i="89"/>
  <c r="B19" i="89"/>
  <c r="D10" i="89"/>
  <c r="C10" i="89"/>
  <c r="E9" i="89"/>
  <c r="E13" i="89" s="1"/>
  <c r="E8" i="89"/>
  <c r="E7" i="89"/>
  <c r="E12" i="89" s="1"/>
  <c r="C19" i="89" l="1"/>
  <c r="E14" i="89"/>
  <c r="D37" i="89"/>
  <c r="E36" i="89"/>
  <c r="E86" i="89"/>
  <c r="C88" i="89"/>
  <c r="C64" i="89"/>
  <c r="C56" i="89"/>
  <c r="D20" i="89"/>
  <c r="E15" i="89"/>
  <c r="D57" i="89"/>
  <c r="D65" i="89"/>
  <c r="E52" i="89"/>
  <c r="D87" i="89"/>
  <c r="E82" i="89"/>
  <c r="E10" i="89"/>
  <c r="E47" i="89"/>
  <c r="E51" i="89" s="1"/>
  <c r="C35" i="89"/>
  <c r="E57" i="89" l="1"/>
  <c r="D58" i="89"/>
  <c r="E56" i="89"/>
  <c r="C58" i="89"/>
  <c r="E58" i="89" s="1"/>
  <c r="E59" i="89" s="1"/>
  <c r="D88" i="89"/>
  <c r="E88" i="89" s="1"/>
  <c r="E87" i="89"/>
  <c r="C66" i="89"/>
  <c r="E66" i="89" s="1"/>
  <c r="E64" i="89"/>
  <c r="D66" i="89"/>
  <c r="E65" i="89"/>
  <c r="C37" i="89"/>
  <c r="E37" i="89" s="1"/>
  <c r="E38" i="89" s="1"/>
  <c r="E35" i="89"/>
  <c r="E20" i="89"/>
  <c r="D21" i="89"/>
  <c r="E19" i="89"/>
  <c r="C21" i="89"/>
  <c r="E89" i="89" l="1"/>
  <c r="E90" i="89"/>
  <c r="E24" i="89"/>
  <c r="E67" i="89"/>
  <c r="E91" i="89"/>
  <c r="E60" i="89"/>
  <c r="E69" i="89"/>
  <c r="E21" i="89"/>
  <c r="E22" i="89" s="1"/>
  <c r="E61" i="89"/>
  <c r="E23" i="89"/>
  <c r="E68" i="89"/>
  <c r="K16" i="84" l="1"/>
  <c r="K15" i="84"/>
  <c r="E23" i="84" l="1"/>
  <c r="E22" i="84"/>
  <c r="G5" i="77"/>
  <c r="G4" i="77"/>
  <c r="F15" i="77" l="1"/>
  <c r="H23" i="84" l="1"/>
  <c r="H22" i="84"/>
  <c r="D6" i="77" l="1"/>
  <c r="H17" i="84" l="1"/>
  <c r="H9" i="84" l="1"/>
  <c r="H19" i="84" s="1"/>
  <c r="Y66" i="87" l="1"/>
  <c r="X66" i="87"/>
  <c r="W66" i="87"/>
  <c r="V66" i="87"/>
  <c r="U66" i="87"/>
  <c r="T66" i="87"/>
  <c r="S66" i="87"/>
  <c r="R66" i="87"/>
  <c r="Q66" i="87"/>
  <c r="P66" i="87"/>
  <c r="O66" i="87"/>
  <c r="N66" i="87"/>
  <c r="M66" i="87"/>
  <c r="L66" i="87"/>
  <c r="K66" i="87"/>
  <c r="J66" i="87"/>
  <c r="I66" i="87"/>
  <c r="H66" i="87"/>
  <c r="G66" i="87"/>
  <c r="F66" i="87"/>
  <c r="E66" i="87"/>
  <c r="Y65" i="87"/>
  <c r="X65" i="87"/>
  <c r="W65" i="87"/>
  <c r="W62" i="87" s="1"/>
  <c r="V65" i="87"/>
  <c r="U65" i="87"/>
  <c r="T65" i="87"/>
  <c r="S65" i="87"/>
  <c r="S62" i="87" s="1"/>
  <c r="R65" i="87"/>
  <c r="Q65" i="87"/>
  <c r="P65" i="87"/>
  <c r="O65" i="87"/>
  <c r="O62" i="87" s="1"/>
  <c r="N65" i="87"/>
  <c r="M65" i="87"/>
  <c r="L65" i="87"/>
  <c r="K65" i="87"/>
  <c r="K62" i="87" s="1"/>
  <c r="J65" i="87"/>
  <c r="I65" i="87"/>
  <c r="H65" i="87"/>
  <c r="G65" i="87"/>
  <c r="G62" i="87" s="1"/>
  <c r="F65" i="87"/>
  <c r="E65" i="87"/>
  <c r="Y62" i="87"/>
  <c r="X62" i="87"/>
  <c r="V62" i="87"/>
  <c r="U62" i="87"/>
  <c r="T62" i="87"/>
  <c r="R62" i="87"/>
  <c r="Q62" i="87"/>
  <c r="P62" i="87"/>
  <c r="N62" i="87"/>
  <c r="M62" i="87"/>
  <c r="L62" i="87"/>
  <c r="J62" i="87"/>
  <c r="I62" i="87"/>
  <c r="H62" i="87"/>
  <c r="F62" i="87"/>
  <c r="E62" i="87"/>
  <c r="B62" i="87"/>
  <c r="AT56" i="87"/>
  <c r="AT55" i="87"/>
  <c r="AT51" i="87"/>
  <c r="AT50" i="87"/>
  <c r="AT41" i="87"/>
  <c r="AT40" i="87"/>
  <c r="AT36" i="87"/>
  <c r="E31" i="87"/>
  <c r="A29" i="87"/>
  <c r="A32" i="87" s="1"/>
  <c r="A33" i="87" s="1"/>
  <c r="A34" i="87" s="1"/>
  <c r="A35"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F15" i="87"/>
  <c r="D13" i="87"/>
  <c r="F12" i="87"/>
  <c r="E12" i="87"/>
  <c r="D12" i="87"/>
  <c r="F11" i="87"/>
  <c r="F13" i="87" s="1"/>
  <c r="E11" i="87"/>
  <c r="D11" i="87"/>
  <c r="E47" i="69"/>
  <c r="Y66" i="85" l="1"/>
  <c r="X66" i="85"/>
  <c r="W66" i="85"/>
  <c r="V66" i="85"/>
  <c r="U66" i="85"/>
  <c r="T66" i="85"/>
  <c r="S66" i="85"/>
  <c r="R66" i="85"/>
  <c r="Q66" i="85"/>
  <c r="P66" i="85"/>
  <c r="O66" i="85"/>
  <c r="N66" i="85"/>
  <c r="M66" i="85"/>
  <c r="L66" i="85"/>
  <c r="K66" i="85"/>
  <c r="J66" i="85"/>
  <c r="I66" i="85"/>
  <c r="H66" i="85"/>
  <c r="G66" i="85"/>
  <c r="AP66" i="85" s="1"/>
  <c r="F66" i="85"/>
  <c r="E66" i="85"/>
  <c r="Y65" i="85"/>
  <c r="X65" i="85"/>
  <c r="W65" i="85"/>
  <c r="V65" i="85"/>
  <c r="U65" i="85"/>
  <c r="T65" i="85"/>
  <c r="S65" i="85"/>
  <c r="R65" i="85"/>
  <c r="Q65" i="85"/>
  <c r="P65" i="85"/>
  <c r="O65" i="85"/>
  <c r="N65" i="85"/>
  <c r="M65" i="85"/>
  <c r="L65" i="85"/>
  <c r="K65" i="85"/>
  <c r="J65" i="85"/>
  <c r="I65" i="85"/>
  <c r="H65" i="85"/>
  <c r="G65" i="85"/>
  <c r="F65" i="85"/>
  <c r="E65" i="85"/>
  <c r="Y62" i="85"/>
  <c r="X62" i="85"/>
  <c r="W62" i="85"/>
  <c r="V62" i="85"/>
  <c r="U62" i="85"/>
  <c r="T62" i="85"/>
  <c r="S62" i="85"/>
  <c r="R62" i="85"/>
  <c r="Q62" i="85"/>
  <c r="P62" i="85"/>
  <c r="O62" i="85"/>
  <c r="N62" i="85"/>
  <c r="M62" i="85"/>
  <c r="L62" i="85"/>
  <c r="K62" i="85"/>
  <c r="J62" i="85"/>
  <c r="I62" i="85"/>
  <c r="H62" i="85"/>
  <c r="G62" i="85"/>
  <c r="F62" i="85"/>
  <c r="E62" i="85"/>
  <c r="B62" i="85"/>
  <c r="AU56" i="85"/>
  <c r="AU55" i="85"/>
  <c r="AU51" i="85"/>
  <c r="AU50" i="85"/>
  <c r="AU41" i="85"/>
  <c r="AU40" i="85"/>
  <c r="AU36" i="85"/>
  <c r="E31" i="85"/>
  <c r="A29" i="85"/>
  <c r="A32" i="85" s="1"/>
  <c r="A33" i="85" s="1"/>
  <c r="A34" i="85" s="1"/>
  <c r="A35" i="85" s="1"/>
  <c r="A37" i="85" s="1"/>
  <c r="A38" i="85" s="1"/>
  <c r="A39" i="85" s="1"/>
  <c r="A40" i="85" s="1"/>
  <c r="A41" i="85" s="1"/>
  <c r="A42" i="85" s="1"/>
  <c r="A43" i="85" s="1"/>
  <c r="A44" i="85" s="1"/>
  <c r="A45" i="85" s="1"/>
  <c r="A46" i="85" s="1"/>
  <c r="A47" i="85" s="1"/>
  <c r="A48" i="85" s="1"/>
  <c r="A49" i="85" s="1"/>
  <c r="A50" i="85" s="1"/>
  <c r="A51" i="85" s="1"/>
  <c r="A52" i="85" s="1"/>
  <c r="A53" i="85" s="1"/>
  <c r="A54" i="85" s="1"/>
  <c r="A55" i="85" s="1"/>
  <c r="A56" i="85" s="1"/>
  <c r="A57" i="85" s="1"/>
  <c r="A58" i="85" s="1"/>
  <c r="A59" i="85" s="1"/>
  <c r="A60" i="85" s="1"/>
  <c r="A61" i="85" s="1"/>
  <c r="A62" i="85" s="1"/>
  <c r="A63" i="85" s="1"/>
  <c r="A64" i="85" s="1"/>
  <c r="A65" i="85" s="1"/>
  <c r="A66" i="85" s="1"/>
  <c r="F16" i="85"/>
  <c r="C10" i="84" s="1"/>
  <c r="J11" i="84" s="1"/>
  <c r="F15" i="85"/>
  <c r="D13" i="85"/>
  <c r="F12" i="85"/>
  <c r="E12" i="85"/>
  <c r="D12" i="85"/>
  <c r="F11" i="85"/>
  <c r="F13" i="85" s="1"/>
  <c r="E11" i="85"/>
  <c r="D11" i="85"/>
  <c r="AS57" i="85" l="1"/>
  <c r="D19" i="77" l="1"/>
  <c r="D21" i="77" s="1"/>
  <c r="F18" i="77" l="1"/>
  <c r="F8" i="84"/>
  <c r="J8" i="84" s="1"/>
  <c r="E17" i="84" l="1"/>
  <c r="E9" i="84"/>
  <c r="E19" i="84" l="1"/>
  <c r="F66" i="74"/>
  <c r="G65" i="74"/>
  <c r="Y62" i="74"/>
  <c r="X62" i="74"/>
  <c r="W62" i="74"/>
  <c r="V62" i="74"/>
  <c r="U62" i="74"/>
  <c r="T62" i="74"/>
  <c r="S62" i="74"/>
  <c r="R62" i="74"/>
  <c r="Q62" i="74"/>
  <c r="P62" i="74"/>
  <c r="O62" i="74"/>
  <c r="N62" i="74"/>
  <c r="M62" i="74"/>
  <c r="L62" i="74"/>
  <c r="K62" i="74"/>
  <c r="J62" i="74"/>
  <c r="I62" i="74"/>
  <c r="H62" i="74"/>
  <c r="G62" i="74"/>
  <c r="F62" i="74"/>
  <c r="G16" i="74" l="1"/>
  <c r="G15" i="74"/>
  <c r="G12" i="74"/>
  <c r="G11" i="74"/>
  <c r="G13" i="74"/>
  <c r="F16" i="76" l="1"/>
  <c r="F15" i="76"/>
  <c r="F12" i="76"/>
  <c r="F11" i="76"/>
  <c r="E12" i="76"/>
  <c r="E11" i="76"/>
  <c r="D12" i="76"/>
  <c r="D11" i="76"/>
  <c r="E6" i="77" l="1"/>
  <c r="E21" i="77" l="1"/>
  <c r="E31" i="76" l="1"/>
  <c r="F14" i="77" l="1"/>
  <c r="AP66" i="76" l="1"/>
  <c r="Y66" i="76"/>
  <c r="X66" i="76"/>
  <c r="W66" i="76"/>
  <c r="V66" i="76"/>
  <c r="U66" i="76"/>
  <c r="T66" i="76"/>
  <c r="S66" i="76"/>
  <c r="R66" i="76"/>
  <c r="Q66" i="76"/>
  <c r="P66" i="76"/>
  <c r="O66" i="76"/>
  <c r="N66" i="76"/>
  <c r="M66" i="76"/>
  <c r="L66" i="76"/>
  <c r="K66" i="76"/>
  <c r="J66" i="76"/>
  <c r="I66" i="76"/>
  <c r="H66" i="76"/>
  <c r="G66" i="76"/>
  <c r="F66" i="76"/>
  <c r="E66" i="76"/>
  <c r="Y65" i="76"/>
  <c r="X65" i="76"/>
  <c r="W65" i="76"/>
  <c r="V65" i="76"/>
  <c r="U65" i="76"/>
  <c r="T65" i="76"/>
  <c r="S65" i="76"/>
  <c r="R65" i="76"/>
  <c r="Q65" i="76"/>
  <c r="P65" i="76"/>
  <c r="O65" i="76"/>
  <c r="N65" i="76"/>
  <c r="M65" i="76"/>
  <c r="L65" i="76"/>
  <c r="K65" i="76"/>
  <c r="J65" i="76"/>
  <c r="I65" i="76"/>
  <c r="H65" i="76"/>
  <c r="G65" i="76"/>
  <c r="F65" i="76"/>
  <c r="E65" i="76"/>
  <c r="Y62" i="76"/>
  <c r="X62" i="76"/>
  <c r="W62" i="76"/>
  <c r="V62" i="76"/>
  <c r="U62" i="76"/>
  <c r="T62" i="76"/>
  <c r="S62" i="76"/>
  <c r="R62" i="76"/>
  <c r="Q62" i="76"/>
  <c r="P62" i="76"/>
  <c r="O62" i="76"/>
  <c r="N62" i="76"/>
  <c r="M62" i="76"/>
  <c r="L62" i="76"/>
  <c r="K62" i="76"/>
  <c r="J62" i="76"/>
  <c r="I62" i="76"/>
  <c r="H62" i="76"/>
  <c r="G62" i="76"/>
  <c r="F62" i="76"/>
  <c r="E62" i="76"/>
  <c r="B62" i="76"/>
  <c r="AU56" i="76"/>
  <c r="AU55" i="76"/>
  <c r="AU51" i="76"/>
  <c r="AU50" i="76"/>
  <c r="A45" i="76"/>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U41" i="76"/>
  <c r="A41" i="76"/>
  <c r="A42" i="76" s="1"/>
  <c r="A43" i="76" s="1"/>
  <c r="A44" i="76" s="1"/>
  <c r="AU40" i="76"/>
  <c r="AU36" i="76"/>
  <c r="A29" i="76"/>
  <c r="A32" i="76" s="1"/>
  <c r="A33" i="76" s="1"/>
  <c r="A34" i="76" s="1"/>
  <c r="A35" i="76" s="1"/>
  <c r="A37" i="76" s="1"/>
  <c r="A38" i="76" s="1"/>
  <c r="A39" i="76" s="1"/>
  <c r="A40" i="76" s="1"/>
  <c r="F13" i="76"/>
  <c r="D13" i="76"/>
  <c r="Y65" i="74" l="1"/>
  <c r="X65" i="74"/>
  <c r="W65" i="74"/>
  <c r="V65" i="74"/>
  <c r="U65" i="74"/>
  <c r="T65" i="74"/>
  <c r="S65" i="74"/>
  <c r="R65" i="74"/>
  <c r="Q65" i="74"/>
  <c r="P65" i="74"/>
  <c r="O65" i="74"/>
  <c r="N65" i="74"/>
  <c r="M65" i="74"/>
  <c r="L65" i="74"/>
  <c r="K65" i="74"/>
  <c r="J65" i="74"/>
  <c r="I65" i="74"/>
  <c r="H65" i="74"/>
  <c r="F65" i="74"/>
  <c r="E65" i="74"/>
  <c r="E62" i="74"/>
  <c r="B62" i="74"/>
  <c r="AU56" i="74"/>
  <c r="AU55" i="74"/>
  <c r="AU51" i="74"/>
  <c r="AU50" i="74"/>
  <c r="AU41" i="74"/>
  <c r="AU40" i="74"/>
  <c r="AU36" i="74"/>
  <c r="A29" i="74"/>
  <c r="A32" i="74" s="1"/>
  <c r="A33" i="74" s="1"/>
  <c r="A34" i="74" s="1"/>
  <c r="A35"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F16" i="74"/>
  <c r="F13" i="74"/>
  <c r="D13" i="74"/>
  <c r="AV27" i="74" l="1"/>
  <c r="AS58" i="74"/>
  <c r="AS57" i="74" l="1"/>
  <c r="AS59" i="74" s="1"/>
  <c r="AS60" i="74" s="1"/>
  <c r="F27" i="74" l="1"/>
  <c r="X27" i="74"/>
  <c r="AN27" i="74"/>
  <c r="AK27" i="74"/>
  <c r="AD27" i="74"/>
  <c r="M27" i="74"/>
  <c r="AH27" i="74"/>
  <c r="S27" i="74"/>
  <c r="AI27" i="74"/>
  <c r="P27" i="74"/>
  <c r="AF27" i="74"/>
  <c r="U27" i="74"/>
  <c r="R27" i="74"/>
  <c r="AP27" i="74"/>
  <c r="Y27" i="74"/>
  <c r="N27" i="74"/>
  <c r="K27" i="74"/>
  <c r="AA27" i="74"/>
  <c r="I27" i="74"/>
  <c r="O27" i="74"/>
  <c r="L27" i="74"/>
  <c r="AB27" i="74"/>
  <c r="AR27" i="74"/>
  <c r="AO27" i="74"/>
  <c r="AL27" i="74"/>
  <c r="Q27" i="74"/>
  <c r="J27" i="74"/>
  <c r="W27" i="74"/>
  <c r="AM27" i="74"/>
  <c r="AQ27" i="74"/>
  <c r="T27" i="74"/>
  <c r="AJ27" i="74"/>
  <c r="AC27" i="74"/>
  <c r="Z27" i="74"/>
  <c r="AG27" i="74"/>
  <c r="V27" i="74"/>
  <c r="AE27" i="74"/>
  <c r="E27" i="74"/>
  <c r="AS57" i="76"/>
  <c r="V7" i="73"/>
  <c r="U7" i="73"/>
  <c r="T7" i="73"/>
  <c r="S7" i="73"/>
  <c r="R7" i="73"/>
  <c r="Q7" i="73"/>
  <c r="P7" i="73"/>
  <c r="O7" i="73"/>
  <c r="N7" i="73"/>
  <c r="M7" i="73"/>
  <c r="L7" i="73"/>
  <c r="K7" i="73"/>
  <c r="J7" i="73"/>
  <c r="I7" i="73"/>
  <c r="H7" i="73"/>
  <c r="G7" i="73"/>
  <c r="F7" i="73"/>
  <c r="E7" i="73"/>
  <c r="D7" i="73"/>
  <c r="C7" i="73"/>
  <c r="B7" i="73"/>
  <c r="W7" i="73" s="1"/>
  <c r="V6" i="73"/>
  <c r="Y66" i="74" s="1"/>
  <c r="U6" i="73"/>
  <c r="X66" i="74" s="1"/>
  <c r="T6" i="73"/>
  <c r="W66" i="74" s="1"/>
  <c r="S6" i="73"/>
  <c r="V66" i="74" s="1"/>
  <c r="R6" i="73"/>
  <c r="U66" i="74" s="1"/>
  <c r="Q6" i="73"/>
  <c r="T66" i="74" s="1"/>
  <c r="P6" i="73"/>
  <c r="S66" i="74" s="1"/>
  <c r="O6" i="73"/>
  <c r="R66" i="74" s="1"/>
  <c r="N6" i="73"/>
  <c r="Q66" i="74" s="1"/>
  <c r="M6" i="73"/>
  <c r="P66" i="74" s="1"/>
  <c r="L6" i="73"/>
  <c r="O66" i="74" s="1"/>
  <c r="K6" i="73"/>
  <c r="N66" i="74" s="1"/>
  <c r="J6" i="73"/>
  <c r="M66" i="74" s="1"/>
  <c r="I6" i="73"/>
  <c r="L66" i="74" s="1"/>
  <c r="H6" i="73"/>
  <c r="K66" i="74" s="1"/>
  <c r="G6" i="73"/>
  <c r="J66" i="74" s="1"/>
  <c r="F6" i="73"/>
  <c r="I66" i="74" s="1"/>
  <c r="E6" i="73"/>
  <c r="H66" i="74" s="1"/>
  <c r="D6" i="73"/>
  <c r="G66" i="74" s="1"/>
  <c r="C6" i="73"/>
  <c r="B6" i="73"/>
  <c r="E66" i="74" s="1"/>
  <c r="W5" i="73"/>
  <c r="A14" i="69"/>
  <c r="A17" i="69" s="1"/>
  <c r="A18" i="69" s="1"/>
  <c r="A19" i="69" s="1"/>
  <c r="A20"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F47" i="69"/>
  <c r="AP66" i="74" l="1"/>
  <c r="W6" i="73"/>
  <c r="AM58" i="74" l="1"/>
  <c r="W58" i="74"/>
  <c r="G58" i="74"/>
  <c r="AD58" i="74"/>
  <c r="N58" i="74"/>
  <c r="AO58" i="74"/>
  <c r="Y58" i="74"/>
  <c r="I58" i="74"/>
  <c r="AR58" i="74"/>
  <c r="X58" i="74"/>
  <c r="H58" i="74"/>
  <c r="V58" i="74"/>
  <c r="Q58" i="74"/>
  <c r="AA58" i="74"/>
  <c r="AH58" i="74"/>
  <c r="AT58" i="74"/>
  <c r="M58" i="74"/>
  <c r="AJ58" i="74"/>
  <c r="AI58" i="74"/>
  <c r="S58" i="74"/>
  <c r="AP58" i="74"/>
  <c r="Z58" i="74"/>
  <c r="J58" i="74"/>
  <c r="AK58" i="74"/>
  <c r="U58" i="74"/>
  <c r="E58" i="74"/>
  <c r="AB58" i="74"/>
  <c r="T58" i="74"/>
  <c r="AE58" i="74"/>
  <c r="O58" i="74"/>
  <c r="AL58" i="74"/>
  <c r="F58" i="74"/>
  <c r="AG58" i="74"/>
  <c r="AF58" i="74"/>
  <c r="L58" i="74"/>
  <c r="AQ58" i="74"/>
  <c r="K58" i="74"/>
  <c r="R58" i="74"/>
  <c r="AC58" i="74"/>
  <c r="P58" i="74"/>
  <c r="AN58" i="74"/>
  <c r="AU58" i="74" l="1"/>
  <c r="AA57" i="74" l="1"/>
  <c r="AA59" i="74" s="1"/>
  <c r="AA60" i="74" s="1"/>
  <c r="I57" i="74"/>
  <c r="I59" i="74" s="1"/>
  <c r="I60" i="74" s="1"/>
  <c r="U57" i="74"/>
  <c r="U59" i="74" s="1"/>
  <c r="U60" i="74" s="1"/>
  <c r="AL57" i="74"/>
  <c r="AL59" i="74" s="1"/>
  <c r="AL60" i="74" s="1"/>
  <c r="V57" i="74"/>
  <c r="V59" i="74" s="1"/>
  <c r="V60" i="74" s="1"/>
  <c r="AI57" i="74"/>
  <c r="AI59" i="74" s="1"/>
  <c r="AI60" i="74" s="1"/>
  <c r="AH57" i="74"/>
  <c r="AH59" i="74" s="1"/>
  <c r="AH60" i="74" s="1"/>
  <c r="AN57" i="74"/>
  <c r="AN59" i="74" s="1"/>
  <c r="AN60" i="74" s="1"/>
  <c r="AM57" i="74"/>
  <c r="AM59" i="74" s="1"/>
  <c r="AM60" i="74" s="1"/>
  <c r="AJ57" i="74"/>
  <c r="AJ59" i="74" s="1"/>
  <c r="AJ60" i="74" s="1"/>
  <c r="AQ57" i="74"/>
  <c r="AQ59" i="74" s="1"/>
  <c r="AQ60" i="74" s="1"/>
  <c r="X57" i="74"/>
  <c r="X59" i="74" s="1"/>
  <c r="X60" i="74" s="1"/>
  <c r="W57" i="74"/>
  <c r="W59" i="74" s="1"/>
  <c r="W60" i="74" s="1"/>
  <c r="AB57" i="74"/>
  <c r="AB59" i="74" s="1"/>
  <c r="AB60" i="74" s="1"/>
  <c r="Z57" i="74"/>
  <c r="Z59" i="74" s="1"/>
  <c r="Z60" i="74" s="1"/>
  <c r="AP57" i="74"/>
  <c r="AP59" i="74" s="1"/>
  <c r="AP60" i="74" s="1"/>
  <c r="M57" i="74"/>
  <c r="M59" i="74" s="1"/>
  <c r="M60" i="74" s="1"/>
  <c r="AF57" i="74"/>
  <c r="AF59" i="74" s="1"/>
  <c r="AF60" i="74" s="1"/>
  <c r="Y57" i="74"/>
  <c r="Y59" i="74" s="1"/>
  <c r="Y60" i="74" s="1"/>
  <c r="R57" i="74"/>
  <c r="R59" i="74" s="1"/>
  <c r="R60" i="74" s="1"/>
  <c r="AO57" i="74"/>
  <c r="AO59" i="74" s="1"/>
  <c r="AO60" i="74" s="1"/>
  <c r="L57" i="74"/>
  <c r="L59" i="74" s="1"/>
  <c r="L60" i="74" s="1"/>
  <c r="S57" i="74"/>
  <c r="S59" i="74" s="1"/>
  <c r="S60" i="74" s="1"/>
  <c r="AG57" i="74"/>
  <c r="AG59" i="74" s="1"/>
  <c r="AG60" i="74" s="1"/>
  <c r="F57" i="74" l="1"/>
  <c r="F59" i="74" s="1"/>
  <c r="F60" i="74" s="1"/>
  <c r="J57" i="74"/>
  <c r="J59" i="74" s="1"/>
  <c r="J60" i="74" s="1"/>
  <c r="AK57" i="74"/>
  <c r="AK59" i="74" s="1"/>
  <c r="AK60" i="74" s="1"/>
  <c r="AD57" i="74"/>
  <c r="AD59" i="74" s="1"/>
  <c r="AD60" i="74" s="1"/>
  <c r="H57" i="74"/>
  <c r="H59" i="74" s="1"/>
  <c r="H60" i="74" s="1"/>
  <c r="AT57" i="74"/>
  <c r="AT59" i="74" s="1"/>
  <c r="AT60" i="74" s="1"/>
  <c r="P57" i="74"/>
  <c r="P59" i="74" s="1"/>
  <c r="P60" i="74" s="1"/>
  <c r="AC57" i="74"/>
  <c r="AC59" i="74" s="1"/>
  <c r="AC60" i="74" s="1"/>
  <c r="AR57" i="74"/>
  <c r="AR59" i="74" s="1"/>
  <c r="AR60" i="74" s="1"/>
  <c r="O57" i="74"/>
  <c r="O59" i="74" s="1"/>
  <c r="O60" i="74" s="1"/>
  <c r="N57" i="74"/>
  <c r="N59" i="74" s="1"/>
  <c r="N60" i="74" s="1"/>
  <c r="G57" i="74"/>
  <c r="G59" i="74" s="1"/>
  <c r="G60" i="74" s="1"/>
  <c r="K57" i="74"/>
  <c r="K59" i="74" s="1"/>
  <c r="K60" i="74" s="1"/>
  <c r="T57" i="74"/>
  <c r="T59" i="74" s="1"/>
  <c r="T60" i="74" s="1"/>
  <c r="AE57" i="74"/>
  <c r="AE59" i="74" s="1"/>
  <c r="AE60" i="74" s="1"/>
  <c r="Q57" i="74"/>
  <c r="Q59" i="74" s="1"/>
  <c r="Q60" i="74" s="1"/>
  <c r="E47" i="74" l="1"/>
  <c r="E57" i="74"/>
  <c r="AU57" i="74" l="1"/>
  <c r="E59" i="74"/>
  <c r="E60" i="74" s="1"/>
  <c r="AU59" i="74" l="1"/>
  <c r="AS49" i="74" l="1"/>
  <c r="AU60" i="74"/>
  <c r="E48" i="74"/>
  <c r="N49" i="74"/>
  <c r="AD49" i="74"/>
  <c r="W49" i="74"/>
  <c r="S49" i="74"/>
  <c r="V49" i="74"/>
  <c r="R49" i="74"/>
  <c r="K49" i="74"/>
  <c r="AT49" i="74"/>
  <c r="T49" i="74"/>
  <c r="AC49" i="74"/>
  <c r="P49" i="74"/>
  <c r="J49" i="74"/>
  <c r="I49" i="74"/>
  <c r="Y49" i="74"/>
  <c r="AF49" i="74"/>
  <c r="AE49" i="74"/>
  <c r="AA49" i="74"/>
  <c r="AP49" i="74"/>
  <c r="Q49" i="74"/>
  <c r="AR49" i="74"/>
  <c r="AB49" i="74"/>
  <c r="AJ49" i="74"/>
  <c r="AG49" i="74"/>
  <c r="O49" i="74"/>
  <c r="U49" i="74"/>
  <c r="AN49" i="74"/>
  <c r="Z49" i="74"/>
  <c r="M49" i="74"/>
  <c r="AH49" i="74"/>
  <c r="L49" i="74"/>
  <c r="E49" i="74"/>
  <c r="AQ49" i="74"/>
  <c r="AK49" i="74"/>
  <c r="AI49" i="74"/>
  <c r="AL49" i="74"/>
  <c r="AO49" i="74"/>
  <c r="H49" i="74"/>
  <c r="X49" i="74"/>
  <c r="G49" i="74"/>
  <c r="G33" i="74" s="1"/>
  <c r="AM49" i="74"/>
  <c r="F49" i="74"/>
  <c r="F32" i="74" l="1"/>
  <c r="F33" i="74"/>
  <c r="AO34" i="74"/>
  <c r="AO52" i="74" s="1"/>
  <c r="AO53" i="74" s="1"/>
  <c r="AO33" i="74"/>
  <c r="AR34" i="74"/>
  <c r="AR52" i="74" s="1"/>
  <c r="AR53" i="74" s="1"/>
  <c r="AR33" i="74"/>
  <c r="J34" i="74"/>
  <c r="J52" i="74" s="1"/>
  <c r="J53" i="74" s="1"/>
  <c r="J33" i="74"/>
  <c r="S34" i="74"/>
  <c r="S52" i="74" s="1"/>
  <c r="S53" i="74" s="1"/>
  <c r="S33" i="74"/>
  <c r="G34" i="74"/>
  <c r="G52" i="74" s="1"/>
  <c r="G53" i="74" s="1"/>
  <c r="AL34" i="74"/>
  <c r="AL52" i="74" s="1"/>
  <c r="AL53" i="74" s="1"/>
  <c r="AL33" i="74"/>
  <c r="Z34" i="74"/>
  <c r="Z52" i="74" s="1"/>
  <c r="Z53" i="74" s="1"/>
  <c r="Z33" i="74"/>
  <c r="AG34" i="74"/>
  <c r="AG52" i="74" s="1"/>
  <c r="AG53" i="74" s="1"/>
  <c r="AG33" i="74"/>
  <c r="Q34" i="74"/>
  <c r="Q52" i="74" s="1"/>
  <c r="Q53" i="74" s="1"/>
  <c r="Q33" i="74"/>
  <c r="AF34" i="74"/>
  <c r="AF52" i="74" s="1"/>
  <c r="AF53" i="74" s="1"/>
  <c r="AF33" i="74"/>
  <c r="P34" i="74"/>
  <c r="P52" i="74" s="1"/>
  <c r="P53" i="74" s="1"/>
  <c r="P33" i="74"/>
  <c r="K34" i="74"/>
  <c r="K52" i="74" s="1"/>
  <c r="K53" i="74" s="1"/>
  <c r="K33" i="74"/>
  <c r="W34" i="74"/>
  <c r="W52" i="74" s="1"/>
  <c r="W53" i="74" s="1"/>
  <c r="W33" i="74"/>
  <c r="AM34" i="74"/>
  <c r="AM52" i="74" s="1"/>
  <c r="AM53" i="74" s="1"/>
  <c r="AM33" i="74"/>
  <c r="M34" i="74"/>
  <c r="M52" i="74" s="1"/>
  <c r="M53" i="74" s="1"/>
  <c r="M33" i="74"/>
  <c r="AT34" i="74"/>
  <c r="AT52" i="74" s="1"/>
  <c r="AT53" i="74" s="1"/>
  <c r="AT33" i="74"/>
  <c r="X34" i="74"/>
  <c r="X52" i="74" s="1"/>
  <c r="X53" i="74" s="1"/>
  <c r="X33" i="74"/>
  <c r="AI34" i="74"/>
  <c r="AI52" i="74" s="1"/>
  <c r="AI53" i="74" s="1"/>
  <c r="AI33" i="74"/>
  <c r="L34" i="74"/>
  <c r="L52" i="74" s="1"/>
  <c r="L53" i="74" s="1"/>
  <c r="L33" i="74"/>
  <c r="AN34" i="74"/>
  <c r="AN52" i="74" s="1"/>
  <c r="AN53" i="74" s="1"/>
  <c r="AN33" i="74"/>
  <c r="AJ34" i="74"/>
  <c r="AJ52" i="74" s="1"/>
  <c r="AJ53" i="74" s="1"/>
  <c r="AJ33" i="74"/>
  <c r="AP34" i="74"/>
  <c r="AP52" i="74" s="1"/>
  <c r="AP53" i="74" s="1"/>
  <c r="AP33" i="74"/>
  <c r="Y34" i="74"/>
  <c r="Y52" i="74" s="1"/>
  <c r="Y53" i="74" s="1"/>
  <c r="Y33" i="74"/>
  <c r="AC34" i="74"/>
  <c r="AC52" i="74" s="1"/>
  <c r="AC53" i="74" s="1"/>
  <c r="AC33" i="74"/>
  <c r="R34" i="74"/>
  <c r="R52" i="74" s="1"/>
  <c r="R53" i="74" s="1"/>
  <c r="R33" i="74"/>
  <c r="AD34" i="74"/>
  <c r="AD52" i="74" s="1"/>
  <c r="AD53" i="74" s="1"/>
  <c r="AD33" i="74"/>
  <c r="AQ34" i="74"/>
  <c r="AQ52" i="74" s="1"/>
  <c r="AQ53" i="74" s="1"/>
  <c r="AQ33" i="74"/>
  <c r="O34" i="74"/>
  <c r="O52" i="74" s="1"/>
  <c r="O53" i="74" s="1"/>
  <c r="O33" i="74"/>
  <c r="AE34" i="74"/>
  <c r="AE52" i="74" s="1"/>
  <c r="AE53" i="74" s="1"/>
  <c r="AE33" i="74"/>
  <c r="F34" i="74"/>
  <c r="F52" i="74" s="1"/>
  <c r="F53" i="74" s="1"/>
  <c r="AK34" i="74"/>
  <c r="AK52" i="74" s="1"/>
  <c r="AK53" i="74" s="1"/>
  <c r="AK33" i="74"/>
  <c r="AH34" i="74"/>
  <c r="AH52" i="74" s="1"/>
  <c r="AH53" i="74" s="1"/>
  <c r="AH33" i="74"/>
  <c r="U34" i="74"/>
  <c r="U52" i="74" s="1"/>
  <c r="U53" i="74" s="1"/>
  <c r="U33" i="74"/>
  <c r="AB34" i="74"/>
  <c r="AB52" i="74" s="1"/>
  <c r="AB53" i="74" s="1"/>
  <c r="AB33" i="74"/>
  <c r="AA34" i="74"/>
  <c r="AA52" i="74" s="1"/>
  <c r="AA53" i="74" s="1"/>
  <c r="AA33" i="74"/>
  <c r="I34" i="74"/>
  <c r="I52" i="74" s="1"/>
  <c r="I53" i="74" s="1"/>
  <c r="I33" i="74"/>
  <c r="T34" i="74"/>
  <c r="T52" i="74" s="1"/>
  <c r="T53" i="74" s="1"/>
  <c r="T33" i="74"/>
  <c r="V34" i="74"/>
  <c r="V52" i="74" s="1"/>
  <c r="V53" i="74" s="1"/>
  <c r="V33" i="74"/>
  <c r="N34" i="74"/>
  <c r="N52" i="74" s="1"/>
  <c r="N53" i="74" s="1"/>
  <c r="N33" i="74"/>
  <c r="AS32" i="74"/>
  <c r="AS34" i="74"/>
  <c r="AS52" i="74" s="1"/>
  <c r="AS53" i="74" s="1"/>
  <c r="AS29" i="74" s="1"/>
  <c r="AS33" i="74"/>
  <c r="AK32" i="74"/>
  <c r="U32" i="74"/>
  <c r="AA32" i="74"/>
  <c r="T32" i="74"/>
  <c r="N32" i="74"/>
  <c r="AO32" i="74"/>
  <c r="M32" i="74"/>
  <c r="AR32" i="74"/>
  <c r="AT32" i="74"/>
  <c r="G32" i="74"/>
  <c r="X32" i="74"/>
  <c r="AI32" i="74"/>
  <c r="L32" i="74"/>
  <c r="AN32" i="74"/>
  <c r="AJ32" i="74"/>
  <c r="AP32" i="74"/>
  <c r="Y32" i="74"/>
  <c r="AC32" i="74"/>
  <c r="R32" i="74"/>
  <c r="AD32" i="74"/>
  <c r="AH32" i="74"/>
  <c r="AB32" i="74"/>
  <c r="V32" i="74"/>
  <c r="AM32" i="74"/>
  <c r="AQ32" i="74"/>
  <c r="O32" i="74"/>
  <c r="AE32" i="74"/>
  <c r="J32" i="74"/>
  <c r="S32" i="74"/>
  <c r="AL32" i="74"/>
  <c r="E32" i="74"/>
  <c r="AU49" i="74"/>
  <c r="Z32" i="74"/>
  <c r="AG32" i="74"/>
  <c r="Q32" i="74"/>
  <c r="AF32" i="74"/>
  <c r="P32" i="74"/>
  <c r="K32" i="74"/>
  <c r="W32" i="74"/>
  <c r="AS35" i="74" l="1"/>
  <c r="AS37" i="74" s="1"/>
  <c r="AS54" i="74"/>
  <c r="I35" i="74"/>
  <c r="N35" i="74"/>
  <c r="W35" i="74"/>
  <c r="P35" i="74"/>
  <c r="AB35" i="74"/>
  <c r="H35" i="74"/>
  <c r="H37" i="74" s="1"/>
  <c r="AI35" i="74"/>
  <c r="G35" i="74"/>
  <c r="T35" i="74"/>
  <c r="Z29" i="74"/>
  <c r="AU32" i="74"/>
  <c r="E35" i="74"/>
  <c r="AH29" i="74"/>
  <c r="AC29" i="74"/>
  <c r="AR29" i="74"/>
  <c r="M29" i="74"/>
  <c r="AO29" i="74"/>
  <c r="U29" i="74"/>
  <c r="K35" i="74"/>
  <c r="Q29" i="74"/>
  <c r="AU33" i="74"/>
  <c r="AQ35" i="74"/>
  <c r="AD29" i="74"/>
  <c r="AJ35" i="74"/>
  <c r="X29" i="74"/>
  <c r="T29" i="74"/>
  <c r="AA35" i="74"/>
  <c r="P29" i="74"/>
  <c r="Q35" i="74"/>
  <c r="E52" i="74"/>
  <c r="AU34" i="74"/>
  <c r="S35" i="74"/>
  <c r="O29" i="74"/>
  <c r="AQ29" i="74"/>
  <c r="V35" i="74"/>
  <c r="AB29" i="74"/>
  <c r="F35" i="74"/>
  <c r="AD35" i="74"/>
  <c r="Y29" i="74"/>
  <c r="AP29" i="74"/>
  <c r="L35" i="74"/>
  <c r="AT29" i="74"/>
  <c r="AO35" i="74"/>
  <c r="N29" i="74"/>
  <c r="AG29" i="74"/>
  <c r="S29" i="74"/>
  <c r="AE29" i="74"/>
  <c r="V29" i="74"/>
  <c r="R29" i="74"/>
  <c r="AN29" i="74"/>
  <c r="AA29" i="74"/>
  <c r="W29" i="74"/>
  <c r="AF29" i="74"/>
  <c r="AL29" i="74"/>
  <c r="J35" i="74"/>
  <c r="AM29" i="74"/>
  <c r="R35" i="74"/>
  <c r="AP35" i="74"/>
  <c r="AI29" i="74"/>
  <c r="AR35" i="74"/>
  <c r="AK29" i="74"/>
  <c r="K29" i="74"/>
  <c r="AF35" i="74"/>
  <c r="AG35" i="74"/>
  <c r="Z35" i="74"/>
  <c r="AL35" i="74"/>
  <c r="J29" i="74"/>
  <c r="AE35" i="74"/>
  <c r="O35" i="74"/>
  <c r="AM35" i="74"/>
  <c r="I29" i="74"/>
  <c r="AH35" i="74"/>
  <c r="F29" i="74"/>
  <c r="AC35" i="74"/>
  <c r="Y35" i="74"/>
  <c r="AJ29" i="74"/>
  <c r="AN35" i="74"/>
  <c r="L29" i="74"/>
  <c r="X35" i="74"/>
  <c r="G29" i="74"/>
  <c r="AT35" i="74"/>
  <c r="M35" i="74"/>
  <c r="U35" i="74"/>
  <c r="AK35" i="74"/>
  <c r="AS38" i="74" l="1"/>
  <c r="AS39" i="74" s="1"/>
  <c r="AS42" i="74" s="1"/>
  <c r="AS45" i="74" s="1"/>
  <c r="I37" i="74"/>
  <c r="K37" i="74"/>
  <c r="AN54" i="74"/>
  <c r="AE37" i="74"/>
  <c r="P37" i="74"/>
  <c r="AO54" i="74"/>
  <c r="L37" i="74"/>
  <c r="AQ54" i="74"/>
  <c r="AD54" i="74"/>
  <c r="AL54" i="74"/>
  <c r="N54" i="74"/>
  <c r="AI37" i="74"/>
  <c r="W37" i="74"/>
  <c r="R37" i="74"/>
  <c r="U54" i="74"/>
  <c r="AT54" i="74"/>
  <c r="K54" i="74"/>
  <c r="W54" i="74"/>
  <c r="S54" i="74"/>
  <c r="N37" i="74"/>
  <c r="T37" i="74"/>
  <c r="AC37" i="74"/>
  <c r="AJ54" i="74"/>
  <c r="J54" i="74"/>
  <c r="AA37" i="74"/>
  <c r="V54" i="74"/>
  <c r="AB37" i="74"/>
  <c r="X54" i="74"/>
  <c r="AH54" i="74"/>
  <c r="Z54" i="74"/>
  <c r="O37" i="74"/>
  <c r="G37" i="74"/>
  <c r="G38" i="74" s="1"/>
  <c r="J37" i="74"/>
  <c r="AM37" i="74"/>
  <c r="AF54" i="74"/>
  <c r="AA54" i="74"/>
  <c r="R54" i="74"/>
  <c r="AE54" i="74"/>
  <c r="AG54" i="74"/>
  <c r="AP54" i="74"/>
  <c r="AQ37" i="74"/>
  <c r="T54" i="74"/>
  <c r="AR54" i="74"/>
  <c r="M37" i="74"/>
  <c r="AK37" i="74"/>
  <c r="G54" i="74"/>
  <c r="H54" i="74"/>
  <c r="AF37" i="74"/>
  <c r="AG37" i="74"/>
  <c r="AP37" i="74"/>
  <c r="Q37" i="74"/>
  <c r="U37" i="74"/>
  <c r="M54" i="74"/>
  <c r="AC54" i="74"/>
  <c r="AJ37" i="74"/>
  <c r="F54" i="74"/>
  <c r="AT37" i="74"/>
  <c r="Y37" i="74"/>
  <c r="P54" i="74"/>
  <c r="AD37" i="74"/>
  <c r="Q54" i="74"/>
  <c r="I39" i="74"/>
  <c r="I42" i="74" s="1"/>
  <c r="I45" i="74" s="1"/>
  <c r="AU35" i="74"/>
  <c r="AK54" i="74"/>
  <c r="L54" i="74"/>
  <c r="F37" i="74"/>
  <c r="I54" i="74"/>
  <c r="AI54" i="74"/>
  <c r="AM54" i="74"/>
  <c r="AL37" i="74"/>
  <c r="AN37" i="74"/>
  <c r="V37" i="74"/>
  <c r="S37" i="74"/>
  <c r="Y54" i="74"/>
  <c r="AB54" i="74"/>
  <c r="O54" i="74"/>
  <c r="E53" i="74"/>
  <c r="AU52" i="74"/>
  <c r="X37" i="74"/>
  <c r="AO37" i="74"/>
  <c r="AR37" i="74"/>
  <c r="AH37" i="74"/>
  <c r="Z37" i="74"/>
  <c r="F17" i="69"/>
  <c r="F38" i="74" l="1"/>
  <c r="F39" i="74"/>
  <c r="F42" i="74" s="1"/>
  <c r="S39" i="74"/>
  <c r="S42" i="74" s="1"/>
  <c r="S45" i="74" s="1"/>
  <c r="AT38" i="74"/>
  <c r="AT39" i="74" s="1"/>
  <c r="AT42" i="74" s="1"/>
  <c r="AT45" i="74" s="1"/>
  <c r="AG39" i="74"/>
  <c r="AG42" i="74" s="1"/>
  <c r="AG45" i="74" s="1"/>
  <c r="J39" i="74"/>
  <c r="J42" i="74" s="1"/>
  <c r="J45" i="74" s="1"/>
  <c r="AA39" i="74"/>
  <c r="AA42" i="74" s="1"/>
  <c r="AA45" i="74" s="1"/>
  <c r="T39" i="74"/>
  <c r="T42" i="74" s="1"/>
  <c r="T45" i="74" s="1"/>
  <c r="R39" i="74"/>
  <c r="R42" i="74" s="1"/>
  <c r="R45" i="74" s="1"/>
  <c r="K39" i="74"/>
  <c r="K42" i="74" s="1"/>
  <c r="K45" i="74" s="1"/>
  <c r="AO39" i="74"/>
  <c r="AO42" i="74" s="1"/>
  <c r="AO45" i="74" s="1"/>
  <c r="AD39" i="74"/>
  <c r="AD42" i="74" s="1"/>
  <c r="AD45" i="74" s="1"/>
  <c r="U39" i="74"/>
  <c r="U42" i="74" s="1"/>
  <c r="U45" i="74" s="1"/>
  <c r="AF39" i="74"/>
  <c r="AF42" i="74" s="1"/>
  <c r="AF45" i="74" s="1"/>
  <c r="M39" i="74"/>
  <c r="M42" i="74" s="1"/>
  <c r="M45" i="74" s="1"/>
  <c r="G39" i="74"/>
  <c r="G42" i="74" s="1"/>
  <c r="H39" i="74"/>
  <c r="H42" i="74" s="1"/>
  <c r="W39" i="74"/>
  <c r="W42" i="74" s="1"/>
  <c r="W45" i="74" s="1"/>
  <c r="P39" i="74"/>
  <c r="P42" i="74" s="1"/>
  <c r="P45" i="74" s="1"/>
  <c r="X39" i="74"/>
  <c r="X42" i="74" s="1"/>
  <c r="X45" i="74" s="1"/>
  <c r="AN39" i="74"/>
  <c r="AN42" i="74" s="1"/>
  <c r="AN45" i="74" s="1"/>
  <c r="AJ39" i="74"/>
  <c r="AJ42" i="74" s="1"/>
  <c r="AJ45" i="74" s="1"/>
  <c r="Q39" i="74"/>
  <c r="Q42" i="74" s="1"/>
  <c r="Q45" i="74" s="1"/>
  <c r="O39" i="74"/>
  <c r="O42" i="74" s="1"/>
  <c r="O45" i="74" s="1"/>
  <c r="AB39" i="74"/>
  <c r="AB42" i="74" s="1"/>
  <c r="AB45" i="74" s="1"/>
  <c r="N39" i="74"/>
  <c r="N42" i="74" s="1"/>
  <c r="N45" i="74" s="1"/>
  <c r="AI39" i="74"/>
  <c r="AI42" i="74" s="1"/>
  <c r="AI45" i="74" s="1"/>
  <c r="AE39" i="74"/>
  <c r="AE42" i="74" s="1"/>
  <c r="AE45" i="74" s="1"/>
  <c r="Y39" i="74"/>
  <c r="Y42" i="74" s="1"/>
  <c r="Y45" i="74" s="1"/>
  <c r="AM39" i="74"/>
  <c r="AM42" i="74" s="1"/>
  <c r="AM45" i="74" s="1"/>
  <c r="AC39" i="74"/>
  <c r="AC42" i="74" s="1"/>
  <c r="AC45" i="74" s="1"/>
  <c r="L39" i="74"/>
  <c r="L42" i="74" s="1"/>
  <c r="L45" i="74" s="1"/>
  <c r="AQ39" i="74"/>
  <c r="AQ42" i="74" s="1"/>
  <c r="AQ45" i="74" s="1"/>
  <c r="AU53" i="74"/>
  <c r="E29" i="74"/>
  <c r="E54" i="74"/>
  <c r="AU54" i="74" s="1"/>
  <c r="AH39" i="74"/>
  <c r="AH42" i="74" s="1"/>
  <c r="AH45" i="74" s="1"/>
  <c r="AP39" i="74"/>
  <c r="AP42" i="74" s="1"/>
  <c r="AP45" i="74" s="1"/>
  <c r="AR39" i="74"/>
  <c r="AR42" i="74" s="1"/>
  <c r="AR45" i="74" s="1"/>
  <c r="Z39" i="74"/>
  <c r="Z42" i="74" s="1"/>
  <c r="Z45" i="74" s="1"/>
  <c r="V39" i="74"/>
  <c r="V42" i="74" s="1"/>
  <c r="V45" i="74" s="1"/>
  <c r="AL39" i="74"/>
  <c r="AL42" i="74" s="1"/>
  <c r="AL45" i="74" s="1"/>
  <c r="AK39" i="74"/>
  <c r="AK42" i="74" s="1"/>
  <c r="AK45" i="74" s="1"/>
  <c r="H45" i="74" l="1"/>
  <c r="B10" i="67"/>
  <c r="G45" i="74"/>
  <c r="F45" i="74"/>
  <c r="AU29" i="74"/>
  <c r="E37" i="74"/>
  <c r="E38" i="74" l="1"/>
  <c r="AU37" i="74"/>
  <c r="AU38" i="74" l="1"/>
  <c r="E39" i="74"/>
  <c r="AU39" i="74" s="1"/>
  <c r="E42" i="74" l="1"/>
  <c r="E45" i="74" l="1"/>
  <c r="AU42" i="74"/>
  <c r="F16" i="77" l="1"/>
  <c r="F6" i="84"/>
  <c r="I23" i="84"/>
  <c r="D9" i="84"/>
  <c r="I22" i="84" l="1"/>
  <c r="I24" i="84" s="1"/>
  <c r="I26" i="84" s="1"/>
  <c r="I17" i="84"/>
  <c r="J6" i="84"/>
  <c r="F7" i="84"/>
  <c r="F9" i="84" s="1"/>
  <c r="F16" i="84"/>
  <c r="F22" i="84"/>
  <c r="D17" i="84"/>
  <c r="F5" i="77" s="1"/>
  <c r="I9" i="84" l="1"/>
  <c r="I27" i="84"/>
  <c r="J16" i="84"/>
  <c r="F23" i="84"/>
  <c r="F24" i="84"/>
  <c r="J9" i="84"/>
  <c r="H5" i="77"/>
  <c r="F4" i="77"/>
  <c r="J7" i="84"/>
  <c r="D19" i="84"/>
  <c r="F17" i="84"/>
  <c r="F17" i="77"/>
  <c r="F19" i="77" s="1"/>
  <c r="F26" i="77" l="1"/>
  <c r="F25" i="84"/>
  <c r="F17" i="76" s="1"/>
  <c r="S58" i="76"/>
  <c r="H4" i="77"/>
  <c r="F21" i="77"/>
  <c r="J15" i="84"/>
  <c r="I25" i="84"/>
  <c r="F17" i="85" s="1"/>
  <c r="F6" i="77"/>
  <c r="L4" i="77" s="1"/>
  <c r="F19" i="84"/>
  <c r="G27" i="85" l="1"/>
  <c r="E27" i="85"/>
  <c r="E27" i="76"/>
  <c r="E47" i="76" s="1"/>
  <c r="F27" i="76"/>
  <c r="L5" i="77"/>
  <c r="AC58" i="76"/>
  <c r="G58" i="76"/>
  <c r="U58" i="76"/>
  <c r="K58" i="76"/>
  <c r="Y58" i="76"/>
  <c r="Q58" i="76"/>
  <c r="AR58" i="76"/>
  <c r="W58" i="76"/>
  <c r="AE58" i="76"/>
  <c r="AJ58" i="76"/>
  <c r="AL58" i="76"/>
  <c r="I58" i="76"/>
  <c r="AV27" i="76"/>
  <c r="E58" i="76"/>
  <c r="AB58" i="76"/>
  <c r="AP58" i="76"/>
  <c r="AN58" i="76"/>
  <c r="V58" i="76"/>
  <c r="N58" i="76"/>
  <c r="AF58" i="76"/>
  <c r="AD58" i="76"/>
  <c r="L58" i="76"/>
  <c r="Z58" i="76"/>
  <c r="X58" i="76"/>
  <c r="F58" i="76"/>
  <c r="T58" i="76"/>
  <c r="R58" i="76"/>
  <c r="P58" i="76"/>
  <c r="M58" i="76"/>
  <c r="O58" i="76"/>
  <c r="J58" i="76"/>
  <c r="H58" i="76"/>
  <c r="AG58" i="76"/>
  <c r="AQ58" i="76"/>
  <c r="AS58" i="76"/>
  <c r="AS59" i="76" s="1"/>
  <c r="AS60" i="76" s="1"/>
  <c r="AA58" i="76"/>
  <c r="AO58" i="76"/>
  <c r="AI58" i="76"/>
  <c r="AH58" i="76"/>
  <c r="AK58" i="76"/>
  <c r="AM58" i="76"/>
  <c r="F22" i="87"/>
  <c r="H6" i="77"/>
  <c r="G7" i="77" s="1"/>
  <c r="J17" i="84"/>
  <c r="I19" i="84"/>
  <c r="J19" i="84" s="1"/>
  <c r="M4" i="77" l="1"/>
  <c r="M5" i="77"/>
  <c r="L6" i="77"/>
  <c r="M6" i="77"/>
  <c r="F17" i="90"/>
  <c r="AU58" i="76"/>
  <c r="K58" i="87"/>
  <c r="N58" i="87"/>
  <c r="AJ58" i="87"/>
  <c r="AP58" i="87"/>
  <c r="U58" i="87"/>
  <c r="W58" i="87"/>
  <c r="AG58" i="87"/>
  <c r="AE58" i="87"/>
  <c r="AB58" i="87"/>
  <c r="AC58" i="87"/>
  <c r="AU27" i="87"/>
  <c r="AO58" i="87"/>
  <c r="T58" i="87"/>
  <c r="Z58" i="87"/>
  <c r="E58" i="87"/>
  <c r="AA58" i="87"/>
  <c r="AR58" i="87"/>
  <c r="M58" i="87"/>
  <c r="AL58" i="87"/>
  <c r="L58" i="87"/>
  <c r="AN58" i="87"/>
  <c r="Y58" i="87"/>
  <c r="AM58" i="87"/>
  <c r="J58" i="87"/>
  <c r="AF58" i="87"/>
  <c r="AQ58" i="87"/>
  <c r="G58" i="87"/>
  <c r="X58" i="87"/>
  <c r="F58" i="87"/>
  <c r="O58" i="87"/>
  <c r="H58" i="87"/>
  <c r="AD58" i="87"/>
  <c r="I58" i="87"/>
  <c r="S58" i="87"/>
  <c r="AK58" i="87"/>
  <c r="P58" i="87"/>
  <c r="V58" i="87"/>
  <c r="AH58" i="87"/>
  <c r="AI58" i="87"/>
  <c r="Q58" i="87"/>
  <c r="R58" i="87"/>
  <c r="E10" i="69"/>
  <c r="F10" i="69" s="1"/>
  <c r="AH58" i="85"/>
  <c r="K58" i="85"/>
  <c r="AQ58" i="85"/>
  <c r="AS58" i="85"/>
  <c r="AS59" i="85" s="1"/>
  <c r="AS60" i="85" s="1"/>
  <c r="AC58" i="85"/>
  <c r="AV27" i="85"/>
  <c r="O58" i="85"/>
  <c r="T58" i="85"/>
  <c r="N58" i="85"/>
  <c r="V58" i="85"/>
  <c r="AD58" i="85"/>
  <c r="AN58" i="85"/>
  <c r="AI58" i="85"/>
  <c r="X58" i="85"/>
  <c r="AR58" i="85"/>
  <c r="I58" i="85"/>
  <c r="Q58" i="85"/>
  <c r="AP58" i="85"/>
  <c r="AF58" i="85"/>
  <c r="AK58" i="85"/>
  <c r="AJ58" i="85"/>
  <c r="J58" i="85"/>
  <c r="Y58" i="85"/>
  <c r="S58" i="85"/>
  <c r="AG58" i="85"/>
  <c r="AB58" i="85"/>
  <c r="E58" i="85"/>
  <c r="AO58" i="85"/>
  <c r="G58" i="85"/>
  <c r="M58" i="85"/>
  <c r="Z58" i="85"/>
  <c r="AA58" i="85"/>
  <c r="P58" i="85"/>
  <c r="AM58" i="85"/>
  <c r="U58" i="85"/>
  <c r="AL58" i="85"/>
  <c r="W58" i="85"/>
  <c r="L58" i="85"/>
  <c r="H58" i="85"/>
  <c r="AE58" i="85"/>
  <c r="F58" i="85"/>
  <c r="R58" i="85"/>
  <c r="AP27" i="90" l="1"/>
  <c r="AA27" i="90"/>
  <c r="P27" i="90"/>
  <c r="K27" i="90"/>
  <c r="AF27" i="90"/>
  <c r="AQ27" i="90"/>
  <c r="AG27" i="90"/>
  <c r="H27" i="90"/>
  <c r="T27" i="90"/>
  <c r="AL27" i="90"/>
  <c r="AJ27" i="90"/>
  <c r="AM27" i="90"/>
  <c r="M27" i="90"/>
  <c r="AC27" i="90"/>
  <c r="Y27" i="90"/>
  <c r="AR27" i="90"/>
  <c r="G27" i="90"/>
  <c r="E27" i="90"/>
  <c r="AH27" i="90"/>
  <c r="V27" i="90"/>
  <c r="AD27" i="90"/>
  <c r="AN27" i="90"/>
  <c r="X27" i="90"/>
  <c r="AB27" i="90"/>
  <c r="AO27" i="90"/>
  <c r="F27" i="90"/>
  <c r="O27" i="90"/>
  <c r="I27" i="90"/>
  <c r="J27" i="90"/>
  <c r="L27" i="90"/>
  <c r="AI27" i="90"/>
  <c r="Z27" i="90"/>
  <c r="AK27" i="90"/>
  <c r="N27" i="90"/>
  <c r="U27" i="90"/>
  <c r="W27" i="90"/>
  <c r="R27" i="90"/>
  <c r="S27" i="90"/>
  <c r="AE27" i="90"/>
  <c r="Q27" i="90"/>
  <c r="AT58" i="87"/>
  <c r="E43" i="69"/>
  <c r="F43" i="69" s="1"/>
  <c r="AU58" i="85"/>
  <c r="E57" i="76"/>
  <c r="F17" i="87"/>
  <c r="E27" i="87" l="1"/>
  <c r="AR27" i="87"/>
  <c r="H57" i="90"/>
  <c r="H59" i="90" s="1"/>
  <c r="H60" i="90" s="1"/>
  <c r="Q57" i="90"/>
  <c r="Q59" i="90" s="1"/>
  <c r="Q60" i="90" s="1"/>
  <c r="AE57" i="90"/>
  <c r="AE59" i="90" s="1"/>
  <c r="AE60" i="90" s="1"/>
  <c r="L57" i="90"/>
  <c r="L59" i="90" s="1"/>
  <c r="L60" i="90" s="1"/>
  <c r="X57" i="90"/>
  <c r="X59" i="90" s="1"/>
  <c r="X60" i="90" s="1"/>
  <c r="AN57" i="90"/>
  <c r="AN59" i="90" s="1"/>
  <c r="AN60" i="90" s="1"/>
  <c r="V57" i="90"/>
  <c r="V59" i="90" s="1"/>
  <c r="V60" i="90" s="1"/>
  <c r="AB57" i="90"/>
  <c r="AB59" i="90" s="1"/>
  <c r="AB60" i="90" s="1"/>
  <c r="AI57" i="90"/>
  <c r="AI59" i="90" s="1"/>
  <c r="AI60" i="90" s="1"/>
  <c r="AC57" i="90"/>
  <c r="AC59" i="90" s="1"/>
  <c r="AC60" i="90" s="1"/>
  <c r="R57" i="90"/>
  <c r="R59" i="90" s="1"/>
  <c r="R60" i="90" s="1"/>
  <c r="M57" i="90"/>
  <c r="M59" i="90" s="1"/>
  <c r="M60" i="90" s="1"/>
  <c r="W57" i="90"/>
  <c r="W59" i="90" s="1"/>
  <c r="W60" i="90" s="1"/>
  <c r="AM57" i="90"/>
  <c r="AM59" i="90" s="1"/>
  <c r="AM60" i="90" s="1"/>
  <c r="U57" i="90"/>
  <c r="U59" i="90" s="1"/>
  <c r="U60" i="90" s="1"/>
  <c r="O57" i="90"/>
  <c r="O59" i="90" s="1"/>
  <c r="O60" i="90" s="1"/>
  <c r="AH57" i="90"/>
  <c r="AH59" i="90" s="1"/>
  <c r="AH60" i="90" s="1"/>
  <c r="AJ57" i="90"/>
  <c r="AJ59" i="90" s="1"/>
  <c r="AJ60" i="90" s="1"/>
  <c r="P57" i="90"/>
  <c r="P59" i="90" s="1"/>
  <c r="P60" i="90" s="1"/>
  <c r="Z57" i="90"/>
  <c r="Z59" i="90" s="1"/>
  <c r="Z60" i="90" s="1"/>
  <c r="AG57" i="90"/>
  <c r="AG59" i="90" s="1"/>
  <c r="AG60" i="90" s="1"/>
  <c r="AF57" i="90"/>
  <c r="AF59" i="90" s="1"/>
  <c r="AF60" i="90" s="1"/>
  <c r="N57" i="90"/>
  <c r="N59" i="90" s="1"/>
  <c r="N60" i="90" s="1"/>
  <c r="F57" i="90"/>
  <c r="F59" i="90" s="1"/>
  <c r="F60" i="90" s="1"/>
  <c r="E47" i="90"/>
  <c r="E57" i="90"/>
  <c r="AT27" i="90"/>
  <c r="AV27" i="90" s="1"/>
  <c r="AL57" i="90"/>
  <c r="AL59" i="90" s="1"/>
  <c r="AL60" i="90" s="1"/>
  <c r="AA57" i="90"/>
  <c r="AA59" i="90" s="1"/>
  <c r="AA60" i="90" s="1"/>
  <c r="AR57" i="90"/>
  <c r="AR59" i="90" s="1"/>
  <c r="AR60" i="90" s="1"/>
  <c r="Y57" i="90"/>
  <c r="Y59" i="90" s="1"/>
  <c r="Y60" i="90" s="1"/>
  <c r="S57" i="90"/>
  <c r="S59" i="90" s="1"/>
  <c r="S60" i="90" s="1"/>
  <c r="AQ57" i="90"/>
  <c r="AQ59" i="90" s="1"/>
  <c r="AQ60" i="90" s="1"/>
  <c r="J57" i="90"/>
  <c r="J59" i="90" s="1"/>
  <c r="J60" i="90" s="1"/>
  <c r="AD57" i="90"/>
  <c r="AD59" i="90" s="1"/>
  <c r="AD60" i="90" s="1"/>
  <c r="I57" i="90"/>
  <c r="I59" i="90" s="1"/>
  <c r="I60" i="90" s="1"/>
  <c r="K57" i="90"/>
  <c r="K59" i="90" s="1"/>
  <c r="K60" i="90" s="1"/>
  <c r="AK57" i="90"/>
  <c r="AK59" i="90" s="1"/>
  <c r="AK60" i="90" s="1"/>
  <c r="AO57" i="90"/>
  <c r="AO59" i="90" s="1"/>
  <c r="AO60" i="90" s="1"/>
  <c r="G57" i="90"/>
  <c r="G59" i="90" s="1"/>
  <c r="G60" i="90" s="1"/>
  <c r="T57" i="90"/>
  <c r="T59" i="90" s="1"/>
  <c r="T60" i="90" s="1"/>
  <c r="AP57" i="90"/>
  <c r="AP59" i="90" s="1"/>
  <c r="AP60" i="90" s="1"/>
  <c r="AR27" i="85"/>
  <c r="Z27" i="87"/>
  <c r="AI27" i="87"/>
  <c r="AP27" i="87"/>
  <c r="V27" i="87"/>
  <c r="AH27" i="87"/>
  <c r="W27" i="87"/>
  <c r="L27" i="87"/>
  <c r="O27" i="87"/>
  <c r="AN27" i="87"/>
  <c r="P27" i="87"/>
  <c r="AK27" i="87"/>
  <c r="AQ27" i="87"/>
  <c r="G27" i="87"/>
  <c r="F27" i="87"/>
  <c r="AE27" i="87"/>
  <c r="M27" i="87"/>
  <c r="AL27" i="87"/>
  <c r="X27" i="87"/>
  <c r="R27" i="87"/>
  <c r="AF27" i="87"/>
  <c r="U27" i="87"/>
  <c r="AD27" i="87"/>
  <c r="AC27" i="87"/>
  <c r="J27" i="87"/>
  <c r="AA27" i="87"/>
  <c r="Q27" i="87"/>
  <c r="AB27" i="87"/>
  <c r="N27" i="87"/>
  <c r="AG27" i="87"/>
  <c r="S27" i="87"/>
  <c r="T27" i="87"/>
  <c r="K27" i="87"/>
  <c r="AM27" i="87"/>
  <c r="AJ27" i="87"/>
  <c r="AO27" i="87"/>
  <c r="H27" i="87"/>
  <c r="I27" i="87"/>
  <c r="Y27" i="87"/>
  <c r="AP27" i="76"/>
  <c r="AQ27" i="76"/>
  <c r="N27" i="76"/>
  <c r="AK27" i="76"/>
  <c r="AI27" i="76"/>
  <c r="AD27" i="76"/>
  <c r="R27" i="76"/>
  <c r="AG27" i="76"/>
  <c r="H27" i="76"/>
  <c r="AL27" i="76"/>
  <c r="Q27" i="76"/>
  <c r="AB27" i="76"/>
  <c r="M27" i="76"/>
  <c r="AE27" i="76"/>
  <c r="Y27" i="76"/>
  <c r="AH27" i="76"/>
  <c r="X27" i="76"/>
  <c r="V27" i="76"/>
  <c r="AF27" i="76"/>
  <c r="AN27" i="76"/>
  <c r="AA27" i="76"/>
  <c r="J27" i="76"/>
  <c r="AO27" i="76"/>
  <c r="I27" i="76"/>
  <c r="AJ27" i="76"/>
  <c r="S27" i="76"/>
  <c r="O27" i="76"/>
  <c r="P27" i="76"/>
  <c r="T27" i="76"/>
  <c r="U27" i="76"/>
  <c r="W27" i="76"/>
  <c r="AC27" i="76"/>
  <c r="Z27" i="76"/>
  <c r="L27" i="76"/>
  <c r="AM27" i="76"/>
  <c r="K27" i="76"/>
  <c r="AQ27" i="85"/>
  <c r="AI27" i="85"/>
  <c r="M27" i="85"/>
  <c r="AG27" i="85"/>
  <c r="I27" i="85"/>
  <c r="R27" i="85"/>
  <c r="AN27" i="85"/>
  <c r="N27" i="85"/>
  <c r="Z27" i="85"/>
  <c r="J27" i="85"/>
  <c r="AF27" i="85"/>
  <c r="L27" i="85"/>
  <c r="AM27" i="85"/>
  <c r="AO27" i="85"/>
  <c r="AP27" i="85"/>
  <c r="K27" i="85"/>
  <c r="AA27" i="85"/>
  <c r="AD27" i="85"/>
  <c r="H27" i="85"/>
  <c r="Q27" i="85"/>
  <c r="P27" i="85"/>
  <c r="Y27" i="85"/>
  <c r="X27" i="85"/>
  <c r="AE27" i="85"/>
  <c r="S27" i="85"/>
  <c r="V27" i="85"/>
  <c r="AH27" i="85"/>
  <c r="AJ27" i="85"/>
  <c r="AK27" i="85"/>
  <c r="W27" i="85"/>
  <c r="U27" i="85"/>
  <c r="AB27" i="85"/>
  <c r="AC27" i="85"/>
  <c r="AL27" i="85"/>
  <c r="O27" i="85"/>
  <c r="T27" i="85"/>
  <c r="AU27" i="85" l="1"/>
  <c r="AT57" i="90"/>
  <c r="E59" i="90"/>
  <c r="AB57" i="85"/>
  <c r="AB59" i="85" s="1"/>
  <c r="AB60" i="85" s="1"/>
  <c r="F57" i="85"/>
  <c r="F59" i="85" s="1"/>
  <c r="F60" i="85" s="1"/>
  <c r="H57" i="85"/>
  <c r="H59" i="85" s="1"/>
  <c r="H60" i="85" s="1"/>
  <c r="L57" i="85"/>
  <c r="L59" i="85" s="1"/>
  <c r="L60" i="85" s="1"/>
  <c r="AG57" i="85"/>
  <c r="AG59" i="85" s="1"/>
  <c r="AG60" i="85" s="1"/>
  <c r="AC57" i="76"/>
  <c r="AC59" i="76" s="1"/>
  <c r="AC60" i="76" s="1"/>
  <c r="AU27" i="76"/>
  <c r="AU28" i="76" s="1"/>
  <c r="V57" i="76"/>
  <c r="V59" i="76" s="1"/>
  <c r="V60" i="76" s="1"/>
  <c r="AL57" i="76"/>
  <c r="AL59" i="76" s="1"/>
  <c r="AL60" i="76" s="1"/>
  <c r="N57" i="76"/>
  <c r="N59" i="76" s="1"/>
  <c r="N60" i="76" s="1"/>
  <c r="AO57" i="87"/>
  <c r="AO59" i="87" s="1"/>
  <c r="AO60" i="87" s="1"/>
  <c r="AB57" i="87"/>
  <c r="AB59" i="87" s="1"/>
  <c r="AB60" i="87" s="1"/>
  <c r="AC57" i="87"/>
  <c r="AC59" i="87" s="1"/>
  <c r="AC60" i="87" s="1"/>
  <c r="AE57" i="87"/>
  <c r="AE59" i="87" s="1"/>
  <c r="AE60" i="87" s="1"/>
  <c r="V57" i="87"/>
  <c r="V59" i="87" s="1"/>
  <c r="V60" i="87" s="1"/>
  <c r="O57" i="85"/>
  <c r="O59" i="85" s="1"/>
  <c r="O60" i="85" s="1"/>
  <c r="AK57" i="85"/>
  <c r="AK59" i="85" s="1"/>
  <c r="AK60" i="85" s="1"/>
  <c r="Y57" i="85"/>
  <c r="Y59" i="85" s="1"/>
  <c r="Y60" i="85" s="1"/>
  <c r="AO57" i="85"/>
  <c r="AO59" i="85" s="1"/>
  <c r="AO60" i="85" s="1"/>
  <c r="M57" i="85"/>
  <c r="M59" i="85" s="1"/>
  <c r="M60" i="85" s="1"/>
  <c r="W57" i="76"/>
  <c r="W59" i="76" s="1"/>
  <c r="W60" i="76" s="1"/>
  <c r="AO57" i="76"/>
  <c r="AO59" i="76" s="1"/>
  <c r="AO60" i="76" s="1"/>
  <c r="X57" i="76"/>
  <c r="X59" i="76" s="1"/>
  <c r="X60" i="76" s="1"/>
  <c r="H57" i="76"/>
  <c r="H59" i="76" s="1"/>
  <c r="H60" i="76" s="1"/>
  <c r="AQ57" i="76"/>
  <c r="AQ59" i="76" s="1"/>
  <c r="AQ60" i="76" s="1"/>
  <c r="AJ57" i="87"/>
  <c r="AJ59" i="87" s="1"/>
  <c r="AJ60" i="87" s="1"/>
  <c r="Q57" i="87"/>
  <c r="Q59" i="87" s="1"/>
  <c r="Q60" i="87" s="1"/>
  <c r="X57" i="87"/>
  <c r="X59" i="87" s="1"/>
  <c r="X60" i="87" s="1"/>
  <c r="E57" i="87"/>
  <c r="AT27" i="87"/>
  <c r="AV27" i="87" s="1"/>
  <c r="E47" i="87"/>
  <c r="L57" i="87"/>
  <c r="L59" i="87" s="1"/>
  <c r="L60" i="87" s="1"/>
  <c r="G57" i="85"/>
  <c r="G59" i="85" s="1"/>
  <c r="G60" i="85" s="1"/>
  <c r="P57" i="85"/>
  <c r="P59" i="85" s="1"/>
  <c r="P60" i="85" s="1"/>
  <c r="AM57" i="85"/>
  <c r="AM59" i="85" s="1"/>
  <c r="AM60" i="85" s="1"/>
  <c r="AI57" i="85"/>
  <c r="AI59" i="85" s="1"/>
  <c r="AI60" i="85" s="1"/>
  <c r="L57" i="76"/>
  <c r="L59" i="76" s="1"/>
  <c r="L60" i="76" s="1"/>
  <c r="U57" i="76"/>
  <c r="U59" i="76" s="1"/>
  <c r="U60" i="76" s="1"/>
  <c r="J57" i="76"/>
  <c r="J59" i="76" s="1"/>
  <c r="J60" i="76" s="1"/>
  <c r="AN57" i="76"/>
  <c r="AN59" i="76" s="1"/>
  <c r="AN60" i="76" s="1"/>
  <c r="AH57" i="76"/>
  <c r="AH59" i="76" s="1"/>
  <c r="AH60" i="76" s="1"/>
  <c r="AB57" i="76"/>
  <c r="AB59" i="76" s="1"/>
  <c r="AB60" i="76" s="1"/>
  <c r="AG57" i="76"/>
  <c r="AG59" i="76" s="1"/>
  <c r="AG60" i="76" s="1"/>
  <c r="G57" i="76"/>
  <c r="G59" i="76" s="1"/>
  <c r="G60" i="76" s="1"/>
  <c r="AP57" i="76"/>
  <c r="AP59" i="76" s="1"/>
  <c r="AP60" i="76" s="1"/>
  <c r="I57" i="87"/>
  <c r="I59" i="87" s="1"/>
  <c r="I60" i="87" s="1"/>
  <c r="AM57" i="87"/>
  <c r="AM59" i="87" s="1"/>
  <c r="AM60" i="87" s="1"/>
  <c r="AG57" i="87"/>
  <c r="AG59" i="87" s="1"/>
  <c r="AG60" i="87" s="1"/>
  <c r="AA57" i="87"/>
  <c r="AA59" i="87" s="1"/>
  <c r="AA60" i="87" s="1"/>
  <c r="U57" i="87"/>
  <c r="U59" i="87" s="1"/>
  <c r="U60" i="87" s="1"/>
  <c r="AL57" i="87"/>
  <c r="AL59" i="87" s="1"/>
  <c r="AL60" i="87" s="1"/>
  <c r="G57" i="87"/>
  <c r="G59" i="87" s="1"/>
  <c r="G60" i="87" s="1"/>
  <c r="P57" i="87"/>
  <c r="P59" i="87" s="1"/>
  <c r="P60" i="87" s="1"/>
  <c r="W57" i="87"/>
  <c r="W59" i="87" s="1"/>
  <c r="W60" i="87" s="1"/>
  <c r="AI57" i="87"/>
  <c r="AI59" i="87" s="1"/>
  <c r="AI60" i="87" s="1"/>
  <c r="T57" i="85"/>
  <c r="T59" i="85" s="1"/>
  <c r="T60" i="85" s="1"/>
  <c r="W57" i="85"/>
  <c r="W59" i="85" s="1"/>
  <c r="W60" i="85" s="1"/>
  <c r="X57" i="85"/>
  <c r="X59" i="85" s="1"/>
  <c r="X60" i="85" s="1"/>
  <c r="AP57" i="85"/>
  <c r="AP59" i="85" s="1"/>
  <c r="AP60" i="85" s="1"/>
  <c r="N57" i="85"/>
  <c r="N59" i="85" s="1"/>
  <c r="N60" i="85" s="1"/>
  <c r="K57" i="76"/>
  <c r="K59" i="76" s="1"/>
  <c r="K60" i="76" s="1"/>
  <c r="P57" i="76"/>
  <c r="P59" i="76" s="1"/>
  <c r="P60" i="76" s="1"/>
  <c r="I57" i="76"/>
  <c r="I59" i="76" s="1"/>
  <c r="I60" i="76" s="1"/>
  <c r="AE57" i="76"/>
  <c r="AE59" i="76" s="1"/>
  <c r="AE60" i="76" s="1"/>
  <c r="AD57" i="76"/>
  <c r="AD59" i="76" s="1"/>
  <c r="AD60" i="76" s="1"/>
  <c r="AR57" i="87"/>
  <c r="AR59" i="87" s="1"/>
  <c r="AR60" i="87" s="1"/>
  <c r="T57" i="87"/>
  <c r="T59" i="87" s="1"/>
  <c r="T60" i="87" s="1"/>
  <c r="R57" i="87"/>
  <c r="R59" i="87" s="1"/>
  <c r="R60" i="87" s="1"/>
  <c r="AK57" i="87"/>
  <c r="AK59" i="87" s="1"/>
  <c r="AK60" i="87" s="1"/>
  <c r="O57" i="87"/>
  <c r="O59" i="87" s="1"/>
  <c r="O60" i="87" s="1"/>
  <c r="U57" i="85"/>
  <c r="U59" i="85" s="1"/>
  <c r="U60" i="85" s="1"/>
  <c r="V57" i="85"/>
  <c r="V59" i="85" s="1"/>
  <c r="V60" i="85" s="1"/>
  <c r="AD57" i="85"/>
  <c r="AD59" i="85" s="1"/>
  <c r="AD60" i="85" s="1"/>
  <c r="AF57" i="85"/>
  <c r="AF59" i="85" s="1"/>
  <c r="AF60" i="85" s="1"/>
  <c r="AN57" i="85"/>
  <c r="AN59" i="85" s="1"/>
  <c r="AN60" i="85" s="1"/>
  <c r="AM57" i="76"/>
  <c r="AM59" i="76" s="1"/>
  <c r="AM60" i="76" s="1"/>
  <c r="O57" i="76"/>
  <c r="O59" i="76" s="1"/>
  <c r="O60" i="76" s="1"/>
  <c r="AA57" i="76"/>
  <c r="AA59" i="76" s="1"/>
  <c r="AA60" i="76" s="1"/>
  <c r="M57" i="76"/>
  <c r="M59" i="76" s="1"/>
  <c r="M60" i="76" s="1"/>
  <c r="AI57" i="76"/>
  <c r="AI59" i="76" s="1"/>
  <c r="AI60" i="76" s="1"/>
  <c r="Y57" i="87"/>
  <c r="Y59" i="87" s="1"/>
  <c r="Y60" i="87" s="1"/>
  <c r="S57" i="87"/>
  <c r="S59" i="87" s="1"/>
  <c r="S60" i="87" s="1"/>
  <c r="AD57" i="87"/>
  <c r="AD59" i="87" s="1"/>
  <c r="AD60" i="87" s="1"/>
  <c r="F57" i="87"/>
  <c r="F59" i="87" s="1"/>
  <c r="F60" i="87" s="1"/>
  <c r="AP57" i="87"/>
  <c r="AP59" i="87" s="1"/>
  <c r="AP60" i="87" s="1"/>
  <c r="AL57" i="85"/>
  <c r="AL59" i="85" s="1"/>
  <c r="AL60" i="85" s="1"/>
  <c r="AJ57" i="85"/>
  <c r="AJ59" i="85" s="1"/>
  <c r="AJ60" i="85" s="1"/>
  <c r="S57" i="85"/>
  <c r="S59" i="85" s="1"/>
  <c r="S60" i="85" s="1"/>
  <c r="AA57" i="85"/>
  <c r="AA59" i="85" s="1"/>
  <c r="AA60" i="85" s="1"/>
  <c r="J57" i="85"/>
  <c r="J59" i="85" s="1"/>
  <c r="J60" i="85" s="1"/>
  <c r="R57" i="85"/>
  <c r="R59" i="85" s="1"/>
  <c r="R60" i="85" s="1"/>
  <c r="S57" i="76"/>
  <c r="S59" i="76" s="1"/>
  <c r="S60" i="76" s="1"/>
  <c r="AC57" i="85"/>
  <c r="AC59" i="85" s="1"/>
  <c r="AC60" i="85" s="1"/>
  <c r="E12" i="69"/>
  <c r="E47" i="85"/>
  <c r="E57" i="85"/>
  <c r="AW27" i="85"/>
  <c r="AH57" i="85"/>
  <c r="AH59" i="85" s="1"/>
  <c r="AH60" i="85" s="1"/>
  <c r="AE57" i="85"/>
  <c r="AE59" i="85" s="1"/>
  <c r="AE60" i="85" s="1"/>
  <c r="Q57" i="85"/>
  <c r="Q59" i="85" s="1"/>
  <c r="Q60" i="85" s="1"/>
  <c r="K57" i="85"/>
  <c r="K59" i="85" s="1"/>
  <c r="K60" i="85" s="1"/>
  <c r="AR57" i="85"/>
  <c r="AR59" i="85" s="1"/>
  <c r="AR60" i="85" s="1"/>
  <c r="Z57" i="85"/>
  <c r="Z59" i="85" s="1"/>
  <c r="Z60" i="85" s="1"/>
  <c r="I57" i="85"/>
  <c r="I59" i="85" s="1"/>
  <c r="I60" i="85" s="1"/>
  <c r="AQ57" i="85"/>
  <c r="AQ59" i="85" s="1"/>
  <c r="AQ60" i="85" s="1"/>
  <c r="Z57" i="76"/>
  <c r="Z59" i="76" s="1"/>
  <c r="Z60" i="76" s="1"/>
  <c r="T57" i="76"/>
  <c r="T59" i="76" s="1"/>
  <c r="T60" i="76" s="1"/>
  <c r="AJ57" i="76"/>
  <c r="AJ59" i="76" s="1"/>
  <c r="AJ60" i="76" s="1"/>
  <c r="AR57" i="76"/>
  <c r="AR59" i="76" s="1"/>
  <c r="AR60" i="76" s="1"/>
  <c r="AF57" i="76"/>
  <c r="AF59" i="76" s="1"/>
  <c r="AF60" i="76" s="1"/>
  <c r="Y57" i="76"/>
  <c r="Y59" i="76" s="1"/>
  <c r="Y60" i="76" s="1"/>
  <c r="Q57" i="76"/>
  <c r="Q59" i="76" s="1"/>
  <c r="Q60" i="76" s="1"/>
  <c r="R57" i="76"/>
  <c r="R59" i="76" s="1"/>
  <c r="R60" i="76" s="1"/>
  <c r="AK57" i="76"/>
  <c r="AK59" i="76" s="1"/>
  <c r="AK60" i="76" s="1"/>
  <c r="F57" i="76"/>
  <c r="F59" i="76" s="1"/>
  <c r="F60" i="76" s="1"/>
  <c r="H57" i="87"/>
  <c r="H59" i="87" s="1"/>
  <c r="H60" i="87" s="1"/>
  <c r="K57" i="87"/>
  <c r="K59" i="87" s="1"/>
  <c r="K60" i="87" s="1"/>
  <c r="N57" i="87"/>
  <c r="N59" i="87" s="1"/>
  <c r="N60" i="87" s="1"/>
  <c r="J57" i="87"/>
  <c r="J59" i="87" s="1"/>
  <c r="J60" i="87" s="1"/>
  <c r="AF57" i="87"/>
  <c r="AF59" i="87" s="1"/>
  <c r="AF60" i="87" s="1"/>
  <c r="M57" i="87"/>
  <c r="M59" i="87" s="1"/>
  <c r="M60" i="87" s="1"/>
  <c r="AQ57" i="87"/>
  <c r="AQ59" i="87" s="1"/>
  <c r="AQ60" i="87" s="1"/>
  <c r="AN57" i="87"/>
  <c r="AN59" i="87" s="1"/>
  <c r="AN60" i="87" s="1"/>
  <c r="AH57" i="87"/>
  <c r="AH59" i="87" s="1"/>
  <c r="AH60" i="87" s="1"/>
  <c r="Z57" i="87"/>
  <c r="Z59" i="87" s="1"/>
  <c r="Z60" i="87" s="1"/>
  <c r="E60" i="90" l="1"/>
  <c r="AT59" i="90"/>
  <c r="F12" i="69"/>
  <c r="AU57" i="76"/>
  <c r="E59" i="76"/>
  <c r="E59" i="87"/>
  <c r="AT57" i="87"/>
  <c r="E42" i="69"/>
  <c r="AU57" i="85"/>
  <c r="E59" i="85"/>
  <c r="AT60" i="90" l="1"/>
  <c r="E48" i="90"/>
  <c r="H49" i="90"/>
  <c r="R49" i="90"/>
  <c r="S49" i="90"/>
  <c r="AP49" i="90"/>
  <c r="G49" i="90"/>
  <c r="AB49" i="90"/>
  <c r="AM49" i="90"/>
  <c r="AA49" i="90"/>
  <c r="I49" i="90"/>
  <c r="Q49" i="90"/>
  <c r="X49" i="90"/>
  <c r="AH49" i="90"/>
  <c r="Z49" i="90"/>
  <c r="N49" i="90"/>
  <c r="AS49" i="90"/>
  <c r="AQ49" i="90"/>
  <c r="E49" i="90"/>
  <c r="AE49" i="90"/>
  <c r="AN49" i="90"/>
  <c r="AI49" i="90"/>
  <c r="U49" i="90"/>
  <c r="AJ49" i="90"/>
  <c r="AG49" i="90"/>
  <c r="AR49" i="90"/>
  <c r="J49" i="90"/>
  <c r="Y49" i="90"/>
  <c r="V49" i="90"/>
  <c r="AC49" i="90"/>
  <c r="W49" i="90"/>
  <c r="AL49" i="90"/>
  <c r="AD49" i="90"/>
  <c r="O49" i="90"/>
  <c r="F49" i="90"/>
  <c r="AF49" i="90"/>
  <c r="P49" i="90"/>
  <c r="AO49" i="90"/>
  <c r="K49" i="90"/>
  <c r="M49" i="90"/>
  <c r="AK49" i="90"/>
  <c r="L49" i="90"/>
  <c r="T49" i="90"/>
  <c r="E60" i="87"/>
  <c r="AT59" i="87"/>
  <c r="E60" i="76"/>
  <c r="AU59" i="76"/>
  <c r="E44" i="69"/>
  <c r="AU59" i="85"/>
  <c r="E60" i="85"/>
  <c r="F42" i="69"/>
  <c r="Z34" i="90" l="1"/>
  <c r="Z52" i="90" s="1"/>
  <c r="Z32" i="90"/>
  <c r="Z33" i="90"/>
  <c r="K34" i="90"/>
  <c r="K52" i="90" s="1"/>
  <c r="K33" i="90"/>
  <c r="K32" i="90"/>
  <c r="AP33" i="90"/>
  <c r="AP34" i="90"/>
  <c r="AP52" i="90" s="1"/>
  <c r="AP32" i="90"/>
  <c r="U32" i="90"/>
  <c r="U33" i="90"/>
  <c r="U34" i="90"/>
  <c r="U52" i="90" s="1"/>
  <c r="AN33" i="90"/>
  <c r="AN34" i="90"/>
  <c r="AN52" i="90" s="1"/>
  <c r="AN32" i="90"/>
  <c r="S34" i="90"/>
  <c r="S52" i="90" s="1"/>
  <c r="S33" i="90"/>
  <c r="S32" i="90"/>
  <c r="W34" i="90"/>
  <c r="W52" i="90" s="1"/>
  <c r="W32" i="90"/>
  <c r="W33" i="90"/>
  <c r="G33" i="90"/>
  <c r="G34" i="90"/>
  <c r="G52" i="90" s="1"/>
  <c r="G32" i="90"/>
  <c r="V34" i="90"/>
  <c r="V52" i="90" s="1"/>
  <c r="V32" i="90"/>
  <c r="V33" i="90"/>
  <c r="AE32" i="90"/>
  <c r="AE33" i="90"/>
  <c r="AE34" i="90"/>
  <c r="AE52" i="90" s="1"/>
  <c r="Q34" i="90"/>
  <c r="Q52" i="90" s="1"/>
  <c r="Q33" i="90"/>
  <c r="Q32" i="90"/>
  <c r="R33" i="90"/>
  <c r="R32" i="90"/>
  <c r="R34" i="90"/>
  <c r="R52" i="90" s="1"/>
  <c r="AH34" i="90"/>
  <c r="AH52" i="90" s="1"/>
  <c r="AH33" i="90"/>
  <c r="AH32" i="90"/>
  <c r="J34" i="90"/>
  <c r="J52" i="90" s="1"/>
  <c r="J33" i="90"/>
  <c r="J32" i="90"/>
  <c r="D34" i="69"/>
  <c r="AT49" i="90"/>
  <c r="E33" i="90"/>
  <c r="E34" i="90"/>
  <c r="E32" i="90"/>
  <c r="I34" i="90"/>
  <c r="I52" i="90" s="1"/>
  <c r="I33" i="90"/>
  <c r="I32" i="90"/>
  <c r="H34" i="90"/>
  <c r="H52" i="90" s="1"/>
  <c r="H33" i="90"/>
  <c r="H32" i="90"/>
  <c r="AC34" i="90"/>
  <c r="AC52" i="90" s="1"/>
  <c r="AC32" i="90"/>
  <c r="AC33" i="90"/>
  <c r="P34" i="90"/>
  <c r="P52" i="90" s="1"/>
  <c r="P32" i="90"/>
  <c r="P33" i="90"/>
  <c r="Y34" i="90"/>
  <c r="Y52" i="90" s="1"/>
  <c r="Y33" i="90"/>
  <c r="Y32" i="90"/>
  <c r="L32" i="90"/>
  <c r="L33" i="90"/>
  <c r="L34" i="90"/>
  <c r="L52" i="90" s="1"/>
  <c r="O33" i="90"/>
  <c r="O32" i="90"/>
  <c r="O34" i="90"/>
  <c r="O52" i="90" s="1"/>
  <c r="AR32" i="90"/>
  <c r="AR34" i="90"/>
  <c r="AR52" i="90" s="1"/>
  <c r="AR33" i="90"/>
  <c r="AQ33" i="90"/>
  <c r="AQ34" i="90"/>
  <c r="AQ52" i="90" s="1"/>
  <c r="AQ32" i="90"/>
  <c r="AA32" i="90"/>
  <c r="AA34" i="90"/>
  <c r="AA52" i="90" s="1"/>
  <c r="AA33" i="90"/>
  <c r="AI33" i="90"/>
  <c r="AI34" i="90"/>
  <c r="AI52" i="90" s="1"/>
  <c r="AI32" i="90"/>
  <c r="AF32" i="90"/>
  <c r="AF33" i="90"/>
  <c r="AF34" i="90"/>
  <c r="AF52" i="90" s="1"/>
  <c r="F33" i="90"/>
  <c r="F32" i="90"/>
  <c r="F34" i="90"/>
  <c r="F52" i="90" s="1"/>
  <c r="AK33" i="90"/>
  <c r="AK34" i="90"/>
  <c r="AK52" i="90" s="1"/>
  <c r="AK32" i="90"/>
  <c r="AD34" i="90"/>
  <c r="AD52" i="90" s="1"/>
  <c r="AD32" i="90"/>
  <c r="AD33" i="90"/>
  <c r="AG32" i="90"/>
  <c r="AG34" i="90"/>
  <c r="AG52" i="90" s="1"/>
  <c r="AG33" i="90"/>
  <c r="AS32" i="90"/>
  <c r="AS33" i="90"/>
  <c r="AS34" i="90"/>
  <c r="AS52" i="90" s="1"/>
  <c r="AM32" i="90"/>
  <c r="AM34" i="90"/>
  <c r="AM52" i="90" s="1"/>
  <c r="AM33" i="90"/>
  <c r="AO33" i="90"/>
  <c r="AO34" i="90"/>
  <c r="AO52" i="90" s="1"/>
  <c r="AO32" i="90"/>
  <c r="X34" i="90"/>
  <c r="X52" i="90" s="1"/>
  <c r="X33" i="90"/>
  <c r="X32" i="90"/>
  <c r="T32" i="90"/>
  <c r="T34" i="90"/>
  <c r="T52" i="90" s="1"/>
  <c r="T33" i="90"/>
  <c r="M34" i="90"/>
  <c r="M52" i="90" s="1"/>
  <c r="M32" i="90"/>
  <c r="M33" i="90"/>
  <c r="AL33" i="90"/>
  <c r="AL32" i="90"/>
  <c r="AL34" i="90"/>
  <c r="AL52" i="90" s="1"/>
  <c r="AJ32" i="90"/>
  <c r="AJ34" i="90"/>
  <c r="AJ52" i="90" s="1"/>
  <c r="AJ33" i="90"/>
  <c r="N34" i="90"/>
  <c r="N52" i="90" s="1"/>
  <c r="N32" i="90"/>
  <c r="N33" i="90"/>
  <c r="AB32" i="90"/>
  <c r="AB34" i="90"/>
  <c r="AB52" i="90" s="1"/>
  <c r="AB33" i="90"/>
  <c r="E45" i="69"/>
  <c r="AU60" i="85"/>
  <c r="E48" i="85"/>
  <c r="E49" i="85"/>
  <c r="E33" i="85" s="1"/>
  <c r="AB49" i="85"/>
  <c r="L49" i="85"/>
  <c r="M49" i="85"/>
  <c r="P49" i="85"/>
  <c r="V49" i="85"/>
  <c r="AJ49" i="85"/>
  <c r="AH49" i="85"/>
  <c r="AR49" i="85"/>
  <c r="AO49" i="85"/>
  <c r="W49" i="85"/>
  <c r="N49" i="85"/>
  <c r="U49" i="85"/>
  <c r="AN49" i="85"/>
  <c r="AC49" i="85"/>
  <c r="AS49" i="85"/>
  <c r="I49" i="85"/>
  <c r="O49" i="85"/>
  <c r="X49" i="85"/>
  <c r="J49" i="85"/>
  <c r="AQ49" i="85"/>
  <c r="H49" i="85"/>
  <c r="AA49" i="85"/>
  <c r="K49" i="85"/>
  <c r="T49" i="85"/>
  <c r="AM49" i="85"/>
  <c r="Z49" i="85"/>
  <c r="AF49" i="85"/>
  <c r="Y49" i="85"/>
  <c r="AE49" i="85"/>
  <c r="G49" i="85"/>
  <c r="AI49" i="85"/>
  <c r="Q49" i="85"/>
  <c r="R49" i="85"/>
  <c r="F49" i="85"/>
  <c r="AK49" i="85"/>
  <c r="AD49" i="85"/>
  <c r="S49" i="85"/>
  <c r="AL49" i="85"/>
  <c r="AG49" i="85"/>
  <c r="AP49" i="85"/>
  <c r="E48" i="76"/>
  <c r="AU60" i="76"/>
  <c r="AS49" i="76"/>
  <c r="E49" i="76"/>
  <c r="U49" i="76"/>
  <c r="AB49" i="76"/>
  <c r="K49" i="76"/>
  <c r="AD49" i="76"/>
  <c r="AM49" i="76"/>
  <c r="AI49" i="76"/>
  <c r="AR49" i="76"/>
  <c r="R49" i="76"/>
  <c r="AO49" i="76"/>
  <c r="L49" i="76"/>
  <c r="AH49" i="76"/>
  <c r="AP49" i="76"/>
  <c r="AE49" i="76"/>
  <c r="AJ49" i="76"/>
  <c r="Q49" i="76"/>
  <c r="AL49" i="76"/>
  <c r="X49" i="76"/>
  <c r="V49" i="76"/>
  <c r="AQ49" i="76"/>
  <c r="M49" i="76"/>
  <c r="O49" i="76"/>
  <c r="AN49" i="76"/>
  <c r="AF49" i="76"/>
  <c r="W49" i="76"/>
  <c r="T49" i="76"/>
  <c r="AA49" i="76"/>
  <c r="H49" i="76"/>
  <c r="Z49" i="76"/>
  <c r="N49" i="76"/>
  <c r="S49" i="76"/>
  <c r="G49" i="76"/>
  <c r="AK49" i="76"/>
  <c r="Y49" i="76"/>
  <c r="AG49" i="76"/>
  <c r="AC49" i="76"/>
  <c r="F49" i="76"/>
  <c r="I49" i="76"/>
  <c r="J49" i="76"/>
  <c r="P49" i="76"/>
  <c r="F44" i="69"/>
  <c r="E48" i="87"/>
  <c r="AT60" i="87"/>
  <c r="Z49" i="87"/>
  <c r="V49" i="87"/>
  <c r="E49" i="87"/>
  <c r="E33" i="87" s="1"/>
  <c r="P49" i="87"/>
  <c r="R49" i="87"/>
  <c r="AD49" i="87"/>
  <c r="H49" i="87"/>
  <c r="AF49" i="87"/>
  <c r="AE49" i="87"/>
  <c r="X49" i="87"/>
  <c r="AG49" i="87"/>
  <c r="G49" i="87"/>
  <c r="T49" i="87"/>
  <c r="S49" i="87"/>
  <c r="J49" i="87"/>
  <c r="AN49" i="87"/>
  <c r="AB49" i="87"/>
  <c r="AJ49" i="87"/>
  <c r="L49" i="87"/>
  <c r="I49" i="87"/>
  <c r="U49" i="87"/>
  <c r="W49" i="87"/>
  <c r="AK49" i="87"/>
  <c r="F49" i="87"/>
  <c r="K49" i="87"/>
  <c r="M49" i="87"/>
  <c r="AO49" i="87"/>
  <c r="AA49" i="87"/>
  <c r="AH49" i="87"/>
  <c r="AI49" i="87"/>
  <c r="AP49" i="87"/>
  <c r="AC49" i="87"/>
  <c r="AL49" i="87"/>
  <c r="AM49" i="87"/>
  <c r="Q49" i="87"/>
  <c r="Y49" i="87"/>
  <c r="AQ49" i="87"/>
  <c r="O49" i="87"/>
  <c r="N49" i="87"/>
  <c r="AR49" i="87"/>
  <c r="AS35" i="90" l="1"/>
  <c r="X35" i="90"/>
  <c r="AH35" i="90"/>
  <c r="Y35" i="90"/>
  <c r="K35" i="90"/>
  <c r="AN35" i="90"/>
  <c r="M35" i="90"/>
  <c r="AO35" i="90"/>
  <c r="AI35" i="90"/>
  <c r="G35" i="90"/>
  <c r="W35" i="90"/>
  <c r="N53" i="90"/>
  <c r="N29" i="90" s="1"/>
  <c r="AK53" i="90"/>
  <c r="AK29" i="90" s="1"/>
  <c r="I53" i="90"/>
  <c r="I29" i="90" s="1"/>
  <c r="I54" i="90"/>
  <c r="J53" i="90"/>
  <c r="J29" i="90" s="1"/>
  <c r="S53" i="90"/>
  <c r="S29" i="90" s="1"/>
  <c r="AP53" i="90"/>
  <c r="AP29" i="90" s="1"/>
  <c r="M53" i="90"/>
  <c r="M29" i="90" s="1"/>
  <c r="AO53" i="90"/>
  <c r="AO29" i="90" s="1"/>
  <c r="AI53" i="90"/>
  <c r="AI29" i="90" s="1"/>
  <c r="L35" i="90"/>
  <c r="AC35" i="90"/>
  <c r="E35" i="90"/>
  <c r="AT32" i="90"/>
  <c r="Q53" i="90"/>
  <c r="Q29" i="90" s="1"/>
  <c r="G53" i="90"/>
  <c r="G29" i="90" s="1"/>
  <c r="AJ53" i="90"/>
  <c r="AJ29" i="90" s="1"/>
  <c r="AG53" i="90"/>
  <c r="AG29" i="90" s="1"/>
  <c r="F53" i="90"/>
  <c r="F29" i="90" s="1"/>
  <c r="AR53" i="90"/>
  <c r="AR29" i="90" s="1"/>
  <c r="AC53" i="90"/>
  <c r="AC29" i="90" s="1"/>
  <c r="AT34" i="90"/>
  <c r="E52" i="90"/>
  <c r="AE53" i="90"/>
  <c r="AE29" i="90" s="1"/>
  <c r="AN53" i="90"/>
  <c r="AN29" i="90" s="1"/>
  <c r="AJ35" i="90"/>
  <c r="T53" i="90"/>
  <c r="T29" i="90" s="1"/>
  <c r="AG35" i="90"/>
  <c r="F35" i="90"/>
  <c r="AR35" i="90"/>
  <c r="H35" i="90"/>
  <c r="AT33" i="90"/>
  <c r="AH53" i="90"/>
  <c r="AH29" i="90" s="1"/>
  <c r="AH37" i="90" s="1"/>
  <c r="AH38" i="90" s="1"/>
  <c r="AH39" i="90" s="1"/>
  <c r="AH42" i="90" s="1"/>
  <c r="AH45" i="90" s="1"/>
  <c r="AB53" i="90"/>
  <c r="AB29" i="90" s="1"/>
  <c r="AL53" i="90"/>
  <c r="AL29" i="90" s="1"/>
  <c r="T35" i="90"/>
  <c r="AM53" i="90"/>
  <c r="AM29" i="90" s="1"/>
  <c r="AA53" i="90"/>
  <c r="AA29" i="90" s="1"/>
  <c r="O53" i="90"/>
  <c r="O29" i="90" s="1"/>
  <c r="Y53" i="90"/>
  <c r="Y29" i="90" s="1"/>
  <c r="Y37" i="90" s="1"/>
  <c r="Y38" i="90" s="1"/>
  <c r="Y39" i="90" s="1"/>
  <c r="Y42" i="90" s="1"/>
  <c r="Y45" i="90" s="1"/>
  <c r="R53" i="90"/>
  <c r="R29" i="90" s="1"/>
  <c r="AE35" i="90"/>
  <c r="U53" i="90"/>
  <c r="U29" i="90" s="1"/>
  <c r="K53" i="90"/>
  <c r="K29" i="90" s="1"/>
  <c r="AB35" i="90"/>
  <c r="AL35" i="90"/>
  <c r="AM35" i="90"/>
  <c r="AD35" i="90"/>
  <c r="AF53" i="90"/>
  <c r="AF29" i="90" s="1"/>
  <c r="AA35" i="90"/>
  <c r="O35" i="90"/>
  <c r="H53" i="90"/>
  <c r="H29" i="90" s="1"/>
  <c r="R35" i="90"/>
  <c r="W53" i="90"/>
  <c r="W29" i="90" s="1"/>
  <c r="AS53" i="90"/>
  <c r="AS29" i="90" s="1"/>
  <c r="AD53" i="90"/>
  <c r="AD29" i="90" s="1"/>
  <c r="AQ35" i="90"/>
  <c r="P35" i="90"/>
  <c r="I35" i="90"/>
  <c r="J35" i="90"/>
  <c r="V35" i="90"/>
  <c r="S35" i="90"/>
  <c r="U35" i="90"/>
  <c r="Z35" i="90"/>
  <c r="N35" i="90"/>
  <c r="X53" i="90"/>
  <c r="X29" i="90" s="1"/>
  <c r="X37" i="90" s="1"/>
  <c r="AK35" i="90"/>
  <c r="AF35" i="90"/>
  <c r="AQ53" i="90"/>
  <c r="AQ29" i="90" s="1"/>
  <c r="L53" i="90"/>
  <c r="L29" i="90" s="1"/>
  <c r="P53" i="90"/>
  <c r="P29" i="90" s="1"/>
  <c r="Q35" i="90"/>
  <c r="V53" i="90"/>
  <c r="V29" i="90" s="1"/>
  <c r="AP35" i="90"/>
  <c r="Z53" i="90"/>
  <c r="Z29" i="90" s="1"/>
  <c r="AQ34" i="87"/>
  <c r="AQ52" i="87" s="1"/>
  <c r="AQ33" i="87"/>
  <c r="AQ32" i="87"/>
  <c r="K34" i="87"/>
  <c r="K52" i="87" s="1"/>
  <c r="K33" i="87"/>
  <c r="K32" i="87"/>
  <c r="AD33" i="87"/>
  <c r="AD32" i="87"/>
  <c r="AD34" i="87"/>
  <c r="AD52" i="87" s="1"/>
  <c r="I33" i="76"/>
  <c r="I34" i="76"/>
  <c r="I52" i="76" s="1"/>
  <c r="I32" i="76"/>
  <c r="O32" i="76"/>
  <c r="O33" i="76"/>
  <c r="O34" i="76"/>
  <c r="O52" i="76" s="1"/>
  <c r="AO34" i="76"/>
  <c r="AO52" i="76" s="1"/>
  <c r="AO33" i="76"/>
  <c r="AO32" i="76"/>
  <c r="AF34" i="85"/>
  <c r="AF52" i="85" s="1"/>
  <c r="AF33" i="85"/>
  <c r="AF32" i="85"/>
  <c r="I33" i="85"/>
  <c r="I32" i="85"/>
  <c r="I34" i="85"/>
  <c r="I52" i="85" s="1"/>
  <c r="AR33" i="87"/>
  <c r="AR32" i="87"/>
  <c r="AR34" i="87"/>
  <c r="AR52" i="87" s="1"/>
  <c r="AA34" i="87"/>
  <c r="AA52" i="87" s="1"/>
  <c r="AA32" i="87"/>
  <c r="AA33" i="87"/>
  <c r="F33" i="87"/>
  <c r="F32" i="87"/>
  <c r="F34" i="87"/>
  <c r="F52" i="87" s="1"/>
  <c r="T32" i="87"/>
  <c r="T33" i="87"/>
  <c r="T34" i="87"/>
  <c r="T52" i="87" s="1"/>
  <c r="AE34" i="87"/>
  <c r="AE52" i="87" s="1"/>
  <c r="AE32" i="87"/>
  <c r="AE33" i="87"/>
  <c r="R32" i="87"/>
  <c r="R33" i="87"/>
  <c r="R34" i="87"/>
  <c r="R52" i="87" s="1"/>
  <c r="Z32" i="87"/>
  <c r="Z34" i="87"/>
  <c r="Z52" i="87" s="1"/>
  <c r="Z33" i="87"/>
  <c r="F32" i="76"/>
  <c r="F34" i="76"/>
  <c r="F52" i="76" s="1"/>
  <c r="F33" i="76"/>
  <c r="AK34" i="76"/>
  <c r="AK52" i="76" s="1"/>
  <c r="AK32" i="76"/>
  <c r="AK33" i="76"/>
  <c r="Z33" i="76"/>
  <c r="Z32" i="76"/>
  <c r="Z34" i="76"/>
  <c r="Z52" i="76" s="1"/>
  <c r="W32" i="76"/>
  <c r="W34" i="76"/>
  <c r="W52" i="76" s="1"/>
  <c r="W33" i="76"/>
  <c r="M32" i="76"/>
  <c r="M33" i="76"/>
  <c r="M34" i="76"/>
  <c r="M52" i="76" s="1"/>
  <c r="AL32" i="76"/>
  <c r="AL34" i="76"/>
  <c r="AL52" i="76" s="1"/>
  <c r="AL33" i="76"/>
  <c r="AP34" i="76"/>
  <c r="AP52" i="76" s="1"/>
  <c r="AP33" i="76"/>
  <c r="AP32" i="76"/>
  <c r="AM33" i="76"/>
  <c r="AM34" i="76"/>
  <c r="AM52" i="76" s="1"/>
  <c r="AM32" i="76"/>
  <c r="U32" i="76"/>
  <c r="U33" i="76"/>
  <c r="U34" i="76"/>
  <c r="U52" i="76" s="1"/>
  <c r="AL32" i="85"/>
  <c r="AL34" i="85"/>
  <c r="AL52" i="85" s="1"/>
  <c r="AL33" i="85"/>
  <c r="F32" i="85"/>
  <c r="G34" i="85"/>
  <c r="G52" i="85" s="1"/>
  <c r="G32" i="85"/>
  <c r="G33" i="85"/>
  <c r="Z32" i="85"/>
  <c r="Z34" i="85"/>
  <c r="Z52" i="85" s="1"/>
  <c r="Z33" i="85"/>
  <c r="AA32" i="85"/>
  <c r="AA34" i="85"/>
  <c r="AA52" i="85" s="1"/>
  <c r="AA33" i="85"/>
  <c r="J32" i="85"/>
  <c r="J33" i="85"/>
  <c r="J34" i="85"/>
  <c r="J52" i="85" s="1"/>
  <c r="AS34" i="85"/>
  <c r="AS52" i="85" s="1"/>
  <c r="AS33" i="85"/>
  <c r="AS32" i="85"/>
  <c r="N34" i="85"/>
  <c r="N52" i="85" s="1"/>
  <c r="N32" i="85"/>
  <c r="N33" i="85"/>
  <c r="AH32" i="85"/>
  <c r="AH33" i="85"/>
  <c r="AH34" i="85"/>
  <c r="AH52" i="85" s="1"/>
  <c r="M34" i="85"/>
  <c r="M52" i="85" s="1"/>
  <c r="M32" i="85"/>
  <c r="M33" i="85"/>
  <c r="AL32" i="87"/>
  <c r="AL33" i="87"/>
  <c r="AL34" i="87"/>
  <c r="AL52" i="87" s="1"/>
  <c r="AJ34" i="87"/>
  <c r="AJ52" i="87" s="1"/>
  <c r="AJ33" i="87"/>
  <c r="AJ32" i="87"/>
  <c r="X32" i="87"/>
  <c r="X33" i="87"/>
  <c r="X34" i="87"/>
  <c r="X52" i="87" s="1"/>
  <c r="Y32" i="76"/>
  <c r="Y34" i="76"/>
  <c r="Y52" i="76" s="1"/>
  <c r="Y33" i="76"/>
  <c r="T33" i="76"/>
  <c r="T34" i="76"/>
  <c r="T52" i="76" s="1"/>
  <c r="T32" i="76"/>
  <c r="AE34" i="76"/>
  <c r="AE52" i="76" s="1"/>
  <c r="AE33" i="76"/>
  <c r="AE32" i="76"/>
  <c r="AB33" i="76"/>
  <c r="AB34" i="76"/>
  <c r="AB52" i="76" s="1"/>
  <c r="AB32" i="76"/>
  <c r="AK32" i="85"/>
  <c r="AK34" i="85"/>
  <c r="AK52" i="85" s="1"/>
  <c r="AK33" i="85"/>
  <c r="U33" i="85"/>
  <c r="U32" i="85"/>
  <c r="U34" i="85"/>
  <c r="U52" i="85" s="1"/>
  <c r="P34" i="85"/>
  <c r="P52" i="85" s="1"/>
  <c r="P32" i="85"/>
  <c r="P33" i="85"/>
  <c r="Y34" i="87"/>
  <c r="Y52" i="87" s="1"/>
  <c r="Y33" i="87"/>
  <c r="Y32" i="87"/>
  <c r="AB33" i="87"/>
  <c r="AB34" i="87"/>
  <c r="AB52" i="87" s="1"/>
  <c r="AB32" i="87"/>
  <c r="N34" i="87"/>
  <c r="N52" i="87" s="1"/>
  <c r="N32" i="87"/>
  <c r="N33" i="87"/>
  <c r="Q32" i="87"/>
  <c r="Q34" i="87"/>
  <c r="Q52" i="87" s="1"/>
  <c r="Q33" i="87"/>
  <c r="AP33" i="87"/>
  <c r="AP34" i="87"/>
  <c r="AP52" i="87" s="1"/>
  <c r="AP32" i="87"/>
  <c r="AO33" i="87"/>
  <c r="AO34" i="87"/>
  <c r="AO52" i="87" s="1"/>
  <c r="AO32" i="87"/>
  <c r="AK32" i="87"/>
  <c r="AK34" i="87"/>
  <c r="AK52" i="87" s="1"/>
  <c r="AK33" i="87"/>
  <c r="L34" i="87"/>
  <c r="L52" i="87" s="1"/>
  <c r="L32" i="87"/>
  <c r="L33" i="87"/>
  <c r="AN34" i="87"/>
  <c r="AN52" i="87" s="1"/>
  <c r="AN32" i="87"/>
  <c r="AN33" i="87"/>
  <c r="G34" i="87"/>
  <c r="G52" i="87" s="1"/>
  <c r="G33" i="87"/>
  <c r="G32" i="87"/>
  <c r="AF34" i="87"/>
  <c r="AF52" i="87" s="1"/>
  <c r="AF32" i="87"/>
  <c r="AF33" i="87"/>
  <c r="P34" i="87"/>
  <c r="P52" i="87" s="1"/>
  <c r="P33" i="87"/>
  <c r="P32" i="87"/>
  <c r="P33" i="76"/>
  <c r="P34" i="76"/>
  <c r="P52" i="76" s="1"/>
  <c r="P32" i="76"/>
  <c r="AC34" i="76"/>
  <c r="AC52" i="76" s="1"/>
  <c r="AC33" i="76"/>
  <c r="AC32" i="76"/>
  <c r="G52" i="76"/>
  <c r="G32" i="76"/>
  <c r="H32" i="76"/>
  <c r="H34" i="76"/>
  <c r="H52" i="76" s="1"/>
  <c r="H33" i="76"/>
  <c r="AF34" i="76"/>
  <c r="AF52" i="76" s="1"/>
  <c r="AF32" i="76"/>
  <c r="AF33" i="76"/>
  <c r="AQ33" i="76"/>
  <c r="AQ34" i="76"/>
  <c r="AQ52" i="76" s="1"/>
  <c r="AQ32" i="76"/>
  <c r="Q34" i="76"/>
  <c r="Q52" i="76" s="1"/>
  <c r="Q33" i="76"/>
  <c r="Q32" i="76"/>
  <c r="AH33" i="76"/>
  <c r="AH34" i="76"/>
  <c r="AH52" i="76" s="1"/>
  <c r="AH32" i="76"/>
  <c r="R33" i="76"/>
  <c r="R34" i="76"/>
  <c r="R52" i="76" s="1"/>
  <c r="R32" i="76"/>
  <c r="AD34" i="76"/>
  <c r="AD52" i="76" s="1"/>
  <c r="AD33" i="76"/>
  <c r="AD32" i="76"/>
  <c r="E33" i="76"/>
  <c r="AU49" i="76"/>
  <c r="E34" i="76"/>
  <c r="E32" i="76"/>
  <c r="S34" i="85"/>
  <c r="S52" i="85" s="1"/>
  <c r="S32" i="85"/>
  <c r="S33" i="85"/>
  <c r="R33" i="85"/>
  <c r="R32" i="85"/>
  <c r="R34" i="85"/>
  <c r="R52" i="85" s="1"/>
  <c r="AE32" i="85"/>
  <c r="AE33" i="85"/>
  <c r="AE34" i="85"/>
  <c r="AE52" i="85" s="1"/>
  <c r="AM33" i="85"/>
  <c r="AM34" i="85"/>
  <c r="AM52" i="85" s="1"/>
  <c r="AM32" i="85"/>
  <c r="H33" i="85"/>
  <c r="H32" i="85"/>
  <c r="H34" i="85"/>
  <c r="H52" i="85" s="1"/>
  <c r="X34" i="85"/>
  <c r="X52" i="85" s="1"/>
  <c r="X32" i="85"/>
  <c r="X33" i="85"/>
  <c r="AC32" i="85"/>
  <c r="AC33" i="85"/>
  <c r="AC34" i="85"/>
  <c r="AC52" i="85" s="1"/>
  <c r="W32" i="85"/>
  <c r="W33" i="85"/>
  <c r="W34" i="85"/>
  <c r="W52" i="85" s="1"/>
  <c r="AJ33" i="85"/>
  <c r="AJ34" i="85"/>
  <c r="AJ52" i="85" s="1"/>
  <c r="AJ32" i="85"/>
  <c r="L33" i="85"/>
  <c r="L32" i="85"/>
  <c r="L34" i="85"/>
  <c r="L52" i="85" s="1"/>
  <c r="AH33" i="87"/>
  <c r="AH34" i="87"/>
  <c r="AH52" i="87" s="1"/>
  <c r="AH32" i="87"/>
  <c r="U32" i="87"/>
  <c r="U33" i="87"/>
  <c r="U34" i="87"/>
  <c r="U52" i="87" s="1"/>
  <c r="S34" i="87"/>
  <c r="S52" i="87" s="1"/>
  <c r="S33" i="87"/>
  <c r="S32" i="87"/>
  <c r="V34" i="87"/>
  <c r="V52" i="87" s="1"/>
  <c r="V33" i="87"/>
  <c r="V32" i="87"/>
  <c r="N34" i="76"/>
  <c r="N52" i="76" s="1"/>
  <c r="N32" i="76"/>
  <c r="N33" i="76"/>
  <c r="X33" i="76"/>
  <c r="X34" i="76"/>
  <c r="X52" i="76" s="1"/>
  <c r="X32" i="76"/>
  <c r="AI33" i="76"/>
  <c r="AI34" i="76"/>
  <c r="AI52" i="76" s="1"/>
  <c r="AI32" i="76"/>
  <c r="AG34" i="85"/>
  <c r="AG52" i="85" s="1"/>
  <c r="AG33" i="85"/>
  <c r="AG32" i="85"/>
  <c r="AI33" i="85"/>
  <c r="AI34" i="85"/>
  <c r="AI52" i="85" s="1"/>
  <c r="AI32" i="85"/>
  <c r="K32" i="85"/>
  <c r="K33" i="85"/>
  <c r="K34" i="85"/>
  <c r="K52" i="85" s="1"/>
  <c r="AR32" i="85"/>
  <c r="AR33" i="85"/>
  <c r="AR34" i="85"/>
  <c r="AR52" i="85" s="1"/>
  <c r="E34" i="69"/>
  <c r="E32" i="85"/>
  <c r="E34" i="85"/>
  <c r="AC32" i="87"/>
  <c r="AC33" i="87"/>
  <c r="AC34" i="87"/>
  <c r="AC52" i="87" s="1"/>
  <c r="I34" i="87"/>
  <c r="I52" i="87" s="1"/>
  <c r="I33" i="87"/>
  <c r="I32" i="87"/>
  <c r="O32" i="87"/>
  <c r="O34" i="87"/>
  <c r="O52" i="87" s="1"/>
  <c r="O33" i="87"/>
  <c r="AM34" i="87"/>
  <c r="AM52" i="87" s="1"/>
  <c r="AM33" i="87"/>
  <c r="AM32" i="87"/>
  <c r="AI34" i="87"/>
  <c r="AI52" i="87" s="1"/>
  <c r="AI33" i="87"/>
  <c r="AI32" i="87"/>
  <c r="M32" i="87"/>
  <c r="M33" i="87"/>
  <c r="M34" i="87"/>
  <c r="M52" i="87" s="1"/>
  <c r="W32" i="87"/>
  <c r="W34" i="87"/>
  <c r="W52" i="87" s="1"/>
  <c r="W33" i="87"/>
  <c r="J33" i="87"/>
  <c r="J34" i="87"/>
  <c r="J52" i="87" s="1"/>
  <c r="J32" i="87"/>
  <c r="AG34" i="87"/>
  <c r="AG52" i="87" s="1"/>
  <c r="AG33" i="87"/>
  <c r="AG32" i="87"/>
  <c r="H32" i="87"/>
  <c r="H33" i="87"/>
  <c r="H34" i="87"/>
  <c r="H52" i="87" s="1"/>
  <c r="E32" i="87"/>
  <c r="AT49" i="87"/>
  <c r="E34" i="87"/>
  <c r="J34" i="76"/>
  <c r="J52" i="76" s="1"/>
  <c r="J33" i="76"/>
  <c r="J32" i="76"/>
  <c r="AG32" i="76"/>
  <c r="AG33" i="76"/>
  <c r="AG34" i="76"/>
  <c r="AG52" i="76" s="1"/>
  <c r="S34" i="76"/>
  <c r="S52" i="76" s="1"/>
  <c r="S33" i="76"/>
  <c r="S32" i="76"/>
  <c r="AA32" i="76"/>
  <c r="AA34" i="76"/>
  <c r="AA52" i="76" s="1"/>
  <c r="AA33" i="76"/>
  <c r="AN33" i="76"/>
  <c r="AN32" i="76"/>
  <c r="AN34" i="76"/>
  <c r="AN52" i="76" s="1"/>
  <c r="V33" i="76"/>
  <c r="V34" i="76"/>
  <c r="V52" i="76" s="1"/>
  <c r="V32" i="76"/>
  <c r="AJ34" i="76"/>
  <c r="AJ52" i="76" s="1"/>
  <c r="AJ32" i="76"/>
  <c r="AJ33" i="76"/>
  <c r="L33" i="76"/>
  <c r="L32" i="76"/>
  <c r="L34" i="76"/>
  <c r="L52" i="76" s="1"/>
  <c r="AR32" i="76"/>
  <c r="AR34" i="76"/>
  <c r="AR52" i="76" s="1"/>
  <c r="AR33" i="76"/>
  <c r="K33" i="76"/>
  <c r="K32" i="76"/>
  <c r="K34" i="76"/>
  <c r="K52" i="76" s="1"/>
  <c r="AS33" i="76"/>
  <c r="AS34" i="76"/>
  <c r="AS52" i="76" s="1"/>
  <c r="AS32" i="76"/>
  <c r="AP34" i="85"/>
  <c r="AP52" i="85" s="1"/>
  <c r="AP32" i="85"/>
  <c r="AP33" i="85"/>
  <c r="AD32" i="85"/>
  <c r="AD34" i="85"/>
  <c r="AD52" i="85" s="1"/>
  <c r="AD33" i="85"/>
  <c r="Q34" i="85"/>
  <c r="Q52" i="85" s="1"/>
  <c r="Q32" i="85"/>
  <c r="Q33" i="85"/>
  <c r="Y32" i="85"/>
  <c r="Y34" i="85"/>
  <c r="Y52" i="85" s="1"/>
  <c r="Y33" i="85"/>
  <c r="T34" i="85"/>
  <c r="T52" i="85" s="1"/>
  <c r="T32" i="85"/>
  <c r="T33" i="85"/>
  <c r="AQ32" i="85"/>
  <c r="AQ34" i="85"/>
  <c r="AQ52" i="85" s="1"/>
  <c r="AQ33" i="85"/>
  <c r="O33" i="85"/>
  <c r="O34" i="85"/>
  <c r="O52" i="85" s="1"/>
  <c r="O32" i="85"/>
  <c r="AN34" i="85"/>
  <c r="AN52" i="85" s="1"/>
  <c r="AN33" i="85"/>
  <c r="AN32" i="85"/>
  <c r="AO33" i="85"/>
  <c r="AO34" i="85"/>
  <c r="AO52" i="85" s="1"/>
  <c r="AO32" i="85"/>
  <c r="V32" i="85"/>
  <c r="V34" i="85"/>
  <c r="V52" i="85" s="1"/>
  <c r="V33" i="85"/>
  <c r="AB34" i="85"/>
  <c r="AB52" i="85" s="1"/>
  <c r="AB32" i="85"/>
  <c r="AB33" i="85"/>
  <c r="F45" i="69"/>
  <c r="K37" i="90" l="1"/>
  <c r="K38" i="90" s="1"/>
  <c r="K39" i="90" s="1"/>
  <c r="K42" i="90" s="1"/>
  <c r="K45" i="90" s="1"/>
  <c r="AS37" i="90"/>
  <c r="AS38" i="90" s="1"/>
  <c r="AS39" i="90" s="1"/>
  <c r="AS42" i="90" s="1"/>
  <c r="AS45" i="90" s="1"/>
  <c r="J54" i="90"/>
  <c r="AJ54" i="90"/>
  <c r="AN37" i="90"/>
  <c r="AN38" i="90" s="1"/>
  <c r="AN39" i="90" s="1"/>
  <c r="AN42" i="90" s="1"/>
  <c r="AN45" i="90" s="1"/>
  <c r="M37" i="90"/>
  <c r="M38" i="90" s="1"/>
  <c r="M39" i="90" s="1"/>
  <c r="M42" i="90" s="1"/>
  <c r="M45" i="90" s="1"/>
  <c r="H37" i="90"/>
  <c r="H38" i="90" s="1"/>
  <c r="H39" i="90" s="1"/>
  <c r="H42" i="90" s="1"/>
  <c r="H45" i="90" s="1"/>
  <c r="S54" i="90"/>
  <c r="AO54" i="90"/>
  <c r="AI37" i="90"/>
  <c r="AI38" i="90" s="1"/>
  <c r="AI39" i="90" s="1"/>
  <c r="AI42" i="90" s="1"/>
  <c r="AI45" i="90" s="1"/>
  <c r="W37" i="90"/>
  <c r="W38" i="90" s="1"/>
  <c r="W39" i="90" s="1"/>
  <c r="W42" i="90" s="1"/>
  <c r="W45" i="90" s="1"/>
  <c r="G37" i="90"/>
  <c r="G38" i="90" s="1"/>
  <c r="G39" i="90" s="1"/>
  <c r="G42" i="90" s="1"/>
  <c r="G45" i="90" s="1"/>
  <c r="AO37" i="90"/>
  <c r="AO38" i="90" s="1"/>
  <c r="AO39" i="90" s="1"/>
  <c r="AO42" i="90" s="1"/>
  <c r="AO45" i="90" s="1"/>
  <c r="N54" i="90"/>
  <c r="AB37" i="90"/>
  <c r="AB38" i="90" s="1"/>
  <c r="AB39" i="90" s="1"/>
  <c r="AB42" i="90" s="1"/>
  <c r="AB45" i="90" s="1"/>
  <c r="AF37" i="90"/>
  <c r="AF38" i="90" s="1"/>
  <c r="F37" i="90"/>
  <c r="F38" i="90" s="1"/>
  <c r="F39" i="90" s="1"/>
  <c r="F42" i="90" s="1"/>
  <c r="F45" i="90" s="1"/>
  <c r="AA37" i="90"/>
  <c r="AA38" i="90" s="1"/>
  <c r="AA39" i="90" s="1"/>
  <c r="AA42" i="90" s="1"/>
  <c r="AA45" i="90" s="1"/>
  <c r="AD54" i="90"/>
  <c r="R54" i="90"/>
  <c r="Z37" i="90"/>
  <c r="Z38" i="90" s="1"/>
  <c r="Z39" i="90" s="1"/>
  <c r="Z42" i="90" s="1"/>
  <c r="Z45" i="90" s="1"/>
  <c r="AM54" i="90"/>
  <c r="U37" i="90"/>
  <c r="U38" i="90" s="1"/>
  <c r="U39" i="90" s="1"/>
  <c r="U42" i="90" s="1"/>
  <c r="U45" i="90" s="1"/>
  <c r="V37" i="90"/>
  <c r="V38" i="90" s="1"/>
  <c r="V39" i="90" s="1"/>
  <c r="V42" i="90" s="1"/>
  <c r="V45" i="90" s="1"/>
  <c r="M54" i="90"/>
  <c r="P37" i="90"/>
  <c r="P38" i="90" s="1"/>
  <c r="P39" i="90" s="1"/>
  <c r="P42" i="90" s="1"/>
  <c r="P45" i="90" s="1"/>
  <c r="L37" i="90"/>
  <c r="L38" i="90" s="1"/>
  <c r="L39" i="90" s="1"/>
  <c r="L42" i="90" s="1"/>
  <c r="L45" i="90" s="1"/>
  <c r="AQ37" i="90"/>
  <c r="AQ38" i="90" s="1"/>
  <c r="AQ39" i="90" s="1"/>
  <c r="AQ42" i="90" s="1"/>
  <c r="AQ45" i="90" s="1"/>
  <c r="W54" i="90"/>
  <c r="T37" i="90"/>
  <c r="T38" i="90" s="1"/>
  <c r="T39" i="90" s="1"/>
  <c r="T42" i="90" s="1"/>
  <c r="T45" i="90" s="1"/>
  <c r="AC54" i="90"/>
  <c r="O37" i="90"/>
  <c r="O38" i="90" s="1"/>
  <c r="O39" i="90" s="1"/>
  <c r="O42" i="90" s="1"/>
  <c r="O45" i="90" s="1"/>
  <c r="X54" i="90"/>
  <c r="AA54" i="90"/>
  <c r="AN54" i="90"/>
  <c r="AP54" i="90"/>
  <c r="AK54" i="90"/>
  <c r="AF54" i="90"/>
  <c r="U54" i="90"/>
  <c r="AB54" i="90"/>
  <c r="AE37" i="90"/>
  <c r="F54" i="90"/>
  <c r="Q54" i="90"/>
  <c r="E53" i="90"/>
  <c r="AT52" i="90"/>
  <c r="Q37" i="90"/>
  <c r="Q38" i="90" s="1"/>
  <c r="Q39" i="90" s="1"/>
  <c r="Q42" i="90" s="1"/>
  <c r="Q45" i="90" s="1"/>
  <c r="J37" i="90"/>
  <c r="J38" i="90" s="1"/>
  <c r="J39" i="90" s="1"/>
  <c r="J42" i="90" s="1"/>
  <c r="J45" i="90" s="1"/>
  <c r="F34" i="69"/>
  <c r="P54" i="90"/>
  <c r="AH54" i="90"/>
  <c r="T54" i="90"/>
  <c r="AG54" i="90"/>
  <c r="X38" i="90"/>
  <c r="X39" i="90" s="1"/>
  <c r="X42" i="90" s="1"/>
  <c r="X45" i="90" s="1"/>
  <c r="AG37" i="90"/>
  <c r="AG38" i="90" s="1"/>
  <c r="AG39" i="90" s="1"/>
  <c r="AG42" i="90" s="1"/>
  <c r="AG45" i="90" s="1"/>
  <c r="AT35" i="90"/>
  <c r="I37" i="90"/>
  <c r="I38" i="90" s="1"/>
  <c r="I39" i="90" s="1"/>
  <c r="I42" i="90" s="1"/>
  <c r="I45" i="90" s="1"/>
  <c r="Z54" i="90"/>
  <c r="L54" i="90"/>
  <c r="H54" i="90"/>
  <c r="R37" i="90"/>
  <c r="AM37" i="90"/>
  <c r="AC37" i="90"/>
  <c r="AC38" i="90" s="1"/>
  <c r="AC39" i="90" s="1"/>
  <c r="AC42" i="90" s="1"/>
  <c r="AC45" i="90" s="1"/>
  <c r="AJ37" i="90"/>
  <c r="AJ38" i="90" s="1"/>
  <c r="AJ39" i="90" s="1"/>
  <c r="AJ42" i="90" s="1"/>
  <c r="AJ45" i="90" s="1"/>
  <c r="AP37" i="90"/>
  <c r="AP38" i="90" s="1"/>
  <c r="AP39" i="90" s="1"/>
  <c r="AP42" i="90" s="1"/>
  <c r="AP45" i="90" s="1"/>
  <c r="AK37" i="90"/>
  <c r="AK38" i="90" s="1"/>
  <c r="AK39" i="90" s="1"/>
  <c r="AK42" i="90" s="1"/>
  <c r="AK45" i="90" s="1"/>
  <c r="AQ54" i="90"/>
  <c r="AD37" i="90"/>
  <c r="AD38" i="90" s="1"/>
  <c r="AD39" i="90" s="1"/>
  <c r="AD42" i="90" s="1"/>
  <c r="AD45" i="90" s="1"/>
  <c r="K54" i="90"/>
  <c r="Y54" i="90"/>
  <c r="AL54" i="90"/>
  <c r="AR54" i="90"/>
  <c r="G54" i="90"/>
  <c r="AI54" i="90"/>
  <c r="V54" i="90"/>
  <c r="AS54" i="90"/>
  <c r="O54" i="90"/>
  <c r="AL37" i="90"/>
  <c r="AE54" i="90"/>
  <c r="AR37" i="90"/>
  <c r="AR38" i="90" s="1"/>
  <c r="AR39" i="90" s="1"/>
  <c r="AR42" i="90" s="1"/>
  <c r="AR45" i="90" s="1"/>
  <c r="S37" i="90"/>
  <c r="S38" i="90" s="1"/>
  <c r="S39" i="90" s="1"/>
  <c r="S42" i="90" s="1"/>
  <c r="S45" i="90" s="1"/>
  <c r="N37" i="90"/>
  <c r="N38" i="90" s="1"/>
  <c r="N39" i="90" s="1"/>
  <c r="N42" i="90" s="1"/>
  <c r="N45" i="90" s="1"/>
  <c r="AQ35" i="87"/>
  <c r="AI35" i="76"/>
  <c r="S35" i="87"/>
  <c r="AJ35" i="85"/>
  <c r="AD35" i="76"/>
  <c r="AQ35" i="76"/>
  <c r="AC35" i="76"/>
  <c r="AE35" i="76"/>
  <c r="AJ35" i="87"/>
  <c r="J35" i="87"/>
  <c r="AI35" i="87"/>
  <c r="O35" i="85"/>
  <c r="V35" i="76"/>
  <c r="T35" i="85"/>
  <c r="Y35" i="85"/>
  <c r="AP35" i="85"/>
  <c r="L35" i="76"/>
  <c r="J35" i="76"/>
  <c r="M35" i="87"/>
  <c r="AM35" i="87"/>
  <c r="X35" i="76"/>
  <c r="N35" i="76"/>
  <c r="AM35" i="85"/>
  <c r="R35" i="76"/>
  <c r="P35" i="76"/>
  <c r="G35" i="87"/>
  <c r="AN35" i="87"/>
  <c r="AO35" i="87"/>
  <c r="Q35" i="87"/>
  <c r="AB35" i="87"/>
  <c r="T35" i="76"/>
  <c r="X35" i="87"/>
  <c r="M35" i="85"/>
  <c r="AH35" i="85"/>
  <c r="AS35" i="85"/>
  <c r="AA35" i="85"/>
  <c r="AL35" i="85"/>
  <c r="AM35" i="76"/>
  <c r="R35" i="87"/>
  <c r="F35" i="87"/>
  <c r="I35" i="76"/>
  <c r="AD35" i="87"/>
  <c r="AN53" i="76"/>
  <c r="AN29" i="76" s="1"/>
  <c r="O53" i="87"/>
  <c r="O29" i="87" s="1"/>
  <c r="AH53" i="87"/>
  <c r="AH29" i="87" s="1"/>
  <c r="X53" i="85"/>
  <c r="X29" i="85" s="1"/>
  <c r="AU32" i="76"/>
  <c r="E35" i="76"/>
  <c r="AH53" i="76"/>
  <c r="AH29" i="76" s="1"/>
  <c r="P53" i="87"/>
  <c r="P29" i="87" s="1"/>
  <c r="P53" i="85"/>
  <c r="P29" i="85" s="1"/>
  <c r="AL53" i="87"/>
  <c r="AL29" i="87" s="1"/>
  <c r="AP53" i="76"/>
  <c r="AP29" i="76" s="1"/>
  <c r="K53" i="76"/>
  <c r="K29" i="76" s="1"/>
  <c r="AN35" i="76"/>
  <c r="O35" i="87"/>
  <c r="AC53" i="87"/>
  <c r="AC29" i="87" s="1"/>
  <c r="E35" i="85"/>
  <c r="AU32" i="85"/>
  <c r="AR53" i="85"/>
  <c r="AR29" i="85" s="1"/>
  <c r="X53" i="76"/>
  <c r="X29" i="76" s="1"/>
  <c r="N53" i="76"/>
  <c r="N29" i="76" s="1"/>
  <c r="AC35" i="85"/>
  <c r="H53" i="85"/>
  <c r="H29" i="85" s="1"/>
  <c r="AM53" i="85"/>
  <c r="AM29" i="85" s="1"/>
  <c r="AE35" i="85"/>
  <c r="AU34" i="76"/>
  <c r="E52" i="76"/>
  <c r="R53" i="76"/>
  <c r="R29" i="76" s="1"/>
  <c r="AF35" i="76"/>
  <c r="H35" i="76"/>
  <c r="P53" i="76"/>
  <c r="P29" i="76" s="1"/>
  <c r="AN53" i="87"/>
  <c r="AN29" i="87" s="1"/>
  <c r="AO53" i="87"/>
  <c r="AO29" i="87" s="1"/>
  <c r="AB53" i="87"/>
  <c r="AB29" i="87" s="1"/>
  <c r="Y53" i="87"/>
  <c r="Y29" i="87" s="1"/>
  <c r="U53" i="85"/>
  <c r="U29" i="85" s="1"/>
  <c r="AK35" i="85"/>
  <c r="T53" i="76"/>
  <c r="T29" i="76" s="1"/>
  <c r="Y35" i="76"/>
  <c r="M53" i="85"/>
  <c r="M29" i="85" s="1"/>
  <c r="J35" i="85"/>
  <c r="G35" i="85"/>
  <c r="F35" i="85"/>
  <c r="U53" i="76"/>
  <c r="U29" i="76" s="1"/>
  <c r="AM53" i="76"/>
  <c r="AM29" i="76" s="1"/>
  <c r="W35" i="76"/>
  <c r="F53" i="76"/>
  <c r="F29" i="76" s="1"/>
  <c r="Z35" i="87"/>
  <c r="AR53" i="87"/>
  <c r="AR29" i="87" s="1"/>
  <c r="I35" i="85"/>
  <c r="AF53" i="85"/>
  <c r="AF29" i="85" s="1"/>
  <c r="O53" i="76"/>
  <c r="O29" i="76" s="1"/>
  <c r="I53" i="76"/>
  <c r="I29" i="76" s="1"/>
  <c r="AO53" i="85"/>
  <c r="AO29" i="85" s="1"/>
  <c r="AJ53" i="76"/>
  <c r="AJ29" i="76" s="1"/>
  <c r="S53" i="76"/>
  <c r="S29" i="76" s="1"/>
  <c r="AG53" i="87"/>
  <c r="AG29" i="87" s="1"/>
  <c r="I53" i="87"/>
  <c r="I29" i="87" s="1"/>
  <c r="K53" i="85"/>
  <c r="K29" i="85" s="1"/>
  <c r="AG53" i="85"/>
  <c r="AG29" i="85" s="1"/>
  <c r="V53" i="87"/>
  <c r="V29" i="87" s="1"/>
  <c r="W53" i="85"/>
  <c r="W29" i="85" s="1"/>
  <c r="AU33" i="76"/>
  <c r="Q53" i="76"/>
  <c r="Q29" i="76" s="1"/>
  <c r="L53" i="87"/>
  <c r="L29" i="87" s="1"/>
  <c r="AK53" i="85"/>
  <c r="AK29" i="85" s="1"/>
  <c r="W53" i="76"/>
  <c r="W29" i="76" s="1"/>
  <c r="T53" i="87"/>
  <c r="T29" i="87" s="1"/>
  <c r="AA53" i="87"/>
  <c r="AA29" i="87" s="1"/>
  <c r="AO53" i="76"/>
  <c r="AO29" i="76" s="1"/>
  <c r="K53" i="87"/>
  <c r="K29" i="87" s="1"/>
  <c r="T53" i="85"/>
  <c r="T29" i="85" s="1"/>
  <c r="AD53" i="85"/>
  <c r="AD29" i="85" s="1"/>
  <c r="AR53" i="76"/>
  <c r="AR29" i="76" s="1"/>
  <c r="AG53" i="76"/>
  <c r="AG29" i="76" s="1"/>
  <c r="E35" i="87"/>
  <c r="AT32" i="87"/>
  <c r="AB35" i="85"/>
  <c r="V35" i="85"/>
  <c r="O53" i="85"/>
  <c r="O29" i="85" s="1"/>
  <c r="AQ35" i="85"/>
  <c r="Q35" i="85"/>
  <c r="AD35" i="85"/>
  <c r="AS35" i="76"/>
  <c r="K35" i="76"/>
  <c r="AR35" i="76"/>
  <c r="V53" i="76"/>
  <c r="V29" i="76" s="1"/>
  <c r="S35" i="76"/>
  <c r="J53" i="76"/>
  <c r="J29" i="76" s="1"/>
  <c r="AT33" i="87"/>
  <c r="AG35" i="87"/>
  <c r="J53" i="87"/>
  <c r="J29" i="87" s="1"/>
  <c r="M53" i="87"/>
  <c r="M29" i="87" s="1"/>
  <c r="AM53" i="87"/>
  <c r="AM29" i="87" s="1"/>
  <c r="I35" i="87"/>
  <c r="E18" i="69"/>
  <c r="AU33" i="85"/>
  <c r="K35" i="85"/>
  <c r="AG35" i="85"/>
  <c r="AI53" i="76"/>
  <c r="AI29" i="76" s="1"/>
  <c r="V35" i="87"/>
  <c r="U35" i="87"/>
  <c r="L53" i="85"/>
  <c r="L29" i="85" s="1"/>
  <c r="AJ53" i="85"/>
  <c r="AJ29" i="85" s="1"/>
  <c r="W35" i="85"/>
  <c r="H35" i="85"/>
  <c r="R53" i="85"/>
  <c r="R29" i="85" s="1"/>
  <c r="S35" i="85"/>
  <c r="Q35" i="76"/>
  <c r="AQ53" i="76"/>
  <c r="AQ29" i="76" s="1"/>
  <c r="AF53" i="76"/>
  <c r="AF29" i="76" s="1"/>
  <c r="G35" i="76"/>
  <c r="P35" i="87"/>
  <c r="AF35" i="87"/>
  <c r="G53" i="87"/>
  <c r="G29" i="87" s="1"/>
  <c r="AK53" i="87"/>
  <c r="AK29" i="87" s="1"/>
  <c r="N35" i="87"/>
  <c r="U35" i="85"/>
  <c r="AB35" i="76"/>
  <c r="X53" i="87"/>
  <c r="X29" i="87" s="1"/>
  <c r="AL35" i="87"/>
  <c r="AH53" i="85"/>
  <c r="AH29" i="85" s="1"/>
  <c r="AH37" i="85" s="1"/>
  <c r="N35" i="85"/>
  <c r="AS53" i="85"/>
  <c r="AS29" i="85" s="1"/>
  <c r="Z53" i="85"/>
  <c r="Z29" i="85" s="1"/>
  <c r="G53" i="85"/>
  <c r="G29" i="85" s="1"/>
  <c r="AP35" i="76"/>
  <c r="AL53" i="76"/>
  <c r="AL29" i="76" s="1"/>
  <c r="M35" i="76"/>
  <c r="Z53" i="76"/>
  <c r="Z29" i="76" s="1"/>
  <c r="AK35" i="76"/>
  <c r="F35" i="76"/>
  <c r="R53" i="87"/>
  <c r="R29" i="87" s="1"/>
  <c r="AE35" i="87"/>
  <c r="T35" i="87"/>
  <c r="AR35" i="87"/>
  <c r="AO35" i="76"/>
  <c r="K35" i="87"/>
  <c r="AN53" i="85"/>
  <c r="AN29" i="85" s="1"/>
  <c r="AA53" i="76"/>
  <c r="AA29" i="76" s="1"/>
  <c r="W53" i="87"/>
  <c r="W29" i="87" s="1"/>
  <c r="E19" i="69"/>
  <c r="E52" i="85"/>
  <c r="AU34" i="85"/>
  <c r="AI53" i="85"/>
  <c r="AI29" i="85" s="1"/>
  <c r="U53" i="87"/>
  <c r="U29" i="87" s="1"/>
  <c r="H53" i="76"/>
  <c r="H29" i="76" s="1"/>
  <c r="AP53" i="87"/>
  <c r="AP29" i="87" s="1"/>
  <c r="Y53" i="76"/>
  <c r="Y29" i="76" s="1"/>
  <c r="M53" i="76"/>
  <c r="M29" i="76" s="1"/>
  <c r="Z53" i="87"/>
  <c r="Z29" i="87" s="1"/>
  <c r="I53" i="85"/>
  <c r="I29" i="85" s="1"/>
  <c r="V53" i="85"/>
  <c r="V29" i="85" s="1"/>
  <c r="AQ53" i="85"/>
  <c r="AQ29" i="85" s="1"/>
  <c r="AP53" i="85"/>
  <c r="AP29" i="85" s="1"/>
  <c r="AA35" i="76"/>
  <c r="H35" i="87"/>
  <c r="W35" i="87"/>
  <c r="AN35" i="85"/>
  <c r="AB53" i="85"/>
  <c r="AB29" i="85" s="1"/>
  <c r="AO35" i="85"/>
  <c r="Y53" i="85"/>
  <c r="Y29" i="85" s="1"/>
  <c r="Q53" i="85"/>
  <c r="Q29" i="85" s="1"/>
  <c r="AS53" i="76"/>
  <c r="AS29" i="76" s="1"/>
  <c r="L53" i="76"/>
  <c r="L29" i="76" s="1"/>
  <c r="AJ35" i="76"/>
  <c r="AG35" i="76"/>
  <c r="AT34" i="87"/>
  <c r="E52" i="87"/>
  <c r="H53" i="87"/>
  <c r="H29" i="87" s="1"/>
  <c r="AI53" i="87"/>
  <c r="AI29" i="87" s="1"/>
  <c r="AC35" i="87"/>
  <c r="AR35" i="85"/>
  <c r="AI35" i="85"/>
  <c r="S53" i="87"/>
  <c r="S29" i="87" s="1"/>
  <c r="AH35" i="87"/>
  <c r="L35" i="85"/>
  <c r="AC53" i="85"/>
  <c r="AC29" i="85" s="1"/>
  <c r="X35" i="85"/>
  <c r="AE53" i="85"/>
  <c r="AE29" i="85" s="1"/>
  <c r="R35" i="85"/>
  <c r="S53" i="85"/>
  <c r="S29" i="85" s="1"/>
  <c r="AD53" i="76"/>
  <c r="AD29" i="76" s="1"/>
  <c r="AH35" i="76"/>
  <c r="AC53" i="76"/>
  <c r="AC29" i="76" s="1"/>
  <c r="AF53" i="87"/>
  <c r="AF29" i="87" s="1"/>
  <c r="L35" i="87"/>
  <c r="AK35" i="87"/>
  <c r="AP35" i="87"/>
  <c r="Q53" i="87"/>
  <c r="Q29" i="87" s="1"/>
  <c r="N53" i="87"/>
  <c r="N29" i="87" s="1"/>
  <c r="Y35" i="87"/>
  <c r="P35" i="85"/>
  <c r="AB53" i="76"/>
  <c r="AB29" i="76" s="1"/>
  <c r="AE53" i="76"/>
  <c r="AE29" i="76" s="1"/>
  <c r="AJ53" i="87"/>
  <c r="AJ29" i="87" s="1"/>
  <c r="N53" i="85"/>
  <c r="N29" i="85" s="1"/>
  <c r="J53" i="85"/>
  <c r="J29" i="85" s="1"/>
  <c r="AA53" i="85"/>
  <c r="AA29" i="85" s="1"/>
  <c r="Z35" i="85"/>
  <c r="AL53" i="85"/>
  <c r="AL29" i="85" s="1"/>
  <c r="U35" i="76"/>
  <c r="AL35" i="76"/>
  <c r="Z35" i="76"/>
  <c r="AK53" i="76"/>
  <c r="AK29" i="76" s="1"/>
  <c r="AE53" i="87"/>
  <c r="AE29" i="87" s="1"/>
  <c r="F53" i="87"/>
  <c r="F29" i="87" s="1"/>
  <c r="AA35" i="87"/>
  <c r="AF35" i="85"/>
  <c r="O35" i="76"/>
  <c r="AD53" i="87"/>
  <c r="AD29" i="87" s="1"/>
  <c r="AQ53" i="87"/>
  <c r="AQ29" i="87" s="1"/>
  <c r="AH38" i="85" l="1"/>
  <c r="AH39" i="85" s="1"/>
  <c r="AH42" i="85" s="1"/>
  <c r="AH45" i="85" s="1"/>
  <c r="AQ37" i="76"/>
  <c r="AQ39" i="76" s="1"/>
  <c r="AQ42" i="76" s="1"/>
  <c r="AQ45" i="76" s="1"/>
  <c r="AF39" i="90"/>
  <c r="AF42" i="90" s="1"/>
  <c r="AF45" i="90" s="1"/>
  <c r="AD37" i="87"/>
  <c r="AD38" i="87" s="1"/>
  <c r="AD39" i="87" s="1"/>
  <c r="AD42" i="87" s="1"/>
  <c r="AD45" i="87" s="1"/>
  <c r="X37" i="87"/>
  <c r="X38" i="87" s="1"/>
  <c r="X39" i="87" s="1"/>
  <c r="X42" i="87" s="1"/>
  <c r="X45" i="87" s="1"/>
  <c r="AJ37" i="85"/>
  <c r="O37" i="85"/>
  <c r="AS37" i="85"/>
  <c r="AS38" i="85" s="1"/>
  <c r="AS39" i="85" s="1"/>
  <c r="AS42" i="85" s="1"/>
  <c r="AS45" i="85" s="1"/>
  <c r="R38" i="90"/>
  <c r="R39" i="90" s="1"/>
  <c r="R42" i="90" s="1"/>
  <c r="R45" i="90" s="1"/>
  <c r="AE38" i="90"/>
  <c r="AE39" i="90" s="1"/>
  <c r="AE42" i="90" s="1"/>
  <c r="AE45" i="90" s="1"/>
  <c r="AL38" i="90"/>
  <c r="AL39" i="90" s="1"/>
  <c r="AL42" i="90" s="1"/>
  <c r="AL45" i="90" s="1"/>
  <c r="E54" i="90"/>
  <c r="AT54" i="90" s="1"/>
  <c r="AT53" i="90"/>
  <c r="E29" i="90"/>
  <c r="N37" i="85"/>
  <c r="AM38" i="90"/>
  <c r="AM39" i="90" s="1"/>
  <c r="AM42" i="90" s="1"/>
  <c r="AM45" i="90" s="1"/>
  <c r="Y37" i="85"/>
  <c r="AI37" i="76"/>
  <c r="AI39" i="76" s="1"/>
  <c r="AI42" i="76" s="1"/>
  <c r="AI45" i="76" s="1"/>
  <c r="T37" i="85"/>
  <c r="N37" i="76"/>
  <c r="N39" i="76" s="1"/>
  <c r="N42" i="76" s="1"/>
  <c r="N45" i="76" s="1"/>
  <c r="AB37" i="87"/>
  <c r="AB38" i="87" s="1"/>
  <c r="AB39" i="87" s="1"/>
  <c r="AB42" i="87" s="1"/>
  <c r="AB45" i="87" s="1"/>
  <c r="J37" i="76"/>
  <c r="J39" i="76" s="1"/>
  <c r="J42" i="76" s="1"/>
  <c r="J45" i="76" s="1"/>
  <c r="AQ37" i="87"/>
  <c r="AQ38" i="87" s="1"/>
  <c r="AQ39" i="87" s="1"/>
  <c r="AQ42" i="87" s="1"/>
  <c r="AQ45" i="87" s="1"/>
  <c r="J37" i="87"/>
  <c r="J38" i="87" s="1"/>
  <c r="J39" i="87" s="1"/>
  <c r="J42" i="87" s="1"/>
  <c r="J45" i="87" s="1"/>
  <c r="N37" i="87"/>
  <c r="N38" i="87" s="1"/>
  <c r="N39" i="87" s="1"/>
  <c r="N42" i="87" s="1"/>
  <c r="N45" i="87" s="1"/>
  <c r="G37" i="87"/>
  <c r="G38" i="87" s="1"/>
  <c r="G39" i="87" s="1"/>
  <c r="G42" i="87" s="1"/>
  <c r="G45" i="87" s="1"/>
  <c r="T37" i="76"/>
  <c r="T39" i="76" s="1"/>
  <c r="T42" i="76" s="1"/>
  <c r="T45" i="76" s="1"/>
  <c r="AM37" i="76"/>
  <c r="AM39" i="76" s="1"/>
  <c r="AM42" i="76" s="1"/>
  <c r="AM45" i="76" s="1"/>
  <c r="F37" i="87"/>
  <c r="F38" i="87" s="1"/>
  <c r="F39" i="87" s="1"/>
  <c r="F42" i="87" s="1"/>
  <c r="F45" i="87" s="1"/>
  <c r="AE37" i="85"/>
  <c r="AO37" i="87"/>
  <c r="AO38" i="87" s="1"/>
  <c r="AO39" i="87" s="1"/>
  <c r="AO42" i="87" s="1"/>
  <c r="AO45" i="87" s="1"/>
  <c r="AL37" i="85"/>
  <c r="Q37" i="87"/>
  <c r="Q38" i="87" s="1"/>
  <c r="Q39" i="87" s="1"/>
  <c r="Q42" i="87" s="1"/>
  <c r="Q45" i="87" s="1"/>
  <c r="M37" i="85"/>
  <c r="AH54" i="87"/>
  <c r="O54" i="87"/>
  <c r="AC37" i="76"/>
  <c r="AC39" i="76" s="1"/>
  <c r="AC42" i="76" s="1"/>
  <c r="AC45" i="76" s="1"/>
  <c r="AN37" i="87"/>
  <c r="AN38" i="87" s="1"/>
  <c r="AN39" i="87" s="1"/>
  <c r="AN42" i="87" s="1"/>
  <c r="AN45" i="87" s="1"/>
  <c r="R37" i="76"/>
  <c r="R39" i="76" s="1"/>
  <c r="R42" i="76" s="1"/>
  <c r="R45" i="76" s="1"/>
  <c r="AA37" i="85"/>
  <c r="AE37" i="76"/>
  <c r="AE39" i="76" s="1"/>
  <c r="AE42" i="76" s="1"/>
  <c r="AE45" i="76" s="1"/>
  <c r="AD37" i="76"/>
  <c r="AD39" i="76" s="1"/>
  <c r="AD42" i="76" s="1"/>
  <c r="AD45" i="76" s="1"/>
  <c r="AP37" i="85"/>
  <c r="AM37" i="85"/>
  <c r="AJ37" i="87"/>
  <c r="AJ38" i="87" s="1"/>
  <c r="AJ39" i="87" s="1"/>
  <c r="AJ42" i="87" s="1"/>
  <c r="AJ45" i="87" s="1"/>
  <c r="AM37" i="87"/>
  <c r="AM38" i="87" s="1"/>
  <c r="AM39" i="87" s="1"/>
  <c r="AM42" i="87" s="1"/>
  <c r="AM45" i="87" s="1"/>
  <c r="S37" i="87"/>
  <c r="S38" i="87" s="1"/>
  <c r="S39" i="87" s="1"/>
  <c r="S42" i="87" s="1"/>
  <c r="S45" i="87" s="1"/>
  <c r="AI37" i="87"/>
  <c r="AI38" i="87" s="1"/>
  <c r="AI39" i="87" s="1"/>
  <c r="AI42" i="87" s="1"/>
  <c r="AI45" i="87" s="1"/>
  <c r="R37" i="87"/>
  <c r="R38" i="87" s="1"/>
  <c r="R39" i="87" s="1"/>
  <c r="R42" i="87" s="1"/>
  <c r="R45" i="87" s="1"/>
  <c r="M37" i="87"/>
  <c r="M38" i="87" s="1"/>
  <c r="M39" i="87" s="1"/>
  <c r="M42" i="87" s="1"/>
  <c r="M45" i="87" s="1"/>
  <c r="L37" i="76"/>
  <c r="L39" i="76" s="1"/>
  <c r="L42" i="76" s="1"/>
  <c r="L45" i="76" s="1"/>
  <c r="V37" i="76"/>
  <c r="V39" i="76" s="1"/>
  <c r="V42" i="76" s="1"/>
  <c r="V45" i="76" s="1"/>
  <c r="K54" i="87"/>
  <c r="I37" i="76"/>
  <c r="I39" i="76" s="1"/>
  <c r="I42" i="76" s="1"/>
  <c r="I45" i="76" s="1"/>
  <c r="P37" i="76"/>
  <c r="P39" i="76" s="1"/>
  <c r="P42" i="76" s="1"/>
  <c r="P45" i="76" s="1"/>
  <c r="X37" i="76"/>
  <c r="X39" i="76" s="1"/>
  <c r="X42" i="76" s="1"/>
  <c r="X45" i="76" s="1"/>
  <c r="M37" i="76"/>
  <c r="M39" i="76" s="1"/>
  <c r="M42" i="76" s="1"/>
  <c r="M45" i="76" s="1"/>
  <c r="X54" i="87"/>
  <c r="AE54" i="87"/>
  <c r="AB54" i="87"/>
  <c r="V37" i="85"/>
  <c r="J54" i="76"/>
  <c r="I54" i="76"/>
  <c r="G54" i="76"/>
  <c r="P54" i="85"/>
  <c r="X54" i="85"/>
  <c r="AB37" i="85"/>
  <c r="I37" i="85"/>
  <c r="Q37" i="85"/>
  <c r="AN54" i="76"/>
  <c r="F54" i="85"/>
  <c r="U54" i="76"/>
  <c r="AF37" i="87"/>
  <c r="AF38" i="87" s="1"/>
  <c r="AF39" i="87" s="1"/>
  <c r="AF42" i="87" s="1"/>
  <c r="AF45" i="87" s="1"/>
  <c r="H37" i="85"/>
  <c r="H54" i="76"/>
  <c r="AL54" i="76"/>
  <c r="Z54" i="85"/>
  <c r="G54" i="87"/>
  <c r="H37" i="76"/>
  <c r="H39" i="76" s="1"/>
  <c r="H42" i="76" s="1"/>
  <c r="H45" i="76" s="1"/>
  <c r="L54" i="85"/>
  <c r="AI54" i="76"/>
  <c r="V54" i="76"/>
  <c r="O54" i="85"/>
  <c r="AG54" i="76"/>
  <c r="AF54" i="85"/>
  <c r="T54" i="76"/>
  <c r="U54" i="85"/>
  <c r="AM54" i="85"/>
  <c r="S37" i="85"/>
  <c r="AC37" i="85"/>
  <c r="AQ37" i="85"/>
  <c r="Z37" i="87"/>
  <c r="Z38" i="87" s="1"/>
  <c r="Z39" i="87" s="1"/>
  <c r="Z42" i="87" s="1"/>
  <c r="Z45" i="87" s="1"/>
  <c r="K54" i="85"/>
  <c r="AK37" i="85"/>
  <c r="AJ54" i="87"/>
  <c r="V54" i="85"/>
  <c r="W37" i="87"/>
  <c r="W38" i="87" s="1"/>
  <c r="W39" i="87" s="1"/>
  <c r="W42" i="87" s="1"/>
  <c r="W45" i="87" s="1"/>
  <c r="W54" i="76"/>
  <c r="V54" i="87"/>
  <c r="AJ54" i="76"/>
  <c r="M54" i="85"/>
  <c r="AP54" i="76"/>
  <c r="AQ54" i="87"/>
  <c r="AB54" i="76"/>
  <c r="N54" i="87"/>
  <c r="AC54" i="85"/>
  <c r="S54" i="87"/>
  <c r="Y54" i="85"/>
  <c r="AP54" i="85"/>
  <c r="AP54" i="87"/>
  <c r="AA54" i="76"/>
  <c r="R54" i="87"/>
  <c r="Z54" i="76"/>
  <c r="AF54" i="76"/>
  <c r="AM54" i="87"/>
  <c r="J54" i="87"/>
  <c r="AA54" i="87"/>
  <c r="W37" i="85"/>
  <c r="AK37" i="76"/>
  <c r="AK39" i="76" s="1"/>
  <c r="AK42" i="76" s="1"/>
  <c r="AK45" i="76" s="1"/>
  <c r="AB37" i="76"/>
  <c r="AB39" i="76" s="1"/>
  <c r="AB42" i="76" s="1"/>
  <c r="AB45" i="76" s="1"/>
  <c r="AS54" i="76"/>
  <c r="Y54" i="76"/>
  <c r="U37" i="87"/>
  <c r="U38" i="87" s="1"/>
  <c r="U39" i="87" s="1"/>
  <c r="U42" i="87" s="1"/>
  <c r="U45" i="87" s="1"/>
  <c r="AF37" i="76"/>
  <c r="AF39" i="76" s="1"/>
  <c r="AF42" i="76" s="1"/>
  <c r="AF45" i="76" s="1"/>
  <c r="R37" i="85"/>
  <c r="AR37" i="76"/>
  <c r="AL54" i="87"/>
  <c r="P54" i="87"/>
  <c r="AH54" i="76"/>
  <c r="AF54" i="87"/>
  <c r="AD54" i="76"/>
  <c r="H54" i="87"/>
  <c r="Z54" i="87"/>
  <c r="Y37" i="76"/>
  <c r="Y39" i="76" s="1"/>
  <c r="Y42" i="76" s="1"/>
  <c r="Y45" i="76" s="1"/>
  <c r="AI54" i="85"/>
  <c r="F19" i="69"/>
  <c r="AN37" i="85"/>
  <c r="G37" i="85"/>
  <c r="AD54" i="85"/>
  <c r="L54" i="87"/>
  <c r="D20" i="69"/>
  <c r="AG54" i="87"/>
  <c r="AR37" i="87"/>
  <c r="AR38" i="87" s="1"/>
  <c r="AR39" i="87" s="1"/>
  <c r="AR42" i="87" s="1"/>
  <c r="AR45" i="87" s="1"/>
  <c r="AN54" i="87"/>
  <c r="X54" i="76"/>
  <c r="E37" i="69"/>
  <c r="E53" i="85"/>
  <c r="E54" i="85" s="1"/>
  <c r="AU35" i="76"/>
  <c r="J54" i="85"/>
  <c r="H37" i="87"/>
  <c r="H38" i="87" s="1"/>
  <c r="H39" i="87" s="1"/>
  <c r="H42" i="87" s="1"/>
  <c r="H45" i="87" s="1"/>
  <c r="AS37" i="76"/>
  <c r="AS38" i="76" s="1"/>
  <c r="AS39" i="76" s="1"/>
  <c r="AS42" i="76" s="1"/>
  <c r="AS45" i="76" s="1"/>
  <c r="AA37" i="76"/>
  <c r="AA39" i="76" s="1"/>
  <c r="AA42" i="76" s="1"/>
  <c r="AA45" i="76" s="1"/>
  <c r="AL37" i="76"/>
  <c r="AL39" i="76" s="1"/>
  <c r="AL42" i="76" s="1"/>
  <c r="AL45" i="76" s="1"/>
  <c r="AG37" i="76"/>
  <c r="AG39" i="76" s="1"/>
  <c r="AG42" i="76" s="1"/>
  <c r="AG45" i="76" s="1"/>
  <c r="AD37" i="85"/>
  <c r="K37" i="87"/>
  <c r="K38" i="87" s="1"/>
  <c r="K39" i="87" s="1"/>
  <c r="K42" i="87" s="1"/>
  <c r="K45" i="87" s="1"/>
  <c r="AA37" i="87"/>
  <c r="AA38" i="87" s="1"/>
  <c r="AA39" i="87" s="1"/>
  <c r="AA42" i="87" s="1"/>
  <c r="AA45" i="87" s="1"/>
  <c r="W37" i="76"/>
  <c r="W39" i="76" s="1"/>
  <c r="W42" i="76" s="1"/>
  <c r="W45" i="76" s="1"/>
  <c r="L37" i="87"/>
  <c r="L38" i="87" s="1"/>
  <c r="L39" i="87" s="1"/>
  <c r="L42" i="87" s="1"/>
  <c r="L45" i="87" s="1"/>
  <c r="V37" i="87"/>
  <c r="V38" i="87" s="1"/>
  <c r="V39" i="87" s="1"/>
  <c r="V42" i="87" s="1"/>
  <c r="V45" i="87" s="1"/>
  <c r="K37" i="85"/>
  <c r="AG37" i="87"/>
  <c r="AG38" i="87" s="1"/>
  <c r="AG39" i="87" s="1"/>
  <c r="AG42" i="87" s="1"/>
  <c r="AG45" i="87" s="1"/>
  <c r="AJ37" i="76"/>
  <c r="AJ39" i="76" s="1"/>
  <c r="AJ42" i="76" s="1"/>
  <c r="AJ45" i="76" s="1"/>
  <c r="AF37" i="85"/>
  <c r="U37" i="76"/>
  <c r="U39" i="76" s="1"/>
  <c r="U42" i="76" s="1"/>
  <c r="U45" i="76" s="1"/>
  <c r="U37" i="85"/>
  <c r="AU52" i="76"/>
  <c r="E53" i="76"/>
  <c r="E54" i="76" s="1"/>
  <c r="AU35" i="85"/>
  <c r="AP37" i="76"/>
  <c r="AP39" i="76" s="1"/>
  <c r="AP42" i="76" s="1"/>
  <c r="AP45" i="76" s="1"/>
  <c r="P37" i="85"/>
  <c r="G39" i="76"/>
  <c r="G42" i="76" s="1"/>
  <c r="AH37" i="87"/>
  <c r="AH38" i="87" s="1"/>
  <c r="AH39" i="87" s="1"/>
  <c r="AH42" i="87" s="1"/>
  <c r="AH45" i="87" s="1"/>
  <c r="O37" i="87"/>
  <c r="O38" i="87" s="1"/>
  <c r="O39" i="87" s="1"/>
  <c r="O42" i="87" s="1"/>
  <c r="O45" i="87" s="1"/>
  <c r="AD54" i="87"/>
  <c r="AE37" i="87"/>
  <c r="AE38" i="87" s="1"/>
  <c r="AE39" i="87" s="1"/>
  <c r="AE42" i="87" s="1"/>
  <c r="AE45" i="87" s="1"/>
  <c r="AL54" i="85"/>
  <c r="J37" i="85"/>
  <c r="AC54" i="76"/>
  <c r="AE54" i="85"/>
  <c r="AI54" i="87"/>
  <c r="E53" i="87"/>
  <c r="E54" i="87" s="1"/>
  <c r="AT52" i="87"/>
  <c r="L54" i="76"/>
  <c r="Q54" i="85"/>
  <c r="AP37" i="87"/>
  <c r="AP38" i="87" s="1"/>
  <c r="AP39" i="87" s="1"/>
  <c r="AP42" i="87" s="1"/>
  <c r="AP45" i="87" s="1"/>
  <c r="AI37" i="85"/>
  <c r="W54" i="87"/>
  <c r="AN54" i="85"/>
  <c r="Z37" i="76"/>
  <c r="Z39" i="76" s="1"/>
  <c r="Z42" i="76" s="1"/>
  <c r="Z45" i="76" s="1"/>
  <c r="Z37" i="85"/>
  <c r="AH54" i="85"/>
  <c r="AK54" i="87"/>
  <c r="L37" i="85"/>
  <c r="F18" i="69"/>
  <c r="E20" i="69"/>
  <c r="M54" i="87"/>
  <c r="AR54" i="76"/>
  <c r="T54" i="85"/>
  <c r="AO54" i="76"/>
  <c r="T54" i="87"/>
  <c r="AK54" i="85"/>
  <c r="Q54" i="76"/>
  <c r="W54" i="85"/>
  <c r="AG54" i="85"/>
  <c r="I54" i="87"/>
  <c r="S54" i="76"/>
  <c r="AO54" i="85"/>
  <c r="O54" i="76"/>
  <c r="F54" i="76"/>
  <c r="AM54" i="76"/>
  <c r="Y54" i="87"/>
  <c r="AO54" i="87"/>
  <c r="N54" i="76"/>
  <c r="AR54" i="85"/>
  <c r="AC54" i="87"/>
  <c r="K54" i="76"/>
  <c r="F54" i="87"/>
  <c r="AK54" i="76"/>
  <c r="AA54" i="85"/>
  <c r="N54" i="85"/>
  <c r="AE54" i="76"/>
  <c r="Q54" i="87"/>
  <c r="S54" i="85"/>
  <c r="AB54" i="85"/>
  <c r="AQ54" i="85"/>
  <c r="I54" i="85"/>
  <c r="M54" i="76"/>
  <c r="U54" i="87"/>
  <c r="G54" i="85"/>
  <c r="AS54" i="85"/>
  <c r="AK37" i="87"/>
  <c r="AK38" i="87" s="1"/>
  <c r="AK39" i="87" s="1"/>
  <c r="AK42" i="87" s="1"/>
  <c r="AK45" i="87" s="1"/>
  <c r="AQ54" i="76"/>
  <c r="R54" i="85"/>
  <c r="AJ54" i="85"/>
  <c r="AT35" i="87"/>
  <c r="AO37" i="76"/>
  <c r="AO39" i="76" s="1"/>
  <c r="AO42" i="76" s="1"/>
  <c r="AO45" i="76" s="1"/>
  <c r="T37" i="87"/>
  <c r="T38" i="87" s="1"/>
  <c r="T39" i="87" s="1"/>
  <c r="T42" i="87" s="1"/>
  <c r="T45" i="87" s="1"/>
  <c r="Q37" i="76"/>
  <c r="Q39" i="76" s="1"/>
  <c r="Q42" i="76" s="1"/>
  <c r="Q45" i="76" s="1"/>
  <c r="AG37" i="85"/>
  <c r="I37" i="87"/>
  <c r="I38" i="87" s="1"/>
  <c r="I39" i="87" s="1"/>
  <c r="I42" i="87" s="1"/>
  <c r="I45" i="87" s="1"/>
  <c r="S37" i="76"/>
  <c r="S39" i="76" s="1"/>
  <c r="S42" i="76" s="1"/>
  <c r="S45" i="76" s="1"/>
  <c r="AO37" i="85"/>
  <c r="O37" i="76"/>
  <c r="O39" i="76" s="1"/>
  <c r="O42" i="76" s="1"/>
  <c r="O45" i="76" s="1"/>
  <c r="AR54" i="87"/>
  <c r="F37" i="76"/>
  <c r="F38" i="76" s="1"/>
  <c r="F39" i="76" s="1"/>
  <c r="F42" i="76" s="1"/>
  <c r="F45" i="76" s="1"/>
  <c r="Y37" i="87"/>
  <c r="Y38" i="87" s="1"/>
  <c r="Y39" i="87" s="1"/>
  <c r="Y42" i="87" s="1"/>
  <c r="Y45" i="87" s="1"/>
  <c r="P54" i="76"/>
  <c r="R54" i="76"/>
  <c r="H54" i="85"/>
  <c r="AR37" i="85"/>
  <c r="AC37" i="87"/>
  <c r="AC38" i="87" s="1"/>
  <c r="AC39" i="87" s="1"/>
  <c r="AC42" i="87" s="1"/>
  <c r="AC45" i="87" s="1"/>
  <c r="K37" i="76"/>
  <c r="K39" i="76" s="1"/>
  <c r="K42" i="76" s="1"/>
  <c r="K45" i="76" s="1"/>
  <c r="AL37" i="87"/>
  <c r="AL38" i="87" s="1"/>
  <c r="AL39" i="87" s="1"/>
  <c r="AL42" i="87" s="1"/>
  <c r="AL45" i="87" s="1"/>
  <c r="P37" i="87"/>
  <c r="P38" i="87" s="1"/>
  <c r="P39" i="87" s="1"/>
  <c r="P42" i="87" s="1"/>
  <c r="P45" i="87" s="1"/>
  <c r="AH37" i="76"/>
  <c r="AH39" i="76" s="1"/>
  <c r="AH42" i="76" s="1"/>
  <c r="AH45" i="76" s="1"/>
  <c r="X37" i="85"/>
  <c r="AN37" i="76"/>
  <c r="AN39" i="76" s="1"/>
  <c r="AN42" i="76" s="1"/>
  <c r="AN45" i="76" s="1"/>
  <c r="AR38" i="76" l="1"/>
  <c r="AR39" i="76" s="1"/>
  <c r="AR42" i="76" s="1"/>
  <c r="AR45" i="76" s="1"/>
  <c r="Q38" i="85"/>
  <c r="Q39" i="85" s="1"/>
  <c r="Q42" i="85" s="1"/>
  <c r="Q45" i="85" s="1"/>
  <c r="K38" i="85"/>
  <c r="K39" i="85" s="1"/>
  <c r="K42" i="85" s="1"/>
  <c r="K45" i="85" s="1"/>
  <c r="S38" i="85"/>
  <c r="S39" i="85" s="1"/>
  <c r="S42" i="85" s="1"/>
  <c r="S45" i="85" s="1"/>
  <c r="I39" i="85"/>
  <c r="I42" i="85" s="1"/>
  <c r="I45" i="85" s="1"/>
  <c r="I38" i="85"/>
  <c r="H38" i="85"/>
  <c r="H39" i="85" s="1"/>
  <c r="H42" i="85" s="1"/>
  <c r="H45" i="85" s="1"/>
  <c r="U38" i="85"/>
  <c r="U39" i="85" s="1"/>
  <c r="U42" i="85" s="1"/>
  <c r="U45" i="85" s="1"/>
  <c r="W38" i="85"/>
  <c r="W39" i="85" s="1"/>
  <c r="W42" i="85" s="1"/>
  <c r="W45" i="85" s="1"/>
  <c r="M38" i="85"/>
  <c r="M39" i="85" s="1"/>
  <c r="M42" i="85" s="1"/>
  <c r="M45" i="85" s="1"/>
  <c r="L38" i="85"/>
  <c r="L39" i="85" s="1"/>
  <c r="L42" i="85" s="1"/>
  <c r="L45" i="85" s="1"/>
  <c r="J38" i="85"/>
  <c r="J39" i="85" s="1"/>
  <c r="J42" i="85" s="1"/>
  <c r="J45" i="85" s="1"/>
  <c r="O38" i="85"/>
  <c r="O39" i="85" s="1"/>
  <c r="O42" i="85" s="1"/>
  <c r="O45" i="85" s="1"/>
  <c r="AN38" i="85"/>
  <c r="AN39" i="85" s="1"/>
  <c r="AN42" i="85" s="1"/>
  <c r="AN45" i="85" s="1"/>
  <c r="AC38" i="85"/>
  <c r="AC39" i="85" s="1"/>
  <c r="AC42" i="85" s="1"/>
  <c r="AC45" i="85" s="1"/>
  <c r="V38" i="85"/>
  <c r="V39" i="85" s="1"/>
  <c r="V42" i="85" s="1"/>
  <c r="V45" i="85" s="1"/>
  <c r="AP38" i="85"/>
  <c r="AP39" i="85" s="1"/>
  <c r="AP42" i="85" s="1"/>
  <c r="AP45" i="85" s="1"/>
  <c r="T38" i="85"/>
  <c r="T39" i="85" s="1"/>
  <c r="T42" i="85" s="1"/>
  <c r="T45" i="85" s="1"/>
  <c r="AO38" i="85"/>
  <c r="AO39" i="85" s="1"/>
  <c r="AO42" i="85" s="1"/>
  <c r="AO45" i="85" s="1"/>
  <c r="R38" i="85"/>
  <c r="R39" i="85" s="1"/>
  <c r="R42" i="85" s="1"/>
  <c r="R45" i="85" s="1"/>
  <c r="AK38" i="85"/>
  <c r="AK39" i="85" s="1"/>
  <c r="AK42" i="85" s="1"/>
  <c r="AK45" i="85" s="1"/>
  <c r="Y38" i="85"/>
  <c r="Y39" i="85" s="1"/>
  <c r="Y42" i="85" s="1"/>
  <c r="Y45" i="85" s="1"/>
  <c r="Z38" i="85"/>
  <c r="Z39" i="85" s="1"/>
  <c r="Z42" i="85" s="1"/>
  <c r="Z45" i="85" s="1"/>
  <c r="F39" i="85"/>
  <c r="F42" i="85" s="1"/>
  <c r="AB38" i="85"/>
  <c r="AB39" i="85" s="1"/>
  <c r="AB42" i="85" s="1"/>
  <c r="AB45" i="85" s="1"/>
  <c r="X38" i="85"/>
  <c r="X39" i="85" s="1"/>
  <c r="X42" i="85" s="1"/>
  <c r="X45" i="85" s="1"/>
  <c r="AF38" i="85"/>
  <c r="AF39" i="85" s="1"/>
  <c r="AF42" i="85" s="1"/>
  <c r="AF45" i="85" s="1"/>
  <c r="AA38" i="85"/>
  <c r="AA39" i="85" s="1"/>
  <c r="AA42" i="85" s="1"/>
  <c r="AA45" i="85" s="1"/>
  <c r="AL38" i="85"/>
  <c r="AL39" i="85" s="1"/>
  <c r="AL42" i="85" s="1"/>
  <c r="AL45" i="85" s="1"/>
  <c r="G38" i="85"/>
  <c r="G39" i="85" s="1"/>
  <c r="G42" i="85" s="1"/>
  <c r="G45" i="85" s="1"/>
  <c r="AQ38" i="85"/>
  <c r="AQ39" i="85" s="1"/>
  <c r="AQ42" i="85" s="1"/>
  <c r="AQ45" i="85" s="1"/>
  <c r="AE38" i="85"/>
  <c r="AE39" i="85" s="1"/>
  <c r="AE42" i="85" s="1"/>
  <c r="AE45" i="85" s="1"/>
  <c r="AJ38" i="85"/>
  <c r="AJ39" i="85" s="1"/>
  <c r="AJ42" i="85" s="1"/>
  <c r="AJ45" i="85" s="1"/>
  <c r="AM38" i="85"/>
  <c r="AM39" i="85" s="1"/>
  <c r="AM42" i="85" s="1"/>
  <c r="AM45" i="85" s="1"/>
  <c r="AR38" i="85"/>
  <c r="AR39" i="85" s="1"/>
  <c r="AR42" i="85" s="1"/>
  <c r="AR45" i="85" s="1"/>
  <c r="AG38" i="85"/>
  <c r="AG39" i="85" s="1"/>
  <c r="AG42" i="85" s="1"/>
  <c r="AG45" i="85" s="1"/>
  <c r="AI38" i="85"/>
  <c r="AI39" i="85" s="1"/>
  <c r="AI42" i="85" s="1"/>
  <c r="AI45" i="85" s="1"/>
  <c r="P38" i="85"/>
  <c r="P39" i="85" s="1"/>
  <c r="P42" i="85" s="1"/>
  <c r="P45" i="85" s="1"/>
  <c r="AD38" i="85"/>
  <c r="AD39" i="85" s="1"/>
  <c r="AD42" i="85" s="1"/>
  <c r="AD45" i="85" s="1"/>
  <c r="N38" i="85"/>
  <c r="N39" i="85" s="1"/>
  <c r="N42" i="85" s="1"/>
  <c r="N45" i="85" s="1"/>
  <c r="AT29" i="90"/>
  <c r="E37" i="90"/>
  <c r="G45" i="76"/>
  <c r="F20" i="69"/>
  <c r="D39" i="69"/>
  <c r="AU53" i="76"/>
  <c r="E29" i="76"/>
  <c r="AU54" i="76"/>
  <c r="AT53" i="87"/>
  <c r="E29" i="87"/>
  <c r="E38" i="69"/>
  <c r="E29" i="85"/>
  <c r="AT54" i="87"/>
  <c r="F37" i="69"/>
  <c r="F45" i="85" l="1"/>
  <c r="B12" i="67"/>
  <c r="E38" i="90"/>
  <c r="E39" i="90" s="1"/>
  <c r="AT37" i="90"/>
  <c r="F38" i="69"/>
  <c r="E37" i="76"/>
  <c r="AT29" i="87"/>
  <c r="E37" i="87"/>
  <c r="E14" i="69"/>
  <c r="AU29" i="85"/>
  <c r="E37" i="85"/>
  <c r="E39" i="69"/>
  <c r="F39" i="69" s="1"/>
  <c r="AT38" i="90" l="1"/>
  <c r="E42" i="90"/>
  <c r="AT39" i="90"/>
  <c r="F14" i="69"/>
  <c r="E22" i="69"/>
  <c r="AU37" i="85"/>
  <c r="E38" i="85"/>
  <c r="E38" i="76"/>
  <c r="AU37" i="76"/>
  <c r="AT37" i="87"/>
  <c r="E38" i="87"/>
  <c r="AT38" i="87" s="1"/>
  <c r="AT42" i="90" l="1"/>
  <c r="E45" i="90"/>
  <c r="E39" i="87"/>
  <c r="F27" i="77" s="1"/>
  <c r="F28" i="77" s="1"/>
  <c r="D24" i="69"/>
  <c r="D27" i="69" s="1"/>
  <c r="AU38" i="76"/>
  <c r="E39" i="76"/>
  <c r="E39" i="85"/>
  <c r="E23" i="69"/>
  <c r="AU38" i="85"/>
  <c r="F22" i="69"/>
  <c r="AT39" i="87" l="1"/>
  <c r="E42" i="87"/>
  <c r="E45" i="87" s="1"/>
  <c r="F23" i="69"/>
  <c r="D6" i="69"/>
  <c r="E24" i="69"/>
  <c r="F24" i="69" s="1"/>
  <c r="E42" i="76"/>
  <c r="AU39" i="76"/>
  <c r="B14" i="67"/>
  <c r="AU39" i="85"/>
  <c r="E42" i="85"/>
  <c r="AT42" i="87"/>
  <c r="E27" i="69" l="1"/>
  <c r="AU42" i="85"/>
  <c r="E45" i="85"/>
  <c r="E30" i="69" s="1"/>
  <c r="E45" i="76"/>
  <c r="AU42" i="76"/>
  <c r="F27" i="69"/>
  <c r="E6" i="69" l="1"/>
  <c r="F6" i="69" s="1"/>
  <c r="E28" i="69"/>
  <c r="F30" i="69"/>
  <c r="B13" i="67" l="1"/>
  <c r="B15" i="67" s="1"/>
</calcChain>
</file>

<file path=xl/sharedStrings.xml><?xml version="1.0" encoding="utf-8"?>
<sst xmlns="http://schemas.openxmlformats.org/spreadsheetml/2006/main" count="774" uniqueCount="261">
  <si>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</si>
  <si>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</si>
  <si>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</si>
  <si>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</si>
  <si>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</si>
  <si>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</si>
  <si>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</si>
  <si>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</si>
  <si>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</si>
  <si>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</si>
  <si>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</si>
  <si>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</si>
  <si>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</si>
  <si>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</si>
  <si>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</si>
  <si>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</si>
  <si>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</si>
  <si>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</si>
  <si>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</si>
  <si>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</si>
  <si>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</si>
  <si>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</si>
  <si>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</si>
  <si>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</si>
  <si>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</si>
  <si>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</si>
  <si>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</si>
  <si>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</si>
  <si>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</si>
  <si>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</si>
  <si>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</si>
  <si>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</si>
  <si>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</si>
  <si>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</si>
  <si>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</si>
  <si>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</si>
  <si>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</si>
  <si>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</si>
  <si>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</si>
  <si>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</si>
  <si>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</si>
  <si>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</si>
  <si>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</si>
  <si>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</si>
  <si>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</si>
  <si>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</si>
  <si>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</si>
  <si>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</si>
  <si>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</si>
  <si>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</si>
  <si>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</si>
  <si>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</si>
  <si>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</si>
  <si>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</si>
  <si>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</si>
  <si>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</si>
  <si>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</si>
  <si>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</si>
  <si>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</si>
  <si>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</si>
  <si>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</si>
  <si>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</si>
  <si>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</si>
  <si>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</si>
  <si>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</si>
  <si>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</si>
  <si>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</si>
  <si>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</si>
  <si>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</si>
  <si>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</si>
  <si>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</si>
  <si>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</si>
  <si>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</si>
  <si>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</si>
  <si>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</si>
  <si>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</si>
  <si>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</si>
  <si>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</si>
  <si>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Mains</t>
  </si>
  <si>
    <t>Services</t>
  </si>
  <si>
    <t>Total</t>
  </si>
  <si>
    <t>Main</t>
  </si>
  <si>
    <t>WEIGHTED AVERAGE COMPOSITE RATE</t>
  </si>
  <si>
    <t>R.10015.03.04.01</t>
  </si>
  <si>
    <t>Program Years</t>
  </si>
  <si>
    <t>True Up Amount</t>
  </si>
  <si>
    <t>Year</t>
  </si>
  <si>
    <t>Check</t>
  </si>
  <si>
    <t>Table</t>
  </si>
  <si>
    <t>Apply 50% Bonus</t>
  </si>
  <si>
    <t>Apply 40% Bonus</t>
  </si>
  <si>
    <t>LINE</t>
  </si>
  <si>
    <t>NO.</t>
  </si>
  <si>
    <t>DESCRIPTION</t>
  </si>
  <si>
    <t>RATE</t>
  </si>
  <si>
    <t>BAD DEBTS</t>
  </si>
  <si>
    <t>ANNUAL FILING FEE</t>
  </si>
  <si>
    <t>SUM OF TAXES OTHER</t>
  </si>
  <si>
    <t>CONVERSION FACTOR EXCLUDING FEDERAL INCOME TAX ( 1 - LINE 5)</t>
  </si>
  <si>
    <t>FEDERAL INCOME TAX ( LINE 7 * 35%)</t>
  </si>
  <si>
    <t xml:space="preserve">CONVERSION FACTOR INCL FEDERAL INCOME TAX ( LINE 5 + LINE 8 ) </t>
  </si>
  <si>
    <t>Current Year</t>
  </si>
  <si>
    <t>Pre Tax Long and Short Term Debt</t>
  </si>
  <si>
    <t>Year 38</t>
  </si>
  <si>
    <t>Year 39</t>
  </si>
  <si>
    <t>Year 40</t>
  </si>
  <si>
    <t>Partial Year 41</t>
  </si>
  <si>
    <t>Per Depreciation Study Adjustment</t>
  </si>
  <si>
    <t>ACCOUNT</t>
  </si>
  <si>
    <t>Pre Jan 1, 2018</t>
  </si>
  <si>
    <t>17 GRC rate, Jan 1, 2018</t>
  </si>
  <si>
    <t>NUMBER</t>
  </si>
  <si>
    <t>%</t>
  </si>
  <si>
    <t xml:space="preserve">MAINS - PLASTIC                           </t>
  </si>
  <si>
    <t>SERVICES - PLASTIC</t>
  </si>
  <si>
    <t>Page 3.04</t>
  </si>
  <si>
    <t>PUGET SOUND ENERGY-ELECTRIC</t>
  </si>
  <si>
    <t>FOR THE TWELVE MONTHS ENDED SEPTEMBER 30, 2016</t>
  </si>
  <si>
    <t>STATE UTILITY TAX - NET OF BAD DEBTS ( 3.8734% - ( LINE 1 * 3.8734%) )</t>
  </si>
  <si>
    <t>CONVERSION FACTOR - GAS</t>
  </si>
  <si>
    <t>Revenue Sensitive Items Rate</t>
  </si>
  <si>
    <t>Rates beginning November 1, 2019</t>
  </si>
  <si>
    <t>2018 - 2019</t>
  </si>
  <si>
    <t>Depreciation, Capital Spendings</t>
  </si>
  <si>
    <t>O&amp;M</t>
  </si>
  <si>
    <t>WBS</t>
  </si>
  <si>
    <t>Buried Meters mitigations</t>
  </si>
  <si>
    <t>R.99999.04.20.03</t>
  </si>
  <si>
    <t>Legacy Cross Bore inspections</t>
  </si>
  <si>
    <t>R.99999.04.37.10</t>
  </si>
  <si>
    <t>Legacy Cross Bore repairs</t>
  </si>
  <si>
    <t>R.99999.04.37.11</t>
  </si>
  <si>
    <t>CAPITAL</t>
  </si>
  <si>
    <t>Buried Meters replacements</t>
  </si>
  <si>
    <t>R.10015.03.09.15</t>
  </si>
  <si>
    <t>DuPont Pipe Replacement Program</t>
  </si>
  <si>
    <t>Total for all programs</t>
  </si>
  <si>
    <t>Depr. Exp</t>
  </si>
  <si>
    <t>Program</t>
  </si>
  <si>
    <t>Total O&amp;M Rev Req</t>
  </si>
  <si>
    <t>Total Cost of Service (Capital)</t>
  </si>
  <si>
    <t>2019 - 2020</t>
  </si>
  <si>
    <t>Total True up</t>
  </si>
  <si>
    <t>InfraSource Labor</t>
  </si>
  <si>
    <t>HydroMax Labor</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</si>
  <si>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</si>
  <si>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</si>
  <si>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</si>
  <si>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</si>
  <si>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</si>
  <si>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</si>
  <si>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</si>
  <si>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</si>
  <si>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</si>
  <si>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</si>
  <si>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</si>
  <si>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</si>
  <si>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</si>
  <si>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</si>
  <si>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</si>
  <si>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</si>
  <si>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</si>
  <si>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</si>
  <si>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</si>
  <si>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</si>
  <si>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2019 GRC Compliance Filing</t>
  </si>
  <si>
    <t>2017 GRC</t>
  </si>
  <si>
    <t>2019 GRC</t>
  </si>
  <si>
    <t xml:space="preserve">O &amp; M </t>
  </si>
  <si>
    <t xml:space="preserve">Total O&amp;M </t>
  </si>
  <si>
    <t>Dupont Plastic Replacement</t>
  </si>
  <si>
    <t>Buried Meters Replacements</t>
  </si>
  <si>
    <t>R.99999.03.09.15</t>
  </si>
  <si>
    <t>Total Capital</t>
  </si>
  <si>
    <t>Total O&amp;M + CAPITAL</t>
  </si>
  <si>
    <t>FILED ON OCT 16, 2020</t>
  </si>
  <si>
    <t>2020 - 2021</t>
  </si>
  <si>
    <t>Total Capital from 2021 CRM tab</t>
  </si>
  <si>
    <t>PSE Labor</t>
  </si>
  <si>
    <t>Capital Investment</t>
  </si>
  <si>
    <t>Support the Depreciation Rate</t>
  </si>
  <si>
    <t>(a)</t>
  </si>
  <si>
    <t>(b)</t>
  </si>
  <si>
    <t>TM Legend</t>
  </si>
  <si>
    <t>Mains, FERC 376</t>
  </si>
  <si>
    <t>Services, FERC 380</t>
  </si>
  <si>
    <t>Total True up (Capital &amp; O&amp;M)</t>
  </si>
  <si>
    <t>RSI</t>
  </si>
  <si>
    <t>Updated for RSI</t>
  </si>
  <si>
    <t>COST BREAKDOWN BY PROGRAM</t>
  </si>
  <si>
    <t>WBS Element</t>
  </si>
  <si>
    <t>WBS Description</t>
  </si>
  <si>
    <t>2019 Projects 
In Service November to September Actual Costs</t>
  </si>
  <si>
    <t>2019 Projects 
October Project Actuals</t>
  </si>
  <si>
    <t>Total CRM Actual and Forecast</t>
  </si>
  <si>
    <t>G-DIMP DUPONT PIPE REPL-MAIN WITH SERV</t>
  </si>
  <si>
    <t>R.10015.03.04.02</t>
  </si>
  <si>
    <t>G-DIMP OLDER STW REPL-MAIN WITH SERVICE</t>
  </si>
  <si>
    <t>R.10015.03.04.03</t>
  </si>
  <si>
    <t>G-DIMP OLDER STW REPL-SERVICE ONLY</t>
  </si>
  <si>
    <t>Grand Total</t>
  </si>
  <si>
    <t>DEPRECIATION EXPENSE CALCULATION</t>
  </si>
  <si>
    <t>Type</t>
  </si>
  <si>
    <t>Rate per 2017 GRC Study</t>
  </si>
  <si>
    <t>FERC G376.2</t>
  </si>
  <si>
    <t>FERC G380.2</t>
  </si>
  <si>
    <t>Total Annual Depr</t>
  </si>
  <si>
    <t>41 years of depr</t>
  </si>
  <si>
    <t>Partial last year due to composite rate</t>
  </si>
  <si>
    <t>Rate per Study</t>
  </si>
  <si>
    <t>FERC G376</t>
  </si>
  <si>
    <t>FERC G380</t>
  </si>
  <si>
    <t>2018 Projects 
In Service November to September Actual Costs</t>
  </si>
  <si>
    <t>2018 Projects 
 October Project Forecast</t>
  </si>
  <si>
    <t>Rate per 2007 GRC Study</t>
  </si>
  <si>
    <t>Actuals Nov 2016 - July 2017</t>
  </si>
  <si>
    <t>Actual October 2017</t>
  </si>
  <si>
    <t>Percent Mains</t>
  </si>
  <si>
    <t>Percent Services</t>
  </si>
  <si>
    <t>Total 2019 CRM Actuals</t>
  </si>
  <si>
    <r>
      <t xml:space="preserve">Remove Buried Meters mitigations in Rates </t>
    </r>
    <r>
      <rPr>
        <b/>
        <sz val="10"/>
        <color rgb="FF0000FF"/>
        <rFont val="Calibri"/>
        <family val="2"/>
        <scheme val="minor"/>
      </rPr>
      <t>(a)</t>
    </r>
  </si>
  <si>
    <r>
      <t xml:space="preserve">Remove Legasy Cross Bore in Rates Estimate </t>
    </r>
    <r>
      <rPr>
        <b/>
        <sz val="10"/>
        <color rgb="FF0000FF"/>
        <rFont val="Calibri"/>
        <family val="2"/>
        <scheme val="minor"/>
      </rPr>
      <t>(b)</t>
    </r>
  </si>
  <si>
    <t xml:space="preserve">FERC </t>
  </si>
  <si>
    <t>Percent</t>
  </si>
  <si>
    <t>Depreciation Exp</t>
  </si>
  <si>
    <t>Description</t>
  </si>
  <si>
    <t>FERC spread for Capital Project</t>
  </si>
  <si>
    <t>FERC spread for O&amp;M Project</t>
  </si>
  <si>
    <t>Total CRM Program Year 1</t>
  </si>
  <si>
    <t>Similar to above, Legacy Cross Bore costs were included in the test year of PSE's 2019 GRC. As only approximately 300 inspections were completed in 2018 as compared to over 7,300 in 2020-2021, the costs have significantly increased and PSE is removing the estimated 2018 costs from this filing.</t>
  </si>
  <si>
    <t>2022 PROGRAM YEAR</t>
  </si>
  <si>
    <t>August 2022 FILING</t>
  </si>
  <si>
    <t>2020 CRM Program, Year 3</t>
  </si>
  <si>
    <t>2021 CRM Program, Year 2</t>
  </si>
  <si>
    <t>2021 CRM Program, Year 1 True Up to Actuals</t>
  </si>
  <si>
    <t>2022 CRM Program, Year 1</t>
  </si>
  <si>
    <t>Total Revenue Requirement For Aug 2022 Filing</t>
  </si>
  <si>
    <t>True up of 2021 CRM Year One</t>
  </si>
  <si>
    <t>Program Year 2021</t>
  </si>
  <si>
    <t>As  Filed Oct 2021</t>
  </si>
  <si>
    <t>Oct 2021 True Up</t>
  </si>
  <si>
    <t>2021 - 2022</t>
  </si>
  <si>
    <t>2019 CRM Program, Year 4</t>
  </si>
  <si>
    <t>Actual (Nov 2021 - June 2022)</t>
  </si>
  <si>
    <t>Forecast Est. (July - Oct 2022)</t>
  </si>
  <si>
    <t>For the Period November 2020 - October 2021</t>
  </si>
  <si>
    <t>(See detail orders in the Summary All Program Orders Oct 2021 Filing)</t>
  </si>
  <si>
    <t>AS FILED 10/18/2021</t>
  </si>
  <si>
    <t>TRUE UP FOR OCTOBER 2021 ACTUALS</t>
  </si>
  <si>
    <t>Actual (Nov 2020 - Sept 2021)</t>
  </si>
  <si>
    <t>Forecast Est. (Oct 2021)</t>
  </si>
  <si>
    <t>Total(Nov 2020 -Oct 2021)</t>
  </si>
  <si>
    <t>Actual Oct 31, 2021</t>
  </si>
  <si>
    <t xml:space="preserve">Total Actual Nov 20 - Oct 21 </t>
  </si>
  <si>
    <t>Buried Meters Mitigations</t>
  </si>
  <si>
    <t>See CRM Summary Orders Oct 2021 Actual File for FERC Spread support</t>
  </si>
  <si>
    <t>Updated for new Filing Fee</t>
  </si>
  <si>
    <t>ORIGINAL 2019 GRC ANNUAL FILING FEE</t>
  </si>
  <si>
    <t>UPDATED ANNUAL FILING FEE FOR YEAR 2022</t>
  </si>
  <si>
    <t>RSI Updated</t>
  </si>
  <si>
    <t>PSE included  buried meter mitigation expenses that were included in its historical test year in its 2019 GRC as an offset to  November 2021 - October 2022 buried meter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</si>
</sst>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00%"/>
    <numFmt numFmtId="168" formatCode="_(* #,##0_);_(* \(#,##0\);_(* &quot;-&quot;??_);_(@_)"/>
    <numFmt numFmtId="169" formatCode="#,##0.000"/>
    <numFmt numFmtId="170" formatCode="_(* #,##0.00000_);_(* \(#,##0.00000\);_(* &quot;-&quot;??_);_(@_)"/>
    <numFmt numFmtId="171" formatCode="&quot;$&quot;#,##0"/>
    <numFmt numFmtId="172" formatCode="_(* #,##0.0000_);_(* \(#,##0.0000\);_(* &quot;-&quot;??_);_(@_)"/>
    <numFmt numFmtId="173" formatCode="_(* #,##0.000_);_(* \(#,##0.000\);_(* &quot;-&quot;??_);_(@_)"/>
  </numFmts>
  <fonts count="6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Arial"/>
      <family val="2"/>
    </font>
    <font>
      <b/>
      <sz val="10"/>
      <name val="Times New Roman"/>
      <family val="1"/>
    </font>
    <font>
      <sz val="10"/>
      <name val="Times New Roman"/>
      <family val="1"/>
    </font>
    <font>
      <b/>
      <sz val="9"/>
      <name val="Arial"/>
      <family val="2"/>
    </font>
    <font>
      <sz val="9"/>
      <name val="Arial"/>
      <family val="2"/>
    </font>
    <font>
      <b/>
      <sz val="11"/>
      <color theme="0"/>
      <name val="Calibri"/>
      <family val="2"/>
    </font>
    <font>
      <sz val="11"/>
      <color rgb="FF000000"/>
      <name val="Calibri"/>
      <family val="2"/>
    </font>
    <font>
      <b/>
      <sz val="11"/>
      <color rgb="FF000000"/>
      <name val="Calibri"/>
      <family val="2"/>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11"/>
      <color rgb="FF0000FF"/>
      <name val="Times New Roman"/>
      <family val="1"/>
    </font>
    <font>
      <sz val="11"/>
      <color rgb="FF0000FF"/>
      <name val="Calibri"/>
      <family val="2"/>
    </font>
    <font>
      <b/>
      <sz val="11"/>
      <color rgb="FF0000FF"/>
      <name val="Calibri"/>
      <family val="2"/>
    </font>
    <font>
      <sz val="10"/>
      <color theme="1"/>
      <name val="Calibri"/>
      <family val="2"/>
      <scheme val="minor"/>
    </font>
    <font>
      <b/>
      <sz val="10"/>
      <color theme="1"/>
      <name val="Calibri"/>
      <family val="2"/>
      <scheme val="minor"/>
    </font>
    <font>
      <sz val="9"/>
      <color rgb="FF0000FF"/>
      <name val="Calibri"/>
      <family val="2"/>
      <scheme val="minor"/>
    </font>
    <font>
      <b/>
      <sz val="11"/>
      <color rgb="FF0000FF"/>
      <name val="Calibri"/>
      <family val="2"/>
      <scheme val="minor"/>
    </font>
    <font>
      <sz val="11"/>
      <color rgb="FF0000FF"/>
      <name val="Calibri"/>
      <family val="2"/>
      <scheme val="minor"/>
    </font>
    <font>
      <b/>
      <sz val="11"/>
      <color rgb="FFFF0000"/>
      <name val="Calibri"/>
      <family val="2"/>
    </font>
    <font>
      <b/>
      <sz val="9"/>
      <color rgb="FF0000FF"/>
      <name val="Calibri"/>
      <family val="2"/>
    </font>
    <font>
      <sz val="11"/>
      <color theme="0"/>
      <name val="Calibri"/>
      <family val="2"/>
      <scheme val="minor"/>
    </font>
    <font>
      <sz val="12"/>
      <color theme="1"/>
      <name val="Calibri"/>
      <family val="2"/>
      <scheme val="minor"/>
    </font>
    <font>
      <sz val="8"/>
      <name val="Helv"/>
    </font>
    <font>
      <sz val="10"/>
      <color rgb="FF0000FF"/>
      <name val="Calibri"/>
      <family val="2"/>
      <scheme val="minor"/>
    </font>
    <font>
      <b/>
      <sz val="10"/>
      <color rgb="FF0000FF"/>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000000"/>
      <name val="Calibri"/>
      <family val="2"/>
      <scheme val="minor"/>
    </font>
    <font>
      <b/>
      <sz val="10"/>
      <color rgb="FF000000"/>
      <name val="Calibri"/>
      <family val="2"/>
      <scheme val="minor"/>
    </font>
    <font>
      <b/>
      <u/>
      <sz val="10"/>
      <color theme="1"/>
      <name val="Calibri"/>
      <family val="2"/>
      <scheme val="minor"/>
    </font>
    <font>
      <sz val="10"/>
      <color theme="0"/>
      <name val="Calibri"/>
      <family val="2"/>
      <scheme val="minor"/>
    </font>
    <font>
      <sz val="10"/>
      <color theme="0"/>
      <name val="Arial"/>
      <family val="2"/>
    </font>
    <font>
      <b/>
      <sz val="11"/>
      <color indexed="12"/>
      <name val="Calibri"/>
      <family val="2"/>
    </font>
    <font>
      <b/>
      <sz val="11"/>
      <color rgb="FFFF0000"/>
      <name val="Times New Roman"/>
      <family val="1"/>
    </font>
    <font>
      <sz val="11"/>
      <name val="Times New Roman"/>
      <family val="1"/>
    </font>
    <font>
      <b/>
      <sz val="11"/>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
      <patternFill patternType="solid">
        <fgColor rgb="FFFFCCCC"/>
        <bgColor indexed="64"/>
      </patternFill>
    </fill>
  </fills>
  <borders count="54">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1">
    <xf numFmtId="0" fontId="0" fillId="0" borderId="0"/>
    <xf numFmtId="9" fontId="19" fillId="0" borderId="0" applyFont="0" applyFill="0" applyBorder="0" applyAlignment="0" applyProtection="0"/>
    <xf numFmtId="0" fontId="22"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19"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cellStyleXfs>
  <cellXfs count="505">
    <xf numFmtId="0" fontId="0" fillId="0" borderId="0" xfId="0"/>
    <xf numFmtId="0" fontId="15" fillId="0" borderId="0" xfId="0" applyFont="1" applyFill="1" applyAlignment="1" applyProtection="1">
      <alignment horizontal="left"/>
    </xf>
    <xf numFmtId="0" fontId="15" fillId="0" borderId="0" xfId="0" applyFont="1" applyFill="1" applyAlignment="1">
      <alignment vertical="top"/>
    </xf>
    <xf numFmtId="0" fontId="11" fillId="0" borderId="0" xfId="0" applyFont="1" applyFill="1" applyAlignment="1">
      <alignment vertical="top"/>
    </xf>
    <xf numFmtId="0" fontId="13" fillId="0" borderId="0" xfId="0" applyFont="1" applyFill="1" applyAlignment="1">
      <alignment vertical="top"/>
    </xf>
    <xf numFmtId="3" fontId="11" fillId="0" borderId="0" xfId="0" applyNumberFormat="1" applyFont="1" applyFill="1" applyAlignment="1">
      <alignment vertical="top"/>
    </xf>
    <xf numFmtId="0" fontId="15" fillId="0" borderId="0" xfId="0" applyFont="1" applyFill="1" applyAlignment="1">
      <alignment horizontal="left"/>
    </xf>
    <xf numFmtId="0" fontId="15" fillId="0" borderId="3" xfId="0" quotePrefix="1" applyFont="1" applyFill="1" applyBorder="1" applyAlignment="1">
      <alignment horizontal="left" vertical="top"/>
    </xf>
    <xf numFmtId="0" fontId="15" fillId="0" borderId="4" xfId="0" applyFont="1" applyFill="1" applyBorder="1" applyAlignment="1">
      <alignment vertical="top"/>
    </xf>
    <xf numFmtId="0" fontId="11" fillId="0" borderId="4" xfId="0" applyFont="1" applyFill="1" applyBorder="1" applyAlignment="1">
      <alignment vertical="top"/>
    </xf>
    <xf numFmtId="3" fontId="11" fillId="0" borderId="5" xfId="0" applyNumberFormat="1" applyFont="1" applyFill="1" applyBorder="1" applyAlignment="1">
      <alignment vertical="top"/>
    </xf>
    <xf numFmtId="3" fontId="11" fillId="0" borderId="0" xfId="0" applyNumberFormat="1" applyFont="1" applyFill="1" applyBorder="1" applyAlignment="1">
      <alignment vertical="top"/>
    </xf>
    <xf numFmtId="0" fontId="15" fillId="0" borderId="6" xfId="0" applyFont="1" applyFill="1" applyBorder="1" applyAlignment="1">
      <alignment vertical="top"/>
    </xf>
    <xf numFmtId="0" fontId="15" fillId="0" borderId="0" xfId="0" applyFont="1" applyFill="1" applyBorder="1" applyAlignment="1">
      <alignment vertical="top"/>
    </xf>
    <xf numFmtId="0" fontId="11" fillId="0" borderId="0" xfId="0" applyFont="1" applyFill="1" applyBorder="1" applyAlignment="1">
      <alignment vertical="top"/>
    </xf>
    <xf numFmtId="3" fontId="11" fillId="0" borderId="7" xfId="0" applyNumberFormat="1" applyFont="1" applyFill="1" applyBorder="1" applyAlignment="1">
      <alignment vertical="top"/>
    </xf>
    <xf numFmtId="0" fontId="15" fillId="0" borderId="0" xfId="0" applyFont="1" applyFill="1" applyBorder="1" applyAlignment="1">
      <alignment horizontal="center" vertical="top"/>
    </xf>
    <xf numFmtId="0" fontId="15" fillId="0" borderId="7" xfId="0" applyFont="1" applyFill="1" applyBorder="1" applyAlignment="1">
      <alignment horizontal="center" vertical="top"/>
    </xf>
    <xf numFmtId="0" fontId="14" fillId="0" borderId="0" xfId="0" applyFont="1" applyFill="1" applyBorder="1" applyAlignment="1">
      <alignment horizontal="center" vertical="top"/>
    </xf>
    <xf numFmtId="0" fontId="15" fillId="0" borderId="1" xfId="0" applyFont="1" applyFill="1" applyBorder="1" applyAlignment="1">
      <alignment horizontal="center" vertical="top"/>
    </xf>
    <xf numFmtId="0" fontId="15" fillId="0" borderId="8" xfId="0" applyFont="1" applyFill="1" applyBorder="1" applyAlignment="1">
      <alignment horizontal="center" vertical="top"/>
    </xf>
    <xf numFmtId="0" fontId="11" fillId="0" borderId="7" xfId="0" applyFont="1" applyFill="1" applyBorder="1" applyAlignment="1">
      <alignment vertical="top"/>
    </xf>
    <xf numFmtId="42" fontId="11" fillId="0" borderId="0" xfId="0" applyNumberFormat="1" applyFont="1" applyFill="1" applyAlignment="1">
      <alignment vertical="top"/>
    </xf>
    <xf numFmtId="10" fontId="16" fillId="0" borderId="0" xfId="0" applyNumberFormat="1" applyFont="1" applyFill="1" applyBorder="1" applyAlignment="1">
      <alignment vertical="top"/>
    </xf>
    <xf numFmtId="10" fontId="16" fillId="0" borderId="7" xfId="0" applyNumberFormat="1" applyFont="1" applyFill="1" applyBorder="1" applyAlignment="1">
      <alignment vertical="top"/>
    </xf>
    <xf numFmtId="10" fontId="16" fillId="0" borderId="1" xfId="0" applyNumberFormat="1" applyFont="1" applyFill="1" applyBorder="1" applyAlignment="1">
      <alignment vertical="top"/>
    </xf>
    <xf numFmtId="10" fontId="16" fillId="0" borderId="8" xfId="0" applyNumberFormat="1" applyFont="1" applyFill="1" applyBorder="1" applyAlignment="1">
      <alignment vertical="top"/>
    </xf>
    <xf numFmtId="10" fontId="11" fillId="0" borderId="9" xfId="0" applyNumberFormat="1" applyFont="1" applyFill="1" applyBorder="1" applyAlignment="1">
      <alignment vertical="top"/>
    </xf>
    <xf numFmtId="10" fontId="11" fillId="0" borderId="0" xfId="0" applyNumberFormat="1" applyFont="1" applyFill="1" applyBorder="1" applyAlignment="1">
      <alignment vertical="top"/>
    </xf>
    <xf numFmtId="10" fontId="11" fillId="0" borderId="10" xfId="0" applyNumberFormat="1" applyFont="1" applyFill="1" applyBorder="1" applyAlignment="1">
      <alignment vertical="top"/>
    </xf>
    <xf numFmtId="3" fontId="16" fillId="0" borderId="7" xfId="0" applyNumberFormat="1" applyFont="1" applyFill="1" applyBorder="1" applyAlignment="1">
      <alignment vertical="top"/>
    </xf>
    <xf numFmtId="0" fontId="15" fillId="0" borderId="11" xfId="0" applyFont="1" applyFill="1" applyBorder="1" applyAlignment="1">
      <alignment vertical="top"/>
    </xf>
    <xf numFmtId="0" fontId="15" fillId="0" borderId="2" xfId="0" applyFont="1" applyFill="1" applyBorder="1" applyAlignment="1">
      <alignment vertical="top"/>
    </xf>
    <xf numFmtId="0" fontId="11" fillId="0" borderId="2" xfId="0" applyFont="1" applyFill="1" applyBorder="1" applyAlignment="1">
      <alignment vertical="top"/>
    </xf>
    <xf numFmtId="0" fontId="14" fillId="0" borderId="0" xfId="0" applyFont="1" applyFill="1" applyAlignment="1">
      <alignment vertical="top"/>
    </xf>
    <xf numFmtId="3" fontId="11" fillId="0" borderId="0" xfId="0" applyNumberFormat="1" applyFont="1" applyFill="1" applyAlignment="1" applyProtection="1">
      <alignment vertical="top"/>
      <protection hidden="1"/>
    </xf>
    <xf numFmtId="3" fontId="15" fillId="2" borderId="1" xfId="0" quotePrefix="1" applyNumberFormat="1" applyFont="1" applyFill="1" applyBorder="1" applyAlignment="1">
      <alignment horizontal="center" vertical="top"/>
    </xf>
    <xf numFmtId="3" fontId="15" fillId="0" borderId="1" xfId="0" quotePrefix="1" applyNumberFormat="1" applyFont="1" applyFill="1" applyBorder="1" applyAlignment="1">
      <alignment horizontal="center" vertical="top"/>
    </xf>
    <xf numFmtId="42" fontId="10" fillId="2" borderId="0" xfId="0" applyNumberFormat="1" applyFont="1" applyFill="1" applyAlignment="1">
      <alignment vertical="top"/>
    </xf>
    <xf numFmtId="44" fontId="10" fillId="0" borderId="0" xfId="0" applyNumberFormat="1" applyFont="1" applyFill="1" applyAlignment="1">
      <alignment vertical="top"/>
    </xf>
    <xf numFmtId="42" fontId="10" fillId="2" borderId="1" xfId="0" applyNumberFormat="1" applyFont="1" applyFill="1" applyBorder="1" applyAlignment="1">
      <alignment vertical="top"/>
    </xf>
    <xf numFmtId="42" fontId="10" fillId="2" borderId="0" xfId="0" applyNumberFormat="1" applyFont="1" applyFill="1" applyBorder="1" applyAlignment="1">
      <alignment vertical="top"/>
    </xf>
    <xf numFmtId="3" fontId="10" fillId="0" borderId="0" xfId="0" applyNumberFormat="1" applyFont="1" applyFill="1" applyAlignment="1">
      <alignment vertical="top"/>
    </xf>
    <xf numFmtId="5" fontId="10" fillId="2" borderId="0" xfId="0" applyNumberFormat="1" applyFont="1" applyFill="1" applyAlignment="1">
      <alignment vertical="top"/>
    </xf>
    <xf numFmtId="5" fontId="10" fillId="0" borderId="0" xfId="0" applyNumberFormat="1" applyFont="1" applyFill="1" applyAlignment="1">
      <alignment vertical="top"/>
    </xf>
    <xf numFmtId="10" fontId="10" fillId="2" borderId="0" xfId="0" applyNumberFormat="1" applyFont="1" applyFill="1" applyAlignment="1">
      <alignment vertical="top"/>
    </xf>
    <xf numFmtId="0" fontId="15" fillId="0" borderId="0" xfId="0" quotePrefix="1" applyFont="1" applyFill="1" applyAlignment="1">
      <alignment horizontal="left" vertical="top"/>
    </xf>
    <xf numFmtId="0" fontId="17" fillId="0" borderId="0" xfId="0" applyFont="1" applyFill="1" applyAlignment="1">
      <alignment vertical="top"/>
    </xf>
    <xf numFmtId="10" fontId="10" fillId="0" borderId="0" xfId="0" applyNumberFormat="1" applyFont="1" applyFill="1" applyAlignment="1" applyProtection="1">
      <alignment vertical="top"/>
    </xf>
    <xf numFmtId="10" fontId="16" fillId="0" borderId="0" xfId="0" applyNumberFormat="1" applyFont="1" applyFill="1" applyAlignment="1">
      <alignment vertical="top"/>
    </xf>
    <xf numFmtId="0" fontId="18" fillId="0" borderId="0" xfId="0" applyFont="1" applyFill="1" applyAlignment="1">
      <alignment vertical="top"/>
    </xf>
    <xf numFmtId="10" fontId="17" fillId="0" borderId="0" xfId="0" applyNumberFormat="1" applyFont="1" applyFill="1" applyAlignment="1" applyProtection="1">
      <alignment vertical="top"/>
    </xf>
    <xf numFmtId="10" fontId="10" fillId="0" borderId="0" xfId="0" applyNumberFormat="1" applyFont="1" applyFill="1"/>
    <xf numFmtId="10" fontId="18" fillId="0" borderId="0" xfId="0" applyNumberFormat="1" applyFont="1" applyFill="1" applyAlignment="1">
      <alignment vertical="top"/>
    </xf>
    <xf numFmtId="0" fontId="16" fillId="0" borderId="0" xfId="0" applyFont="1" applyFill="1" applyAlignment="1">
      <alignment vertical="top"/>
    </xf>
    <xf numFmtId="0" fontId="9" fillId="0" borderId="0" xfId="0" applyFont="1" applyFill="1"/>
    <xf numFmtId="0" fontId="12" fillId="0" borderId="0" xfId="0" applyFont="1" applyFill="1" applyAlignment="1">
      <alignment vertical="top"/>
    </xf>
    <xf numFmtId="42" fontId="16" fillId="2" borderId="12" xfId="0" applyNumberFormat="1" applyFont="1" applyFill="1" applyBorder="1" applyAlignment="1">
      <alignment vertical="top"/>
    </xf>
    <xf numFmtId="164" fontId="10" fillId="0" borderId="0" xfId="0" applyNumberFormat="1" applyFont="1" applyFill="1" applyAlignment="1" applyProtection="1">
      <alignment vertical="top"/>
    </xf>
    <xf numFmtId="164" fontId="10" fillId="2" borderId="0" xfId="0" applyNumberFormat="1" applyFont="1" applyFill="1" applyAlignment="1" applyProtection="1">
      <alignment vertical="top"/>
    </xf>
    <xf numFmtId="164" fontId="10" fillId="0" borderId="0" xfId="0" applyNumberFormat="1" applyFont="1" applyFill="1"/>
    <xf numFmtId="164" fontId="16" fillId="0" borderId="0" xfId="0" applyNumberFormat="1" applyFont="1" applyFill="1" applyAlignment="1">
      <alignment vertical="top"/>
    </xf>
    <xf numFmtId="164" fontId="17" fillId="2" borderId="0" xfId="0" applyNumberFormat="1" applyFont="1" applyFill="1" applyAlignment="1" applyProtection="1">
      <alignment vertical="top"/>
    </xf>
    <xf numFmtId="0" fontId="26" fillId="0" borderId="0" xfId="0" applyNumberFormat="1" applyFont="1" applyFill="1" applyAlignment="1"/>
    <xf numFmtId="0" fontId="27" fillId="0" borderId="0" xfId="0" applyNumberFormat="1" applyFont="1" applyFill="1" applyAlignment="1"/>
    <xf numFmtId="0" fontId="19" fillId="0" borderId="0" xfId="0" applyNumberFormat="1" applyFont="1" applyAlignment="1"/>
    <xf numFmtId="0" fontId="26" fillId="0" borderId="20" xfId="0" applyNumberFormat="1" applyFont="1" applyFill="1" applyBorder="1" applyAlignment="1">
      <alignment horizontal="right"/>
    </xf>
    <xf numFmtId="0" fontId="26" fillId="0" borderId="0" xfId="0" applyNumberFormat="1" applyFont="1" applyFill="1" applyAlignment="1">
      <alignment horizontal="centerContinuous"/>
    </xf>
    <xf numFmtId="0" fontId="26" fillId="0" borderId="0" xfId="0" applyNumberFormat="1" applyFont="1" applyFill="1" applyAlignment="1" applyProtection="1">
      <alignment horizontal="centerContinuous"/>
      <protection locked="0"/>
    </xf>
    <xf numFmtId="0" fontId="26" fillId="0" borderId="1" xfId="0" applyNumberFormat="1" applyFont="1" applyFill="1" applyBorder="1" applyAlignment="1">
      <alignment horizontal="center"/>
    </xf>
    <xf numFmtId="0" fontId="26" fillId="0" borderId="1" xfId="0" applyNumberFormat="1" applyFont="1" applyFill="1" applyBorder="1" applyAlignment="1" applyProtection="1">
      <protection locked="0"/>
    </xf>
    <xf numFmtId="0" fontId="26" fillId="0" borderId="1" xfId="0" applyNumberFormat="1" applyFont="1" applyFill="1" applyBorder="1" applyAlignment="1"/>
    <xf numFmtId="0" fontId="26" fillId="0" borderId="1" xfId="0" applyNumberFormat="1" applyFont="1" applyFill="1" applyBorder="1" applyAlignment="1">
      <alignment horizontal="right"/>
    </xf>
    <xf numFmtId="0" fontId="27" fillId="0" borderId="0" xfId="0" applyNumberFormat="1" applyFont="1" applyFill="1" applyAlignment="1">
      <alignment horizontal="center"/>
    </xf>
    <xf numFmtId="0" fontId="27" fillId="0" borderId="0" xfId="0" applyNumberFormat="1" applyFont="1" applyFill="1" applyAlignment="1">
      <alignment horizontal="left"/>
    </xf>
    <xf numFmtId="166" fontId="27" fillId="0" borderId="0" xfId="0" applyNumberFormat="1" applyFont="1" applyFill="1" applyAlignment="1"/>
    <xf numFmtId="167" fontId="27" fillId="0" borderId="0" xfId="0" applyNumberFormat="1" applyFont="1" applyFill="1" applyAlignment="1"/>
    <xf numFmtId="166" fontId="27" fillId="0" borderId="1" xfId="0" applyNumberFormat="1" applyFont="1" applyFill="1" applyBorder="1" applyAlignment="1"/>
    <xf numFmtId="166" fontId="27" fillId="0" borderId="0" xfId="0" applyNumberFormat="1" applyFont="1" applyFill="1" applyBorder="1" applyAlignment="1"/>
    <xf numFmtId="166" fontId="19" fillId="0" borderId="0" xfId="0" applyNumberFormat="1" applyFont="1" applyAlignment="1"/>
    <xf numFmtId="9" fontId="27" fillId="0" borderId="0" xfId="0" applyNumberFormat="1" applyFont="1" applyFill="1" applyAlignment="1"/>
    <xf numFmtId="166" fontId="27" fillId="0" borderId="14" xfId="0" applyNumberFormat="1" applyFont="1" applyFill="1" applyBorder="1" applyAlignment="1" applyProtection="1">
      <protection locked="0"/>
    </xf>
    <xf numFmtId="0" fontId="15" fillId="2" borderId="1" xfId="0" quotePrefix="1" applyNumberFormat="1" applyFont="1" applyFill="1" applyBorder="1" applyAlignment="1">
      <alignment horizontal="center" vertical="top"/>
    </xf>
    <xf numFmtId="169" fontId="10" fillId="2" borderId="0" xfId="0" applyNumberFormat="1" applyFont="1" applyFill="1" applyAlignment="1">
      <alignment vertical="top"/>
    </xf>
    <xf numFmtId="3" fontId="9" fillId="2" borderId="0" xfId="0" applyNumberFormat="1" applyFont="1" applyFill="1" applyAlignment="1">
      <alignment vertical="top"/>
    </xf>
    <xf numFmtId="0" fontId="19" fillId="0" borderId="0" xfId="0" applyFont="1" applyFill="1"/>
    <xf numFmtId="41" fontId="19" fillId="0" borderId="0" xfId="0" applyNumberFormat="1" applyFont="1" applyFill="1"/>
    <xf numFmtId="0" fontId="24" fillId="0" borderId="0" xfId="0" applyFont="1" applyFill="1" applyAlignment="1">
      <alignment horizontal="centerContinuous"/>
    </xf>
    <xf numFmtId="3" fontId="15" fillId="0" borderId="1" xfId="0" applyNumberFormat="1" applyFont="1" applyFill="1" applyBorder="1" applyAlignment="1">
      <alignment horizontal="center" vertical="top"/>
    </xf>
    <xf numFmtId="0" fontId="15" fillId="0" borderId="0" xfId="0" applyFont="1" applyAlignment="1">
      <alignment vertical="top"/>
    </xf>
    <xf numFmtId="3" fontId="0" fillId="0" borderId="0" xfId="0" applyNumberFormat="1" applyFont="1" applyFill="1" applyAlignment="1" applyProtection="1">
      <alignment vertical="top"/>
      <protection hidden="1"/>
    </xf>
    <xf numFmtId="0" fontId="15" fillId="0" borderId="0" xfId="0" applyFont="1" applyAlignment="1">
      <alignment horizontal="center" vertical="top"/>
    </xf>
    <xf numFmtId="42" fontId="10" fillId="0" borderId="0" xfId="0" applyNumberFormat="1" applyFont="1" applyFill="1" applyBorder="1" applyAlignment="1">
      <alignment vertical="top"/>
    </xf>
    <xf numFmtId="42" fontId="10" fillId="0" borderId="1" xfId="0" applyNumberFormat="1" applyFont="1" applyFill="1" applyBorder="1" applyAlignment="1">
      <alignment vertical="top"/>
    </xf>
    <xf numFmtId="10" fontId="10" fillId="0" borderId="0" xfId="0" applyNumberFormat="1" applyFont="1" applyFill="1" applyAlignment="1">
      <alignment vertical="top"/>
    </xf>
    <xf numFmtId="42" fontId="10" fillId="0" borderId="0" xfId="0" applyNumberFormat="1" applyFont="1" applyFill="1" applyAlignment="1">
      <alignment vertical="top"/>
    </xf>
    <xf numFmtId="37" fontId="10" fillId="0" borderId="0" xfId="0" applyNumberFormat="1" applyFont="1" applyFill="1" applyAlignment="1">
      <alignment vertical="top"/>
    </xf>
    <xf numFmtId="43" fontId="11" fillId="0" borderId="0" xfId="0" applyNumberFormat="1" applyFont="1" applyFill="1" applyAlignment="1">
      <alignment vertical="top"/>
    </xf>
    <xf numFmtId="10" fontId="11" fillId="0" borderId="0" xfId="0" applyNumberFormat="1" applyFont="1" applyFill="1" applyAlignment="1">
      <alignment vertical="top"/>
    </xf>
    <xf numFmtId="0" fontId="25" fillId="0" borderId="0" xfId="0" applyFont="1"/>
    <xf numFmtId="167" fontId="25" fillId="0" borderId="0" xfId="0" applyNumberFormat="1" applyFont="1"/>
    <xf numFmtId="0" fontId="25" fillId="0" borderId="0" xfId="0" applyFont="1" applyBorder="1" applyAlignment="1">
      <alignment horizontal="center"/>
    </xf>
    <xf numFmtId="0" fontId="25" fillId="0" borderId="0" xfId="0" applyFont="1" applyAlignment="1">
      <alignment horizontal="center"/>
    </xf>
    <xf numFmtId="0" fontId="25" fillId="0" borderId="14" xfId="0" applyFont="1" applyBorder="1" applyAlignment="1">
      <alignment horizontal="left"/>
    </xf>
    <xf numFmtId="164" fontId="25" fillId="0" borderId="14" xfId="0" applyNumberFormat="1" applyFont="1" applyBorder="1" applyAlignment="1">
      <alignment vertical="center" wrapText="1"/>
    </xf>
    <xf numFmtId="0" fontId="19" fillId="0" borderId="0" xfId="0" applyFont="1"/>
    <xf numFmtId="0" fontId="30" fillId="3" borderId="0" xfId="0" applyFont="1" applyFill="1" applyBorder="1" applyAlignment="1">
      <alignment horizontal="centerContinuous" vertical="top"/>
    </xf>
    <xf numFmtId="3" fontId="30" fillId="3" borderId="7" xfId="0" applyNumberFormat="1" applyFont="1" applyFill="1" applyBorder="1" applyAlignment="1">
      <alignment horizontal="centerContinuous" vertical="top"/>
    </xf>
    <xf numFmtId="0" fontId="11" fillId="0" borderId="0" xfId="0" applyFont="1" applyFill="1" applyAlignment="1">
      <alignment horizontal="center" vertical="top"/>
    </xf>
    <xf numFmtId="42" fontId="12" fillId="0" borderId="0" xfId="0" applyNumberFormat="1" applyFont="1" applyFill="1" applyAlignment="1">
      <alignment vertical="top"/>
    </xf>
    <xf numFmtId="165" fontId="10" fillId="0" borderId="0" xfId="0" applyNumberFormat="1" applyFont="1" applyFill="1" applyBorder="1" applyAlignment="1">
      <alignment vertical="top"/>
    </xf>
    <xf numFmtId="0" fontId="26" fillId="0" borderId="0" xfId="0" applyNumberFormat="1" applyFont="1" applyFill="1" applyAlignment="1">
      <alignment horizontal="center"/>
    </xf>
    <xf numFmtId="0" fontId="8" fillId="0" borderId="0" xfId="0" applyFont="1" applyFill="1" applyAlignment="1">
      <alignment vertical="top"/>
    </xf>
    <xf numFmtId="42" fontId="8" fillId="0" borderId="0" xfId="0" applyNumberFormat="1" applyFont="1" applyFill="1" applyAlignment="1">
      <alignment vertical="top"/>
    </xf>
    <xf numFmtId="42" fontId="8" fillId="2" borderId="0" xfId="0" applyNumberFormat="1" applyFont="1" applyFill="1" applyAlignment="1">
      <alignment vertical="top"/>
    </xf>
    <xf numFmtId="0" fontId="8" fillId="0" borderId="0" xfId="0" applyFont="1" applyFill="1"/>
    <xf numFmtId="164" fontId="8" fillId="2" borderId="0" xfId="0" applyNumberFormat="1" applyFont="1" applyFill="1" applyBorder="1" applyAlignment="1">
      <alignment horizontal="center"/>
    </xf>
    <xf numFmtId="164" fontId="8" fillId="0" borderId="0" xfId="0" applyNumberFormat="1" applyFont="1" applyFill="1" applyBorder="1" applyAlignment="1">
      <alignment horizontal="center"/>
    </xf>
    <xf numFmtId="164" fontId="8" fillId="0" borderId="0" xfId="0" applyNumberFormat="1" applyFont="1" applyFill="1" applyAlignment="1">
      <alignment vertical="top"/>
    </xf>
    <xf numFmtId="0" fontId="8" fillId="0" borderId="0" xfId="0" applyFont="1"/>
    <xf numFmtId="42" fontId="8" fillId="0" borderId="0" xfId="0" applyNumberFormat="1" applyFont="1" applyFill="1"/>
    <xf numFmtId="10" fontId="8" fillId="0" borderId="0" xfId="0" applyNumberFormat="1" applyFont="1" applyFill="1"/>
    <xf numFmtId="0" fontId="15" fillId="0" borderId="0" xfId="0" applyFont="1" applyFill="1" applyAlignment="1">
      <alignment horizontal="center" vertical="top"/>
    </xf>
    <xf numFmtId="0" fontId="10" fillId="0" borderId="14" xfId="0" applyFont="1" applyFill="1" applyBorder="1"/>
    <xf numFmtId="0" fontId="8" fillId="0" borderId="14" xfId="0" applyFont="1" applyFill="1" applyBorder="1"/>
    <xf numFmtId="0" fontId="23" fillId="0" borderId="14" xfId="0" applyNumberFormat="1" applyFont="1" applyFill="1" applyBorder="1" applyAlignment="1"/>
    <xf numFmtId="0" fontId="15" fillId="0" borderId="0" xfId="0" applyFont="1" applyFill="1" applyAlignment="1">
      <alignment horizontal="center" vertical="top"/>
    </xf>
    <xf numFmtId="0" fontId="15" fillId="0" borderId="9" xfId="0" applyFont="1" applyFill="1" applyBorder="1" applyAlignment="1">
      <alignment vertical="top"/>
    </xf>
    <xf numFmtId="0" fontId="33" fillId="0" borderId="0" xfId="0" applyFont="1" applyFill="1"/>
    <xf numFmtId="0" fontId="34" fillId="0" borderId="19" xfId="0" applyFont="1" applyFill="1" applyBorder="1" applyAlignment="1">
      <alignment horizontal="centerContinuous"/>
    </xf>
    <xf numFmtId="0" fontId="34" fillId="0" borderId="31" xfId="0" applyFont="1" applyFill="1" applyBorder="1" applyAlignment="1">
      <alignment horizontal="centerContinuous"/>
    </xf>
    <xf numFmtId="0" fontId="34" fillId="0" borderId="0" xfId="0" applyFont="1" applyFill="1" applyAlignment="1">
      <alignment horizontal="centerContinuous"/>
    </xf>
    <xf numFmtId="0" fontId="33" fillId="0" borderId="0" xfId="0" applyFont="1" applyFill="1" applyAlignment="1">
      <alignment horizontal="centerContinuous"/>
    </xf>
    <xf numFmtId="0" fontId="35" fillId="0" borderId="0" xfId="0" applyNumberFormat="1" applyFont="1" applyFill="1" applyAlignment="1">
      <alignment horizontal="center"/>
    </xf>
    <xf numFmtId="0" fontId="35" fillId="0" borderId="0" xfId="0" applyFont="1" applyFill="1" applyAlignment="1">
      <alignment horizontal="center"/>
    </xf>
    <xf numFmtId="0" fontId="36" fillId="0" borderId="0" xfId="0" applyFont="1" applyFill="1"/>
    <xf numFmtId="0" fontId="35" fillId="0" borderId="1" xfId="0" applyNumberFormat="1" applyFont="1" applyFill="1" applyBorder="1" applyAlignment="1">
      <alignment horizontal="center"/>
    </xf>
    <xf numFmtId="0" fontId="35" fillId="0" borderId="1" xfId="0" applyFont="1" applyFill="1" applyBorder="1" applyAlignment="1">
      <alignment horizontal="center"/>
    </xf>
    <xf numFmtId="0" fontId="36" fillId="0" borderId="1" xfId="0" applyFont="1" applyFill="1" applyBorder="1"/>
    <xf numFmtId="0" fontId="33" fillId="0" borderId="0" xfId="0" applyNumberFormat="1" applyFont="1" applyFill="1" applyAlignment="1">
      <alignment horizontal="center"/>
    </xf>
    <xf numFmtId="0" fontId="33" fillId="0" borderId="0" xfId="0" applyNumberFormat="1" applyFont="1" applyFill="1" applyAlignment="1"/>
    <xf numFmtId="10" fontId="33" fillId="0" borderId="0" xfId="0" applyNumberFormat="1" applyFont="1" applyFill="1"/>
    <xf numFmtId="0" fontId="33" fillId="0" borderId="0" xfId="0" applyNumberFormat="1" applyFont="1" applyFill="1" applyAlignment="1">
      <alignment horizontal="left"/>
    </xf>
    <xf numFmtId="166" fontId="33" fillId="0" borderId="0" xfId="0" applyNumberFormat="1" applyFont="1" applyFill="1" applyAlignment="1"/>
    <xf numFmtId="10" fontId="33" fillId="0" borderId="15" xfId="0" applyNumberFormat="1" applyFont="1" applyFill="1" applyBorder="1"/>
    <xf numFmtId="0" fontId="33" fillId="0" borderId="15" xfId="0" applyFont="1" applyFill="1" applyBorder="1"/>
    <xf numFmtId="164" fontId="33" fillId="0" borderId="0" xfId="0" applyNumberFormat="1" applyFont="1" applyFill="1" applyAlignment="1"/>
    <xf numFmtId="166" fontId="33" fillId="0" borderId="1" xfId="0" applyNumberFormat="1" applyFont="1" applyFill="1" applyBorder="1" applyAlignment="1"/>
    <xf numFmtId="166" fontId="33" fillId="0" borderId="0" xfId="0" applyNumberFormat="1" applyFont="1" applyFill="1" applyBorder="1" applyAlignment="1"/>
    <xf numFmtId="9" fontId="33" fillId="0" borderId="0" xfId="0" applyNumberFormat="1" applyFont="1" applyFill="1" applyAlignment="1"/>
    <xf numFmtId="166" fontId="34" fillId="0" borderId="24" xfId="0" applyNumberFormat="1" applyFont="1" applyFill="1" applyBorder="1" applyAlignment="1" applyProtection="1">
      <protection locked="0"/>
    </xf>
    <xf numFmtId="168" fontId="33" fillId="0" borderId="0" xfId="0" applyNumberFormat="1" applyFont="1" applyFill="1"/>
    <xf numFmtId="0" fontId="0" fillId="0" borderId="0" xfId="0" applyFont="1" applyFill="1"/>
    <xf numFmtId="0" fontId="37" fillId="0" borderId="0" xfId="0" applyFont="1" applyFill="1"/>
    <xf numFmtId="10" fontId="33" fillId="5" borderId="15" xfId="0" applyNumberFormat="1" applyFont="1" applyFill="1" applyBorder="1"/>
    <xf numFmtId="0" fontId="39" fillId="0" borderId="4" xfId="0" applyFont="1" applyFill="1" applyBorder="1" applyAlignment="1">
      <alignment vertical="top"/>
    </xf>
    <xf numFmtId="10" fontId="38" fillId="0" borderId="10" xfId="0" applyNumberFormat="1" applyFont="1" applyFill="1" applyBorder="1" applyAlignment="1">
      <alignment vertical="top"/>
    </xf>
    <xf numFmtId="10" fontId="8" fillId="0" borderId="0" xfId="1" applyNumberFormat="1" applyFont="1"/>
    <xf numFmtId="0" fontId="30" fillId="3" borderId="0" xfId="0" applyFont="1" applyFill="1" applyBorder="1" applyAlignment="1">
      <alignment horizontal="left" vertical="top"/>
    </xf>
    <xf numFmtId="3" fontId="16" fillId="0" borderId="0" xfId="0" applyNumberFormat="1" applyFont="1" applyFill="1" applyBorder="1" applyAlignment="1">
      <alignment vertical="top"/>
    </xf>
    <xf numFmtId="42" fontId="16" fillId="0" borderId="0" xfId="0" applyNumberFormat="1" applyFont="1" applyFill="1" applyBorder="1" applyAlignment="1">
      <alignment vertical="top"/>
    </xf>
    <xf numFmtId="3" fontId="11" fillId="0" borderId="32" xfId="0" applyNumberFormat="1" applyFont="1" applyFill="1" applyBorder="1" applyAlignment="1">
      <alignment vertical="top"/>
    </xf>
    <xf numFmtId="3" fontId="30" fillId="3" borderId="25" xfId="0" applyNumberFormat="1" applyFont="1" applyFill="1" applyBorder="1" applyAlignment="1">
      <alignment horizontal="centerContinuous" vertical="top"/>
    </xf>
    <xf numFmtId="0" fontId="15" fillId="0" borderId="25" xfId="0" applyFont="1" applyFill="1" applyBorder="1" applyAlignment="1">
      <alignment horizontal="center" vertical="top"/>
    </xf>
    <xf numFmtId="0" fontId="15" fillId="0" borderId="33" xfId="0" applyFont="1" applyFill="1" applyBorder="1" applyAlignment="1">
      <alignment horizontal="center" vertical="top"/>
    </xf>
    <xf numFmtId="0" fontId="11" fillId="0" borderId="25" xfId="0" applyFont="1" applyFill="1" applyBorder="1" applyAlignment="1">
      <alignment vertical="top"/>
    </xf>
    <xf numFmtId="10" fontId="16" fillId="0" borderId="25" xfId="0" applyNumberFormat="1" applyFont="1" applyFill="1" applyBorder="1" applyAlignment="1">
      <alignment vertical="top"/>
    </xf>
    <xf numFmtId="10" fontId="16" fillId="0" borderId="33" xfId="0" applyNumberFormat="1" applyFont="1" applyFill="1" applyBorder="1" applyAlignment="1">
      <alignment vertical="top"/>
    </xf>
    <xf numFmtId="10" fontId="38" fillId="0" borderId="34" xfId="0" applyNumberFormat="1" applyFont="1" applyFill="1" applyBorder="1" applyAlignment="1">
      <alignment vertical="top"/>
    </xf>
    <xf numFmtId="10" fontId="16" fillId="0" borderId="35" xfId="0" applyNumberFormat="1" applyFont="1" applyFill="1" applyBorder="1" applyAlignment="1">
      <alignment vertical="top"/>
    </xf>
    <xf numFmtId="44" fontId="11" fillId="0" borderId="0" xfId="0" applyNumberFormat="1" applyFont="1" applyFill="1" applyAlignment="1">
      <alignment vertical="top"/>
    </xf>
    <xf numFmtId="0" fontId="20" fillId="0" borderId="14" xfId="5" applyFont="1" applyFill="1" applyBorder="1" applyAlignment="1">
      <alignment wrapText="1"/>
    </xf>
    <xf numFmtId="0" fontId="20" fillId="0" borderId="14" xfId="5" applyFont="1" applyFill="1" applyBorder="1"/>
    <xf numFmtId="0" fontId="40" fillId="0" borderId="14" xfId="5" applyFont="1" applyFill="1" applyBorder="1"/>
    <xf numFmtId="0" fontId="40" fillId="0" borderId="0" xfId="5" applyFont="1" applyFill="1"/>
    <xf numFmtId="10" fontId="40" fillId="0" borderId="0" xfId="5" applyNumberFormat="1" applyFont="1" applyFill="1" applyBorder="1"/>
    <xf numFmtId="0" fontId="41" fillId="0" borderId="14" xfId="5" applyFont="1" applyFill="1" applyBorder="1"/>
    <xf numFmtId="44" fontId="40" fillId="0" borderId="0" xfId="5" applyNumberFormat="1" applyFont="1" applyFill="1"/>
    <xf numFmtId="0" fontId="40" fillId="0" borderId="28" xfId="5" applyFont="1" applyFill="1" applyBorder="1"/>
    <xf numFmtId="0" fontId="0" fillId="0" borderId="0" xfId="0" applyFill="1"/>
    <xf numFmtId="0" fontId="14" fillId="0" borderId="4" xfId="0" applyFont="1" applyFill="1" applyBorder="1" applyAlignment="1">
      <alignment horizontal="centerContinuous"/>
    </xf>
    <xf numFmtId="0" fontId="14" fillId="0" borderId="5" xfId="0" applyFont="1" applyFill="1" applyBorder="1" applyAlignment="1">
      <alignment horizontal="centerContinuous"/>
    </xf>
    <xf numFmtId="43" fontId="28" fillId="0" borderId="0" xfId="0" applyNumberFormat="1" applyFont="1" applyFill="1" applyBorder="1" applyAlignment="1">
      <alignment horizontal="center"/>
    </xf>
    <xf numFmtId="0" fontId="29" fillId="0" borderId="6" xfId="0" applyFont="1" applyFill="1" applyBorder="1"/>
    <xf numFmtId="0" fontId="29" fillId="0" borderId="0" xfId="0" applyFont="1" applyFill="1" applyBorder="1"/>
    <xf numFmtId="0" fontId="29" fillId="0" borderId="7" xfId="0" applyFont="1" applyFill="1" applyBorder="1"/>
    <xf numFmtId="0" fontId="29" fillId="0" borderId="6" xfId="0" applyFont="1" applyFill="1" applyBorder="1" applyAlignment="1">
      <alignment horizontal="left"/>
    </xf>
    <xf numFmtId="10" fontId="29" fillId="0" borderId="0" xfId="0" applyNumberFormat="1" applyFont="1" applyFill="1" applyBorder="1"/>
    <xf numFmtId="10" fontId="29" fillId="0" borderId="7" xfId="0" applyNumberFormat="1" applyFont="1" applyFill="1" applyBorder="1"/>
    <xf numFmtId="0" fontId="29" fillId="0" borderId="11" xfId="0" applyFont="1" applyFill="1" applyBorder="1" applyAlignment="1">
      <alignment horizontal="left"/>
    </xf>
    <xf numFmtId="0" fontId="29" fillId="0" borderId="2" xfId="0" applyFont="1" applyFill="1" applyBorder="1"/>
    <xf numFmtId="10" fontId="29" fillId="0" borderId="2" xfId="0" applyNumberFormat="1" applyFont="1" applyFill="1" applyBorder="1"/>
    <xf numFmtId="10" fontId="29" fillId="0" borderId="12" xfId="0" applyNumberFormat="1" applyFont="1" applyFill="1" applyBorder="1"/>
    <xf numFmtId="0" fontId="24" fillId="0" borderId="0" xfId="9" applyFont="1"/>
    <xf numFmtId="0" fontId="5" fillId="0" borderId="0" xfId="9"/>
    <xf numFmtId="0" fontId="32" fillId="0" borderId="36" xfId="9" applyFont="1" applyFill="1" applyBorder="1" applyAlignment="1">
      <alignment horizontal="center" vertical="center"/>
    </xf>
    <xf numFmtId="0" fontId="32" fillId="0" borderId="14" xfId="9" applyFont="1" applyFill="1" applyBorder="1" applyAlignment="1">
      <alignment horizontal="center" vertical="center"/>
    </xf>
    <xf numFmtId="0" fontId="5" fillId="0" borderId="6" xfId="9" applyFill="1" applyBorder="1"/>
    <xf numFmtId="0" fontId="5" fillId="0" borderId="0" xfId="9" applyFill="1" applyBorder="1"/>
    <xf numFmtId="0" fontId="5" fillId="0" borderId="7" xfId="9" applyFill="1" applyBorder="1"/>
    <xf numFmtId="0" fontId="15" fillId="0" borderId="0" xfId="0" applyFont="1" applyBorder="1" applyAlignment="1">
      <alignment vertical="top"/>
    </xf>
    <xf numFmtId="3" fontId="15" fillId="0" borderId="0" xfId="0" applyNumberFormat="1" applyFont="1" applyFill="1" applyBorder="1" applyAlignment="1">
      <alignment horizontal="center" vertical="top"/>
    </xf>
    <xf numFmtId="0" fontId="15" fillId="0" borderId="16" xfId="0" applyFont="1" applyFill="1" applyBorder="1" applyAlignment="1">
      <alignment vertical="top"/>
    </xf>
    <xf numFmtId="0" fontId="15" fillId="0" borderId="0" xfId="0" applyFont="1" applyFill="1" applyAlignment="1">
      <alignment horizontal="center" vertical="top"/>
    </xf>
    <xf numFmtId="0" fontId="15" fillId="0" borderId="0" xfId="0" applyFont="1" applyFill="1" applyAlignment="1">
      <alignment horizontal="center" vertical="top"/>
    </xf>
    <xf numFmtId="0" fontId="9" fillId="0" borderId="0" xfId="0" applyFont="1"/>
    <xf numFmtId="3" fontId="45" fillId="0" borderId="0" xfId="0" applyNumberFormat="1" applyFont="1" applyFill="1" applyAlignment="1">
      <alignment vertical="top"/>
    </xf>
    <xf numFmtId="0" fontId="5" fillId="0" borderId="0" xfId="9" applyFill="1"/>
    <xf numFmtId="0" fontId="5" fillId="0" borderId="0" xfId="9" applyFill="1" applyAlignment="1">
      <alignment horizontal="centerContinuous"/>
    </xf>
    <xf numFmtId="0" fontId="42" fillId="0" borderId="16" xfId="9" applyFont="1" applyBorder="1"/>
    <xf numFmtId="0" fontId="5" fillId="0" borderId="13" xfId="9" applyBorder="1"/>
    <xf numFmtId="0" fontId="43" fillId="0" borderId="13" xfId="9" applyFont="1" applyFill="1" applyBorder="1" applyAlignment="1">
      <alignment horizontal="centerContinuous"/>
    </xf>
    <xf numFmtId="0" fontId="44" fillId="0" borderId="17" xfId="9" applyFont="1" applyFill="1" applyBorder="1" applyAlignment="1">
      <alignment horizontal="centerContinuous"/>
    </xf>
    <xf numFmtId="168" fontId="0" fillId="0" borderId="0" xfId="10" applyNumberFormat="1" applyFont="1" applyFill="1" applyBorder="1"/>
    <xf numFmtId="0" fontId="47" fillId="0" borderId="0" xfId="9" applyFont="1" applyFill="1" applyBorder="1" applyAlignment="1">
      <alignment horizontal="centerContinuous"/>
    </xf>
    <xf numFmtId="0" fontId="30" fillId="4" borderId="16" xfId="9" applyFont="1" applyFill="1" applyBorder="1" applyAlignment="1">
      <alignment horizontal="centerContinuous" vertical="center"/>
    </xf>
    <xf numFmtId="0" fontId="47" fillId="4" borderId="13" xfId="9" applyFont="1" applyFill="1" applyBorder="1" applyAlignment="1">
      <alignment horizontal="centerContinuous"/>
    </xf>
    <xf numFmtId="0" fontId="47" fillId="4" borderId="17" xfId="9" applyFont="1" applyFill="1" applyBorder="1" applyAlignment="1">
      <alignment horizontal="centerContinuous"/>
    </xf>
    <xf numFmtId="0" fontId="47" fillId="4" borderId="0" xfId="9" applyFont="1" applyFill="1" applyBorder="1" applyAlignment="1">
      <alignment horizontal="centerContinuous"/>
    </xf>
    <xf numFmtId="0" fontId="5" fillId="4" borderId="17" xfId="9" applyFill="1" applyBorder="1" applyAlignment="1">
      <alignment horizontal="centerContinuous"/>
    </xf>
    <xf numFmtId="168" fontId="20" fillId="0" borderId="1" xfId="10" applyNumberFormat="1" applyFont="1" applyFill="1" applyBorder="1"/>
    <xf numFmtId="0" fontId="20" fillId="0" borderId="46" xfId="9" applyFont="1" applyFill="1" applyBorder="1" applyAlignment="1">
      <alignment wrapText="1"/>
    </xf>
    <xf numFmtId="168" fontId="0" fillId="0" borderId="1" xfId="10" applyNumberFormat="1" applyFont="1" applyFill="1" applyBorder="1"/>
    <xf numFmtId="168" fontId="0" fillId="0" borderId="15" xfId="10" applyNumberFormat="1" applyFont="1" applyFill="1" applyBorder="1"/>
    <xf numFmtId="168" fontId="20" fillId="0" borderId="29" xfId="10" applyNumberFormat="1" applyFont="1" applyFill="1" applyBorder="1"/>
    <xf numFmtId="0" fontId="47" fillId="4" borderId="6" xfId="9" applyFont="1" applyFill="1" applyBorder="1" applyAlignment="1">
      <alignment horizontal="centerContinuous"/>
    </xf>
    <xf numFmtId="0" fontId="47" fillId="4" borderId="7" xfId="9" applyFont="1" applyFill="1" applyBorder="1" applyAlignment="1">
      <alignment horizontal="centerContinuous"/>
    </xf>
    <xf numFmtId="42" fontId="24" fillId="0" borderId="29" xfId="0" applyNumberFormat="1" applyFont="1" applyFill="1" applyBorder="1" applyAlignment="1">
      <alignment horizontal="left"/>
    </xf>
    <xf numFmtId="0" fontId="24" fillId="0" borderId="0" xfId="0" applyFont="1" applyFill="1" applyAlignment="1">
      <alignment horizontal="center"/>
    </xf>
    <xf numFmtId="3" fontId="46" fillId="0" borderId="1" xfId="0" applyNumberFormat="1" applyFont="1" applyFill="1" applyBorder="1" applyAlignment="1">
      <alignment horizontal="center" vertical="top"/>
    </xf>
    <xf numFmtId="0" fontId="15" fillId="0" borderId="13" xfId="0" applyFont="1" applyFill="1" applyBorder="1" applyAlignment="1">
      <alignment vertical="top"/>
    </xf>
    <xf numFmtId="44" fontId="15" fillId="0" borderId="13" xfId="8" applyFont="1" applyFill="1" applyBorder="1" applyAlignment="1">
      <alignment horizontal="center" vertical="top"/>
    </xf>
    <xf numFmtId="0" fontId="10" fillId="0" borderId="0" xfId="0" applyFont="1" applyFill="1" applyAlignment="1">
      <alignment vertical="top"/>
    </xf>
    <xf numFmtId="42" fontId="8" fillId="0" borderId="0" xfId="0" applyNumberFormat="1" applyFont="1" applyFill="1" applyBorder="1"/>
    <xf numFmtId="42" fontId="8" fillId="0" borderId="1" xfId="0" applyNumberFormat="1" applyFont="1" applyFill="1" applyBorder="1"/>
    <xf numFmtId="0" fontId="10" fillId="0" borderId="0" xfId="0" applyFont="1" applyFill="1" applyBorder="1" applyAlignment="1">
      <alignment vertical="top"/>
    </xf>
    <xf numFmtId="3" fontId="10" fillId="0" borderId="9" xfId="0" applyNumberFormat="1" applyFont="1" applyFill="1" applyBorder="1" applyAlignment="1">
      <alignment vertical="top"/>
    </xf>
    <xf numFmtId="42" fontId="8" fillId="0" borderId="9" xfId="0" applyNumberFormat="1" applyFont="1" applyFill="1" applyBorder="1"/>
    <xf numFmtId="10" fontId="10" fillId="0" borderId="1" xfId="0" applyNumberFormat="1" applyFont="1" applyFill="1" applyBorder="1" applyAlignment="1">
      <alignment vertical="top"/>
    </xf>
    <xf numFmtId="167" fontId="8" fillId="0" borderId="0" xfId="0" applyNumberFormat="1" applyFont="1" applyFill="1"/>
    <xf numFmtId="10" fontId="40" fillId="0" borderId="14" xfId="5" applyNumberFormat="1" applyFont="1" applyFill="1" applyBorder="1"/>
    <xf numFmtId="44" fontId="40" fillId="0" borderId="14" xfId="5" applyNumberFormat="1" applyFont="1" applyFill="1" applyBorder="1"/>
    <xf numFmtId="43" fontId="40" fillId="0" borderId="14" xfId="5" applyNumberFormat="1" applyFont="1" applyFill="1" applyBorder="1"/>
    <xf numFmtId="10" fontId="40" fillId="0" borderId="19" xfId="5" applyNumberFormat="1" applyFont="1" applyFill="1" applyBorder="1"/>
    <xf numFmtId="165" fontId="41" fillId="0" borderId="47" xfId="6" applyNumberFormat="1" applyFont="1" applyFill="1" applyBorder="1"/>
    <xf numFmtId="0" fontId="40" fillId="0" borderId="47" xfId="5" applyFont="1" applyFill="1" applyBorder="1"/>
    <xf numFmtId="10" fontId="40" fillId="0" borderId="14" xfId="1" applyNumberFormat="1" applyFont="1" applyFill="1" applyBorder="1"/>
    <xf numFmtId="0" fontId="5" fillId="0" borderId="14" xfId="9" applyFill="1" applyBorder="1"/>
    <xf numFmtId="0" fontId="21" fillId="0" borderId="26" xfId="0" applyFont="1" applyFill="1" applyBorder="1"/>
    <xf numFmtId="42" fontId="21" fillId="0" borderId="22" xfId="0" applyNumberFormat="1" applyFont="1" applyFill="1" applyBorder="1"/>
    <xf numFmtId="0" fontId="3" fillId="0" borderId="14" xfId="0" applyFont="1" applyFill="1" applyBorder="1"/>
    <xf numFmtId="0" fontId="3" fillId="0" borderId="0" xfId="0" applyFont="1"/>
    <xf numFmtId="0" fontId="3" fillId="0" borderId="0" xfId="0" applyFont="1" applyFill="1"/>
    <xf numFmtId="0" fontId="20" fillId="0" borderId="0" xfId="0" applyFont="1" applyFill="1" applyAlignment="1">
      <alignment horizontal="centerContinuous"/>
    </xf>
    <xf numFmtId="0" fontId="3" fillId="0" borderId="0" xfId="0" applyFont="1" applyFill="1" applyAlignment="1">
      <alignment horizontal="centerContinuous"/>
    </xf>
    <xf numFmtId="0" fontId="3" fillId="0" borderId="16" xfId="0" applyFont="1" applyFill="1" applyBorder="1"/>
    <xf numFmtId="17" fontId="20" fillId="0" borderId="13" xfId="0" applyNumberFormat="1" applyFont="1" applyFill="1" applyBorder="1" applyAlignment="1">
      <alignment horizontal="centerContinuous"/>
    </xf>
    <xf numFmtId="0" fontId="3" fillId="0" borderId="13" xfId="0" applyFont="1" applyFill="1" applyBorder="1" applyAlignment="1">
      <alignment horizontal="centerContinuous"/>
    </xf>
    <xf numFmtId="0" fontId="3" fillId="0" borderId="17" xfId="0" applyFont="1" applyFill="1" applyBorder="1" applyAlignment="1">
      <alignment horizontal="centerContinuous"/>
    </xf>
    <xf numFmtId="43" fontId="3" fillId="0" borderId="0" xfId="0" applyNumberFormat="1" applyFont="1" applyFill="1"/>
    <xf numFmtId="43" fontId="3" fillId="0" borderId="0" xfId="0" applyNumberFormat="1" applyFont="1"/>
    <xf numFmtId="0" fontId="10" fillId="0" borderId="18" xfId="0" applyFont="1" applyFill="1" applyBorder="1"/>
    <xf numFmtId="0" fontId="20" fillId="0" borderId="14" xfId="0" applyFont="1" applyFill="1" applyBorder="1" applyAlignment="1">
      <alignment horizontal="center" vertical="center" wrapText="1"/>
    </xf>
    <xf numFmtId="0" fontId="10" fillId="0" borderId="18" xfId="0" applyFont="1" applyFill="1" applyBorder="1" applyAlignment="1">
      <alignment horizontal="center" wrapText="1"/>
    </xf>
    <xf numFmtId="0" fontId="48" fillId="0" borderId="19" xfId="0" applyFont="1" applyFill="1" applyBorder="1"/>
    <xf numFmtId="165" fontId="10" fillId="0" borderId="14" xfId="0" applyNumberFormat="1" applyFont="1" applyFill="1" applyBorder="1"/>
    <xf numFmtId="171" fontId="10" fillId="0" borderId="14" xfId="0" applyNumberFormat="1" applyFont="1" applyFill="1" applyBorder="1"/>
    <xf numFmtId="171" fontId="3" fillId="0" borderId="14" xfId="0" applyNumberFormat="1" applyFont="1" applyFill="1" applyBorder="1"/>
    <xf numFmtId="10" fontId="3" fillId="0" borderId="0" xfId="0" applyNumberFormat="1" applyFont="1" applyFill="1"/>
    <xf numFmtId="0" fontId="49" fillId="0" borderId="0" xfId="0" applyNumberFormat="1" applyFont="1" applyFill="1" applyAlignment="1"/>
    <xf numFmtId="0" fontId="3" fillId="0" borderId="14" xfId="0" applyFont="1" applyFill="1" applyBorder="1" applyAlignment="1">
      <alignment horizontal="center"/>
    </xf>
    <xf numFmtId="0" fontId="10" fillId="0" borderId="14" xfId="0" applyFont="1" applyFill="1" applyBorder="1" applyAlignment="1">
      <alignment horizontal="center" wrapText="1"/>
    </xf>
    <xf numFmtId="0" fontId="23" fillId="0" borderId="14" xfId="0" applyFont="1" applyFill="1" applyBorder="1" applyAlignment="1">
      <alignment horizontal="center"/>
    </xf>
    <xf numFmtId="10" fontId="10" fillId="0" borderId="14" xfId="0" applyNumberFormat="1" applyFont="1" applyFill="1" applyBorder="1" applyAlignment="1"/>
    <xf numFmtId="43" fontId="10" fillId="0" borderId="14" xfId="0" applyNumberFormat="1" applyFont="1" applyFill="1" applyBorder="1" applyAlignment="1"/>
    <xf numFmtId="0" fontId="10" fillId="0" borderId="14" xfId="0" applyNumberFormat="1" applyFont="1" applyFill="1" applyBorder="1" applyAlignment="1"/>
    <xf numFmtId="170" fontId="3" fillId="0" borderId="0" xfId="0" applyNumberFormat="1" applyFont="1" applyFill="1"/>
    <xf numFmtId="43" fontId="3" fillId="0" borderId="0" xfId="0" applyNumberFormat="1" applyFont="1" applyFill="1" applyAlignment="1">
      <alignment wrapText="1"/>
    </xf>
    <xf numFmtId="0" fontId="23" fillId="0" borderId="3" xfId="0" applyFont="1" applyFill="1" applyBorder="1" applyAlignment="1">
      <alignment horizontal="centerContinuous"/>
    </xf>
    <xf numFmtId="0" fontId="28" fillId="0" borderId="6" xfId="0" applyFont="1" applyFill="1" applyBorder="1" applyAlignment="1">
      <alignment horizontal="center"/>
    </xf>
    <xf numFmtId="0" fontId="28" fillId="0" borderId="0" xfId="0" applyFont="1" applyFill="1" applyBorder="1" applyAlignment="1">
      <alignment horizontal="center"/>
    </xf>
    <xf numFmtId="43" fontId="28" fillId="0" borderId="0" xfId="0" applyNumberFormat="1" applyFont="1" applyFill="1" applyBorder="1" applyAlignment="1">
      <alignment horizontal="center" wrapText="1"/>
    </xf>
    <xf numFmtId="0" fontId="28" fillId="0" borderId="7" xfId="0" applyFont="1" applyFill="1" applyBorder="1" applyAlignment="1">
      <alignment horizontal="center" wrapText="1"/>
    </xf>
    <xf numFmtId="172" fontId="3" fillId="0" borderId="0" xfId="0" applyNumberFormat="1" applyFont="1" applyFill="1"/>
    <xf numFmtId="0" fontId="28" fillId="0" borderId="7" xfId="0" applyFont="1" applyFill="1" applyBorder="1" applyAlignment="1">
      <alignment horizontal="center"/>
    </xf>
    <xf numFmtId="173" fontId="3" fillId="0" borderId="0" xfId="0" applyNumberFormat="1" applyFont="1" applyFill="1"/>
    <xf numFmtId="0" fontId="20" fillId="0" borderId="13" xfId="0" applyFont="1" applyFill="1" applyBorder="1" applyAlignment="1">
      <alignment horizontal="centerContinuous"/>
    </xf>
    <xf numFmtId="0" fontId="20" fillId="0" borderId="0" xfId="0" applyFont="1" applyFill="1" applyBorder="1"/>
    <xf numFmtId="0" fontId="20" fillId="0" borderId="0" xfId="0" applyFont="1" applyFill="1" applyBorder="1" applyAlignment="1">
      <alignment horizontal="center" vertical="center" wrapText="1"/>
    </xf>
    <xf numFmtId="165" fontId="10" fillId="0" borderId="0" xfId="0" applyNumberFormat="1" applyFont="1" applyFill="1" applyBorder="1"/>
    <xf numFmtId="168" fontId="3" fillId="0" borderId="0" xfId="16" applyNumberFormat="1" applyFont="1" applyFill="1"/>
    <xf numFmtId="171" fontId="10" fillId="0" borderId="0" xfId="0" applyNumberFormat="1" applyFont="1" applyFill="1" applyBorder="1"/>
    <xf numFmtId="0" fontId="3" fillId="0" borderId="0" xfId="0" applyFont="1" applyFill="1" applyBorder="1"/>
    <xf numFmtId="44" fontId="3" fillId="0" borderId="0" xfId="0" applyNumberFormat="1" applyFont="1" applyFill="1" applyBorder="1"/>
    <xf numFmtId="43" fontId="3" fillId="0" borderId="0" xfId="0" applyNumberFormat="1" applyFont="1" applyFill="1" applyBorder="1"/>
    <xf numFmtId="0" fontId="3" fillId="0" borderId="0" xfId="0" applyFont="1" applyBorder="1"/>
    <xf numFmtId="42" fontId="3" fillId="0" borderId="0" xfId="0" applyNumberFormat="1" applyFont="1" applyFill="1"/>
    <xf numFmtId="44" fontId="3" fillId="0" borderId="0" xfId="0" applyNumberFormat="1" applyFont="1" applyFill="1"/>
    <xf numFmtId="0" fontId="15" fillId="0" borderId="0" xfId="0" applyFont="1" applyFill="1" applyAlignment="1">
      <alignment horizontal="center" vertical="top"/>
    </xf>
    <xf numFmtId="0" fontId="44" fillId="0" borderId="0" xfId="9" applyFont="1"/>
    <xf numFmtId="0" fontId="51" fillId="0" borderId="0" xfId="5" applyFont="1"/>
    <xf numFmtId="0" fontId="50" fillId="0" borderId="0" xfId="5" applyFont="1"/>
    <xf numFmtId="165" fontId="52" fillId="0" borderId="0" xfId="6" applyNumberFormat="1" applyFont="1" applyFill="1" applyBorder="1"/>
    <xf numFmtId="165" fontId="41" fillId="0" borderId="0" xfId="6" applyNumberFormat="1" applyFont="1" applyFill="1" applyBorder="1"/>
    <xf numFmtId="0" fontId="52" fillId="0" borderId="0" xfId="0" applyFont="1"/>
    <xf numFmtId="0" fontId="54" fillId="4" borderId="0" xfId="0" applyFont="1" applyFill="1" applyAlignment="1">
      <alignment horizontal="centerContinuous"/>
    </xf>
    <xf numFmtId="0" fontId="54" fillId="4" borderId="27" xfId="5" applyFont="1" applyFill="1" applyBorder="1" applyAlignment="1">
      <alignment horizontal="center" vertical="center"/>
    </xf>
    <xf numFmtId="0" fontId="40" fillId="0" borderId="0" xfId="5" applyFont="1"/>
    <xf numFmtId="0" fontId="41" fillId="0" borderId="14" xfId="5" applyFont="1" applyBorder="1"/>
    <xf numFmtId="0" fontId="41" fillId="0" borderId="19" xfId="5" applyFont="1" applyBorder="1" applyAlignment="1">
      <alignment horizontal="center"/>
    </xf>
    <xf numFmtId="0" fontId="41" fillId="0" borderId="0" xfId="5" applyFont="1" applyFill="1" applyBorder="1"/>
    <xf numFmtId="0" fontId="55" fillId="0" borderId="14" xfId="5" applyFont="1" applyFill="1" applyBorder="1" applyAlignment="1">
      <alignment vertical="center"/>
    </xf>
    <xf numFmtId="0" fontId="55" fillId="0" borderId="19" xfId="5" applyFont="1" applyFill="1" applyBorder="1" applyAlignment="1">
      <alignment vertical="center"/>
    </xf>
    <xf numFmtId="0" fontId="56" fillId="0" borderId="26" xfId="5" applyFont="1" applyFill="1" applyBorder="1" applyAlignment="1">
      <alignment vertical="center"/>
    </xf>
    <xf numFmtId="0" fontId="56" fillId="0" borderId="21" xfId="5" applyFont="1" applyFill="1" applyBorder="1" applyAlignment="1">
      <alignment vertical="center"/>
    </xf>
    <xf numFmtId="0" fontId="53" fillId="0" borderId="0" xfId="0" applyNumberFormat="1" applyFont="1" applyFill="1" applyBorder="1" applyAlignment="1"/>
    <xf numFmtId="0" fontId="54" fillId="4" borderId="14" xfId="5" applyFont="1" applyFill="1" applyBorder="1" applyAlignment="1">
      <alignment horizontal="center" vertical="center"/>
    </xf>
    <xf numFmtId="0" fontId="40" fillId="0" borderId="14" xfId="5" applyFont="1" applyBorder="1"/>
    <xf numFmtId="0" fontId="55" fillId="0" borderId="36" xfId="5" applyFont="1" applyBorder="1" applyAlignment="1">
      <alignment vertical="center"/>
    </xf>
    <xf numFmtId="0" fontId="56" fillId="0" borderId="14" xfId="5" applyFont="1" applyFill="1" applyBorder="1" applyAlignment="1">
      <alignment vertical="center"/>
    </xf>
    <xf numFmtId="0" fontId="41" fillId="0" borderId="19" xfId="5" applyFont="1" applyFill="1" applyBorder="1"/>
    <xf numFmtId="0" fontId="51" fillId="0" borderId="3" xfId="0" applyFont="1" applyFill="1" applyBorder="1" applyAlignment="1">
      <alignment horizontal="centerContinuous"/>
    </xf>
    <xf numFmtId="0" fontId="53" fillId="0" borderId="4" xfId="0" applyFont="1" applyFill="1" applyBorder="1" applyAlignment="1">
      <alignment horizontal="centerContinuous"/>
    </xf>
    <xf numFmtId="0" fontId="53" fillId="0" borderId="5" xfId="0" applyFont="1" applyFill="1" applyBorder="1" applyAlignment="1">
      <alignment horizontal="centerContinuous"/>
    </xf>
    <xf numFmtId="0" fontId="53" fillId="0" borderId="48" xfId="0" applyFont="1" applyFill="1" applyBorder="1" applyAlignment="1">
      <alignment horizontal="center"/>
    </xf>
    <xf numFmtId="0" fontId="53" fillId="0" borderId="15" xfId="0" applyFont="1" applyFill="1" applyBorder="1" applyAlignment="1">
      <alignment horizontal="center"/>
    </xf>
    <xf numFmtId="43" fontId="53" fillId="0" borderId="15" xfId="0" applyNumberFormat="1" applyFont="1" applyFill="1" applyBorder="1" applyAlignment="1">
      <alignment horizontal="center" wrapText="1"/>
    </xf>
    <xf numFmtId="0" fontId="53" fillId="0" borderId="49" xfId="0" applyFont="1" applyFill="1" applyBorder="1" applyAlignment="1">
      <alignment horizontal="center" wrapText="1"/>
    </xf>
    <xf numFmtId="0" fontId="53" fillId="0" borderId="30" xfId="0" applyFont="1" applyFill="1" applyBorder="1" applyAlignment="1">
      <alignment horizontal="center"/>
    </xf>
    <xf numFmtId="0" fontId="53" fillId="0" borderId="1" xfId="0" applyFont="1" applyFill="1" applyBorder="1" applyAlignment="1">
      <alignment horizontal="center"/>
    </xf>
    <xf numFmtId="43" fontId="53" fillId="0" borderId="1" xfId="0" applyNumberFormat="1" applyFont="1" applyFill="1" applyBorder="1" applyAlignment="1">
      <alignment horizontal="center"/>
    </xf>
    <xf numFmtId="0" fontId="53" fillId="0" borderId="8" xfId="0" applyFont="1" applyFill="1" applyBorder="1" applyAlignment="1">
      <alignment horizontal="center"/>
    </xf>
    <xf numFmtId="0" fontId="52" fillId="0" borderId="6" xfId="0" applyFont="1" applyFill="1" applyBorder="1"/>
    <xf numFmtId="0" fontId="52" fillId="0" borderId="0" xfId="0" applyFont="1" applyFill="1" applyBorder="1"/>
    <xf numFmtId="43" fontId="53" fillId="0" borderId="0" xfId="0" applyNumberFormat="1" applyFont="1" applyFill="1" applyBorder="1" applyAlignment="1">
      <alignment horizontal="center"/>
    </xf>
    <xf numFmtId="0" fontId="52" fillId="0" borderId="7" xfId="0" applyFont="1" applyFill="1" applyBorder="1"/>
    <xf numFmtId="0" fontId="52" fillId="0" borderId="6" xfId="0" applyFont="1" applyFill="1" applyBorder="1" applyAlignment="1">
      <alignment horizontal="left"/>
    </xf>
    <xf numFmtId="10" fontId="52" fillId="0" borderId="0" xfId="0" applyNumberFormat="1" applyFont="1" applyFill="1" applyBorder="1"/>
    <xf numFmtId="10" fontId="52" fillId="0" borderId="7" xfId="0" applyNumberFormat="1" applyFont="1" applyFill="1" applyBorder="1"/>
    <xf numFmtId="0" fontId="52" fillId="0" borderId="11" xfId="0" applyFont="1" applyFill="1" applyBorder="1" applyAlignment="1">
      <alignment horizontal="left"/>
    </xf>
    <xf numFmtId="0" fontId="52" fillId="0" borderId="2" xfId="0" applyFont="1" applyFill="1" applyBorder="1"/>
    <xf numFmtId="10" fontId="52" fillId="0" borderId="2" xfId="0" applyNumberFormat="1" applyFont="1" applyFill="1" applyBorder="1"/>
    <xf numFmtId="10" fontId="52" fillId="0" borderId="12" xfId="0" applyNumberFormat="1" applyFont="1" applyFill="1" applyBorder="1"/>
    <xf numFmtId="0" fontId="57" fillId="0" borderId="0" xfId="5" applyFont="1"/>
    <xf numFmtId="0" fontId="53" fillId="0" borderId="47" xfId="0" applyNumberFormat="1" applyFont="1" applyFill="1" applyBorder="1" applyAlignment="1"/>
    <xf numFmtId="0" fontId="41" fillId="0" borderId="0" xfId="5" applyFont="1"/>
    <xf numFmtId="0" fontId="54" fillId="4" borderId="16" xfId="5" applyFont="1" applyFill="1" applyBorder="1" applyAlignment="1">
      <alignment horizontal="centerContinuous"/>
    </xf>
    <xf numFmtId="0" fontId="58" fillId="4" borderId="13" xfId="5" applyFont="1" applyFill="1" applyBorder="1" applyAlignment="1">
      <alignment horizontal="centerContinuous"/>
    </xf>
    <xf numFmtId="0" fontId="58" fillId="4" borderId="17" xfId="5" applyFont="1" applyFill="1" applyBorder="1" applyAlignment="1">
      <alignment horizontal="centerContinuous"/>
    </xf>
    <xf numFmtId="0" fontId="59" fillId="4" borderId="0" xfId="0" applyFont="1" applyFill="1" applyAlignment="1">
      <alignment horizontal="centerContinuous"/>
    </xf>
    <xf numFmtId="0" fontId="58" fillId="4" borderId="0" xfId="5" applyFont="1" applyFill="1" applyAlignment="1">
      <alignment horizontal="centerContinuous"/>
    </xf>
    <xf numFmtId="0" fontId="41" fillId="0" borderId="14" xfId="5" applyFont="1" applyFill="1" applyBorder="1" applyAlignment="1">
      <alignment horizontal="right"/>
    </xf>
    <xf numFmtId="0" fontId="41" fillId="0" borderId="28" xfId="5" applyFont="1" applyFill="1" applyBorder="1" applyAlignment="1">
      <alignment wrapText="1"/>
    </xf>
    <xf numFmtId="42" fontId="60" fillId="2" borderId="20" xfId="0" applyNumberFormat="1" applyFont="1" applyFill="1" applyBorder="1" applyAlignment="1">
      <alignment vertical="top"/>
    </xf>
    <xf numFmtId="0" fontId="50" fillId="0" borderId="0" xfId="5" applyFont="1" applyAlignment="1">
      <alignment wrapText="1"/>
    </xf>
    <xf numFmtId="0" fontId="50" fillId="0" borderId="0" xfId="5" applyFont="1" applyAlignment="1"/>
    <xf numFmtId="0" fontId="15" fillId="0" borderId="0" xfId="0" applyFont="1" applyFill="1" applyAlignment="1">
      <alignment horizontal="center" vertical="top"/>
    </xf>
    <xf numFmtId="168" fontId="5" fillId="0" borderId="0" xfId="9" applyNumberFormat="1"/>
    <xf numFmtId="3" fontId="39" fillId="0" borderId="1" xfId="0" applyNumberFormat="1" applyFont="1" applyFill="1" applyBorder="1" applyAlignment="1">
      <alignment horizontal="center" vertical="top"/>
    </xf>
    <xf numFmtId="10" fontId="8" fillId="0" borderId="0" xfId="0" applyNumberFormat="1" applyFont="1"/>
    <xf numFmtId="44" fontId="8" fillId="0" borderId="0" xfId="0" applyNumberFormat="1" applyFont="1"/>
    <xf numFmtId="0" fontId="24" fillId="0" borderId="29" xfId="0" applyFont="1" applyFill="1" applyBorder="1" applyAlignment="1">
      <alignment horizontal="left"/>
    </xf>
    <xf numFmtId="0" fontId="24" fillId="0" borderId="29" xfId="0" applyFont="1" applyFill="1" applyBorder="1" applyAlignment="1">
      <alignment horizontal="centerContinuous"/>
    </xf>
    <xf numFmtId="10" fontId="8" fillId="0" borderId="0" xfId="1" applyNumberFormat="1" applyFont="1" applyFill="1"/>
    <xf numFmtId="0" fontId="21" fillId="0" borderId="0" xfId="0" applyFont="1" applyFill="1" applyAlignment="1">
      <alignment horizontal="centerContinuous"/>
    </xf>
    <xf numFmtId="0" fontId="19" fillId="0" borderId="14" xfId="0" applyFont="1" applyFill="1" applyBorder="1" applyAlignment="1">
      <alignment horizontal="center"/>
    </xf>
    <xf numFmtId="0" fontId="19" fillId="0" borderId="14" xfId="0" applyFont="1" applyFill="1" applyBorder="1" applyAlignment="1">
      <alignment horizontal="center" wrapText="1"/>
    </xf>
    <xf numFmtId="42" fontId="19" fillId="0" borderId="14" xfId="0" applyNumberFormat="1" applyFont="1" applyFill="1" applyBorder="1"/>
    <xf numFmtId="0" fontId="19" fillId="0" borderId="14" xfId="0" applyFont="1" applyFill="1" applyBorder="1"/>
    <xf numFmtId="42" fontId="19" fillId="0" borderId="23" xfId="0" applyNumberFormat="1" applyFont="1" applyFill="1" applyBorder="1"/>
    <xf numFmtId="41" fontId="19" fillId="0" borderId="23" xfId="0" applyNumberFormat="1" applyFont="1" applyFill="1" applyBorder="1"/>
    <xf numFmtId="0" fontId="9" fillId="0" borderId="0" xfId="9" quotePrefix="1" applyFont="1" applyFill="1"/>
    <xf numFmtId="0" fontId="0" fillId="0" borderId="15" xfId="0" applyBorder="1"/>
    <xf numFmtId="0" fontId="0" fillId="0" borderId="47" xfId="0" applyBorder="1"/>
    <xf numFmtId="0" fontId="0" fillId="0" borderId="19" xfId="0" applyBorder="1"/>
    <xf numFmtId="0" fontId="0" fillId="0" borderId="14" xfId="0" applyBorder="1"/>
    <xf numFmtId="0" fontId="0" fillId="0" borderId="46" xfId="0" applyBorder="1"/>
    <xf numFmtId="0" fontId="5" fillId="0" borderId="14" xfId="9" applyBorder="1"/>
    <xf numFmtId="9" fontId="5" fillId="0" borderId="47" xfId="1" applyFont="1" applyBorder="1"/>
    <xf numFmtId="10" fontId="0" fillId="0" borderId="46" xfId="0" applyNumberFormat="1" applyBorder="1"/>
    <xf numFmtId="10" fontId="0" fillId="0" borderId="14" xfId="0" applyNumberFormat="1" applyBorder="1"/>
    <xf numFmtId="10" fontId="0" fillId="0" borderId="0" xfId="0" applyNumberFormat="1"/>
    <xf numFmtId="0" fontId="20" fillId="0" borderId="14" xfId="9" applyFont="1" applyFill="1" applyBorder="1" applyAlignment="1">
      <alignment horizontal="center" wrapText="1"/>
    </xf>
    <xf numFmtId="0" fontId="41" fillId="0" borderId="14" xfId="5" applyFont="1" applyFill="1" applyBorder="1" applyAlignment="1">
      <alignment wrapText="1"/>
    </xf>
    <xf numFmtId="165" fontId="52" fillId="0" borderId="14" xfId="6" applyNumberFormat="1" applyFont="1" applyFill="1" applyBorder="1"/>
    <xf numFmtId="41" fontId="52" fillId="0" borderId="14" xfId="6" applyNumberFormat="1" applyFont="1" applyFill="1" applyBorder="1"/>
    <xf numFmtId="165" fontId="41" fillId="0" borderId="26" xfId="6" applyNumberFormat="1" applyFont="1" applyFill="1" applyBorder="1"/>
    <xf numFmtId="44" fontId="52" fillId="0" borderId="14" xfId="6" applyFont="1" applyFill="1" applyBorder="1"/>
    <xf numFmtId="41" fontId="52" fillId="0" borderId="47" xfId="6" applyNumberFormat="1" applyFont="1" applyFill="1" applyBorder="1"/>
    <xf numFmtId="41" fontId="40" fillId="0" borderId="14" xfId="5" applyNumberFormat="1" applyFont="1" applyFill="1" applyBorder="1"/>
    <xf numFmtId="3" fontId="40" fillId="0" borderId="14" xfId="5" applyNumberFormat="1" applyFont="1" applyFill="1" applyBorder="1"/>
    <xf numFmtId="41" fontId="40" fillId="0" borderId="47" xfId="5" applyNumberFormat="1" applyFont="1" applyFill="1" applyBorder="1"/>
    <xf numFmtId="165" fontId="41" fillId="0" borderId="14" xfId="6" applyNumberFormat="1" applyFont="1" applyFill="1" applyBorder="1"/>
    <xf numFmtId="165" fontId="41" fillId="0" borderId="53" xfId="8" applyNumberFormat="1" applyFont="1" applyFill="1" applyBorder="1"/>
    <xf numFmtId="0" fontId="41" fillId="0" borderId="50" xfId="5" applyFont="1" applyFill="1" applyBorder="1" applyAlignment="1">
      <alignment horizontal="right"/>
    </xf>
    <xf numFmtId="0" fontId="41" fillId="0" borderId="51" xfId="5" applyFont="1" applyFill="1" applyBorder="1"/>
    <xf numFmtId="0" fontId="41" fillId="0" borderId="52" xfId="5" applyFont="1" applyFill="1" applyBorder="1"/>
    <xf numFmtId="0" fontId="40" fillId="0" borderId="6" xfId="5" applyFont="1" applyFill="1" applyBorder="1"/>
    <xf numFmtId="0" fontId="40" fillId="0" borderId="0" xfId="5" applyFont="1" applyFill="1" applyBorder="1"/>
    <xf numFmtId="10" fontId="40" fillId="0" borderId="0" xfId="1" applyNumberFormat="1" applyFont="1" applyFill="1" applyBorder="1"/>
    <xf numFmtId="10" fontId="40" fillId="0" borderId="7" xfId="1" applyNumberFormat="1" applyFont="1" applyFill="1" applyBorder="1"/>
    <xf numFmtId="10" fontId="40" fillId="0" borderId="1" xfId="1" applyNumberFormat="1" applyFont="1" applyFill="1" applyBorder="1"/>
    <xf numFmtId="10" fontId="40" fillId="0" borderId="8" xfId="1" applyNumberFormat="1" applyFont="1" applyFill="1" applyBorder="1"/>
    <xf numFmtId="0" fontId="40" fillId="0" borderId="11" xfId="5" applyFont="1" applyFill="1" applyBorder="1"/>
    <xf numFmtId="0" fontId="40" fillId="0" borderId="2" xfId="5" applyFont="1" applyFill="1" applyBorder="1"/>
    <xf numFmtId="10" fontId="40" fillId="0" borderId="2" xfId="5" applyNumberFormat="1" applyFont="1" applyFill="1" applyBorder="1"/>
    <xf numFmtId="10" fontId="40" fillId="0" borderId="12" xfId="5" applyNumberFormat="1" applyFont="1" applyFill="1" applyBorder="1"/>
    <xf numFmtId="0" fontId="40" fillId="0" borderId="14" xfId="5" applyFont="1" applyFill="1" applyBorder="1" applyAlignment="1">
      <alignment horizontal="center"/>
    </xf>
    <xf numFmtId="10" fontId="52" fillId="0" borderId="14" xfId="0" applyNumberFormat="1" applyFont="1" applyFill="1" applyBorder="1"/>
    <xf numFmtId="10" fontId="52" fillId="0" borderId="14" xfId="5" applyNumberFormat="1" applyFont="1" applyFill="1" applyBorder="1"/>
    <xf numFmtId="0" fontId="41" fillId="0" borderId="0" xfId="5" applyFont="1" applyFill="1"/>
    <xf numFmtId="0" fontId="51" fillId="0" borderId="14" xfId="0" applyFont="1" applyFill="1" applyBorder="1"/>
    <xf numFmtId="0" fontId="23" fillId="0" borderId="1" xfId="17" applyFont="1" applyFill="1" applyBorder="1" applyAlignment="1">
      <alignment horizontal="center" wrapText="1"/>
    </xf>
    <xf numFmtId="0" fontId="23" fillId="0" borderId="8" xfId="17" applyFont="1" applyFill="1" applyBorder="1" applyAlignment="1">
      <alignment wrapText="1"/>
    </xf>
    <xf numFmtId="0" fontId="20" fillId="0" borderId="37" xfId="9" applyFont="1" applyFill="1" applyBorder="1" applyAlignment="1">
      <alignment wrapText="1"/>
    </xf>
    <xf numFmtId="0" fontId="31" fillId="0" borderId="36" xfId="9" applyFont="1" applyFill="1" applyBorder="1" applyAlignment="1">
      <alignment vertical="center"/>
    </xf>
    <xf numFmtId="0" fontId="31" fillId="0" borderId="14" xfId="9" applyFont="1" applyFill="1" applyBorder="1" applyAlignment="1">
      <alignment vertical="center"/>
    </xf>
    <xf numFmtId="168" fontId="5" fillId="0" borderId="14" xfId="9" applyNumberFormat="1" applyFill="1" applyBorder="1"/>
    <xf numFmtId="168" fontId="0" fillId="0" borderId="38" xfId="10" applyNumberFormat="1" applyFont="1" applyFill="1" applyBorder="1"/>
    <xf numFmtId="168" fontId="5" fillId="0" borderId="36" xfId="9" applyNumberFormat="1" applyFill="1" applyBorder="1"/>
    <xf numFmtId="168" fontId="0" fillId="0" borderId="44" xfId="10" applyNumberFormat="1" applyFont="1" applyFill="1" applyBorder="1"/>
    <xf numFmtId="168" fontId="10" fillId="0" borderId="0" xfId="18" applyNumberFormat="1" applyFont="1" applyFill="1" applyBorder="1"/>
    <xf numFmtId="0" fontId="17" fillId="0" borderId="30" xfId="17" applyFont="1" applyFill="1" applyBorder="1" applyAlignment="1">
      <alignment vertical="center"/>
    </xf>
    <xf numFmtId="0" fontId="17" fillId="0" borderId="1" xfId="19" applyFont="1" applyFill="1" applyBorder="1" applyAlignment="1">
      <alignment vertical="center"/>
    </xf>
    <xf numFmtId="168" fontId="0" fillId="0" borderId="28" xfId="10" applyNumberFormat="1" applyFont="1" applyFill="1" applyBorder="1"/>
    <xf numFmtId="168" fontId="0" fillId="0" borderId="40" xfId="10" applyNumberFormat="1" applyFont="1" applyFill="1" applyBorder="1"/>
    <xf numFmtId="168" fontId="0" fillId="0" borderId="39" xfId="10" applyNumberFormat="1" applyFont="1" applyFill="1" applyBorder="1"/>
    <xf numFmtId="168" fontId="0" fillId="0" borderId="45" xfId="10" applyNumberFormat="1" applyFont="1" applyFill="1" applyBorder="1"/>
    <xf numFmtId="0" fontId="32" fillId="0" borderId="41" xfId="9" applyFont="1" applyFill="1" applyBorder="1" applyAlignment="1">
      <alignment vertical="center"/>
    </xf>
    <xf numFmtId="0" fontId="32" fillId="0" borderId="18" xfId="9" applyFont="1" applyFill="1" applyBorder="1" applyAlignment="1">
      <alignment vertical="center"/>
    </xf>
    <xf numFmtId="168" fontId="20" fillId="0" borderId="18" xfId="10" applyNumberFormat="1" applyFont="1" applyFill="1" applyBorder="1"/>
    <xf numFmtId="43" fontId="20" fillId="0" borderId="18" xfId="9" applyNumberFormat="1" applyFont="1" applyFill="1" applyBorder="1"/>
    <xf numFmtId="168" fontId="20" fillId="0" borderId="38" xfId="10" applyNumberFormat="1" applyFont="1" applyFill="1" applyBorder="1"/>
    <xf numFmtId="168" fontId="20" fillId="0" borderId="41" xfId="9" applyNumberFormat="1" applyFont="1" applyFill="1" applyBorder="1"/>
    <xf numFmtId="168" fontId="20" fillId="0" borderId="44" xfId="10" applyNumberFormat="1" applyFont="1" applyFill="1" applyBorder="1"/>
    <xf numFmtId="0" fontId="32" fillId="0" borderId="36" xfId="9" applyFont="1" applyFill="1" applyBorder="1" applyAlignment="1">
      <alignment vertical="center"/>
    </xf>
    <xf numFmtId="168" fontId="21" fillId="0" borderId="14" xfId="10" applyNumberFormat="1" applyFont="1" applyFill="1" applyBorder="1"/>
    <xf numFmtId="168" fontId="20" fillId="0" borderId="14" xfId="9" applyNumberFormat="1" applyFont="1" applyFill="1" applyBorder="1"/>
    <xf numFmtId="168" fontId="21" fillId="0" borderId="38" xfId="10" applyNumberFormat="1" applyFont="1" applyFill="1" applyBorder="1"/>
    <xf numFmtId="168" fontId="21" fillId="0" borderId="1" xfId="10" applyNumberFormat="1" applyFont="1" applyFill="1" applyBorder="1"/>
    <xf numFmtId="168" fontId="20" fillId="0" borderId="36" xfId="9" applyNumberFormat="1" applyFont="1" applyFill="1" applyBorder="1"/>
    <xf numFmtId="168" fontId="21" fillId="0" borderId="44" xfId="10" applyNumberFormat="1" applyFont="1" applyFill="1" applyBorder="1"/>
    <xf numFmtId="0" fontId="32" fillId="0" borderId="6" xfId="9" applyFont="1" applyFill="1" applyBorder="1" applyAlignment="1">
      <alignment vertical="center"/>
    </xf>
    <xf numFmtId="0" fontId="32" fillId="0" borderId="0" xfId="9" applyFont="1" applyFill="1" applyBorder="1" applyAlignment="1">
      <alignment vertical="center"/>
    </xf>
    <xf numFmtId="168" fontId="20" fillId="0" borderId="0" xfId="10" applyNumberFormat="1" applyFont="1" applyFill="1" applyBorder="1"/>
    <xf numFmtId="43" fontId="20" fillId="0" borderId="0" xfId="9" applyNumberFormat="1" applyFont="1" applyFill="1" applyBorder="1"/>
    <xf numFmtId="168" fontId="20" fillId="0" borderId="7" xfId="10" applyNumberFormat="1" applyFont="1" applyFill="1" applyBorder="1"/>
    <xf numFmtId="43" fontId="20" fillId="0" borderId="6" xfId="9" applyNumberFormat="1" applyFont="1" applyFill="1" applyBorder="1"/>
    <xf numFmtId="0" fontId="32" fillId="0" borderId="42" xfId="9" applyFont="1" applyFill="1" applyBorder="1" applyAlignment="1">
      <alignment horizontal="center" vertical="center"/>
    </xf>
    <xf numFmtId="0" fontId="32" fillId="0" borderId="43" xfId="9" applyFont="1" applyFill="1" applyBorder="1" applyAlignment="1">
      <alignment horizontal="center" vertical="center"/>
    </xf>
    <xf numFmtId="0" fontId="5" fillId="0" borderId="41" xfId="9" applyFill="1" applyBorder="1"/>
    <xf numFmtId="0" fontId="31" fillId="0" borderId="19" xfId="11" applyFont="1" applyFill="1" applyBorder="1" applyAlignment="1">
      <alignment vertical="center"/>
    </xf>
    <xf numFmtId="168" fontId="0" fillId="0" borderId="14" xfId="10" applyNumberFormat="1" applyFont="1" applyFill="1" applyBorder="1"/>
    <xf numFmtId="168" fontId="0" fillId="0" borderId="18" xfId="10" applyNumberFormat="1" applyFont="1" applyFill="1" applyBorder="1"/>
    <xf numFmtId="168" fontId="0" fillId="0" borderId="41" xfId="10" applyNumberFormat="1" applyFont="1" applyFill="1" applyBorder="1"/>
    <xf numFmtId="0" fontId="31" fillId="0" borderId="39" xfId="9" applyFont="1" applyFill="1" applyBorder="1" applyAlignment="1">
      <alignment vertical="center"/>
    </xf>
    <xf numFmtId="0" fontId="31" fillId="0" borderId="28" xfId="9" applyFont="1" applyFill="1" applyBorder="1" applyAlignment="1">
      <alignment vertical="center"/>
    </xf>
    <xf numFmtId="168" fontId="5" fillId="0" borderId="28" xfId="9" applyNumberFormat="1" applyFill="1" applyBorder="1"/>
    <xf numFmtId="168" fontId="5" fillId="0" borderId="40" xfId="9" applyNumberFormat="1" applyFill="1" applyBorder="1"/>
    <xf numFmtId="0" fontId="32" fillId="0" borderId="44" xfId="9" applyFont="1" applyFill="1" applyBorder="1" applyAlignment="1">
      <alignment vertical="center"/>
    </xf>
    <xf numFmtId="168" fontId="20" fillId="0" borderId="41" xfId="10" applyNumberFormat="1" applyFont="1" applyFill="1" applyBorder="1"/>
    <xf numFmtId="0" fontId="32" fillId="0" borderId="39" xfId="9" applyFont="1" applyFill="1" applyBorder="1" applyAlignment="1">
      <alignment vertical="center"/>
    </xf>
    <xf numFmtId="0" fontId="32" fillId="0" borderId="28" xfId="9" applyFont="1" applyFill="1" applyBorder="1" applyAlignment="1">
      <alignment vertical="center"/>
    </xf>
    <xf numFmtId="168" fontId="20" fillId="0" borderId="28" xfId="10" applyNumberFormat="1" applyFont="1" applyFill="1" applyBorder="1"/>
    <xf numFmtId="168" fontId="20" fillId="0" borderId="40" xfId="10" applyNumberFormat="1" applyFont="1" applyFill="1" applyBorder="1"/>
    <xf numFmtId="168" fontId="20" fillId="0" borderId="39" xfId="10" applyNumberFormat="1" applyFont="1" applyFill="1" applyBorder="1"/>
    <xf numFmtId="168" fontId="20" fillId="0" borderId="45" xfId="10" applyNumberFormat="1" applyFont="1" applyFill="1" applyBorder="1"/>
    <xf numFmtId="10" fontId="53" fillId="0" borderId="14" xfId="5" applyNumberFormat="1" applyFont="1" applyFill="1" applyBorder="1"/>
    <xf numFmtId="0" fontId="26" fillId="0" borderId="0" xfId="0" applyNumberFormat="1" applyFont="1" applyFill="1" applyAlignment="1">
      <alignment horizontal="center"/>
    </xf>
    <xf numFmtId="0" fontId="33" fillId="0" borderId="0" xfId="0" applyFont="1"/>
    <xf numFmtId="0" fontId="34" fillId="0" borderId="19" xfId="0" applyFont="1" applyBorder="1" applyAlignment="1">
      <alignment horizontal="centerContinuous"/>
    </xf>
    <xf numFmtId="0" fontId="34" fillId="0" borderId="31" xfId="0" applyFont="1" applyBorder="1" applyAlignment="1">
      <alignment horizontal="centerContinuous"/>
    </xf>
    <xf numFmtId="0" fontId="34" fillId="0" borderId="0" xfId="0" applyFont="1" applyAlignment="1">
      <alignment horizontal="centerContinuous"/>
    </xf>
    <xf numFmtId="0" fontId="33" fillId="0" borderId="0" xfId="0" applyFont="1" applyAlignment="1">
      <alignment horizontal="centerContinuous"/>
    </xf>
    <xf numFmtId="0" fontId="61" fillId="0" borderId="0" xfId="0" applyFont="1" applyAlignment="1">
      <alignment horizontal="centerContinuous"/>
    </xf>
    <xf numFmtId="0" fontId="36" fillId="0" borderId="0" xfId="0" applyFont="1"/>
    <xf numFmtId="0" fontId="36" fillId="0" borderId="1" xfId="0" applyFont="1" applyBorder="1"/>
    <xf numFmtId="0" fontId="62" fillId="0" borderId="0" xfId="0" applyNumberFormat="1" applyFont="1" applyFill="1" applyAlignment="1">
      <alignment horizontal="center"/>
    </xf>
    <xf numFmtId="0" fontId="62" fillId="0" borderId="0" xfId="0" applyNumberFormat="1" applyFont="1" applyFill="1" applyAlignment="1">
      <alignment horizontal="left"/>
    </xf>
    <xf numFmtId="0" fontId="62" fillId="0" borderId="0" xfId="0" applyNumberFormat="1" applyFont="1" applyFill="1" applyAlignment="1"/>
    <xf numFmtId="166" fontId="62" fillId="0" borderId="0" xfId="0" applyNumberFormat="1" applyFont="1" applyFill="1" applyAlignment="1"/>
    <xf numFmtId="164" fontId="62" fillId="0" borderId="0" xfId="0" applyNumberFormat="1" applyFont="1" applyFill="1" applyAlignment="1"/>
    <xf numFmtId="166" fontId="62" fillId="0" borderId="1" xfId="0" applyNumberFormat="1" applyFont="1" applyFill="1" applyBorder="1" applyAlignment="1"/>
    <xf numFmtId="166" fontId="62" fillId="0" borderId="0" xfId="0" applyNumberFormat="1" applyFont="1" applyFill="1" applyBorder="1" applyAlignment="1"/>
    <xf numFmtId="9" fontId="62" fillId="0" borderId="0" xfId="0" applyNumberFormat="1" applyFont="1" applyFill="1" applyAlignment="1"/>
    <xf numFmtId="166" fontId="63" fillId="0" borderId="24" xfId="0" applyNumberFormat="1" applyFont="1" applyFill="1" applyBorder="1" applyAlignment="1" applyProtection="1">
      <protection locked="0"/>
    </xf>
    <xf numFmtId="42" fontId="10" fillId="6" borderId="1" xfId="0" applyNumberFormat="1" applyFont="1" applyFill="1" applyBorder="1" applyAlignment="1">
      <alignment vertical="top"/>
    </xf>
    <xf numFmtId="10" fontId="32" fillId="0" borderId="14" xfId="9" applyNumberFormat="1" applyFont="1" applyFill="1" applyBorder="1" applyAlignment="1">
      <alignment vertical="center"/>
    </xf>
    <xf numFmtId="0" fontId="1" fillId="0" borderId="0" xfId="0" applyFont="1" applyFill="1" applyAlignment="1">
      <alignment vertical="top"/>
    </xf>
    <xf numFmtId="167" fontId="10" fillId="0" borderId="0" xfId="0" applyNumberFormat="1" applyFont="1" applyFill="1" applyAlignment="1" applyProtection="1">
      <alignment vertical="top"/>
    </xf>
    <xf numFmtId="0" fontId="63" fillId="0" borderId="0" xfId="0" applyNumberFormat="1" applyFont="1" applyFill="1" applyAlignment="1">
      <alignment horizontal="left"/>
    </xf>
    <xf numFmtId="0" fontId="63" fillId="0" borderId="0" xfId="0" applyNumberFormat="1" applyFont="1" applyFill="1" applyAlignment="1"/>
    <xf numFmtId="166" fontId="63" fillId="0" borderId="0" xfId="0" applyNumberFormat="1" applyFont="1" applyFill="1" applyAlignment="1"/>
    <xf numFmtId="0" fontId="34" fillId="0" borderId="0" xfId="0" applyNumberFormat="1" applyFont="1" applyFill="1" applyAlignment="1">
      <alignment horizontal="left"/>
    </xf>
    <xf numFmtId="0" fontId="34" fillId="0" borderId="0" xfId="0" applyNumberFormat="1" applyFont="1" applyFill="1" applyAlignment="1"/>
    <xf numFmtId="166" fontId="34" fillId="0" borderId="0" xfId="0" applyNumberFormat="1" applyFont="1" applyFill="1" applyAlignment="1"/>
    <xf numFmtId="10" fontId="52" fillId="0" borderId="14" xfId="7" applyNumberFormat="1" applyFont="1" applyFill="1" applyBorder="1"/>
    <xf numFmtId="0" fontId="15" fillId="0" borderId="0" xfId="0" applyFont="1" applyFill="1" applyAlignment="1">
      <alignment horizontal="center" vertical="top"/>
    </xf>
    <xf numFmtId="0" fontId="50" fillId="0" borderId="0" xfId="5" applyFont="1" applyAlignment="1">
      <alignment horizontal="left" wrapText="1"/>
    </xf>
    <xf numFmtId="0" fontId="43" fillId="0" borderId="16" xfId="9" applyFont="1" applyFill="1" applyBorder="1" applyAlignment="1">
      <alignment horizontal="center"/>
    </xf>
    <xf numFmtId="0" fontId="43" fillId="0" borderId="13" xfId="9" applyFont="1" applyFill="1" applyBorder="1" applyAlignment="1">
      <alignment horizontal="center"/>
    </xf>
    <xf numFmtId="0" fontId="43" fillId="0" borderId="17" xfId="9" applyFont="1" applyFill="1" applyBorder="1" applyAlignment="1">
      <alignment horizontal="center"/>
    </xf>
    <xf numFmtId="0" fontId="26" fillId="0" borderId="0" xfId="0" applyNumberFormat="1" applyFont="1" applyFill="1" applyAlignment="1" applyProtection="1">
      <alignment horizontal="center"/>
      <protection locked="0"/>
    </xf>
    <xf numFmtId="0" fontId="26" fillId="0" borderId="0" xfId="0" applyNumberFormat="1" applyFont="1" applyAlignment="1">
      <alignment horizontal="center"/>
    </xf>
    <xf numFmtId="0" fontId="26" fillId="0" borderId="0" xfId="0" applyNumberFormat="1" applyFont="1" applyFill="1" applyAlignment="1">
      <alignment horizontal="center"/>
    </xf>
  </cellXfs>
  <cellStyles count="21">
    <cellStyle name="Comma" xfId="16" builtinId="3"/>
    <cellStyle name="Comma 2" xfId="10"/>
    <cellStyle name="Comma 2 2" xfId="18"/>
    <cellStyle name="Comma 3" xfId="13"/>
    <cellStyle name="Currency" xfId="8" builtinId="4"/>
    <cellStyle name="Currency 2" xfId="4"/>
    <cellStyle name="Currency 3" xfId="6"/>
    <cellStyle name="Normal" xfId="0" builtinId="0"/>
    <cellStyle name="Normal 162" xfId="2"/>
    <cellStyle name="Normal 2" xfId="3"/>
    <cellStyle name="Normal 3" xfId="5"/>
    <cellStyle name="Normal 3 2" xfId="11"/>
    <cellStyle name="Normal 3 2 2" xfId="20"/>
    <cellStyle name="Normal 3 3" xfId="14"/>
    <cellStyle name="Normal 3 4" xfId="19"/>
    <cellStyle name="Normal 4" xfId="9"/>
    <cellStyle name="Normal 4 2" xfId="15"/>
    <cellStyle name="Normal 4 3" xfId="17"/>
    <cellStyle name="Normal 5" xfId="12"/>
    <cellStyle name="Percent" xfId="1" builtinId="5"/>
    <cellStyle name="Percent 2" xfId="7"/>
  </cellStyles>
  <dxfs count="0"/>
  <tableStyles count="0" defaultTableStyle="TableStyleMedium2" defaultPivotStyle="PivotStyleLight16"/>
  <colors>
    <mruColors>
      <color rgb="FFFFCCCC"/>
      <color rgb="FFCCFFCC"/>
      <color rgb="FFE31D93"/>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customXml" Target="../customXml/item3.xml"/><Relationship Id="rId16"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externalLink" Target="externalLinks/externalLink62.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7" Type="http://schemas.openxmlformats.org/officeDocument/2006/relationships/worksheet" Target="worksheets/sheet7.xml"/><Relationship Id="rId71" Type="http://schemas.openxmlformats.org/officeDocument/2006/relationships/externalLink" Target="externalLinks/externalLink56.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 Id="rId61" Type="http://schemas.openxmlformats.org/officeDocument/2006/relationships/externalLink" Target="externalLinks/externalLink46.xml"/><Relationship Id="rId8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st%20Accounting\Resource%20Costs\CT\ENCOGEN_WBOOK%20(StratP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2Inputs\General%20Accounting\Journal%20Entries\JE143-Electric_Unbilled_Revenue_Current_&amp;_Reverse_Prior_mo\2012%20JE143\02-2012\02-12%20Elec_Unb%20(93.1%25%207%20month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pRevnu/PUBLIC/%23%202019%20GRC/Original%20Filing/RevReq-COS-Attrition%20WP/NEW-PSE-WP-SEF-4.00G-GAS-MODEL-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5\Power%20Cost%2050yr%206.15.06%20AURORA%20run%20with%205.23.06%20prices.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GrpRates\Public\Decoupling\2016%20GRC%20Prep\PCA\%23Electric%20Model%202016%20GRC%20Origi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stdpt2\rpl\GrpRevnu\PUBLIC\%23%202017%20GRC\Settlement\Settlement%20Workpapers\%23Gas%20Model%202017%20GRC%20(SETTLEMEN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estdpt2\rpl\GrpRevnu\PUBLIC\Cost%20Recovery%20Mechanism%20for%20Gas%20(CRM)\2019%20Filing\October%202019%20CRM%20Filing\Support\Removed%20page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GrpRates\Public\Load%20Research\GRC%202007%20(not%20filed)\Load%20Research%20Analyses\RLW\From%20RLW\Off%20System%20Results\M9_Statistics_All_R991_ADJ.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TM1EXC\PSE_VER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Cost%20Accounting\Resource%20Costs\Capacity\CAP_WBook.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Documents%20and%20Settings\npeder\Local%20Settings\Temporary%20Internet%20Files\Content.Outlook\966INFBW\03-09%20Elec_Unb%20(93%203%25%208%20months)%20fin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Formulas\vlooku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GrpRevnu\PUBLIC\%23%202007%20GRC\4.04G%20Pass%20Through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WINNT\Temporary%20Internet%20Files\OLK71\SOE%20Sept%2020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GrpRates\Public\RASANEN\%232005%20GRC\COS%20Inputs\COS%20Model\ECOS%20Model%20-%20FINAL%20COMPANY.xls"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6\09-06%20Elec_Unb%20(93%203%25%202%20months)fin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Workpapers/CRM%20Summary%20Orders%20Aug%2022%20Fil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D5" t="str">
            <v>Yes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 Def, ConvF"/>
      <sheetName val="COC-Restating"/>
      <sheetName val="Summary"/>
      <sheetName val="Detailed Summary"/>
      <sheetName val="Common Adj"/>
      <sheetName val="Gas Adj"/>
      <sheetName val="Named Ranges G"/>
    </sheetNames>
    <sheetDataSet>
      <sheetData sheetId="0" refreshError="1"/>
      <sheetData sheetId="1" refreshError="1"/>
      <sheetData sheetId="2" refreshError="1"/>
      <sheetData sheetId="3" refreshError="1"/>
      <sheetData sheetId="4"/>
      <sheetData sheetId="5" refreshError="1"/>
      <sheetData sheetId="6">
        <row r="3">
          <cell r="C3">
            <v>0.21</v>
          </cell>
        </row>
        <row r="4">
          <cell r="C4" t="str">
            <v>2019 GENERAL RATE CASE</v>
          </cell>
        </row>
        <row r="5">
          <cell r="C5" t="str">
            <v>12 MONTHS ENDED DECEMBER 31, 2018</v>
          </cell>
        </row>
        <row r="8">
          <cell r="C8" t="str">
            <v>PUGET SOUND ENERGY - NATURAL GAS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efreshError="1">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efreshError="1">
        <row r="222">
          <cell r="AJ222">
            <v>35430</v>
          </cell>
        </row>
      </sheetData>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ed Volume"/>
      <sheetName val="CRM Rates"/>
      <sheetName val="Rate Impacts--&gt;"/>
      <sheetName val="Rate Impacts"/>
      <sheetName val="Typical Res Bill"/>
      <sheetName val="Schedule 149 Revenue"/>
      <sheetName val="Removed pages"/>
    </sheetNames>
    <definedNames>
      <definedName name="Number_of_Payments" refersTo="#REF!"/>
      <definedName name="Values_Entered" refersTo="#REF!"/>
    </definedNames>
    <sheetDataSet>
      <sheetData sheetId="0"/>
      <sheetData sheetId="1"/>
      <sheetData sheetId="2"/>
      <sheetData sheetId="3"/>
      <sheetData sheetId="4"/>
      <sheetData sheetId="5"/>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refreshError="1"/>
      <sheetData sheetId="1" refreshError="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 val="Print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amp;M=&gt;"/>
      <sheetName val="O&amp;M Cross Bore Insp"/>
      <sheetName val="O&amp;M Cross Bore Repair"/>
      <sheetName val="Buried Meter Mitig"/>
      <sheetName val="Buried Meter FERC % for COS"/>
      <sheetName val="Capital=&gt;"/>
      <sheetName val="Meters Replacement"/>
      <sheetName val="Dupont (Excl.4 orders)"/>
      <sheetName val="BBS=&gt;"/>
      <sheetName val="Dupont All Orders"/>
      <sheetName val="Excluded 4 orders Dupont"/>
    </sheetNames>
    <sheetDataSet>
      <sheetData sheetId="0">
        <row r="5">
          <cell r="C5">
            <v>1941365.62</v>
          </cell>
          <cell r="D5">
            <v>1474000</v>
          </cell>
        </row>
        <row r="6">
          <cell r="C6">
            <v>10517.5</v>
          </cell>
          <cell r="D6">
            <v>43737</v>
          </cell>
        </row>
        <row r="7">
          <cell r="C7">
            <v>1103012.98</v>
          </cell>
          <cell r="D7">
            <v>96566</v>
          </cell>
        </row>
        <row r="10">
          <cell r="C10">
            <v>20065458.199999966</v>
          </cell>
          <cell r="D10">
            <v>21262829</v>
          </cell>
        </row>
        <row r="11">
          <cell r="C11">
            <v>2537024.6299999948</v>
          </cell>
          <cell r="D11">
            <v>2318400</v>
          </cell>
        </row>
      </sheetData>
      <sheetData sheetId="1"/>
      <sheetData sheetId="2"/>
      <sheetData sheetId="3">
        <row r="18">
          <cell r="F18">
            <v>1.7336087473258857</v>
          </cell>
        </row>
        <row r="19">
          <cell r="F19">
            <v>-0.73360874732588566</v>
          </cell>
        </row>
      </sheetData>
      <sheetData sheetId="4"/>
      <sheetData sheetId="5">
        <row r="3743">
          <cell r="G3743">
            <v>0.99753221399080905</v>
          </cell>
        </row>
        <row r="3744">
          <cell r="G3744">
            <v>1.7026182230421242E-3</v>
          </cell>
        </row>
        <row r="3745">
          <cell r="G3745">
            <v>7.651677861488077E-4</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tabSelected="1" zoomScaleNormal="100" workbookViewId="0">
      <selection activeCell="C26" sqref="C26"/>
    </sheetView>
  </sheetViews>
  <sheetFormatPr defaultColWidth="9.28515625" defaultRowHeight="12.75" x14ac:dyDescent="0.2"/>
  <cols>
    <col min="1" max="1" width="53" style="85" bestFit="1" customWidth="1"/>
    <col min="2" max="2" width="15.28515625" style="85" bestFit="1" customWidth="1"/>
    <col min="3" max="3" width="25.7109375" style="105" bestFit="1" customWidth="1"/>
    <col min="4" max="4" width="9.28515625" style="105"/>
    <col min="5" max="5" width="49.28515625" style="105" bestFit="1" customWidth="1"/>
    <col min="6" max="6" width="12.7109375" style="105" bestFit="1" customWidth="1"/>
    <col min="7" max="8" width="9.28515625" style="105"/>
    <col min="9" max="9" width="48.28515625" style="105" bestFit="1" customWidth="1"/>
    <col min="10" max="10" width="12.42578125" style="105" bestFit="1" customWidth="1"/>
    <col min="11" max="16384" width="9.28515625" style="105"/>
  </cols>
  <sheetData>
    <row r="3" spans="1:10" x14ac:dyDescent="0.2">
      <c r="A3" s="364" t="s">
        <v>76</v>
      </c>
      <c r="B3" s="364"/>
    </row>
    <row r="4" spans="1:10" x14ac:dyDescent="0.2">
      <c r="A4" s="364" t="s">
        <v>77</v>
      </c>
      <c r="B4" s="364"/>
    </row>
    <row r="5" spans="1:10" x14ac:dyDescent="0.2">
      <c r="A5" s="364" t="s">
        <v>230</v>
      </c>
      <c r="B5" s="364"/>
      <c r="E5"/>
      <c r="F5"/>
      <c r="G5"/>
      <c r="I5"/>
      <c r="J5"/>
    </row>
    <row r="6" spans="1:10" x14ac:dyDescent="0.2">
      <c r="A6" s="364" t="s">
        <v>231</v>
      </c>
      <c r="B6" s="364"/>
      <c r="E6"/>
      <c r="F6"/>
      <c r="G6"/>
      <c r="H6"/>
      <c r="I6"/>
      <c r="J6"/>
    </row>
    <row r="7" spans="1:10" x14ac:dyDescent="0.2">
      <c r="A7" s="364"/>
      <c r="B7" s="364"/>
      <c r="D7"/>
      <c r="E7"/>
      <c r="F7"/>
      <c r="G7"/>
      <c r="H7"/>
      <c r="I7"/>
      <c r="J7"/>
    </row>
    <row r="8" spans="1:10" x14ac:dyDescent="0.2">
      <c r="D8"/>
      <c r="E8"/>
      <c r="F8"/>
      <c r="G8"/>
      <c r="H8"/>
      <c r="I8"/>
      <c r="J8"/>
    </row>
    <row r="9" spans="1:10" ht="65.25" customHeight="1" x14ac:dyDescent="0.2">
      <c r="A9" s="365" t="s">
        <v>84</v>
      </c>
      <c r="B9" s="366" t="s">
        <v>101</v>
      </c>
      <c r="C9"/>
      <c r="D9"/>
      <c r="E9"/>
      <c r="F9"/>
      <c r="G9"/>
      <c r="H9"/>
      <c r="I9"/>
      <c r="J9"/>
    </row>
    <row r="10" spans="1:10" ht="27.75" customHeight="1" x14ac:dyDescent="0.2">
      <c r="A10" s="368" t="s">
        <v>242</v>
      </c>
      <c r="B10" s="367">
        <f>'2019 CRM'!H42</f>
        <v>6423676.0933971079</v>
      </c>
      <c r="C10"/>
      <c r="D10"/>
      <c r="E10"/>
      <c r="F10"/>
      <c r="G10"/>
      <c r="H10"/>
      <c r="I10"/>
      <c r="J10"/>
    </row>
    <row r="11" spans="1:10" ht="27.75" customHeight="1" x14ac:dyDescent="0.2">
      <c r="A11" s="368" t="s">
        <v>232</v>
      </c>
      <c r="B11" s="369">
        <f>'2020 CRM'!G42</f>
        <v>5847991.7194588408</v>
      </c>
      <c r="C11"/>
      <c r="D11"/>
      <c r="E11"/>
      <c r="F11"/>
      <c r="G11"/>
      <c r="H11"/>
      <c r="I11"/>
      <c r="J11"/>
    </row>
    <row r="12" spans="1:10" x14ac:dyDescent="0.2">
      <c r="A12" s="368" t="s">
        <v>233</v>
      </c>
      <c r="B12" s="370">
        <f>'2021 + true up CAP'!F42</f>
        <v>4966809.2821760066</v>
      </c>
      <c r="C12"/>
      <c r="D12"/>
      <c r="E12"/>
      <c r="F12"/>
      <c r="G12"/>
      <c r="H12"/>
      <c r="I12"/>
      <c r="J12"/>
    </row>
    <row r="13" spans="1:10" s="85" customFormat="1" x14ac:dyDescent="0.2">
      <c r="A13" s="368" t="s">
        <v>234</v>
      </c>
      <c r="B13" s="370">
        <f>'2021TrueUp'!F7</f>
        <v>123138.08693615497</v>
      </c>
      <c r="C13"/>
      <c r="D13"/>
      <c r="E13"/>
      <c r="F13"/>
      <c r="G13"/>
      <c r="H13"/>
      <c r="I13" s="179"/>
      <c r="J13" s="179"/>
    </row>
    <row r="14" spans="1:10" s="85" customFormat="1" x14ac:dyDescent="0.2">
      <c r="A14" s="368" t="s">
        <v>235</v>
      </c>
      <c r="B14" s="370">
        <f>'2022 C&amp;OM'!F28</f>
        <v>9691730.7786414307</v>
      </c>
      <c r="C14"/>
      <c r="D14"/>
      <c r="E14"/>
      <c r="F14"/>
      <c r="G14"/>
      <c r="H14"/>
      <c r="I14" s="179"/>
      <c r="J14" s="179"/>
    </row>
    <row r="15" spans="1:10" s="85" customFormat="1" ht="13.5" thickBot="1" x14ac:dyDescent="0.25">
      <c r="A15" s="248" t="s">
        <v>236</v>
      </c>
      <c r="B15" s="249">
        <f>SUM(B10:B14)</f>
        <v>27053345.96060954</v>
      </c>
      <c r="C15"/>
      <c r="D15"/>
      <c r="E15"/>
      <c r="F15"/>
      <c r="G15"/>
      <c r="H15"/>
      <c r="I15" s="179"/>
      <c r="J15" s="179"/>
    </row>
    <row r="16" spans="1:10" ht="13.5" thickTop="1" x14ac:dyDescent="0.2">
      <c r="B16" s="86"/>
      <c r="C16"/>
      <c r="D16"/>
      <c r="E16"/>
      <c r="F16"/>
      <c r="G16"/>
      <c r="H16"/>
      <c r="I16"/>
      <c r="J16"/>
    </row>
    <row r="17" spans="1:10" x14ac:dyDescent="0.2">
      <c r="A17" s="179"/>
      <c r="B17" s="179"/>
      <c r="C17"/>
      <c r="D17"/>
      <c r="E17"/>
      <c r="F17"/>
      <c r="G17"/>
      <c r="H17"/>
      <c r="I17"/>
      <c r="J17"/>
    </row>
    <row r="18" spans="1:10" x14ac:dyDescent="0.2">
      <c r="A18" s="179"/>
      <c r="B18" s="179"/>
      <c r="C18"/>
      <c r="D18"/>
      <c r="E18"/>
      <c r="F18"/>
      <c r="G18"/>
      <c r="H18"/>
      <c r="I18"/>
      <c r="J18"/>
    </row>
    <row r="19" spans="1:10" x14ac:dyDescent="0.2">
      <c r="A19" s="179"/>
      <c r="B19" s="179"/>
      <c r="C19"/>
      <c r="D19"/>
      <c r="E19"/>
      <c r="F19"/>
      <c r="G19"/>
      <c r="H19"/>
    </row>
    <row r="20" spans="1:10" x14ac:dyDescent="0.2">
      <c r="A20" s="179"/>
      <c r="B20" s="179"/>
      <c r="C20"/>
      <c r="D20"/>
      <c r="E20"/>
      <c r="F20"/>
    </row>
    <row r="21" spans="1:10" x14ac:dyDescent="0.2">
      <c r="A21" s="179"/>
      <c r="B21" s="179"/>
      <c r="C21"/>
      <c r="D21"/>
      <c r="E21"/>
      <c r="F21"/>
    </row>
    <row r="22" spans="1:10" x14ac:dyDescent="0.2">
      <c r="A22" s="179"/>
      <c r="B22" s="179"/>
      <c r="C22"/>
      <c r="D22"/>
      <c r="E22"/>
      <c r="F22"/>
    </row>
    <row r="23" spans="1:10" x14ac:dyDescent="0.2">
      <c r="A23" s="179"/>
      <c r="B23" s="179"/>
      <c r="C23"/>
      <c r="D23"/>
      <c r="E23"/>
      <c r="F23"/>
    </row>
    <row r="24" spans="1:10" x14ac:dyDescent="0.2">
      <c r="A24" s="179"/>
      <c r="B24" s="179"/>
      <c r="C24"/>
      <c r="D24"/>
      <c r="E24"/>
      <c r="F24"/>
    </row>
    <row r="25" spans="1:10" x14ac:dyDescent="0.2">
      <c r="A25" s="179"/>
      <c r="B25" s="179"/>
      <c r="C25"/>
      <c r="D25"/>
      <c r="E25"/>
      <c r="F25"/>
    </row>
    <row r="26" spans="1:10" x14ac:dyDescent="0.2">
      <c r="A26" s="179"/>
    </row>
  </sheetData>
  <printOptions horizontalCentered="1"/>
  <pageMargins left="0.7" right="0.7" top="0.75" bottom="0.75" header="0.3" footer="0.3"/>
  <pageSetup orientation="portrait" r:id="rId1"/>
  <headerFooter>
    <oddFooter>&amp;L&amp;F
&amp;A&amp;C&amp;P&amp;R&amp;D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AB57" activePane="bottomRight" state="frozen"/>
      <selection activeCell="L25" sqref="L25"/>
      <selection pane="topRight" activeCell="L25" sqref="L25"/>
      <selection pane="bottomLeft" activeCell="L25" sqref="L25"/>
      <selection pane="bottomRight" activeCell="AI18" sqref="AI18"/>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7.28515625" style="56"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7.25" customHeight="1" x14ac:dyDescent="0.25">
      <c r="A1" s="1" t="s">
        <v>0</v>
      </c>
      <c r="B1" s="2"/>
      <c r="C1" s="2"/>
      <c r="E1" s="497"/>
      <c r="F1" s="497"/>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126" t="s">
        <v>141</v>
      </c>
      <c r="D3" s="112" t="s">
        <v>3</v>
      </c>
      <c r="E3" s="3"/>
      <c r="F3" s="5"/>
      <c r="G3" s="5"/>
      <c r="H3" s="206" t="s">
        <v>175</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10"/>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107" t="s">
        <v>259</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7" t="s">
        <v>5</v>
      </c>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20" t="s">
        <v>8</v>
      </c>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21"/>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4"/>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4">
        <f>+F11</f>
        <v>2.8299999999999999E-2</v>
      </c>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4">
        <f>+F12</f>
        <v>4.5600000000000002E-2</v>
      </c>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156">
        <f>G10+G11+G12</f>
        <v>7.3899999999999993E-2</v>
      </c>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21"/>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4">
        <f>+F15</f>
        <v>0.21</v>
      </c>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4">
        <f>'2019 GRC'!$J$38</f>
        <v>4.7447000000000003E-2</v>
      </c>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'Summary 2021'!F25</f>
        <v>2.4981536072077995E-2</v>
      </c>
      <c r="G17" s="24">
        <f>+F17</f>
        <v>2.4981536072077995E-2</v>
      </c>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30">
        <v>2</v>
      </c>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15"/>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15"/>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G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v>53473094.060000032</v>
      </c>
      <c r="G22" s="57">
        <v>53473094.060000032</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8" x14ac:dyDescent="0.2">
      <c r="A27" s="126">
        <v>1</v>
      </c>
      <c r="B27" s="2" t="s">
        <v>123</v>
      </c>
      <c r="C27" s="2"/>
      <c r="D27" s="112"/>
      <c r="E27" s="38">
        <f>$F22*$F17</f>
        <v>1335840.0281455105</v>
      </c>
      <c r="F27" s="95">
        <f>$F22*$F17</f>
        <v>1335840.0281455105</v>
      </c>
      <c r="G27" s="95">
        <f>$F22*$F17</f>
        <v>1335840.0281455105</v>
      </c>
      <c r="H27" s="95">
        <f t="shared" ref="H27:AR27" si="0">$F22*$F17</f>
        <v>1335840.0281455105</v>
      </c>
      <c r="I27" s="95">
        <f t="shared" si="0"/>
        <v>1335840.0281455105</v>
      </c>
      <c r="J27" s="95">
        <f t="shared" si="0"/>
        <v>1335840.0281455105</v>
      </c>
      <c r="K27" s="95">
        <f t="shared" si="0"/>
        <v>1335840.0281455105</v>
      </c>
      <c r="L27" s="95">
        <f t="shared" si="0"/>
        <v>1335840.0281455105</v>
      </c>
      <c r="M27" s="95">
        <f t="shared" si="0"/>
        <v>1335840.0281455105</v>
      </c>
      <c r="N27" s="95">
        <f t="shared" si="0"/>
        <v>1335840.0281455105</v>
      </c>
      <c r="O27" s="95">
        <f t="shared" si="0"/>
        <v>1335840.0281455105</v>
      </c>
      <c r="P27" s="95">
        <f t="shared" si="0"/>
        <v>1335840.0281455105</v>
      </c>
      <c r="Q27" s="95">
        <f t="shared" si="0"/>
        <v>1335840.0281455105</v>
      </c>
      <c r="R27" s="95">
        <f t="shared" si="0"/>
        <v>1335840.0281455105</v>
      </c>
      <c r="S27" s="95">
        <f t="shared" si="0"/>
        <v>1335840.0281455105</v>
      </c>
      <c r="T27" s="95">
        <f t="shared" si="0"/>
        <v>1335840.0281455105</v>
      </c>
      <c r="U27" s="95">
        <f t="shared" si="0"/>
        <v>1335840.0281455105</v>
      </c>
      <c r="V27" s="95">
        <f t="shared" si="0"/>
        <v>1335840.0281455105</v>
      </c>
      <c r="W27" s="95">
        <f t="shared" si="0"/>
        <v>1335840.0281455105</v>
      </c>
      <c r="X27" s="95">
        <f t="shared" si="0"/>
        <v>1335840.0281455105</v>
      </c>
      <c r="Y27" s="95">
        <f t="shared" si="0"/>
        <v>1335840.0281455105</v>
      </c>
      <c r="Z27" s="95">
        <f t="shared" si="0"/>
        <v>1335840.0281455105</v>
      </c>
      <c r="AA27" s="95">
        <f t="shared" si="0"/>
        <v>1335840.0281455105</v>
      </c>
      <c r="AB27" s="95">
        <f t="shared" si="0"/>
        <v>1335840.0281455105</v>
      </c>
      <c r="AC27" s="95">
        <f t="shared" si="0"/>
        <v>1335840.0281455105</v>
      </c>
      <c r="AD27" s="95">
        <f t="shared" si="0"/>
        <v>1335840.0281455105</v>
      </c>
      <c r="AE27" s="95">
        <f t="shared" si="0"/>
        <v>1335840.0281455105</v>
      </c>
      <c r="AF27" s="95">
        <f t="shared" si="0"/>
        <v>1335840.0281455105</v>
      </c>
      <c r="AG27" s="95">
        <f t="shared" si="0"/>
        <v>1335840.0281455105</v>
      </c>
      <c r="AH27" s="95">
        <f t="shared" si="0"/>
        <v>1335840.0281455105</v>
      </c>
      <c r="AI27" s="95">
        <f t="shared" si="0"/>
        <v>1335840.0281455105</v>
      </c>
      <c r="AJ27" s="95">
        <f t="shared" si="0"/>
        <v>1335840.0281455105</v>
      </c>
      <c r="AK27" s="95">
        <f t="shared" si="0"/>
        <v>1335840.0281455105</v>
      </c>
      <c r="AL27" s="95">
        <f t="shared" si="0"/>
        <v>1335840.0281455105</v>
      </c>
      <c r="AM27" s="95">
        <f t="shared" si="0"/>
        <v>1335840.0281455105</v>
      </c>
      <c r="AN27" s="95">
        <f t="shared" si="0"/>
        <v>1335840.0281455105</v>
      </c>
      <c r="AO27" s="95">
        <f t="shared" si="0"/>
        <v>1335840.0281455105</v>
      </c>
      <c r="AP27" s="95">
        <f t="shared" si="0"/>
        <v>1335840.0281455105</v>
      </c>
      <c r="AQ27" s="95">
        <f t="shared" si="0"/>
        <v>1335840.0281455105</v>
      </c>
      <c r="AR27" s="95">
        <f t="shared" si="0"/>
        <v>1335840.0281455105</v>
      </c>
      <c r="AS27" s="95">
        <v>39492.93</v>
      </c>
      <c r="AT27" s="95"/>
      <c r="AU27" s="97">
        <f>SUM(D27:AT27)</f>
        <v>53473094.055820368</v>
      </c>
      <c r="AV27" s="22">
        <f>F22</f>
        <v>53473094.060000032</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c r="AU28" s="170">
        <f>+AU27-AV27</f>
        <v>-4.1796639561653137E-3</v>
      </c>
    </row>
    <row r="29" spans="1:48" x14ac:dyDescent="0.2">
      <c r="A29" s="126">
        <f>A27+1</f>
        <v>2</v>
      </c>
      <c r="B29" s="2" t="s">
        <v>54</v>
      </c>
      <c r="C29" s="2"/>
      <c r="D29" s="112"/>
      <c r="E29" s="38">
        <f>E53</f>
        <v>639226.93335091136</v>
      </c>
      <c r="F29" s="95">
        <f t="shared" ref="F29:AS29" si="1">F53</f>
        <v>618969.60464841709</v>
      </c>
      <c r="G29" s="95">
        <f>G53</f>
        <v>596720.20692562638</v>
      </c>
      <c r="H29" s="95">
        <f t="shared" si="1"/>
        <v>575179.97760705464</v>
      </c>
      <c r="I29" s="95">
        <f t="shared" si="1"/>
        <v>554295.83114996762</v>
      </c>
      <c r="J29" s="95">
        <f t="shared" si="1"/>
        <v>534018.76551491814</v>
      </c>
      <c r="K29" s="95">
        <f t="shared" si="1"/>
        <v>514303.18158186565</v>
      </c>
      <c r="L29" s="95">
        <f t="shared" si="1"/>
        <v>495106.88315017486</v>
      </c>
      <c r="M29" s="95">
        <f t="shared" si="1"/>
        <v>476200.51345187897</v>
      </c>
      <c r="N29" s="95">
        <f t="shared" si="1"/>
        <v>457335.65937033662</v>
      </c>
      <c r="O29" s="95">
        <f t="shared" si="1"/>
        <v>438470.80528879433</v>
      </c>
      <c r="P29" s="95">
        <f t="shared" si="1"/>
        <v>419605.9512072521</v>
      </c>
      <c r="Q29" s="95">
        <f t="shared" si="1"/>
        <v>400741.09712570976</v>
      </c>
      <c r="R29" s="95">
        <f t="shared" si="1"/>
        <v>381876.24304416758</v>
      </c>
      <c r="S29" s="95">
        <f t="shared" si="1"/>
        <v>363011.38896262518</v>
      </c>
      <c r="T29" s="95">
        <f t="shared" si="1"/>
        <v>344146.53488108289</v>
      </c>
      <c r="U29" s="95">
        <f t="shared" si="1"/>
        <v>325281.68079954066</v>
      </c>
      <c r="V29" s="95">
        <f t="shared" si="1"/>
        <v>306416.82671799831</v>
      </c>
      <c r="W29" s="95">
        <f t="shared" si="1"/>
        <v>287551.97263645602</v>
      </c>
      <c r="X29" s="95">
        <f t="shared" si="1"/>
        <v>268687.11855491373</v>
      </c>
      <c r="Y29" s="95">
        <f t="shared" si="1"/>
        <v>251340.64711234698</v>
      </c>
      <c r="Z29" s="95">
        <f t="shared" si="1"/>
        <v>237030.26036385001</v>
      </c>
      <c r="AA29" s="95">
        <f t="shared" si="1"/>
        <v>224238.25625432865</v>
      </c>
      <c r="AB29" s="95">
        <f t="shared" si="1"/>
        <v>211446.25214480725</v>
      </c>
      <c r="AC29" s="95">
        <f t="shared" si="1"/>
        <v>198654.2480352858</v>
      </c>
      <c r="AD29" s="95">
        <f t="shared" si="1"/>
        <v>185862.2439257644</v>
      </c>
      <c r="AE29" s="95">
        <f t="shared" si="1"/>
        <v>173070.23981624303</v>
      </c>
      <c r="AF29" s="95">
        <f t="shared" si="1"/>
        <v>160278.23570672167</v>
      </c>
      <c r="AG29" s="95">
        <f t="shared" si="1"/>
        <v>147486.2315972003</v>
      </c>
      <c r="AH29" s="95">
        <f t="shared" si="1"/>
        <v>134694.22748767893</v>
      </c>
      <c r="AI29" s="95">
        <f t="shared" si="1"/>
        <v>121902.22337815756</v>
      </c>
      <c r="AJ29" s="95">
        <f t="shared" si="1"/>
        <v>109110.21926863621</v>
      </c>
      <c r="AK29" s="95">
        <f t="shared" si="1"/>
        <v>96318.215159114829</v>
      </c>
      <c r="AL29" s="95">
        <f t="shared" si="1"/>
        <v>83526.211049593476</v>
      </c>
      <c r="AM29" s="95">
        <f t="shared" si="1"/>
        <v>70734.206940072108</v>
      </c>
      <c r="AN29" s="95">
        <f t="shared" si="1"/>
        <v>57942.202830550741</v>
      </c>
      <c r="AO29" s="95">
        <f t="shared" si="1"/>
        <v>45150.198721029374</v>
      </c>
      <c r="AP29" s="95">
        <f t="shared" si="1"/>
        <v>32358.194611508006</v>
      </c>
      <c r="AQ29" s="95">
        <f t="shared" si="1"/>
        <v>19566.190501986643</v>
      </c>
      <c r="AR29" s="95">
        <f t="shared" si="1"/>
        <v>6774.1863924652753</v>
      </c>
      <c r="AS29" s="95">
        <f t="shared" si="1"/>
        <v>189.09218886454863</v>
      </c>
      <c r="AT29" s="95"/>
      <c r="AU29" s="97">
        <f>SUM(D29:AT29)</f>
        <v>11564819.159455903</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8"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8" x14ac:dyDescent="0.2">
      <c r="A32" s="126">
        <f>A29+1</f>
        <v>3</v>
      </c>
      <c r="B32" s="2"/>
      <c r="C32" s="2"/>
      <c r="D32" s="112"/>
      <c r="E32" s="38">
        <f>E49*$F10</f>
        <v>0</v>
      </c>
      <c r="F32" s="95">
        <f t="shared" ref="F32:AS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f t="shared" si="2"/>
        <v>0</v>
      </c>
      <c r="AT32" s="95"/>
      <c r="AU32" s="97">
        <f t="shared" ref="AU32:AU42" si="3">SUM(D32:AT32)</f>
        <v>0</v>
      </c>
    </row>
    <row r="33" spans="1:47" x14ac:dyDescent="0.2">
      <c r="A33" s="126">
        <f>A32+1</f>
        <v>4</v>
      </c>
      <c r="B33" s="13"/>
      <c r="C33" s="13" t="s">
        <v>102</v>
      </c>
      <c r="D33" s="112"/>
      <c r="E33" s="38">
        <f>E49*$F11</f>
        <v>1492397.300430903</v>
      </c>
      <c r="F33" s="95">
        <f t="shared" ref="F33:AS33" si="4">F49*$F11</f>
        <v>1445102.6995744214</v>
      </c>
      <c r="G33" s="95">
        <f>G49*$F11</f>
        <v>1393157.2333162311</v>
      </c>
      <c r="H33" s="95">
        <f t="shared" si="4"/>
        <v>1342867.4560736131</v>
      </c>
      <c r="I33" s="95">
        <f t="shared" si="4"/>
        <v>1294109.4295133485</v>
      </c>
      <c r="J33" s="95">
        <f t="shared" si="4"/>
        <v>1246768.7490201571</v>
      </c>
      <c r="K33" s="95">
        <f t="shared" si="4"/>
        <v>1200738.9547437103</v>
      </c>
      <c r="L33" s="95">
        <f t="shared" si="4"/>
        <v>1155921.531598628</v>
      </c>
      <c r="M33" s="95">
        <f t="shared" si="4"/>
        <v>1111781.0024272825</v>
      </c>
      <c r="N33" s="95">
        <f t="shared" si="4"/>
        <v>1067737.3993883266</v>
      </c>
      <c r="O33" s="95">
        <f t="shared" si="4"/>
        <v>1023693.7963493709</v>
      </c>
      <c r="P33" s="95">
        <f t="shared" si="4"/>
        <v>979650.19331041514</v>
      </c>
      <c r="Q33" s="95">
        <f t="shared" si="4"/>
        <v>935606.59027145908</v>
      </c>
      <c r="R33" s="95">
        <f t="shared" si="4"/>
        <v>891562.98723250348</v>
      </c>
      <c r="S33" s="95">
        <f t="shared" si="4"/>
        <v>847519.38419354754</v>
      </c>
      <c r="T33" s="95">
        <f t="shared" si="4"/>
        <v>803475.78115459182</v>
      </c>
      <c r="U33" s="95">
        <f t="shared" si="4"/>
        <v>759432.17811563599</v>
      </c>
      <c r="V33" s="95">
        <f t="shared" si="4"/>
        <v>715388.57507668016</v>
      </c>
      <c r="W33" s="95">
        <f t="shared" si="4"/>
        <v>671344.97203772422</v>
      </c>
      <c r="X33" s="95">
        <f t="shared" si="4"/>
        <v>627301.36899876839</v>
      </c>
      <c r="Y33" s="95">
        <f t="shared" si="4"/>
        <v>586802.72008048673</v>
      </c>
      <c r="Z33" s="95">
        <f t="shared" si="4"/>
        <v>553392.3904505634</v>
      </c>
      <c r="AA33" s="95">
        <f t="shared" si="4"/>
        <v>523527.01494131429</v>
      </c>
      <c r="AB33" s="95">
        <f t="shared" si="4"/>
        <v>493661.63943206507</v>
      </c>
      <c r="AC33" s="95">
        <f t="shared" si="4"/>
        <v>463796.26392281591</v>
      </c>
      <c r="AD33" s="95">
        <f t="shared" si="4"/>
        <v>433930.88841356669</v>
      </c>
      <c r="AE33" s="95">
        <f t="shared" si="4"/>
        <v>404065.51290431764</v>
      </c>
      <c r="AF33" s="95">
        <f t="shared" si="4"/>
        <v>374200.13739506854</v>
      </c>
      <c r="AG33" s="95">
        <f t="shared" si="4"/>
        <v>344334.76188581943</v>
      </c>
      <c r="AH33" s="95">
        <f t="shared" si="4"/>
        <v>314469.38637657039</v>
      </c>
      <c r="AI33" s="95">
        <f t="shared" si="4"/>
        <v>284604.01086732128</v>
      </c>
      <c r="AJ33" s="95">
        <f t="shared" si="4"/>
        <v>254738.63535807221</v>
      </c>
      <c r="AK33" s="95">
        <f t="shared" si="4"/>
        <v>224873.25984882313</v>
      </c>
      <c r="AL33" s="95">
        <f t="shared" si="4"/>
        <v>195007.88433957406</v>
      </c>
      <c r="AM33" s="95">
        <f t="shared" si="4"/>
        <v>165142.50883032498</v>
      </c>
      <c r="AN33" s="95">
        <f t="shared" si="4"/>
        <v>135277.1333210759</v>
      </c>
      <c r="AO33" s="95">
        <f t="shared" si="4"/>
        <v>105411.75781182683</v>
      </c>
      <c r="AP33" s="95">
        <f t="shared" si="4"/>
        <v>75546.382302577738</v>
      </c>
      <c r="AQ33" s="95">
        <f t="shared" si="4"/>
        <v>45681.006793328663</v>
      </c>
      <c r="AR33" s="95">
        <f t="shared" si="4"/>
        <v>15815.631284079591</v>
      </c>
      <c r="AS33" s="95">
        <f t="shared" si="4"/>
        <v>441.47181144994926</v>
      </c>
      <c r="AT33" s="95"/>
      <c r="AU33" s="97">
        <f t="shared" si="3"/>
        <v>27000277.981198359</v>
      </c>
    </row>
    <row r="34" spans="1:47" x14ac:dyDescent="0.2">
      <c r="A34" s="126">
        <f>A33+1</f>
        <v>5</v>
      </c>
      <c r="B34" s="2"/>
      <c r="C34" s="2" t="s">
        <v>9</v>
      </c>
      <c r="D34" s="112"/>
      <c r="E34" s="40">
        <f>E49*$F12</f>
        <v>2404710.8445105716</v>
      </c>
      <c r="F34" s="93">
        <f t="shared" ref="F34:AS34" si="5">F49*$F12</f>
        <v>2328504.7032011882</v>
      </c>
      <c r="G34" s="93">
        <f>G49*$F12</f>
        <v>2244804.5879583089</v>
      </c>
      <c r="H34" s="93">
        <f t="shared" si="5"/>
        <v>2163772.2967122532</v>
      </c>
      <c r="I34" s="93">
        <f t="shared" si="5"/>
        <v>2085208.1267070209</v>
      </c>
      <c r="J34" s="93">
        <f t="shared" si="5"/>
        <v>2008927.7369370731</v>
      </c>
      <c r="K34" s="93">
        <f t="shared" si="5"/>
        <v>1934759.5878555898</v>
      </c>
      <c r="L34" s="93">
        <f t="shared" si="5"/>
        <v>1862544.9413744677</v>
      </c>
      <c r="M34" s="93">
        <f t="shared" si="5"/>
        <v>1791420.9791761162</v>
      </c>
      <c r="N34" s="93">
        <f t="shared" si="5"/>
        <v>1720453.1947741236</v>
      </c>
      <c r="O34" s="93">
        <f t="shared" si="5"/>
        <v>1649485.4103721313</v>
      </c>
      <c r="P34" s="93">
        <f t="shared" si="5"/>
        <v>1578517.6259701392</v>
      </c>
      <c r="Q34" s="93">
        <f t="shared" si="5"/>
        <v>1507549.8415681464</v>
      </c>
      <c r="R34" s="93">
        <f t="shared" si="5"/>
        <v>1436582.0571661543</v>
      </c>
      <c r="S34" s="93">
        <f t="shared" si="5"/>
        <v>1365614.2727641615</v>
      </c>
      <c r="T34" s="93">
        <f t="shared" si="5"/>
        <v>1294646.4883621691</v>
      </c>
      <c r="U34" s="93">
        <f t="shared" si="5"/>
        <v>1223678.7039601768</v>
      </c>
      <c r="V34" s="93">
        <f t="shared" si="5"/>
        <v>1152710.9195581842</v>
      </c>
      <c r="W34" s="93">
        <f t="shared" si="5"/>
        <v>1081743.1351561919</v>
      </c>
      <c r="X34" s="93">
        <f t="shared" si="5"/>
        <v>1010775.3507541993</v>
      </c>
      <c r="Y34" s="93">
        <f t="shared" si="5"/>
        <v>945519.57723216247</v>
      </c>
      <c r="Z34" s="93">
        <f t="shared" si="5"/>
        <v>891685.26517829311</v>
      </c>
      <c r="AA34" s="93">
        <f t="shared" si="5"/>
        <v>843562.96400437935</v>
      </c>
      <c r="AB34" s="93">
        <f t="shared" si="5"/>
        <v>795440.66283046536</v>
      </c>
      <c r="AC34" s="93">
        <f t="shared" si="5"/>
        <v>747318.36165655148</v>
      </c>
      <c r="AD34" s="93">
        <f t="shared" si="5"/>
        <v>699196.06048263761</v>
      </c>
      <c r="AE34" s="93">
        <f t="shared" si="5"/>
        <v>651073.75930872385</v>
      </c>
      <c r="AF34" s="93">
        <f t="shared" si="5"/>
        <v>602951.45813481009</v>
      </c>
      <c r="AG34" s="93">
        <f t="shared" si="5"/>
        <v>554829.15696089645</v>
      </c>
      <c r="AH34" s="93">
        <f t="shared" si="5"/>
        <v>506706.85578698269</v>
      </c>
      <c r="AI34" s="93">
        <f t="shared" si="5"/>
        <v>458584.55461306899</v>
      </c>
      <c r="AJ34" s="93">
        <f t="shared" si="5"/>
        <v>410462.25343915529</v>
      </c>
      <c r="AK34" s="93">
        <f t="shared" si="5"/>
        <v>362339.95226524153</v>
      </c>
      <c r="AL34" s="93">
        <f t="shared" si="5"/>
        <v>314217.65109132783</v>
      </c>
      <c r="AM34" s="93">
        <f t="shared" si="5"/>
        <v>266095.34991741413</v>
      </c>
      <c r="AN34" s="93">
        <f t="shared" si="5"/>
        <v>217973.0487435004</v>
      </c>
      <c r="AO34" s="93">
        <f t="shared" si="5"/>
        <v>169850.7475695867</v>
      </c>
      <c r="AP34" s="93">
        <f t="shared" si="5"/>
        <v>121728.44639567299</v>
      </c>
      <c r="AQ34" s="93">
        <f t="shared" si="5"/>
        <v>73606.145221759274</v>
      </c>
      <c r="AR34" s="93">
        <f t="shared" si="5"/>
        <v>25483.84404784556</v>
      </c>
      <c r="AS34" s="93">
        <f t="shared" si="5"/>
        <v>711.34680572854018</v>
      </c>
      <c r="AT34" s="93"/>
      <c r="AU34" s="97">
        <f t="shared" si="3"/>
        <v>43505748.266524576</v>
      </c>
    </row>
    <row r="35" spans="1:47" x14ac:dyDescent="0.2">
      <c r="A35" s="126">
        <f>A34+1</f>
        <v>6</v>
      </c>
      <c r="B35" s="2"/>
      <c r="C35" s="2" t="s">
        <v>58</v>
      </c>
      <c r="D35" s="112"/>
      <c r="E35" s="38">
        <f>E32+E33+E34</f>
        <v>3897108.1449414743</v>
      </c>
      <c r="F35" s="95">
        <f>F32+F33+F34</f>
        <v>3773607.4027756099</v>
      </c>
      <c r="G35" s="95">
        <f>G32+G33+G34</f>
        <v>3637961.8212745399</v>
      </c>
      <c r="H35" s="95">
        <f t="shared" ref="H35:AS35" si="6">H32+H33+H34</f>
        <v>3506639.7527858661</v>
      </c>
      <c r="I35" s="95">
        <f t="shared" si="6"/>
        <v>3379317.5562203694</v>
      </c>
      <c r="J35" s="95">
        <f t="shared" si="6"/>
        <v>3255696.4859572304</v>
      </c>
      <c r="K35" s="95">
        <f t="shared" si="6"/>
        <v>3135498.5425992999</v>
      </c>
      <c r="L35" s="95">
        <f t="shared" si="6"/>
        <v>3018466.4729730957</v>
      </c>
      <c r="M35" s="95">
        <f t="shared" si="6"/>
        <v>2903201.9816033989</v>
      </c>
      <c r="N35" s="95">
        <f t="shared" si="6"/>
        <v>2788190.5941624502</v>
      </c>
      <c r="O35" s="95">
        <f t="shared" si="6"/>
        <v>2673179.2067215024</v>
      </c>
      <c r="P35" s="95">
        <f t="shared" si="6"/>
        <v>2558167.8192805545</v>
      </c>
      <c r="Q35" s="95">
        <f t="shared" si="6"/>
        <v>2443156.4318396053</v>
      </c>
      <c r="R35" s="95">
        <f t="shared" si="6"/>
        <v>2328145.044398658</v>
      </c>
      <c r="S35" s="95">
        <f t="shared" si="6"/>
        <v>2213133.6569577092</v>
      </c>
      <c r="T35" s="95">
        <f t="shared" si="6"/>
        <v>2098122.2695167609</v>
      </c>
      <c r="U35" s="95">
        <f t="shared" si="6"/>
        <v>1983110.8820758127</v>
      </c>
      <c r="V35" s="95">
        <f t="shared" si="6"/>
        <v>1868099.4946348644</v>
      </c>
      <c r="W35" s="95">
        <f t="shared" si="6"/>
        <v>1753088.1071939161</v>
      </c>
      <c r="X35" s="95">
        <f t="shared" si="6"/>
        <v>1638076.7197529678</v>
      </c>
      <c r="Y35" s="95">
        <f t="shared" si="6"/>
        <v>1532322.2973126492</v>
      </c>
      <c r="Z35" s="95">
        <f t="shared" si="6"/>
        <v>1445077.6556288565</v>
      </c>
      <c r="AA35" s="95">
        <f t="shared" si="6"/>
        <v>1367089.9789456937</v>
      </c>
      <c r="AB35" s="95">
        <f t="shared" si="6"/>
        <v>1289102.3022625304</v>
      </c>
      <c r="AC35" s="95">
        <f t="shared" si="6"/>
        <v>1211114.6255793674</v>
      </c>
      <c r="AD35" s="95">
        <f t="shared" si="6"/>
        <v>1133126.9488962044</v>
      </c>
      <c r="AE35" s="95">
        <f t="shared" si="6"/>
        <v>1055139.2722130415</v>
      </c>
      <c r="AF35" s="95">
        <f t="shared" si="6"/>
        <v>977151.59552987863</v>
      </c>
      <c r="AG35" s="95">
        <f t="shared" si="6"/>
        <v>899163.91884671594</v>
      </c>
      <c r="AH35" s="95">
        <f t="shared" si="6"/>
        <v>821176.24216355314</v>
      </c>
      <c r="AI35" s="95">
        <f t="shared" si="6"/>
        <v>743188.56548039033</v>
      </c>
      <c r="AJ35" s="95">
        <f t="shared" si="6"/>
        <v>665200.88879722753</v>
      </c>
      <c r="AK35" s="95">
        <f t="shared" si="6"/>
        <v>587213.21211406472</v>
      </c>
      <c r="AL35" s="95">
        <f t="shared" si="6"/>
        <v>509225.53543090192</v>
      </c>
      <c r="AM35" s="95">
        <f t="shared" si="6"/>
        <v>431237.85874773911</v>
      </c>
      <c r="AN35" s="95">
        <f t="shared" si="6"/>
        <v>353250.18206457631</v>
      </c>
      <c r="AO35" s="95">
        <f t="shared" si="6"/>
        <v>275262.5053814135</v>
      </c>
      <c r="AP35" s="95">
        <f t="shared" si="6"/>
        <v>197274.82869825073</v>
      </c>
      <c r="AQ35" s="95">
        <f t="shared" si="6"/>
        <v>119287.15201508794</v>
      </c>
      <c r="AR35" s="95">
        <f t="shared" si="6"/>
        <v>41299.475331925147</v>
      </c>
      <c r="AS35" s="95">
        <f t="shared" si="6"/>
        <v>1152.8186171784894</v>
      </c>
      <c r="AT35" s="95"/>
      <c r="AU35" s="97">
        <f t="shared" si="3"/>
        <v>70506026.247722954</v>
      </c>
    </row>
    <row r="36" spans="1:47"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7">
        <f t="shared" si="3"/>
        <v>0</v>
      </c>
    </row>
    <row r="37" spans="1:47" x14ac:dyDescent="0.2">
      <c r="A37" s="126">
        <f>A35+1</f>
        <v>7</v>
      </c>
      <c r="B37" s="2" t="s">
        <v>59</v>
      </c>
      <c r="C37" s="2"/>
      <c r="D37" s="112"/>
      <c r="E37" s="41">
        <f>E27+E29+E35</f>
        <v>5872175.1064378964</v>
      </c>
      <c r="F37" s="92">
        <f>F27+F29+F35</f>
        <v>5728417.0355695374</v>
      </c>
      <c r="G37" s="92">
        <f>G27+G29+G35</f>
        <v>5570522.056345677</v>
      </c>
      <c r="H37" s="92">
        <f t="shared" ref="H37:AS37" si="7">H27+H29+H35</f>
        <v>5417659.7585384315</v>
      </c>
      <c r="I37" s="92">
        <f t="shared" si="7"/>
        <v>5269453.4155158475</v>
      </c>
      <c r="J37" s="92">
        <f t="shared" si="7"/>
        <v>5125555.2796176588</v>
      </c>
      <c r="K37" s="92">
        <f t="shared" si="7"/>
        <v>4985641.7523266766</v>
      </c>
      <c r="L37" s="92">
        <f t="shared" si="7"/>
        <v>4849413.3842687812</v>
      </c>
      <c r="M37" s="92">
        <f t="shared" si="7"/>
        <v>4715242.5232007885</v>
      </c>
      <c r="N37" s="92">
        <f t="shared" si="7"/>
        <v>4581366.2816782976</v>
      </c>
      <c r="O37" s="92">
        <f t="shared" si="7"/>
        <v>4447490.0401558075</v>
      </c>
      <c r="P37" s="92">
        <f t="shared" si="7"/>
        <v>4313613.7986333165</v>
      </c>
      <c r="Q37" s="92">
        <f t="shared" si="7"/>
        <v>4179737.5571108256</v>
      </c>
      <c r="R37" s="92">
        <f t="shared" si="7"/>
        <v>4045861.315588336</v>
      </c>
      <c r="S37" s="92">
        <f t="shared" si="7"/>
        <v>3911985.074065845</v>
      </c>
      <c r="T37" s="92">
        <f t="shared" si="7"/>
        <v>3778108.8325433545</v>
      </c>
      <c r="U37" s="92">
        <f t="shared" si="7"/>
        <v>3644232.5910208635</v>
      </c>
      <c r="V37" s="92">
        <f t="shared" si="7"/>
        <v>3510356.3494983735</v>
      </c>
      <c r="W37" s="92">
        <f t="shared" si="7"/>
        <v>3376480.1079758825</v>
      </c>
      <c r="X37" s="92">
        <f t="shared" si="7"/>
        <v>3242603.866453392</v>
      </c>
      <c r="Y37" s="92">
        <f t="shared" si="7"/>
        <v>3119502.9725705069</v>
      </c>
      <c r="Z37" s="92">
        <f t="shared" si="7"/>
        <v>3017947.9441382168</v>
      </c>
      <c r="AA37" s="92">
        <f t="shared" si="7"/>
        <v>2927168.2633455331</v>
      </c>
      <c r="AB37" s="92">
        <f t="shared" si="7"/>
        <v>2836388.5825528484</v>
      </c>
      <c r="AC37" s="92">
        <f t="shared" si="7"/>
        <v>2745608.9017601637</v>
      </c>
      <c r="AD37" s="92">
        <f t="shared" si="7"/>
        <v>2654829.2209674791</v>
      </c>
      <c r="AE37" s="92">
        <f t="shared" si="7"/>
        <v>2564049.5401747953</v>
      </c>
      <c r="AF37" s="92">
        <f t="shared" si="7"/>
        <v>2473269.8593821106</v>
      </c>
      <c r="AG37" s="92">
        <f t="shared" si="7"/>
        <v>2382490.1785894269</v>
      </c>
      <c r="AH37" s="92">
        <f t="shared" si="7"/>
        <v>2291710.4977967422</v>
      </c>
      <c r="AI37" s="92">
        <f t="shared" si="7"/>
        <v>2200930.8170040585</v>
      </c>
      <c r="AJ37" s="92">
        <f t="shared" si="7"/>
        <v>2110151.1362113743</v>
      </c>
      <c r="AK37" s="92">
        <f t="shared" si="7"/>
        <v>2019371.4554186901</v>
      </c>
      <c r="AL37" s="92">
        <f t="shared" si="7"/>
        <v>1928591.7746260059</v>
      </c>
      <c r="AM37" s="92">
        <f t="shared" si="7"/>
        <v>1837812.0938333217</v>
      </c>
      <c r="AN37" s="92">
        <f t="shared" si="7"/>
        <v>1747032.4130406375</v>
      </c>
      <c r="AO37" s="92">
        <f t="shared" si="7"/>
        <v>1656252.7322479533</v>
      </c>
      <c r="AP37" s="92">
        <f t="shared" si="7"/>
        <v>1565473.0514552691</v>
      </c>
      <c r="AQ37" s="92">
        <f t="shared" si="7"/>
        <v>1474693.3706625849</v>
      </c>
      <c r="AR37" s="92">
        <f t="shared" si="7"/>
        <v>1383913.6898699009</v>
      </c>
      <c r="AS37" s="92">
        <f t="shared" si="7"/>
        <v>40834.840806043037</v>
      </c>
      <c r="AT37" s="92"/>
      <c r="AU37" s="97">
        <f t="shared" si="3"/>
        <v>135543939.46299928</v>
      </c>
    </row>
    <row r="38" spans="1:47" x14ac:dyDescent="0.2">
      <c r="A38" s="126">
        <f>A37+1</f>
        <v>8</v>
      </c>
      <c r="B38" s="2" t="s">
        <v>60</v>
      </c>
      <c r="C38" s="2"/>
      <c r="D38" s="112"/>
      <c r="E38" s="40">
        <f>E37/(1-$F16)-E37</f>
        <v>279578.75787125807</v>
      </c>
      <c r="F38" s="93">
        <f t="shared" ref="F38:AS38" si="8">F37/(1-$F16)-F37</f>
        <v>272734.32592588197</v>
      </c>
      <c r="G38" s="93">
        <f>G37/(1-$G16)-G37</f>
        <v>277469.66311316378</v>
      </c>
      <c r="H38" s="93">
        <f t="shared" ref="H38:AR38" si="9">H37/(1-$G16)-H37</f>
        <v>269855.53828854952</v>
      </c>
      <c r="I38" s="93">
        <f t="shared" si="9"/>
        <v>262473.32820953894</v>
      </c>
      <c r="J38" s="93">
        <f t="shared" si="9"/>
        <v>255305.71144284774</v>
      </c>
      <c r="K38" s="93">
        <f t="shared" si="9"/>
        <v>248336.5694325082</v>
      </c>
      <c r="L38" s="93">
        <f t="shared" si="9"/>
        <v>241550.98649985995</v>
      </c>
      <c r="M38" s="93">
        <f t="shared" si="9"/>
        <v>234867.88871412724</v>
      </c>
      <c r="N38" s="93">
        <f t="shared" si="9"/>
        <v>228199.46603159141</v>
      </c>
      <c r="O38" s="93">
        <f t="shared" si="9"/>
        <v>221531.04334905557</v>
      </c>
      <c r="P38" s="93">
        <f t="shared" si="9"/>
        <v>214862.62066651974</v>
      </c>
      <c r="Q38" s="93">
        <f t="shared" si="9"/>
        <v>208194.1979839839</v>
      </c>
      <c r="R38" s="93">
        <f t="shared" si="9"/>
        <v>201525.7753014476</v>
      </c>
      <c r="S38" s="93">
        <f t="shared" si="9"/>
        <v>194857.35261891177</v>
      </c>
      <c r="T38" s="93">
        <f t="shared" si="9"/>
        <v>188188.92993637593</v>
      </c>
      <c r="U38" s="93">
        <f t="shared" si="9"/>
        <v>181520.5072538401</v>
      </c>
      <c r="V38" s="93">
        <f t="shared" si="9"/>
        <v>174852.08457130427</v>
      </c>
      <c r="W38" s="93">
        <f t="shared" si="9"/>
        <v>168183.66188876797</v>
      </c>
      <c r="X38" s="93">
        <f t="shared" si="9"/>
        <v>161515.23920623213</v>
      </c>
      <c r="Y38" s="93">
        <f t="shared" si="9"/>
        <v>155383.54037996102</v>
      </c>
      <c r="Z38" s="93">
        <f t="shared" si="9"/>
        <v>150325.04869075632</v>
      </c>
      <c r="AA38" s="93">
        <f t="shared" si="9"/>
        <v>145803.28085781634</v>
      </c>
      <c r="AB38" s="93">
        <f t="shared" si="9"/>
        <v>141281.51302487636</v>
      </c>
      <c r="AC38" s="93">
        <f t="shared" si="9"/>
        <v>136759.74519193638</v>
      </c>
      <c r="AD38" s="93">
        <f t="shared" si="9"/>
        <v>132237.9773589964</v>
      </c>
      <c r="AE38" s="93">
        <f t="shared" si="9"/>
        <v>127716.20952605642</v>
      </c>
      <c r="AF38" s="93">
        <f t="shared" si="9"/>
        <v>123194.44169311645</v>
      </c>
      <c r="AG38" s="93">
        <f t="shared" si="9"/>
        <v>118672.67386017647</v>
      </c>
      <c r="AH38" s="93">
        <f t="shared" si="9"/>
        <v>114150.90602723649</v>
      </c>
      <c r="AI38" s="93">
        <f t="shared" si="9"/>
        <v>109629.13819429651</v>
      </c>
      <c r="AJ38" s="93">
        <f t="shared" si="9"/>
        <v>105107.37036135653</v>
      </c>
      <c r="AK38" s="93">
        <f t="shared" si="9"/>
        <v>100585.60252841655</v>
      </c>
      <c r="AL38" s="93">
        <f t="shared" si="9"/>
        <v>96063.83469547634</v>
      </c>
      <c r="AM38" s="93">
        <f t="shared" si="9"/>
        <v>91542.066862536361</v>
      </c>
      <c r="AN38" s="93">
        <f t="shared" si="9"/>
        <v>87020.299029596383</v>
      </c>
      <c r="AO38" s="93">
        <f t="shared" si="9"/>
        <v>82498.531196656404</v>
      </c>
      <c r="AP38" s="93">
        <f t="shared" si="9"/>
        <v>77976.763363716425</v>
      </c>
      <c r="AQ38" s="93">
        <f t="shared" si="9"/>
        <v>73454.995530776447</v>
      </c>
      <c r="AR38" s="93">
        <f t="shared" si="9"/>
        <v>68933.227697836468</v>
      </c>
      <c r="AS38" s="93">
        <f t="shared" si="8"/>
        <v>1944.1780709004524</v>
      </c>
      <c r="AT38" s="93"/>
      <c r="AU38" s="97">
        <f t="shared" si="3"/>
        <v>6725884.9924482564</v>
      </c>
    </row>
    <row r="39" spans="1:47" x14ac:dyDescent="0.2">
      <c r="A39" s="126">
        <f>A38+1</f>
        <v>9</v>
      </c>
      <c r="B39" s="2"/>
      <c r="C39" s="2" t="s">
        <v>61</v>
      </c>
      <c r="D39" s="112"/>
      <c r="E39" s="41">
        <f>SUM(E37:E38)</f>
        <v>6151753.8643091545</v>
      </c>
      <c r="F39" s="92">
        <f t="shared" ref="F39:AS39" si="10">SUM(F37:F38)</f>
        <v>6001151.3614954194</v>
      </c>
      <c r="G39" s="92">
        <f t="shared" si="10"/>
        <v>5847991.7194588408</v>
      </c>
      <c r="H39" s="92">
        <f t="shared" si="10"/>
        <v>5687515.296826981</v>
      </c>
      <c r="I39" s="92">
        <f t="shared" si="10"/>
        <v>5531926.7437253864</v>
      </c>
      <c r="J39" s="92">
        <f t="shared" si="10"/>
        <v>5380860.9910605066</v>
      </c>
      <c r="K39" s="92">
        <f t="shared" si="10"/>
        <v>5233978.3217591848</v>
      </c>
      <c r="L39" s="92">
        <f t="shared" si="10"/>
        <v>5090964.3707686411</v>
      </c>
      <c r="M39" s="92">
        <f t="shared" si="10"/>
        <v>4950110.4119149158</v>
      </c>
      <c r="N39" s="92">
        <f t="shared" si="10"/>
        <v>4809565.747709889</v>
      </c>
      <c r="O39" s="92">
        <f t="shared" si="10"/>
        <v>4669021.0835048631</v>
      </c>
      <c r="P39" s="92">
        <f t="shared" si="10"/>
        <v>4528476.4192998363</v>
      </c>
      <c r="Q39" s="92">
        <f t="shared" si="10"/>
        <v>4387931.7550948095</v>
      </c>
      <c r="R39" s="92">
        <f t="shared" si="10"/>
        <v>4247387.0908897836</v>
      </c>
      <c r="S39" s="92">
        <f t="shared" si="10"/>
        <v>4106842.4266847568</v>
      </c>
      <c r="T39" s="92">
        <f t="shared" si="10"/>
        <v>3966297.7624797304</v>
      </c>
      <c r="U39" s="92">
        <f t="shared" si="10"/>
        <v>3825753.0982747036</v>
      </c>
      <c r="V39" s="92">
        <f t="shared" si="10"/>
        <v>3685208.4340696777</v>
      </c>
      <c r="W39" s="92">
        <f t="shared" si="10"/>
        <v>3544663.7698646504</v>
      </c>
      <c r="X39" s="92">
        <f t="shared" si="10"/>
        <v>3404119.1056596241</v>
      </c>
      <c r="Y39" s="92">
        <f t="shared" si="10"/>
        <v>3274886.5129504679</v>
      </c>
      <c r="Z39" s="92">
        <f t="shared" si="10"/>
        <v>3168272.9928289731</v>
      </c>
      <c r="AA39" s="92">
        <f t="shared" si="10"/>
        <v>3072971.5442033494</v>
      </c>
      <c r="AB39" s="92">
        <f t="shared" si="10"/>
        <v>2977670.0955777247</v>
      </c>
      <c r="AC39" s="92">
        <f t="shared" si="10"/>
        <v>2882368.6469521001</v>
      </c>
      <c r="AD39" s="92">
        <f t="shared" si="10"/>
        <v>2787067.1983264755</v>
      </c>
      <c r="AE39" s="92">
        <f t="shared" si="10"/>
        <v>2691765.7497008517</v>
      </c>
      <c r="AF39" s="92">
        <f t="shared" si="10"/>
        <v>2596464.3010752271</v>
      </c>
      <c r="AG39" s="92">
        <f t="shared" si="10"/>
        <v>2501162.8524496034</v>
      </c>
      <c r="AH39" s="92">
        <f t="shared" si="10"/>
        <v>2405861.4038239787</v>
      </c>
      <c r="AI39" s="92">
        <f t="shared" si="10"/>
        <v>2310559.955198355</v>
      </c>
      <c r="AJ39" s="92">
        <f t="shared" si="10"/>
        <v>2215258.5065727308</v>
      </c>
      <c r="AK39" s="92">
        <f t="shared" si="10"/>
        <v>2119957.0579471067</v>
      </c>
      <c r="AL39" s="92">
        <f t="shared" si="10"/>
        <v>2024655.6093214822</v>
      </c>
      <c r="AM39" s="92">
        <f t="shared" si="10"/>
        <v>1929354.1606958581</v>
      </c>
      <c r="AN39" s="92">
        <f t="shared" si="10"/>
        <v>1834052.7120702339</v>
      </c>
      <c r="AO39" s="92">
        <f t="shared" si="10"/>
        <v>1738751.2634446097</v>
      </c>
      <c r="AP39" s="92">
        <f t="shared" si="10"/>
        <v>1643449.8148189855</v>
      </c>
      <c r="AQ39" s="92">
        <f t="shared" si="10"/>
        <v>1548148.3661933613</v>
      </c>
      <c r="AR39" s="92">
        <f t="shared" si="10"/>
        <v>1452846.9175677374</v>
      </c>
      <c r="AS39" s="92">
        <f t="shared" si="10"/>
        <v>42779.01887694349</v>
      </c>
      <c r="AT39" s="92"/>
      <c r="AU39" s="97">
        <f t="shared" si="3"/>
        <v>142269824.45544741</v>
      </c>
    </row>
    <row r="40" spans="1:47" x14ac:dyDescent="0.2">
      <c r="A40" s="126">
        <f t="shared" ref="A40:A66" si="11">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7">
        <f t="shared" si="3"/>
        <v>0</v>
      </c>
    </row>
    <row r="41" spans="1:47" x14ac:dyDescent="0.2">
      <c r="A41" s="126">
        <f t="shared" si="11"/>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7">
        <f t="shared" si="3"/>
        <v>0</v>
      </c>
    </row>
    <row r="42" spans="1:47" x14ac:dyDescent="0.2">
      <c r="A42" s="126">
        <f t="shared" si="11"/>
        <v>12</v>
      </c>
      <c r="B42" s="2" t="s">
        <v>140</v>
      </c>
      <c r="C42" s="2"/>
      <c r="D42" s="112"/>
      <c r="E42" s="40">
        <f>E39</f>
        <v>6151753.8643091545</v>
      </c>
      <c r="F42" s="93">
        <f>F39</f>
        <v>6001151.3614954194</v>
      </c>
      <c r="G42" s="93">
        <f t="shared" ref="G42:AS42" si="12">G39</f>
        <v>5847991.7194588408</v>
      </c>
      <c r="H42" s="93">
        <f t="shared" si="12"/>
        <v>5687515.296826981</v>
      </c>
      <c r="I42" s="93">
        <f t="shared" si="12"/>
        <v>5531926.7437253864</v>
      </c>
      <c r="J42" s="93">
        <f t="shared" si="12"/>
        <v>5380860.9910605066</v>
      </c>
      <c r="K42" s="93">
        <f t="shared" si="12"/>
        <v>5233978.3217591848</v>
      </c>
      <c r="L42" s="93">
        <f t="shared" si="12"/>
        <v>5090964.3707686411</v>
      </c>
      <c r="M42" s="93">
        <f t="shared" si="12"/>
        <v>4950110.4119149158</v>
      </c>
      <c r="N42" s="93">
        <f t="shared" si="12"/>
        <v>4809565.747709889</v>
      </c>
      <c r="O42" s="93">
        <f t="shared" si="12"/>
        <v>4669021.0835048631</v>
      </c>
      <c r="P42" s="93">
        <f t="shared" si="12"/>
        <v>4528476.4192998363</v>
      </c>
      <c r="Q42" s="93">
        <f t="shared" si="12"/>
        <v>4387931.7550948095</v>
      </c>
      <c r="R42" s="93">
        <f t="shared" si="12"/>
        <v>4247387.0908897836</v>
      </c>
      <c r="S42" s="93">
        <f t="shared" si="12"/>
        <v>4106842.4266847568</v>
      </c>
      <c r="T42" s="93">
        <f t="shared" si="12"/>
        <v>3966297.7624797304</v>
      </c>
      <c r="U42" s="93">
        <f t="shared" si="12"/>
        <v>3825753.0982747036</v>
      </c>
      <c r="V42" s="93">
        <f t="shared" si="12"/>
        <v>3685208.4340696777</v>
      </c>
      <c r="W42" s="93">
        <f t="shared" si="12"/>
        <v>3544663.7698646504</v>
      </c>
      <c r="X42" s="93">
        <f t="shared" si="12"/>
        <v>3404119.1056596241</v>
      </c>
      <c r="Y42" s="93">
        <f t="shared" si="12"/>
        <v>3274886.5129504679</v>
      </c>
      <c r="Z42" s="93">
        <f t="shared" si="12"/>
        <v>3168272.9928289731</v>
      </c>
      <c r="AA42" s="93">
        <f t="shared" si="12"/>
        <v>3072971.5442033494</v>
      </c>
      <c r="AB42" s="93">
        <f t="shared" si="12"/>
        <v>2977670.0955777247</v>
      </c>
      <c r="AC42" s="93">
        <f t="shared" si="12"/>
        <v>2882368.6469521001</v>
      </c>
      <c r="AD42" s="93">
        <f t="shared" si="12"/>
        <v>2787067.1983264755</v>
      </c>
      <c r="AE42" s="93">
        <f t="shared" si="12"/>
        <v>2691765.7497008517</v>
      </c>
      <c r="AF42" s="93">
        <f t="shared" si="12"/>
        <v>2596464.3010752271</v>
      </c>
      <c r="AG42" s="93">
        <f t="shared" si="12"/>
        <v>2501162.8524496034</v>
      </c>
      <c r="AH42" s="93">
        <f t="shared" si="12"/>
        <v>2405861.4038239787</v>
      </c>
      <c r="AI42" s="93">
        <f t="shared" si="12"/>
        <v>2310559.955198355</v>
      </c>
      <c r="AJ42" s="93">
        <f t="shared" si="12"/>
        <v>2215258.5065727308</v>
      </c>
      <c r="AK42" s="93">
        <f t="shared" si="12"/>
        <v>2119957.0579471067</v>
      </c>
      <c r="AL42" s="93">
        <f t="shared" si="12"/>
        <v>2024655.6093214822</v>
      </c>
      <c r="AM42" s="93">
        <f t="shared" si="12"/>
        <v>1929354.1606958581</v>
      </c>
      <c r="AN42" s="93">
        <f t="shared" si="12"/>
        <v>1834052.7120702339</v>
      </c>
      <c r="AO42" s="93">
        <f t="shared" si="12"/>
        <v>1738751.2634446097</v>
      </c>
      <c r="AP42" s="93">
        <f t="shared" si="12"/>
        <v>1643449.8148189855</v>
      </c>
      <c r="AQ42" s="93">
        <f t="shared" si="12"/>
        <v>1548148.3661933613</v>
      </c>
      <c r="AR42" s="93">
        <f t="shared" si="12"/>
        <v>1452846.9175677374</v>
      </c>
      <c r="AS42" s="93">
        <f t="shared" si="12"/>
        <v>42779.01887694349</v>
      </c>
      <c r="AT42" s="93"/>
      <c r="AU42" s="97">
        <f t="shared" si="3"/>
        <v>142269824.45544741</v>
      </c>
    </row>
    <row r="43" spans="1:47" x14ac:dyDescent="0.2">
      <c r="A43" s="126">
        <f t="shared" si="11"/>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6">
        <f t="shared" si="11"/>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6">
        <f t="shared" si="11"/>
        <v>15</v>
      </c>
      <c r="B45" s="2" t="s">
        <v>63</v>
      </c>
      <c r="C45" s="112"/>
      <c r="D45" s="112"/>
      <c r="E45" s="45">
        <f>+E42/$F$22</f>
        <v>0.11504391082001943</v>
      </c>
      <c r="F45" s="94">
        <f t="shared" ref="F45:AS45" si="13">+F42/$F$22</f>
        <v>0.11222749434999528</v>
      </c>
      <c r="G45" s="94">
        <f t="shared" si="13"/>
        <v>0.10936325683524208</v>
      </c>
      <c r="H45" s="94">
        <f t="shared" si="13"/>
        <v>0.10636218825200663</v>
      </c>
      <c r="I45" s="94">
        <f t="shared" si="13"/>
        <v>0.10345252768650776</v>
      </c>
      <c r="J45" s="94">
        <f t="shared" si="13"/>
        <v>0.10062744798389367</v>
      </c>
      <c r="K45" s="94">
        <f t="shared" si="13"/>
        <v>9.7880596097288594E-2</v>
      </c>
      <c r="L45" s="94">
        <f t="shared" si="13"/>
        <v>9.520609308779239E-2</v>
      </c>
      <c r="M45" s="94">
        <f t="shared" si="13"/>
        <v>9.2571984077835359E-2</v>
      </c>
      <c r="N45" s="94">
        <f t="shared" si="13"/>
        <v>8.9943659185183239E-2</v>
      </c>
      <c r="O45" s="94">
        <f t="shared" si="13"/>
        <v>8.7315334292531119E-2</v>
      </c>
      <c r="P45" s="94">
        <f t="shared" si="13"/>
        <v>8.4687009399878999E-2</v>
      </c>
      <c r="Q45" s="94">
        <f t="shared" si="13"/>
        <v>8.2058684507226864E-2</v>
      </c>
      <c r="R45" s="94">
        <f t="shared" si="13"/>
        <v>7.9430359614574758E-2</v>
      </c>
      <c r="S45" s="94">
        <f t="shared" si="13"/>
        <v>7.6802034721922624E-2</v>
      </c>
      <c r="T45" s="94">
        <f t="shared" si="13"/>
        <v>7.4173709829270504E-2</v>
      </c>
      <c r="U45" s="94">
        <f t="shared" si="13"/>
        <v>7.154538493661837E-2</v>
      </c>
      <c r="V45" s="94">
        <f t="shared" si="13"/>
        <v>6.8917060043966263E-2</v>
      </c>
      <c r="W45" s="94">
        <f t="shared" si="13"/>
        <v>6.6288735151314115E-2</v>
      </c>
      <c r="X45" s="94">
        <f t="shared" si="13"/>
        <v>6.3660410258661995E-2</v>
      </c>
      <c r="Y45" s="94">
        <f t="shared" si="13"/>
        <v>6.1243632344817153E-2</v>
      </c>
      <c r="Z45" s="94">
        <f t="shared" si="13"/>
        <v>5.9249853566991653E-2</v>
      </c>
      <c r="AA45" s="94">
        <f t="shared" si="13"/>
        <v>5.7467621767973445E-2</v>
      </c>
      <c r="AB45" s="94">
        <f t="shared" si="13"/>
        <v>5.5685389968955216E-2</v>
      </c>
      <c r="AC45" s="94">
        <f t="shared" si="13"/>
        <v>5.3903158169936995E-2</v>
      </c>
      <c r="AD45" s="94">
        <f t="shared" si="13"/>
        <v>5.2120926370918766E-2</v>
      </c>
      <c r="AE45" s="94">
        <f t="shared" si="13"/>
        <v>5.0338694571900558E-2</v>
      </c>
      <c r="AF45" s="94">
        <f t="shared" si="13"/>
        <v>4.8556462772882336E-2</v>
      </c>
      <c r="AG45" s="94">
        <f t="shared" si="13"/>
        <v>4.6774230973864128E-2</v>
      </c>
      <c r="AH45" s="94">
        <f t="shared" si="13"/>
        <v>4.4991999174845899E-2</v>
      </c>
      <c r="AI45" s="94">
        <f t="shared" si="13"/>
        <v>4.3209767375827692E-2</v>
      </c>
      <c r="AJ45" s="94">
        <f t="shared" si="13"/>
        <v>4.1427535576809477E-2</v>
      </c>
      <c r="AK45" s="94">
        <f t="shared" si="13"/>
        <v>3.9645303777791262E-2</v>
      </c>
      <c r="AL45" s="94">
        <f t="shared" si="13"/>
        <v>3.786307197877304E-2</v>
      </c>
      <c r="AM45" s="94">
        <f t="shared" si="13"/>
        <v>3.6080840179754825E-2</v>
      </c>
      <c r="AN45" s="94">
        <f t="shared" si="13"/>
        <v>3.4298608380736603E-2</v>
      </c>
      <c r="AO45" s="94">
        <f t="shared" si="13"/>
        <v>3.2516376581718388E-2</v>
      </c>
      <c r="AP45" s="94">
        <f t="shared" si="13"/>
        <v>3.073414478270017E-2</v>
      </c>
      <c r="AQ45" s="94">
        <f t="shared" si="13"/>
        <v>2.8951912983681955E-2</v>
      </c>
      <c r="AR45" s="94">
        <f t="shared" si="13"/>
        <v>2.7169681184663744E-2</v>
      </c>
      <c r="AS45" s="94">
        <f t="shared" si="13"/>
        <v>8.0001016640149629E-4</v>
      </c>
      <c r="AT45" s="94"/>
    </row>
    <row r="46" spans="1:47" outlineLevel="1" x14ac:dyDescent="0.2">
      <c r="A46" s="126">
        <f t="shared" si="11"/>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6">
        <f t="shared" si="11"/>
        <v>17</v>
      </c>
      <c r="B47" s="2"/>
      <c r="C47" s="2"/>
      <c r="D47" s="112"/>
      <c r="E47" s="43">
        <f>+E27/2</f>
        <v>667920.01407275524</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6">
        <f t="shared" si="11"/>
        <v>18</v>
      </c>
      <c r="B48" s="2"/>
      <c r="C48" s="2"/>
      <c r="D48" s="112"/>
      <c r="E48" s="43">
        <f>+E60/2</f>
        <v>70287.10490597153</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6">
        <f t="shared" si="11"/>
        <v>19</v>
      </c>
      <c r="B49" s="46" t="s">
        <v>64</v>
      </c>
      <c r="C49" s="2"/>
      <c r="D49" s="112"/>
      <c r="E49" s="41">
        <f>F22-E27/2-E60/2</f>
        <v>52734886.941021308</v>
      </c>
      <c r="F49" s="110">
        <f>$F$22-(SUM($E$27:E27)+F27/2)-(SUM($E$60:E60)+F60/2)</f>
        <v>51063699.631604999</v>
      </c>
      <c r="G49" s="110">
        <f>$F$22-(SUM($E$27:F27)+G27/2)-(SUM($E$60:F60)+G60/2)</f>
        <v>49228170.788559407</v>
      </c>
      <c r="H49" s="110">
        <f>$F$22-(SUM($E$27:G27)+H27/2)-(SUM($E$60:G60)+H60/2)</f>
        <v>47451146.857724845</v>
      </c>
      <c r="I49" s="110">
        <f>$F$22-(SUM($E$27:H27)+I27/2)-(SUM($E$60:H60)+I60/2)</f>
        <v>45728248.392697826</v>
      </c>
      <c r="J49" s="110">
        <f>$F$22-(SUM($E$27:I27)+J27/2)-(SUM($E$60:I60)+J60/2)</f>
        <v>44055432.827567391</v>
      </c>
      <c r="K49" s="110">
        <f>$F$22-(SUM($E$27:J27)+K27/2)-(SUM($E$60:J60)+K60/2)</f>
        <v>42428938.330166444</v>
      </c>
      <c r="L49" s="110">
        <f>$F$22-(SUM($E$27:K27)+L27/2)-(SUM($E$60:K60)+L60/2)</f>
        <v>40845283.802071661</v>
      </c>
      <c r="M49" s="110">
        <f>$F$22-(SUM($E$27:L27)+M27/2)-(SUM($E$60:L60)+M60/2)</f>
        <v>39285547.788949914</v>
      </c>
      <c r="N49" s="110">
        <f>$F$22-(SUM($E$27:M27)+N27/2)-(SUM($E$60:M60)+N60/2)</f>
        <v>37729236.727502711</v>
      </c>
      <c r="O49" s="110">
        <f>$F$22-(SUM($E$27:N27)+O27/2)-(SUM($E$60:N60)+O60/2)</f>
        <v>36172925.666055508</v>
      </c>
      <c r="P49" s="110">
        <f>$F$22-(SUM($E$27:O27)+P27/2)-(SUM($E$60:O60)+P60/2)</f>
        <v>34616614.604608312</v>
      </c>
      <c r="Q49" s="110">
        <f>$F$22-(SUM($E$27:P27)+Q27/2)-(SUM($E$60:P60)+Q60/2)</f>
        <v>33060303.543161102</v>
      </c>
      <c r="R49" s="110">
        <f>$F$22-(SUM($E$27:Q27)+R27/2)-(SUM($E$60:Q60)+R60/2)</f>
        <v>31503992.481713906</v>
      </c>
      <c r="S49" s="110">
        <f>$F$22-(SUM($E$27:R27)+S27/2)-(SUM($E$60:R60)+S60/2)</f>
        <v>29947681.420266699</v>
      </c>
      <c r="T49" s="110">
        <f>$F$22-(SUM($E$27:S27)+T27/2)-(SUM($E$60:S60)+T60/2)</f>
        <v>28391370.3588195</v>
      </c>
      <c r="U49" s="110">
        <f>$F$22-(SUM($E$27:T27)+U27/2)-(SUM($E$60:T60)+U60/2)</f>
        <v>26835059.297372296</v>
      </c>
      <c r="V49" s="110">
        <f>$F$22-(SUM($E$27:U27)+V27/2)-(SUM($E$60:U60)+V60/2)</f>
        <v>25278748.235925093</v>
      </c>
      <c r="W49" s="110">
        <f>$F$22-(SUM($E$27:V27)+W27/2)-(SUM($E$60:V60)+W60/2)</f>
        <v>23722437.17447789</v>
      </c>
      <c r="X49" s="110">
        <f>$F$22-(SUM($E$27:W27)+X27/2)-(SUM($E$60:W60)+X60/2)</f>
        <v>22166126.113030687</v>
      </c>
      <c r="Y49" s="110">
        <f>$F$22-(SUM($E$27:X27)+Y27/2)-(SUM($E$60:X60)+Y60/2)</f>
        <v>20735078.448073737</v>
      </c>
      <c r="Z49" s="110">
        <f>$F$22-(SUM($E$27:Y27)+Z27/2)-(SUM($E$60:Y60)+Z60/2)</f>
        <v>19554501.429348532</v>
      </c>
      <c r="AA49" s="110">
        <f>$F$22-(SUM($E$27:Z27)+AA27/2)-(SUM($E$60:Z60)+AA60/2)</f>
        <v>18499187.80711358</v>
      </c>
      <c r="AB49" s="110">
        <f>$F$22-(SUM($E$27:AA27)+AB27/2)-(SUM($E$60:AA60)+AB60/2)</f>
        <v>17443874.184878625</v>
      </c>
      <c r="AC49" s="110">
        <f>$F$22-(SUM($E$27:AB27)+AC27/2)-(SUM($E$60:AB60)+AC60/2)</f>
        <v>16388560.562643671</v>
      </c>
      <c r="AD49" s="110">
        <f>$F$22-(SUM($E$27:AC27)+AD27/2)-(SUM($E$60:AC60)+AD60/2)</f>
        <v>15333246.940408718</v>
      </c>
      <c r="AE49" s="110">
        <f>$F$22-(SUM($E$27:AD27)+AE27/2)-(SUM($E$60:AD60)+AE60/2)</f>
        <v>14277933.318173768</v>
      </c>
      <c r="AF49" s="110">
        <f>$F$22-(SUM($E$27:AE27)+AF27/2)-(SUM($E$60:AE60)+AF60/2)</f>
        <v>13222619.695938818</v>
      </c>
      <c r="AG49" s="110">
        <f>$F$22-(SUM($E$27:AF27)+AG27/2)-(SUM($E$60:AF60)+AG60/2)</f>
        <v>12167306.073703868</v>
      </c>
      <c r="AH49" s="110">
        <f>$F$22-(SUM($E$27:AG27)+AH27/2)-(SUM($E$60:AG60)+AH60/2)</f>
        <v>11111992.451468918</v>
      </c>
      <c r="AI49" s="110">
        <f>$F$22-(SUM($E$27:AH27)+AI27/2)-(SUM($E$60:AH60)+AI60/2)</f>
        <v>10056678.829233969</v>
      </c>
      <c r="AJ49" s="110">
        <f>$F$22-(SUM($E$27:AI27)+AJ27/2)-(SUM($E$60:AI60)+AJ60/2)</f>
        <v>9001365.2069990188</v>
      </c>
      <c r="AK49" s="110">
        <f>$F$22-(SUM($E$27:AJ27)+AK27/2)-(SUM($E$60:AJ60)+AK60/2)</f>
        <v>7946051.5847640689</v>
      </c>
      <c r="AL49" s="110">
        <f>$F$22-(SUM($E$27:AK27)+AL27/2)-(SUM($E$60:AK60)+AL60/2)</f>
        <v>6890737.9625291191</v>
      </c>
      <c r="AM49" s="110">
        <f>$F$22-(SUM($E$27:AL27)+AM27/2)-(SUM($E$60:AL60)+AM60/2)</f>
        <v>5835424.3402941693</v>
      </c>
      <c r="AN49" s="110">
        <f>$F$22-(SUM($E$27:AM27)+AN27/2)-(SUM($E$60:AM60)+AN60/2)</f>
        <v>4780110.7180592194</v>
      </c>
      <c r="AO49" s="110">
        <f>$F$22-(SUM($E$27:AN27)+AO27/2)-(SUM($E$60:AN60)+AO60/2)</f>
        <v>3724797.0958242696</v>
      </c>
      <c r="AP49" s="110">
        <f>$F$22-(SUM($E$27:AO27)+AP27/2)-(SUM($E$60:AO60)+AP60/2)</f>
        <v>2669483.4735893197</v>
      </c>
      <c r="AQ49" s="110">
        <f>$F$22-(SUM($E$27:AP27)+AQ27/2)-(SUM($E$60:AP60)+AQ60/2)</f>
        <v>1614169.8513543699</v>
      </c>
      <c r="AR49" s="110">
        <f>$F$22-(SUM($E$27:AQ27)+AR27/2)-(SUM($E$60:AQ60)+AR60/2)</f>
        <v>558856.22911942017</v>
      </c>
      <c r="AS49" s="110">
        <f>$F$22-(SUM($E$27:AR27)+AS27/2)-(SUM($E$60:AR60)+AS60/2)</f>
        <v>15599.71065194167</v>
      </c>
      <c r="AT49" s="110"/>
      <c r="AU49" s="97">
        <f t="shared" ref="AU49:AU60" si="14">SUM(D49:AT49)</f>
        <v>954073426.89746869</v>
      </c>
    </row>
    <row r="50" spans="1:47" x14ac:dyDescent="0.2">
      <c r="A50" s="126">
        <f t="shared" si="11"/>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7">
        <f t="shared" si="14"/>
        <v>0</v>
      </c>
    </row>
    <row r="51" spans="1:47" x14ac:dyDescent="0.2">
      <c r="A51" s="126">
        <f t="shared" si="11"/>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7">
        <f t="shared" si="14"/>
        <v>0</v>
      </c>
    </row>
    <row r="52" spans="1:47" x14ac:dyDescent="0.2">
      <c r="A52" s="126">
        <f t="shared" si="11"/>
        <v>22</v>
      </c>
      <c r="B52" s="2" t="s">
        <v>65</v>
      </c>
      <c r="C52" s="2"/>
      <c r="D52" s="112"/>
      <c r="E52" s="38">
        <f>(E34)/(1-$F$15)</f>
        <v>3043937.7778614829</v>
      </c>
      <c r="F52" s="95">
        <f t="shared" ref="F52:AS52" si="15">(F34)/(1-$F$15)</f>
        <v>2947474.3078496051</v>
      </c>
      <c r="G52" s="95">
        <f t="shared" si="15"/>
        <v>2841524.7948839352</v>
      </c>
      <c r="H52" s="95">
        <f t="shared" si="15"/>
        <v>2738952.2743193079</v>
      </c>
      <c r="I52" s="95">
        <f t="shared" si="15"/>
        <v>2639503.9578569885</v>
      </c>
      <c r="J52" s="95">
        <f t="shared" si="15"/>
        <v>2542946.5024519912</v>
      </c>
      <c r="K52" s="95">
        <f t="shared" si="15"/>
        <v>2449062.7694374556</v>
      </c>
      <c r="L52" s="95">
        <f t="shared" si="15"/>
        <v>2357651.8245246424</v>
      </c>
      <c r="M52" s="95">
        <f t="shared" si="15"/>
        <v>2267621.4926279951</v>
      </c>
      <c r="N52" s="95">
        <f t="shared" si="15"/>
        <v>2177788.8541444601</v>
      </c>
      <c r="O52" s="95">
        <f t="shared" si="15"/>
        <v>2087956.2156609255</v>
      </c>
      <c r="P52" s="95">
        <f t="shared" si="15"/>
        <v>1998123.5771773912</v>
      </c>
      <c r="Q52" s="95">
        <f t="shared" si="15"/>
        <v>1908290.9386938561</v>
      </c>
      <c r="R52" s="95">
        <f t="shared" si="15"/>
        <v>1818458.3002103218</v>
      </c>
      <c r="S52" s="95">
        <f t="shared" si="15"/>
        <v>1728625.6617267865</v>
      </c>
      <c r="T52" s="95">
        <f t="shared" si="15"/>
        <v>1638793.023243252</v>
      </c>
      <c r="U52" s="95">
        <f t="shared" si="15"/>
        <v>1548960.3847597174</v>
      </c>
      <c r="V52" s="95">
        <f t="shared" si="15"/>
        <v>1459127.7462761826</v>
      </c>
      <c r="W52" s="95">
        <f t="shared" si="15"/>
        <v>1369295.1077926478</v>
      </c>
      <c r="X52" s="95">
        <f t="shared" si="15"/>
        <v>1279462.469309113</v>
      </c>
      <c r="Y52" s="95">
        <f t="shared" si="15"/>
        <v>1196860.2243445094</v>
      </c>
      <c r="Z52" s="95">
        <f t="shared" si="15"/>
        <v>1128715.525542143</v>
      </c>
      <c r="AA52" s="95">
        <f t="shared" si="15"/>
        <v>1067801.2202587079</v>
      </c>
      <c r="AB52" s="95">
        <f t="shared" si="15"/>
        <v>1006886.9149752726</v>
      </c>
      <c r="AC52" s="95">
        <f t="shared" si="15"/>
        <v>945972.60969183722</v>
      </c>
      <c r="AD52" s="95">
        <f t="shared" si="15"/>
        <v>885058.30440840195</v>
      </c>
      <c r="AE52" s="95">
        <f t="shared" si="15"/>
        <v>824143.99912496691</v>
      </c>
      <c r="AF52" s="95">
        <f t="shared" si="15"/>
        <v>763229.69384153176</v>
      </c>
      <c r="AG52" s="95">
        <f t="shared" si="15"/>
        <v>702315.38855809672</v>
      </c>
      <c r="AH52" s="95">
        <f t="shared" si="15"/>
        <v>641401.08327466156</v>
      </c>
      <c r="AI52" s="95">
        <f t="shared" si="15"/>
        <v>580486.77799122653</v>
      </c>
      <c r="AJ52" s="95">
        <f t="shared" si="15"/>
        <v>519572.47270779149</v>
      </c>
      <c r="AK52" s="95">
        <f t="shared" si="15"/>
        <v>458658.16742435633</v>
      </c>
      <c r="AL52" s="95">
        <f t="shared" si="15"/>
        <v>397743.86214092129</v>
      </c>
      <c r="AM52" s="95">
        <f t="shared" si="15"/>
        <v>336829.55685748626</v>
      </c>
      <c r="AN52" s="95">
        <f t="shared" si="15"/>
        <v>275915.25157405116</v>
      </c>
      <c r="AO52" s="95">
        <f t="shared" si="15"/>
        <v>215000.94629061606</v>
      </c>
      <c r="AP52" s="95">
        <f t="shared" si="15"/>
        <v>154086.641007181</v>
      </c>
      <c r="AQ52" s="95">
        <f t="shared" si="15"/>
        <v>93172.335723745913</v>
      </c>
      <c r="AR52" s="95">
        <f t="shared" si="15"/>
        <v>32258.030440310835</v>
      </c>
      <c r="AS52" s="95">
        <f t="shared" si="15"/>
        <v>900.43899459308875</v>
      </c>
      <c r="AT52" s="95"/>
      <c r="AU52" s="97">
        <f t="shared" si="14"/>
        <v>55070567.425980456</v>
      </c>
    </row>
    <row r="53" spans="1:47" x14ac:dyDescent="0.2">
      <c r="A53" s="126">
        <f t="shared" si="11"/>
        <v>23</v>
      </c>
      <c r="B53" s="2" t="s">
        <v>66</v>
      </c>
      <c r="C53" s="2"/>
      <c r="D53" s="112"/>
      <c r="E53" s="40">
        <f t="shared" ref="E53:AS53" si="16">E52*$F15</f>
        <v>639226.93335091136</v>
      </c>
      <c r="F53" s="93">
        <f t="shared" si="16"/>
        <v>618969.60464841709</v>
      </c>
      <c r="G53" s="93">
        <f>G52*$F15</f>
        <v>596720.20692562638</v>
      </c>
      <c r="H53" s="93">
        <f t="shared" si="16"/>
        <v>575179.97760705464</v>
      </c>
      <c r="I53" s="93">
        <f t="shared" si="16"/>
        <v>554295.83114996762</v>
      </c>
      <c r="J53" s="93">
        <f t="shared" si="16"/>
        <v>534018.76551491814</v>
      </c>
      <c r="K53" s="93">
        <f t="shared" si="16"/>
        <v>514303.18158186565</v>
      </c>
      <c r="L53" s="93">
        <f t="shared" si="16"/>
        <v>495106.88315017486</v>
      </c>
      <c r="M53" s="93">
        <f t="shared" si="16"/>
        <v>476200.51345187897</v>
      </c>
      <c r="N53" s="93">
        <f t="shared" si="16"/>
        <v>457335.65937033662</v>
      </c>
      <c r="O53" s="93">
        <f t="shared" si="16"/>
        <v>438470.80528879433</v>
      </c>
      <c r="P53" s="93">
        <f t="shared" si="16"/>
        <v>419605.9512072521</v>
      </c>
      <c r="Q53" s="93">
        <f t="shared" si="16"/>
        <v>400741.09712570976</v>
      </c>
      <c r="R53" s="93">
        <f t="shared" si="16"/>
        <v>381876.24304416758</v>
      </c>
      <c r="S53" s="93">
        <f t="shared" si="16"/>
        <v>363011.38896262518</v>
      </c>
      <c r="T53" s="93">
        <f t="shared" si="16"/>
        <v>344146.53488108289</v>
      </c>
      <c r="U53" s="93">
        <f t="shared" si="16"/>
        <v>325281.68079954066</v>
      </c>
      <c r="V53" s="93">
        <f t="shared" si="16"/>
        <v>306416.82671799831</v>
      </c>
      <c r="W53" s="93">
        <f t="shared" si="16"/>
        <v>287551.97263645602</v>
      </c>
      <c r="X53" s="93">
        <f t="shared" si="16"/>
        <v>268687.11855491373</v>
      </c>
      <c r="Y53" s="93">
        <f t="shared" si="16"/>
        <v>251340.64711234698</v>
      </c>
      <c r="Z53" s="93">
        <f t="shared" si="16"/>
        <v>237030.26036385001</v>
      </c>
      <c r="AA53" s="93">
        <f t="shared" si="16"/>
        <v>224238.25625432865</v>
      </c>
      <c r="AB53" s="93">
        <f t="shared" si="16"/>
        <v>211446.25214480725</v>
      </c>
      <c r="AC53" s="93">
        <f t="shared" si="16"/>
        <v>198654.2480352858</v>
      </c>
      <c r="AD53" s="93">
        <f t="shared" si="16"/>
        <v>185862.2439257644</v>
      </c>
      <c r="AE53" s="93">
        <f t="shared" si="16"/>
        <v>173070.23981624303</v>
      </c>
      <c r="AF53" s="93">
        <f t="shared" si="16"/>
        <v>160278.23570672167</v>
      </c>
      <c r="AG53" s="93">
        <f t="shared" si="16"/>
        <v>147486.2315972003</v>
      </c>
      <c r="AH53" s="93">
        <f t="shared" si="16"/>
        <v>134694.22748767893</v>
      </c>
      <c r="AI53" s="93">
        <f t="shared" si="16"/>
        <v>121902.22337815756</v>
      </c>
      <c r="AJ53" s="93">
        <f t="shared" si="16"/>
        <v>109110.21926863621</v>
      </c>
      <c r="AK53" s="93">
        <f t="shared" si="16"/>
        <v>96318.215159114829</v>
      </c>
      <c r="AL53" s="93">
        <f t="shared" si="16"/>
        <v>83526.211049593476</v>
      </c>
      <c r="AM53" s="93">
        <f t="shared" si="16"/>
        <v>70734.206940072108</v>
      </c>
      <c r="AN53" s="93">
        <f t="shared" si="16"/>
        <v>57942.202830550741</v>
      </c>
      <c r="AO53" s="93">
        <f t="shared" si="16"/>
        <v>45150.198721029374</v>
      </c>
      <c r="AP53" s="93">
        <f t="shared" si="16"/>
        <v>32358.194611508006</v>
      </c>
      <c r="AQ53" s="93">
        <f t="shared" si="16"/>
        <v>19566.190501986643</v>
      </c>
      <c r="AR53" s="93">
        <f t="shared" si="16"/>
        <v>6774.1863924652753</v>
      </c>
      <c r="AS53" s="93">
        <f t="shared" si="16"/>
        <v>189.09218886454863</v>
      </c>
      <c r="AT53" s="93"/>
      <c r="AU53" s="97">
        <f t="shared" si="14"/>
        <v>11564819.159455903</v>
      </c>
    </row>
    <row r="54" spans="1:47" x14ac:dyDescent="0.2">
      <c r="A54" s="126">
        <f t="shared" si="11"/>
        <v>24</v>
      </c>
      <c r="B54" s="2" t="s">
        <v>67</v>
      </c>
      <c r="C54" s="2"/>
      <c r="D54" s="112"/>
      <c r="E54" s="38">
        <f>E52-E53</f>
        <v>2404710.8445105716</v>
      </c>
      <c r="F54" s="95">
        <f t="shared" ref="F54:AS54" si="17">F52-F53</f>
        <v>2328504.7032011878</v>
      </c>
      <c r="G54" s="95">
        <f t="shared" si="17"/>
        <v>2244804.5879583089</v>
      </c>
      <c r="H54" s="95">
        <f t="shared" si="17"/>
        <v>2163772.2967122532</v>
      </c>
      <c r="I54" s="95">
        <f t="shared" si="17"/>
        <v>2085208.1267070209</v>
      </c>
      <c r="J54" s="95">
        <f t="shared" si="17"/>
        <v>2008927.7369370731</v>
      </c>
      <c r="K54" s="95">
        <f t="shared" si="17"/>
        <v>1934759.58785559</v>
      </c>
      <c r="L54" s="95">
        <f t="shared" si="17"/>
        <v>1862544.9413744677</v>
      </c>
      <c r="M54" s="95">
        <f t="shared" si="17"/>
        <v>1791420.9791761162</v>
      </c>
      <c r="N54" s="95">
        <f t="shared" si="17"/>
        <v>1720453.1947741234</v>
      </c>
      <c r="O54" s="95">
        <f t="shared" si="17"/>
        <v>1649485.410372131</v>
      </c>
      <c r="P54" s="95">
        <f t="shared" si="17"/>
        <v>1578517.6259701392</v>
      </c>
      <c r="Q54" s="95">
        <f t="shared" si="17"/>
        <v>1507549.8415681464</v>
      </c>
      <c r="R54" s="95">
        <f t="shared" si="17"/>
        <v>1436582.0571661543</v>
      </c>
      <c r="S54" s="95">
        <f t="shared" si="17"/>
        <v>1365614.2727641612</v>
      </c>
      <c r="T54" s="95">
        <f t="shared" si="17"/>
        <v>1294646.4883621691</v>
      </c>
      <c r="U54" s="95">
        <f t="shared" si="17"/>
        <v>1223678.7039601768</v>
      </c>
      <c r="V54" s="95">
        <f t="shared" si="17"/>
        <v>1152710.9195581842</v>
      </c>
      <c r="W54" s="95">
        <f t="shared" si="17"/>
        <v>1081743.1351561919</v>
      </c>
      <c r="X54" s="95">
        <f t="shared" si="17"/>
        <v>1010775.3507541993</v>
      </c>
      <c r="Y54" s="95">
        <f t="shared" si="17"/>
        <v>945519.57723216247</v>
      </c>
      <c r="Z54" s="95">
        <f t="shared" si="17"/>
        <v>891685.26517829299</v>
      </c>
      <c r="AA54" s="95">
        <f t="shared" si="17"/>
        <v>843562.96400437923</v>
      </c>
      <c r="AB54" s="95">
        <f t="shared" si="17"/>
        <v>795440.66283046536</v>
      </c>
      <c r="AC54" s="95">
        <f t="shared" si="17"/>
        <v>747318.36165655148</v>
      </c>
      <c r="AD54" s="95">
        <f t="shared" si="17"/>
        <v>699196.06048263749</v>
      </c>
      <c r="AE54" s="95">
        <f t="shared" si="17"/>
        <v>651073.75930872385</v>
      </c>
      <c r="AF54" s="95">
        <f t="shared" si="17"/>
        <v>602951.45813481009</v>
      </c>
      <c r="AG54" s="95">
        <f t="shared" si="17"/>
        <v>554829.15696089645</v>
      </c>
      <c r="AH54" s="95">
        <f t="shared" si="17"/>
        <v>506706.85578698263</v>
      </c>
      <c r="AI54" s="95">
        <f t="shared" si="17"/>
        <v>458584.55461306893</v>
      </c>
      <c r="AJ54" s="95">
        <f t="shared" si="17"/>
        <v>410462.25343915529</v>
      </c>
      <c r="AK54" s="95">
        <f t="shared" si="17"/>
        <v>362339.95226524153</v>
      </c>
      <c r="AL54" s="95">
        <f t="shared" si="17"/>
        <v>314217.65109132783</v>
      </c>
      <c r="AM54" s="95">
        <f t="shared" si="17"/>
        <v>266095.34991741413</v>
      </c>
      <c r="AN54" s="95">
        <f t="shared" si="17"/>
        <v>217973.04874350043</v>
      </c>
      <c r="AO54" s="95">
        <f t="shared" si="17"/>
        <v>169850.74756958667</v>
      </c>
      <c r="AP54" s="95">
        <f t="shared" si="17"/>
        <v>121728.44639567299</v>
      </c>
      <c r="AQ54" s="95">
        <f t="shared" si="17"/>
        <v>73606.145221759274</v>
      </c>
      <c r="AR54" s="95">
        <f t="shared" si="17"/>
        <v>25483.84404784556</v>
      </c>
      <c r="AS54" s="95">
        <f t="shared" si="17"/>
        <v>711.34680572854018</v>
      </c>
      <c r="AT54" s="95"/>
      <c r="AU54" s="97">
        <f t="shared" si="14"/>
        <v>43505748.266524576</v>
      </c>
    </row>
    <row r="55" spans="1:47" x14ac:dyDescent="0.2">
      <c r="A55" s="126">
        <f t="shared" si="11"/>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97">
        <f t="shared" si="14"/>
        <v>0</v>
      </c>
    </row>
    <row r="56" spans="1:47" x14ac:dyDescent="0.2">
      <c r="A56" s="126">
        <f t="shared" si="11"/>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97">
        <f t="shared" si="14"/>
        <v>0</v>
      </c>
    </row>
    <row r="57" spans="1:47" x14ac:dyDescent="0.2">
      <c r="A57" s="126">
        <f t="shared" si="11"/>
        <v>27</v>
      </c>
      <c r="B57" s="2" t="s">
        <v>68</v>
      </c>
      <c r="C57" s="2"/>
      <c r="D57" s="112"/>
      <c r="E57" s="38">
        <f>E27+E28</f>
        <v>1335840.0281455105</v>
      </c>
      <c r="F57" s="95">
        <f>F27</f>
        <v>1335840.0281455105</v>
      </c>
      <c r="G57" s="95">
        <f>G27</f>
        <v>1335840.0281455105</v>
      </c>
      <c r="H57" s="95">
        <f t="shared" ref="H57:AS57" si="18">H27</f>
        <v>1335840.0281455105</v>
      </c>
      <c r="I57" s="95">
        <f t="shared" si="18"/>
        <v>1335840.0281455105</v>
      </c>
      <c r="J57" s="95">
        <f t="shared" si="18"/>
        <v>1335840.0281455105</v>
      </c>
      <c r="K57" s="95">
        <f t="shared" si="18"/>
        <v>1335840.0281455105</v>
      </c>
      <c r="L57" s="95">
        <f t="shared" si="18"/>
        <v>1335840.0281455105</v>
      </c>
      <c r="M57" s="95">
        <f t="shared" si="18"/>
        <v>1335840.0281455105</v>
      </c>
      <c r="N57" s="95">
        <f t="shared" si="18"/>
        <v>1335840.0281455105</v>
      </c>
      <c r="O57" s="95">
        <f t="shared" si="18"/>
        <v>1335840.0281455105</v>
      </c>
      <c r="P57" s="95">
        <f t="shared" si="18"/>
        <v>1335840.0281455105</v>
      </c>
      <c r="Q57" s="95">
        <f t="shared" si="18"/>
        <v>1335840.0281455105</v>
      </c>
      <c r="R57" s="95">
        <f t="shared" si="18"/>
        <v>1335840.0281455105</v>
      </c>
      <c r="S57" s="95">
        <f t="shared" si="18"/>
        <v>1335840.0281455105</v>
      </c>
      <c r="T57" s="95">
        <f t="shared" si="18"/>
        <v>1335840.0281455105</v>
      </c>
      <c r="U57" s="95">
        <f t="shared" si="18"/>
        <v>1335840.0281455105</v>
      </c>
      <c r="V57" s="95">
        <f t="shared" si="18"/>
        <v>1335840.0281455105</v>
      </c>
      <c r="W57" s="95">
        <f t="shared" si="18"/>
        <v>1335840.0281455105</v>
      </c>
      <c r="X57" s="95">
        <f t="shared" si="18"/>
        <v>1335840.0281455105</v>
      </c>
      <c r="Y57" s="95">
        <f t="shared" si="18"/>
        <v>1335840.0281455105</v>
      </c>
      <c r="Z57" s="95">
        <f t="shared" si="18"/>
        <v>1335840.0281455105</v>
      </c>
      <c r="AA57" s="95">
        <f t="shared" si="18"/>
        <v>1335840.0281455105</v>
      </c>
      <c r="AB57" s="95">
        <f t="shared" si="18"/>
        <v>1335840.0281455105</v>
      </c>
      <c r="AC57" s="95">
        <f t="shared" si="18"/>
        <v>1335840.0281455105</v>
      </c>
      <c r="AD57" s="95">
        <f t="shared" si="18"/>
        <v>1335840.0281455105</v>
      </c>
      <c r="AE57" s="95">
        <f t="shared" si="18"/>
        <v>1335840.0281455105</v>
      </c>
      <c r="AF57" s="95">
        <f t="shared" si="18"/>
        <v>1335840.0281455105</v>
      </c>
      <c r="AG57" s="95">
        <f t="shared" si="18"/>
        <v>1335840.0281455105</v>
      </c>
      <c r="AH57" s="95">
        <f t="shared" si="18"/>
        <v>1335840.0281455105</v>
      </c>
      <c r="AI57" s="95">
        <f t="shared" si="18"/>
        <v>1335840.0281455105</v>
      </c>
      <c r="AJ57" s="95">
        <f t="shared" si="18"/>
        <v>1335840.0281455105</v>
      </c>
      <c r="AK57" s="95">
        <f t="shared" si="18"/>
        <v>1335840.0281455105</v>
      </c>
      <c r="AL57" s="95">
        <f t="shared" si="18"/>
        <v>1335840.0281455105</v>
      </c>
      <c r="AM57" s="95">
        <f t="shared" si="18"/>
        <v>1335840.0281455105</v>
      </c>
      <c r="AN57" s="95">
        <f t="shared" si="18"/>
        <v>1335840.0281455105</v>
      </c>
      <c r="AO57" s="95">
        <f t="shared" si="18"/>
        <v>1335840.0281455105</v>
      </c>
      <c r="AP57" s="95">
        <f t="shared" si="18"/>
        <v>1335840.0281455105</v>
      </c>
      <c r="AQ57" s="95">
        <f t="shared" si="18"/>
        <v>1335840.0281455105</v>
      </c>
      <c r="AR57" s="95">
        <f t="shared" si="18"/>
        <v>1335840.0281455105</v>
      </c>
      <c r="AS57" s="95">
        <f t="shared" si="18"/>
        <v>39492.93</v>
      </c>
      <c r="AT57" s="95"/>
      <c r="AU57" s="97">
        <f t="shared" si="14"/>
        <v>53473094.055820368</v>
      </c>
    </row>
    <row r="58" spans="1:47" x14ac:dyDescent="0.2">
      <c r="A58" s="126">
        <f t="shared" si="11"/>
        <v>28</v>
      </c>
      <c r="B58" s="2" t="s">
        <v>69</v>
      </c>
      <c r="C58" s="2"/>
      <c r="D58" s="112"/>
      <c r="E58" s="38">
        <f>$F22*E62</f>
        <v>2005241.0272500012</v>
      </c>
      <c r="F58" s="95">
        <f t="shared" ref="F58:AS58" si="19">$F22*F62</f>
        <v>3860222.6601914028</v>
      </c>
      <c r="G58" s="95">
        <f t="shared" si="19"/>
        <v>3570398.490386202</v>
      </c>
      <c r="H58" s="95">
        <f t="shared" si="19"/>
        <v>3303033.0200862018</v>
      </c>
      <c r="I58" s="95">
        <f t="shared" si="19"/>
        <v>3054917.8636478018</v>
      </c>
      <c r="J58" s="95">
        <f t="shared" si="19"/>
        <v>2826053.0210710019</v>
      </c>
      <c r="K58" s="95">
        <f t="shared" si="19"/>
        <v>2613764.8376528015</v>
      </c>
      <c r="L58" s="95">
        <f t="shared" si="19"/>
        <v>2418053.3133932017</v>
      </c>
      <c r="M58" s="95">
        <f t="shared" si="19"/>
        <v>2385969.4569572015</v>
      </c>
      <c r="N58" s="95">
        <f t="shared" si="19"/>
        <v>2385434.7260166015</v>
      </c>
      <c r="O58" s="95">
        <f t="shared" si="19"/>
        <v>2385969.4569572015</v>
      </c>
      <c r="P58" s="95">
        <f t="shared" si="19"/>
        <v>2385434.7260166015</v>
      </c>
      <c r="Q58" s="95">
        <f t="shared" si="19"/>
        <v>2385969.4569572015</v>
      </c>
      <c r="R58" s="95">
        <f t="shared" si="19"/>
        <v>2385434.7260166015</v>
      </c>
      <c r="S58" s="95">
        <f t="shared" si="19"/>
        <v>2385969.4569572015</v>
      </c>
      <c r="T58" s="95">
        <f t="shared" si="19"/>
        <v>2385434.7260166015</v>
      </c>
      <c r="U58" s="95">
        <f t="shared" si="19"/>
        <v>2385969.4569572015</v>
      </c>
      <c r="V58" s="95">
        <f t="shared" si="19"/>
        <v>2385434.7260166015</v>
      </c>
      <c r="W58" s="95">
        <f t="shared" si="19"/>
        <v>2385969.4569572015</v>
      </c>
      <c r="X58" s="95">
        <f t="shared" si="19"/>
        <v>2385434.7260166015</v>
      </c>
      <c r="Y58" s="95">
        <f t="shared" si="19"/>
        <v>1192984.7284786007</v>
      </c>
      <c r="Z58" s="95">
        <f t="shared" si="19"/>
        <v>0</v>
      </c>
      <c r="AA58" s="95">
        <f t="shared" si="19"/>
        <v>0</v>
      </c>
      <c r="AB58" s="95">
        <f t="shared" si="19"/>
        <v>0</v>
      </c>
      <c r="AC58" s="95">
        <f t="shared" si="19"/>
        <v>0</v>
      </c>
      <c r="AD58" s="95">
        <f t="shared" si="19"/>
        <v>0</v>
      </c>
      <c r="AE58" s="95">
        <f t="shared" si="19"/>
        <v>0</v>
      </c>
      <c r="AF58" s="95">
        <f t="shared" si="19"/>
        <v>0</v>
      </c>
      <c r="AG58" s="95">
        <f t="shared" si="19"/>
        <v>0</v>
      </c>
      <c r="AH58" s="95">
        <f t="shared" si="19"/>
        <v>0</v>
      </c>
      <c r="AI58" s="95">
        <f t="shared" si="19"/>
        <v>0</v>
      </c>
      <c r="AJ58" s="95">
        <f t="shared" si="19"/>
        <v>0</v>
      </c>
      <c r="AK58" s="95">
        <f t="shared" si="19"/>
        <v>0</v>
      </c>
      <c r="AL58" s="95">
        <f t="shared" si="19"/>
        <v>0</v>
      </c>
      <c r="AM58" s="95">
        <f t="shared" si="19"/>
        <v>0</v>
      </c>
      <c r="AN58" s="95">
        <f t="shared" si="19"/>
        <v>0</v>
      </c>
      <c r="AO58" s="95">
        <f t="shared" si="19"/>
        <v>0</v>
      </c>
      <c r="AP58" s="95">
        <f t="shared" si="19"/>
        <v>0</v>
      </c>
      <c r="AQ58" s="95">
        <f t="shared" si="19"/>
        <v>0</v>
      </c>
      <c r="AR58" s="95">
        <f t="shared" si="19"/>
        <v>0</v>
      </c>
      <c r="AS58" s="95">
        <f t="shared" si="19"/>
        <v>0</v>
      </c>
      <c r="AT58" s="95"/>
      <c r="AU58" s="97">
        <f t="shared" si="14"/>
        <v>53473094.060000032</v>
      </c>
    </row>
    <row r="59" spans="1:47" x14ac:dyDescent="0.2">
      <c r="A59" s="126">
        <f t="shared" si="11"/>
        <v>29</v>
      </c>
      <c r="B59" s="2" t="s">
        <v>70</v>
      </c>
      <c r="C59" s="2"/>
      <c r="D59" s="112"/>
      <c r="E59" s="38">
        <f>E58-E57</f>
        <v>669400.99910449074</v>
      </c>
      <c r="F59" s="95">
        <f>F58-F57</f>
        <v>2524382.6320458921</v>
      </c>
      <c r="G59" s="95">
        <f>G58-G57</f>
        <v>2234558.4622406913</v>
      </c>
      <c r="H59" s="95">
        <f t="shared" ref="H59:AS59" si="20">H58-H57</f>
        <v>1967192.9919406914</v>
      </c>
      <c r="I59" s="95">
        <f t="shared" si="20"/>
        <v>1719077.8355022913</v>
      </c>
      <c r="J59" s="95">
        <f t="shared" si="20"/>
        <v>1490212.9929254914</v>
      </c>
      <c r="K59" s="95">
        <f t="shared" si="20"/>
        <v>1277924.8095072911</v>
      </c>
      <c r="L59" s="95">
        <f t="shared" si="20"/>
        <v>1082213.2852476912</v>
      </c>
      <c r="M59" s="95">
        <f t="shared" si="20"/>
        <v>1050129.428811691</v>
      </c>
      <c r="N59" s="95">
        <f t="shared" si="20"/>
        <v>1049594.6978710911</v>
      </c>
      <c r="O59" s="95">
        <f t="shared" si="20"/>
        <v>1050129.428811691</v>
      </c>
      <c r="P59" s="95">
        <f t="shared" si="20"/>
        <v>1049594.6978710911</v>
      </c>
      <c r="Q59" s="95">
        <f t="shared" si="20"/>
        <v>1050129.428811691</v>
      </c>
      <c r="R59" s="95">
        <f t="shared" si="20"/>
        <v>1049594.6978710911</v>
      </c>
      <c r="S59" s="95">
        <f t="shared" si="20"/>
        <v>1050129.428811691</v>
      </c>
      <c r="T59" s="95">
        <f t="shared" si="20"/>
        <v>1049594.6978710911</v>
      </c>
      <c r="U59" s="95">
        <f t="shared" si="20"/>
        <v>1050129.428811691</v>
      </c>
      <c r="V59" s="95">
        <f t="shared" si="20"/>
        <v>1049594.6978710911</v>
      </c>
      <c r="W59" s="95">
        <f t="shared" si="20"/>
        <v>1050129.428811691</v>
      </c>
      <c r="X59" s="95">
        <f t="shared" si="20"/>
        <v>1049594.6978710911</v>
      </c>
      <c r="Y59" s="95">
        <f t="shared" si="20"/>
        <v>-142855.29966690973</v>
      </c>
      <c r="Z59" s="95">
        <f t="shared" si="20"/>
        <v>-1335840.0281455105</v>
      </c>
      <c r="AA59" s="95">
        <f t="shared" si="20"/>
        <v>-1335840.0281455105</v>
      </c>
      <c r="AB59" s="95">
        <f t="shared" si="20"/>
        <v>-1335840.0281455105</v>
      </c>
      <c r="AC59" s="95">
        <f t="shared" si="20"/>
        <v>-1335840.0281455105</v>
      </c>
      <c r="AD59" s="95">
        <f t="shared" si="20"/>
        <v>-1335840.0281455105</v>
      </c>
      <c r="AE59" s="95">
        <f t="shared" si="20"/>
        <v>-1335840.0281455105</v>
      </c>
      <c r="AF59" s="95">
        <f t="shared" si="20"/>
        <v>-1335840.0281455105</v>
      </c>
      <c r="AG59" s="95">
        <f t="shared" si="20"/>
        <v>-1335840.0281455105</v>
      </c>
      <c r="AH59" s="95">
        <f t="shared" si="20"/>
        <v>-1335840.0281455105</v>
      </c>
      <c r="AI59" s="95">
        <f t="shared" si="20"/>
        <v>-1335840.0281455105</v>
      </c>
      <c r="AJ59" s="95">
        <f t="shared" si="20"/>
        <v>-1335840.0281455105</v>
      </c>
      <c r="AK59" s="95">
        <f t="shared" si="20"/>
        <v>-1335840.0281455105</v>
      </c>
      <c r="AL59" s="95">
        <f t="shared" si="20"/>
        <v>-1335840.0281455105</v>
      </c>
      <c r="AM59" s="95">
        <f t="shared" si="20"/>
        <v>-1335840.0281455105</v>
      </c>
      <c r="AN59" s="95">
        <f t="shared" si="20"/>
        <v>-1335840.0281455105</v>
      </c>
      <c r="AO59" s="95">
        <f t="shared" si="20"/>
        <v>-1335840.0281455105</v>
      </c>
      <c r="AP59" s="95">
        <f t="shared" si="20"/>
        <v>-1335840.0281455105</v>
      </c>
      <c r="AQ59" s="95">
        <f t="shared" si="20"/>
        <v>-1335840.0281455105</v>
      </c>
      <c r="AR59" s="95">
        <f t="shared" si="20"/>
        <v>-1335840.0281455105</v>
      </c>
      <c r="AS59" s="95">
        <f t="shared" si="20"/>
        <v>-39492.93</v>
      </c>
      <c r="AT59" s="95"/>
      <c r="AU59" s="97">
        <f t="shared" si="14"/>
        <v>4.1796194200287573E-3</v>
      </c>
    </row>
    <row r="60" spans="1:47" x14ac:dyDescent="0.2">
      <c r="A60" s="126">
        <f t="shared" si="11"/>
        <v>30</v>
      </c>
      <c r="B60" s="2" t="s">
        <v>71</v>
      </c>
      <c r="C60" s="2"/>
      <c r="D60" s="112"/>
      <c r="E60" s="38">
        <f>E59*F15</f>
        <v>140574.20981194306</v>
      </c>
      <c r="F60" s="95">
        <f t="shared" ref="F60:AS60" si="21">F59*$F$15</f>
        <v>530120.35272963729</v>
      </c>
      <c r="G60" s="95">
        <f t="shared" si="21"/>
        <v>469257.27707054518</v>
      </c>
      <c r="H60" s="95">
        <f t="shared" si="21"/>
        <v>413110.52830754517</v>
      </c>
      <c r="I60" s="95">
        <f t="shared" si="21"/>
        <v>361006.34545548115</v>
      </c>
      <c r="J60" s="95">
        <f t="shared" si="21"/>
        <v>312944.72851435316</v>
      </c>
      <c r="K60" s="95">
        <f t="shared" si="21"/>
        <v>268364.20999653114</v>
      </c>
      <c r="L60" s="95">
        <f t="shared" si="21"/>
        <v>227264.78990201515</v>
      </c>
      <c r="M60" s="95">
        <f t="shared" si="21"/>
        <v>220527.18005045509</v>
      </c>
      <c r="N60" s="95">
        <f t="shared" si="21"/>
        <v>220414.88655292912</v>
      </c>
      <c r="O60" s="95">
        <f t="shared" si="21"/>
        <v>220527.18005045509</v>
      </c>
      <c r="P60" s="95">
        <f t="shared" si="21"/>
        <v>220414.88655292912</v>
      </c>
      <c r="Q60" s="95">
        <f t="shared" si="21"/>
        <v>220527.18005045509</v>
      </c>
      <c r="R60" s="95">
        <f t="shared" si="21"/>
        <v>220414.88655292912</v>
      </c>
      <c r="S60" s="95">
        <f t="shared" si="21"/>
        <v>220527.18005045509</v>
      </c>
      <c r="T60" s="95">
        <f t="shared" si="21"/>
        <v>220414.88655292912</v>
      </c>
      <c r="U60" s="95">
        <f t="shared" si="21"/>
        <v>220527.18005045509</v>
      </c>
      <c r="V60" s="95">
        <f t="shared" si="21"/>
        <v>220414.88655292912</v>
      </c>
      <c r="W60" s="95">
        <f t="shared" si="21"/>
        <v>220527.18005045509</v>
      </c>
      <c r="X60" s="95">
        <f t="shared" si="21"/>
        <v>220414.88655292912</v>
      </c>
      <c r="Y60" s="95">
        <f t="shared" si="21"/>
        <v>-29999.612930051044</v>
      </c>
      <c r="Z60" s="95">
        <f t="shared" si="21"/>
        <v>-280526.40591055719</v>
      </c>
      <c r="AA60" s="95">
        <f t="shared" si="21"/>
        <v>-280526.40591055719</v>
      </c>
      <c r="AB60" s="95">
        <f t="shared" si="21"/>
        <v>-280526.40591055719</v>
      </c>
      <c r="AC60" s="95">
        <f t="shared" si="21"/>
        <v>-280526.40591055719</v>
      </c>
      <c r="AD60" s="95">
        <f t="shared" si="21"/>
        <v>-280526.40591055719</v>
      </c>
      <c r="AE60" s="95">
        <f t="shared" si="21"/>
        <v>-280526.40591055719</v>
      </c>
      <c r="AF60" s="95">
        <f t="shared" si="21"/>
        <v>-280526.40591055719</v>
      </c>
      <c r="AG60" s="95">
        <f t="shared" si="21"/>
        <v>-280526.40591055719</v>
      </c>
      <c r="AH60" s="95">
        <f t="shared" si="21"/>
        <v>-280526.40591055719</v>
      </c>
      <c r="AI60" s="95">
        <f t="shared" si="21"/>
        <v>-280526.40591055719</v>
      </c>
      <c r="AJ60" s="95">
        <f t="shared" si="21"/>
        <v>-280526.40591055719</v>
      </c>
      <c r="AK60" s="95">
        <f t="shared" si="21"/>
        <v>-280526.40591055719</v>
      </c>
      <c r="AL60" s="95">
        <f t="shared" si="21"/>
        <v>-280526.40591055719</v>
      </c>
      <c r="AM60" s="95">
        <f t="shared" si="21"/>
        <v>-280526.40591055719</v>
      </c>
      <c r="AN60" s="95">
        <f t="shared" si="21"/>
        <v>-280526.40591055719</v>
      </c>
      <c r="AO60" s="95">
        <f t="shared" si="21"/>
        <v>-280526.40591055719</v>
      </c>
      <c r="AP60" s="95">
        <f t="shared" si="21"/>
        <v>-280526.40591055719</v>
      </c>
      <c r="AQ60" s="95">
        <f t="shared" si="21"/>
        <v>-280526.40591055719</v>
      </c>
      <c r="AR60" s="95">
        <f t="shared" si="21"/>
        <v>-280526.40591055719</v>
      </c>
      <c r="AS60" s="95">
        <f t="shared" si="21"/>
        <v>-8293.5152999999991</v>
      </c>
      <c r="AT60" s="95"/>
      <c r="AU60" s="97">
        <f t="shared" si="14"/>
        <v>8.7771841208450496E-4</v>
      </c>
    </row>
    <row r="61" spans="1:47" x14ac:dyDescent="0.2">
      <c r="A61" s="126">
        <f t="shared" si="11"/>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7" s="50" customFormat="1" x14ac:dyDescent="0.2">
      <c r="A62" s="126">
        <f t="shared" si="11"/>
        <v>32</v>
      </c>
      <c r="B62" s="2" t="str">
        <f t="shared" ref="B62" si="22">IF($F$18=1,B66,B65)</f>
        <v>MACRS Depreciation - 20</v>
      </c>
      <c r="C62" s="2"/>
      <c r="D62" s="47"/>
      <c r="E62" s="62">
        <f t="shared" ref="E62:Y62" si="23">IF($F$18=1,E66,E65)</f>
        <v>3.7499999999999999E-2</v>
      </c>
      <c r="F62" s="58">
        <f t="shared" si="23"/>
        <v>7.2190000000000004E-2</v>
      </c>
      <c r="G62" s="58">
        <f t="shared" si="23"/>
        <v>6.6769999999999996E-2</v>
      </c>
      <c r="H62" s="61">
        <f t="shared" si="23"/>
        <v>6.1769999999999999E-2</v>
      </c>
      <c r="I62" s="61">
        <f t="shared" si="23"/>
        <v>5.713E-2</v>
      </c>
      <c r="J62" s="61">
        <f t="shared" si="23"/>
        <v>5.2850000000000001E-2</v>
      </c>
      <c r="K62" s="61">
        <f t="shared" si="23"/>
        <v>4.888E-2</v>
      </c>
      <c r="L62" s="61">
        <f t="shared" si="23"/>
        <v>4.5220000000000003E-2</v>
      </c>
      <c r="M62" s="61">
        <f t="shared" si="23"/>
        <v>4.462E-2</v>
      </c>
      <c r="N62" s="61">
        <f t="shared" si="23"/>
        <v>4.4610000000000004E-2</v>
      </c>
      <c r="O62" s="61">
        <f t="shared" si="23"/>
        <v>4.462E-2</v>
      </c>
      <c r="P62" s="61">
        <f t="shared" si="23"/>
        <v>4.4610000000000004E-2</v>
      </c>
      <c r="Q62" s="61">
        <f t="shared" si="23"/>
        <v>4.462E-2</v>
      </c>
      <c r="R62" s="61">
        <f t="shared" si="23"/>
        <v>4.4610000000000004E-2</v>
      </c>
      <c r="S62" s="61">
        <f t="shared" si="23"/>
        <v>4.462E-2</v>
      </c>
      <c r="T62" s="61">
        <f t="shared" si="23"/>
        <v>4.4610000000000004E-2</v>
      </c>
      <c r="U62" s="61">
        <f t="shared" si="23"/>
        <v>4.462E-2</v>
      </c>
      <c r="V62" s="61">
        <f t="shared" si="23"/>
        <v>4.4610000000000004E-2</v>
      </c>
      <c r="W62" s="61">
        <f t="shared" si="23"/>
        <v>4.462E-2</v>
      </c>
      <c r="X62" s="61">
        <f t="shared" si="23"/>
        <v>4.4610000000000004E-2</v>
      </c>
      <c r="Y62" s="61">
        <f t="shared" si="23"/>
        <v>2.231E-2</v>
      </c>
      <c r="Z62" s="48"/>
      <c r="AA62" s="48"/>
      <c r="AB62" s="48"/>
      <c r="AC62" s="48"/>
      <c r="AD62" s="48"/>
      <c r="AE62" s="48"/>
      <c r="AF62" s="48"/>
      <c r="AG62" s="48"/>
      <c r="AH62" s="48"/>
      <c r="AI62" s="48"/>
      <c r="AJ62" s="48"/>
      <c r="AK62" s="48"/>
      <c r="AL62" s="48"/>
      <c r="AM62" s="48"/>
      <c r="AN62" s="48"/>
      <c r="AO62" s="48"/>
      <c r="AP62" s="47"/>
    </row>
    <row r="63" spans="1:47" outlineLevel="1" x14ac:dyDescent="0.25">
      <c r="A63" s="126">
        <f t="shared" si="11"/>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7" outlineLevel="1" x14ac:dyDescent="0.25">
      <c r="A64" s="126">
        <f t="shared" si="11"/>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126">
        <f t="shared" si="11"/>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6">
        <f t="shared" si="11"/>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topLeftCell="C1" zoomScaleNormal="100" workbookViewId="0">
      <selection activeCell="H42" sqref="H42"/>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6.7109375" style="56" customWidth="1"/>
    <col min="6" max="6" width="13.42578125" style="56" customWidth="1"/>
    <col min="7" max="7" width="14.5703125" style="56" bestFit="1" customWidth="1"/>
    <col min="8" max="8" width="12.5703125" style="56" customWidth="1"/>
    <col min="9" max="9" width="14.28515625" style="56" bestFit="1" customWidth="1"/>
    <col min="10"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1.65" customHeight="1" x14ac:dyDescent="0.25">
      <c r="A1" s="1" t="s">
        <v>0</v>
      </c>
      <c r="B1" s="2"/>
      <c r="C1" s="2"/>
      <c r="E1" s="497"/>
      <c r="F1" s="497"/>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1.6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2.75" customHeight="1" x14ac:dyDescent="0.25">
      <c r="A3" s="6" t="s">
        <v>2</v>
      </c>
      <c r="B3" s="2"/>
      <c r="C3" s="122" t="s">
        <v>122</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11.6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9"/>
      <c r="E5" s="9"/>
      <c r="F5" s="10"/>
      <c r="G5" s="16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58" t="s">
        <v>121</v>
      </c>
      <c r="E6" s="106"/>
      <c r="F6" s="107" t="s">
        <v>166</v>
      </c>
      <c r="G6" s="162" t="s">
        <v>167</v>
      </c>
      <c r="H6" s="107" t="s">
        <v>259</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63" t="s">
        <v>5</v>
      </c>
      <c r="H7" s="17" t="s">
        <v>5</v>
      </c>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8.75" customHeight="1" x14ac:dyDescent="0.2">
      <c r="A8" s="12" t="s">
        <v>6</v>
      </c>
      <c r="B8" s="13"/>
      <c r="C8" s="13"/>
      <c r="D8" s="19" t="s">
        <v>7</v>
      </c>
      <c r="E8" s="19" t="s">
        <v>8</v>
      </c>
      <c r="F8" s="20" t="s">
        <v>8</v>
      </c>
      <c r="G8" s="164" t="s">
        <v>8</v>
      </c>
      <c r="H8" s="20" t="s">
        <v>8</v>
      </c>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11.65" customHeight="1" x14ac:dyDescent="0.2">
      <c r="A9" s="12"/>
      <c r="B9" s="13"/>
      <c r="C9" s="13"/>
      <c r="D9" s="14"/>
      <c r="E9" s="14"/>
      <c r="F9" s="21"/>
      <c r="G9" s="165"/>
      <c r="H9" s="21"/>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1.65" customHeight="1" x14ac:dyDescent="0.2">
      <c r="A10" s="12"/>
      <c r="B10" s="13"/>
      <c r="C10" s="13"/>
      <c r="D10" s="23"/>
      <c r="E10" s="23"/>
      <c r="F10" s="24"/>
      <c r="G10" s="166"/>
      <c r="H10" s="24"/>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v>0.51500000000000001</v>
      </c>
      <c r="E11" s="23">
        <v>5.8058252427184473E-2</v>
      </c>
      <c r="F11" s="24">
        <v>2.9899999999999999E-2</v>
      </c>
      <c r="G11" s="166">
        <f>'2019 GRC'!E12</f>
        <v>2.8299999999999999E-2</v>
      </c>
      <c r="H11" s="24">
        <f>G11</f>
        <v>2.8299999999999999E-2</v>
      </c>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v>0.48499999999999999</v>
      </c>
      <c r="E12" s="23">
        <v>9.5000000000000001E-2</v>
      </c>
      <c r="F12" s="26">
        <v>4.6100000000000002E-2</v>
      </c>
      <c r="G12" s="167">
        <f>'2019 GRC'!E13</f>
        <v>4.5600000000000002E-2</v>
      </c>
      <c r="H12" s="26">
        <f>G12</f>
        <v>4.5600000000000002E-2</v>
      </c>
      <c r="I12" s="170"/>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9">
        <f>F10+F11+F12</f>
        <v>7.5999999999999998E-2</v>
      </c>
      <c r="G13" s="168">
        <f>G10+G11+G12</f>
        <v>7.3899999999999993E-2</v>
      </c>
      <c r="H13" s="29">
        <f>H10+H11+H12</f>
        <v>7.3899999999999993E-2</v>
      </c>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1.65" customHeight="1" thickTop="1" x14ac:dyDescent="0.2">
      <c r="A14" s="12"/>
      <c r="B14" s="13"/>
      <c r="C14" s="13"/>
      <c r="D14" s="14"/>
      <c r="E14" s="14"/>
      <c r="F14" s="21"/>
      <c r="G14" s="165"/>
      <c r="H14" s="21"/>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v>0.21</v>
      </c>
      <c r="G15" s="166">
        <f>'2019 GRC'!I19</f>
        <v>0.21</v>
      </c>
      <c r="H15" s="24">
        <v>0.21</v>
      </c>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ht="15.75" thickBot="1" x14ac:dyDescent="0.25">
      <c r="A16" s="12" t="s">
        <v>12</v>
      </c>
      <c r="B16" s="13"/>
      <c r="C16" s="13"/>
      <c r="D16" s="14"/>
      <c r="E16" s="14"/>
      <c r="F16" s="24">
        <f>'2017 4.01 G'!F17</f>
        <v>4.5462000000000002E-2</v>
      </c>
      <c r="G16" s="169">
        <f>'2019 GRC'!J16</f>
        <v>4.5447000000000001E-2</v>
      </c>
      <c r="H16" s="24">
        <f>'2019 GRC'!$J$38</f>
        <v>4.7447000000000003E-2</v>
      </c>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v>2.4443933509191149E-2</v>
      </c>
      <c r="G17" s="23"/>
      <c r="H17" s="24">
        <v>2.4443933509191149E-2</v>
      </c>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ht="13.5" customHeight="1" x14ac:dyDescent="0.2">
      <c r="A18" s="12" t="s">
        <v>14</v>
      </c>
      <c r="B18" s="13"/>
      <c r="C18" s="13"/>
      <c r="D18" s="14"/>
      <c r="E18" s="14"/>
      <c r="F18" s="30">
        <v>2</v>
      </c>
      <c r="G18" s="159"/>
      <c r="H18" s="30">
        <v>2</v>
      </c>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ht="11.65" customHeight="1" x14ac:dyDescent="0.2">
      <c r="A19" s="12"/>
      <c r="B19" s="13"/>
      <c r="C19" s="13"/>
      <c r="D19" s="14"/>
      <c r="E19" s="14"/>
      <c r="F19" s="15"/>
      <c r="G19" s="11"/>
      <c r="H19" s="15"/>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ht="11.65" customHeight="1" x14ac:dyDescent="0.2">
      <c r="A20" s="12" t="s">
        <v>15</v>
      </c>
      <c r="B20" s="13"/>
      <c r="C20" s="13"/>
      <c r="D20" s="14"/>
      <c r="E20" s="14"/>
      <c r="F20" s="15"/>
      <c r="G20" s="11"/>
      <c r="H20" s="15"/>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1.65" customHeight="1" x14ac:dyDescent="0.2">
      <c r="A21" s="12" t="s">
        <v>16</v>
      </c>
      <c r="B21" s="13"/>
      <c r="C21" s="13"/>
      <c r="D21" s="14"/>
      <c r="E21" s="14"/>
      <c r="F21" s="15"/>
      <c r="G21" s="11"/>
      <c r="H21" s="15"/>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3.15" customHeight="1" thickBot="1" x14ac:dyDescent="0.25">
      <c r="A22" s="31" t="s">
        <v>17</v>
      </c>
      <c r="B22" s="32"/>
      <c r="C22" s="32"/>
      <c r="D22" s="32"/>
      <c r="E22" s="33"/>
      <c r="F22" s="57">
        <v>60639592.879999995</v>
      </c>
      <c r="G22" s="160"/>
      <c r="H22" s="57">
        <v>60639592.879999995</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9.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2019</v>
      </c>
      <c r="F26" s="82">
        <v>2020</v>
      </c>
      <c r="G26" s="82">
        <v>2021</v>
      </c>
      <c r="H26" s="82">
        <v>2022</v>
      </c>
      <c r="I26" s="82">
        <v>2023</v>
      </c>
      <c r="J26" s="82">
        <v>2024</v>
      </c>
      <c r="K26" s="82">
        <v>2025</v>
      </c>
      <c r="L26" s="82">
        <v>2026</v>
      </c>
      <c r="M26" s="82">
        <v>2027</v>
      </c>
      <c r="N26" s="82">
        <v>2028</v>
      </c>
      <c r="O26" s="82">
        <v>2029</v>
      </c>
      <c r="P26" s="82">
        <v>2030</v>
      </c>
      <c r="Q26" s="82">
        <v>2031</v>
      </c>
      <c r="R26" s="82">
        <v>2032</v>
      </c>
      <c r="S26" s="82">
        <v>2033</v>
      </c>
      <c r="T26" s="82">
        <v>2034</v>
      </c>
      <c r="U26" s="82">
        <v>2035</v>
      </c>
      <c r="V26" s="82">
        <v>2036</v>
      </c>
      <c r="W26" s="82">
        <v>2037</v>
      </c>
      <c r="X26" s="82">
        <v>2038</v>
      </c>
      <c r="Y26" s="82">
        <v>2039</v>
      </c>
      <c r="Z26" s="82">
        <v>2040</v>
      </c>
      <c r="AA26" s="82">
        <v>2041</v>
      </c>
      <c r="AB26" s="82">
        <v>2042</v>
      </c>
      <c r="AC26" s="82">
        <v>2043</v>
      </c>
      <c r="AD26" s="82">
        <v>2044</v>
      </c>
      <c r="AE26" s="82">
        <v>2045</v>
      </c>
      <c r="AF26" s="82">
        <v>2046</v>
      </c>
      <c r="AG26" s="82">
        <v>2047</v>
      </c>
      <c r="AH26" s="82">
        <v>2048</v>
      </c>
      <c r="AI26" s="82">
        <v>2049</v>
      </c>
      <c r="AJ26" s="82">
        <v>2050</v>
      </c>
      <c r="AK26" s="82">
        <v>2051</v>
      </c>
      <c r="AL26" s="82">
        <v>2052</v>
      </c>
      <c r="AM26" s="82">
        <v>2053</v>
      </c>
      <c r="AN26" s="82">
        <v>2054</v>
      </c>
      <c r="AO26" s="82">
        <v>2055</v>
      </c>
      <c r="AP26" s="82">
        <v>2056</v>
      </c>
      <c r="AQ26" s="82">
        <v>2057</v>
      </c>
      <c r="AR26" s="82">
        <v>2058</v>
      </c>
      <c r="AS26" s="82">
        <v>2059</v>
      </c>
    </row>
    <row r="27" spans="1:48" x14ac:dyDescent="0.2">
      <c r="A27" s="122">
        <v>1</v>
      </c>
      <c r="B27" s="2" t="s">
        <v>53</v>
      </c>
      <c r="C27" s="2"/>
      <c r="D27" s="112"/>
      <c r="E27" s="38">
        <f>$F22*$F17</f>
        <v>1482270.176383141</v>
      </c>
      <c r="F27" s="95">
        <f>$F22*$F17</f>
        <v>1482270.176383141</v>
      </c>
      <c r="G27" s="95">
        <f>$F22*$F17</f>
        <v>1482270.176383141</v>
      </c>
      <c r="H27" s="95">
        <f>$F22*$H17</f>
        <v>1482270.176383141</v>
      </c>
      <c r="I27" s="95">
        <f t="shared" ref="I27:AR27" si="0">$F22*$F17</f>
        <v>1482270.176383141</v>
      </c>
      <c r="J27" s="95">
        <f t="shared" si="0"/>
        <v>1482270.176383141</v>
      </c>
      <c r="K27" s="95">
        <f t="shared" si="0"/>
        <v>1482270.176383141</v>
      </c>
      <c r="L27" s="95">
        <f t="shared" si="0"/>
        <v>1482270.176383141</v>
      </c>
      <c r="M27" s="95">
        <f t="shared" si="0"/>
        <v>1482270.176383141</v>
      </c>
      <c r="N27" s="95">
        <f t="shared" si="0"/>
        <v>1482270.176383141</v>
      </c>
      <c r="O27" s="95">
        <f t="shared" si="0"/>
        <v>1482270.176383141</v>
      </c>
      <c r="P27" s="95">
        <f t="shared" si="0"/>
        <v>1482270.176383141</v>
      </c>
      <c r="Q27" s="95">
        <f t="shared" si="0"/>
        <v>1482270.176383141</v>
      </c>
      <c r="R27" s="95">
        <f t="shared" si="0"/>
        <v>1482270.176383141</v>
      </c>
      <c r="S27" s="95">
        <f t="shared" si="0"/>
        <v>1482270.176383141</v>
      </c>
      <c r="T27" s="95">
        <f t="shared" si="0"/>
        <v>1482270.176383141</v>
      </c>
      <c r="U27" s="95">
        <f t="shared" si="0"/>
        <v>1482270.176383141</v>
      </c>
      <c r="V27" s="95">
        <f t="shared" si="0"/>
        <v>1482270.176383141</v>
      </c>
      <c r="W27" s="95">
        <f t="shared" si="0"/>
        <v>1482270.176383141</v>
      </c>
      <c r="X27" s="95">
        <f t="shared" si="0"/>
        <v>1482270.176383141</v>
      </c>
      <c r="Y27" s="95">
        <f t="shared" si="0"/>
        <v>1482270.176383141</v>
      </c>
      <c r="Z27" s="95">
        <f t="shared" si="0"/>
        <v>1482270.176383141</v>
      </c>
      <c r="AA27" s="95">
        <f t="shared" si="0"/>
        <v>1482270.176383141</v>
      </c>
      <c r="AB27" s="95">
        <f t="shared" si="0"/>
        <v>1482270.176383141</v>
      </c>
      <c r="AC27" s="95">
        <f t="shared" si="0"/>
        <v>1482270.176383141</v>
      </c>
      <c r="AD27" s="95">
        <f t="shared" si="0"/>
        <v>1482270.176383141</v>
      </c>
      <c r="AE27" s="95">
        <f t="shared" si="0"/>
        <v>1482270.176383141</v>
      </c>
      <c r="AF27" s="95">
        <f t="shared" si="0"/>
        <v>1482270.176383141</v>
      </c>
      <c r="AG27" s="95">
        <f t="shared" si="0"/>
        <v>1482270.176383141</v>
      </c>
      <c r="AH27" s="95">
        <f t="shared" si="0"/>
        <v>1482270.176383141</v>
      </c>
      <c r="AI27" s="95">
        <f t="shared" si="0"/>
        <v>1482270.176383141</v>
      </c>
      <c r="AJ27" s="95">
        <f t="shared" si="0"/>
        <v>1482270.176383141</v>
      </c>
      <c r="AK27" s="95">
        <f t="shared" si="0"/>
        <v>1482270.176383141</v>
      </c>
      <c r="AL27" s="95">
        <f t="shared" si="0"/>
        <v>1482270.176383141</v>
      </c>
      <c r="AM27" s="95">
        <f t="shared" si="0"/>
        <v>1482270.176383141</v>
      </c>
      <c r="AN27" s="95">
        <f t="shared" si="0"/>
        <v>1482270.176383141</v>
      </c>
      <c r="AO27" s="95">
        <f t="shared" si="0"/>
        <v>1482270.176383141</v>
      </c>
      <c r="AP27" s="95">
        <f t="shared" si="0"/>
        <v>1482270.176383141</v>
      </c>
      <c r="AQ27" s="95">
        <f t="shared" si="0"/>
        <v>1482270.176383141</v>
      </c>
      <c r="AR27" s="95">
        <f t="shared" si="0"/>
        <v>1482270.176383141</v>
      </c>
      <c r="AS27" s="95">
        <f>$F22*$F17-133484.35</f>
        <v>1348785.8263831409</v>
      </c>
      <c r="AT27" s="95"/>
      <c r="AU27" s="97">
        <f>SUM(D27:AS27)</f>
        <v>60639592.881708734</v>
      </c>
      <c r="AV27" s="22">
        <f>F22</f>
        <v>60639592.879999995</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c r="AV28" s="97">
        <f>+AV27-AU27</f>
        <v>-1.7087385058403015E-3</v>
      </c>
    </row>
    <row r="29" spans="1:48" x14ac:dyDescent="0.2">
      <c r="A29" s="122">
        <f>A27+1</f>
        <v>2</v>
      </c>
      <c r="B29" s="2" t="s">
        <v>54</v>
      </c>
      <c r="C29" s="2"/>
      <c r="D29" s="112"/>
      <c r="E29" s="38">
        <f>E53</f>
        <v>733002.76971787796</v>
      </c>
      <c r="F29" s="95">
        <f t="shared" ref="F29:AT29" si="1">F53</f>
        <v>702392.57976173412</v>
      </c>
      <c r="G29" s="95">
        <f t="shared" si="1"/>
        <v>677473.48090067063</v>
      </c>
      <c r="H29" s="95">
        <f>H53</f>
        <v>653358.59365427354</v>
      </c>
      <c r="I29" s="95">
        <f t="shared" si="1"/>
        <v>629987.71792086912</v>
      </c>
      <c r="J29" s="95">
        <f t="shared" si="1"/>
        <v>607305.28437583544</v>
      </c>
      <c r="K29" s="95">
        <f t="shared" si="1"/>
        <v>585259.5826754272</v>
      </c>
      <c r="L29" s="95">
        <f t="shared" si="1"/>
        <v>563802.7614567756</v>
      </c>
      <c r="M29" s="95">
        <f t="shared" si="1"/>
        <v>542674.72540880332</v>
      </c>
      <c r="N29" s="95">
        <f t="shared" si="1"/>
        <v>521593.76892752462</v>
      </c>
      <c r="O29" s="95">
        <f t="shared" si="1"/>
        <v>500512.81244624581</v>
      </c>
      <c r="P29" s="95">
        <f t="shared" si="1"/>
        <v>479431.85596496699</v>
      </c>
      <c r="Q29" s="95">
        <f t="shared" si="1"/>
        <v>458350.89948368829</v>
      </c>
      <c r="R29" s="95">
        <f t="shared" si="1"/>
        <v>437269.94300240959</v>
      </c>
      <c r="S29" s="95">
        <f t="shared" si="1"/>
        <v>416188.98652113089</v>
      </c>
      <c r="T29" s="95">
        <f t="shared" si="1"/>
        <v>395108.03003985208</v>
      </c>
      <c r="U29" s="95">
        <f t="shared" si="1"/>
        <v>374027.07355857326</v>
      </c>
      <c r="V29" s="95">
        <f t="shared" si="1"/>
        <v>352946.11707729456</v>
      </c>
      <c r="W29" s="95">
        <f t="shared" si="1"/>
        <v>331865.16059601575</v>
      </c>
      <c r="X29" s="95">
        <f t="shared" si="1"/>
        <v>310784.20411473705</v>
      </c>
      <c r="Y29" s="95">
        <f t="shared" si="1"/>
        <v>291425.12490056054</v>
      </c>
      <c r="Z29" s="95">
        <f t="shared" si="1"/>
        <v>275509.02842441335</v>
      </c>
      <c r="AA29" s="95">
        <f t="shared" si="1"/>
        <v>261314.80921536835</v>
      </c>
      <c r="AB29" s="95">
        <f t="shared" si="1"/>
        <v>247120.59000632336</v>
      </c>
      <c r="AC29" s="95">
        <f t="shared" si="1"/>
        <v>232926.37079727848</v>
      </c>
      <c r="AD29" s="95">
        <f t="shared" si="1"/>
        <v>218732.15158823351</v>
      </c>
      <c r="AE29" s="95">
        <f t="shared" si="1"/>
        <v>204537.9323791886</v>
      </c>
      <c r="AF29" s="95">
        <f t="shared" si="1"/>
        <v>190343.71317014366</v>
      </c>
      <c r="AG29" s="95">
        <f t="shared" si="1"/>
        <v>176149.49396109875</v>
      </c>
      <c r="AH29" s="95">
        <f t="shared" si="1"/>
        <v>161955.27475205384</v>
      </c>
      <c r="AI29" s="95">
        <f t="shared" si="1"/>
        <v>147761.05554300893</v>
      </c>
      <c r="AJ29" s="95">
        <f t="shared" si="1"/>
        <v>133566.83633396399</v>
      </c>
      <c r="AK29" s="95">
        <f t="shared" si="1"/>
        <v>119372.61712491907</v>
      </c>
      <c r="AL29" s="95">
        <f t="shared" si="1"/>
        <v>105178.39791587417</v>
      </c>
      <c r="AM29" s="95">
        <f t="shared" si="1"/>
        <v>90984.178706829262</v>
      </c>
      <c r="AN29" s="95">
        <f t="shared" si="1"/>
        <v>76789.959497784337</v>
      </c>
      <c r="AO29" s="95">
        <f t="shared" si="1"/>
        <v>62595.74028873942</v>
      </c>
      <c r="AP29" s="95">
        <f t="shared" si="1"/>
        <v>48401.52107969451</v>
      </c>
      <c r="AQ29" s="95">
        <f t="shared" si="1"/>
        <v>34207.301870649593</v>
      </c>
      <c r="AR29" s="95">
        <f t="shared" si="1"/>
        <v>20013.082661604672</v>
      </c>
      <c r="AS29" s="95">
        <f t="shared" ref="AS29" si="2">AS53</f>
        <v>6457.9865203597192</v>
      </c>
      <c r="AT29" s="95">
        <f t="shared" si="1"/>
        <v>12915.973057082216</v>
      </c>
      <c r="AU29" s="97">
        <f>SUM(D29:AT29)</f>
        <v>13391595.487399878</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8" x14ac:dyDescent="0.2">
      <c r="A31" s="2"/>
      <c r="B31" s="2" t="s">
        <v>55</v>
      </c>
      <c r="C31" s="2"/>
      <c r="D31" s="112"/>
      <c r="E31" s="38"/>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8" x14ac:dyDescent="0.2">
      <c r="A32" s="122">
        <f>A29+1</f>
        <v>3</v>
      </c>
      <c r="B32" s="2"/>
      <c r="C32" s="2"/>
      <c r="D32" s="112"/>
      <c r="E32" s="38">
        <f>E49*$F10</f>
        <v>0</v>
      </c>
      <c r="F32" s="95">
        <f>F49*$G10</f>
        <v>0</v>
      </c>
      <c r="G32" s="95">
        <f t="shared" ref="G32:AT32" si="3">G49*$F10</f>
        <v>0</v>
      </c>
      <c r="H32" s="95">
        <f>H49*$F10</f>
        <v>0</v>
      </c>
      <c r="I32" s="95">
        <f>I49*$F10</f>
        <v>0</v>
      </c>
      <c r="J32" s="95">
        <f t="shared" si="3"/>
        <v>0</v>
      </c>
      <c r="K32" s="95">
        <f t="shared" si="3"/>
        <v>0</v>
      </c>
      <c r="L32" s="95">
        <f t="shared" si="3"/>
        <v>0</v>
      </c>
      <c r="M32" s="95">
        <f t="shared" si="3"/>
        <v>0</v>
      </c>
      <c r="N32" s="95">
        <f t="shared" si="3"/>
        <v>0</v>
      </c>
      <c r="O32" s="95">
        <f t="shared" si="3"/>
        <v>0</v>
      </c>
      <c r="P32" s="95">
        <f t="shared" si="3"/>
        <v>0</v>
      </c>
      <c r="Q32" s="95">
        <f t="shared" si="3"/>
        <v>0</v>
      </c>
      <c r="R32" s="95">
        <f t="shared" si="3"/>
        <v>0</v>
      </c>
      <c r="S32" s="95">
        <f t="shared" si="3"/>
        <v>0</v>
      </c>
      <c r="T32" s="95">
        <f t="shared" si="3"/>
        <v>0</v>
      </c>
      <c r="U32" s="95">
        <f t="shared" si="3"/>
        <v>0</v>
      </c>
      <c r="V32" s="95">
        <f t="shared" si="3"/>
        <v>0</v>
      </c>
      <c r="W32" s="95">
        <f t="shared" si="3"/>
        <v>0</v>
      </c>
      <c r="X32" s="95">
        <f t="shared" si="3"/>
        <v>0</v>
      </c>
      <c r="Y32" s="95">
        <f t="shared" si="3"/>
        <v>0</v>
      </c>
      <c r="Z32" s="95">
        <f t="shared" si="3"/>
        <v>0</v>
      </c>
      <c r="AA32" s="95">
        <f t="shared" si="3"/>
        <v>0</v>
      </c>
      <c r="AB32" s="95">
        <f t="shared" si="3"/>
        <v>0</v>
      </c>
      <c r="AC32" s="95">
        <f t="shared" si="3"/>
        <v>0</v>
      </c>
      <c r="AD32" s="95">
        <f t="shared" si="3"/>
        <v>0</v>
      </c>
      <c r="AE32" s="95">
        <f t="shared" si="3"/>
        <v>0</v>
      </c>
      <c r="AF32" s="95">
        <f t="shared" si="3"/>
        <v>0</v>
      </c>
      <c r="AG32" s="95">
        <f t="shared" si="3"/>
        <v>0</v>
      </c>
      <c r="AH32" s="95">
        <f t="shared" si="3"/>
        <v>0</v>
      </c>
      <c r="AI32" s="95">
        <f t="shared" si="3"/>
        <v>0</v>
      </c>
      <c r="AJ32" s="95">
        <f t="shared" si="3"/>
        <v>0</v>
      </c>
      <c r="AK32" s="95">
        <f t="shared" si="3"/>
        <v>0</v>
      </c>
      <c r="AL32" s="95">
        <f t="shared" si="3"/>
        <v>0</v>
      </c>
      <c r="AM32" s="95">
        <f t="shared" si="3"/>
        <v>0</v>
      </c>
      <c r="AN32" s="95">
        <f t="shared" si="3"/>
        <v>0</v>
      </c>
      <c r="AO32" s="95">
        <f t="shared" si="3"/>
        <v>0</v>
      </c>
      <c r="AP32" s="95">
        <f t="shared" si="3"/>
        <v>0</v>
      </c>
      <c r="AQ32" s="95">
        <f t="shared" si="3"/>
        <v>0</v>
      </c>
      <c r="AR32" s="95">
        <f t="shared" si="3"/>
        <v>0</v>
      </c>
      <c r="AS32" s="95">
        <f t="shared" ref="AS32" si="4">AS49*$F10</f>
        <v>0</v>
      </c>
      <c r="AT32" s="95">
        <f t="shared" si="3"/>
        <v>0</v>
      </c>
      <c r="AU32" s="97">
        <f t="shared" ref="AU32:AU42" si="5">SUM(D32:AT32)</f>
        <v>0</v>
      </c>
    </row>
    <row r="33" spans="1:47" x14ac:dyDescent="0.2">
      <c r="A33" s="122">
        <f>A32+1</f>
        <v>4</v>
      </c>
      <c r="B33" s="13"/>
      <c r="C33" s="13" t="s">
        <v>102</v>
      </c>
      <c r="D33" s="112"/>
      <c r="E33" s="38">
        <f>E49*$F11</f>
        <v>1788478.3001245733</v>
      </c>
      <c r="F33" s="95">
        <f>F49*$G11</f>
        <v>1639869.5599136476</v>
      </c>
      <c r="G33" s="95">
        <f>G49*$G11</f>
        <v>1581691.1667184934</v>
      </c>
      <c r="H33" s="95">
        <f>H49*$H11</f>
        <v>1525390.3590568707</v>
      </c>
      <c r="I33" s="95">
        <f t="shared" ref="I33:AT33" si="6">I49*$G11</f>
        <v>1470826.5882995897</v>
      </c>
      <c r="J33" s="95">
        <f t="shared" si="6"/>
        <v>1417870.1172504753</v>
      </c>
      <c r="K33" s="95">
        <f t="shared" si="6"/>
        <v>1366400.2182408653</v>
      </c>
      <c r="L33" s="95">
        <f t="shared" si="6"/>
        <v>1316305.1731296086</v>
      </c>
      <c r="M33" s="95">
        <f t="shared" si="6"/>
        <v>1266977.7397623868</v>
      </c>
      <c r="N33" s="95">
        <f t="shared" si="6"/>
        <v>1217760.2226308133</v>
      </c>
      <c r="O33" s="95">
        <f t="shared" si="6"/>
        <v>1168542.7054992395</v>
      </c>
      <c r="P33" s="95">
        <f t="shared" si="6"/>
        <v>1119325.1883676657</v>
      </c>
      <c r="Q33" s="95">
        <f t="shared" si="6"/>
        <v>1070107.6712360922</v>
      </c>
      <c r="R33" s="95">
        <f t="shared" si="6"/>
        <v>1020890.1541045187</v>
      </c>
      <c r="S33" s="95">
        <f t="shared" si="6"/>
        <v>971672.63697294518</v>
      </c>
      <c r="T33" s="95">
        <f t="shared" si="6"/>
        <v>922455.11984137143</v>
      </c>
      <c r="U33" s="95">
        <f t="shared" si="6"/>
        <v>873237.60270979768</v>
      </c>
      <c r="V33" s="95">
        <f t="shared" si="6"/>
        <v>824020.08557822416</v>
      </c>
      <c r="W33" s="95">
        <f t="shared" si="6"/>
        <v>774802.56844665052</v>
      </c>
      <c r="X33" s="95">
        <f t="shared" si="6"/>
        <v>725585.05131507688</v>
      </c>
      <c r="Y33" s="95">
        <f t="shared" si="6"/>
        <v>680387.58535942272</v>
      </c>
      <c r="Z33" s="95">
        <f t="shared" si="6"/>
        <v>643228.4198501053</v>
      </c>
      <c r="AA33" s="95">
        <f t="shared" si="6"/>
        <v>610089.30551670736</v>
      </c>
      <c r="AB33" s="95">
        <f t="shared" si="6"/>
        <v>576950.19118330954</v>
      </c>
      <c r="AC33" s="95">
        <f t="shared" si="6"/>
        <v>543811.07684991171</v>
      </c>
      <c r="AD33" s="95">
        <f t="shared" si="6"/>
        <v>510671.96251651383</v>
      </c>
      <c r="AE33" s="95">
        <f t="shared" si="6"/>
        <v>477532.84818311606</v>
      </c>
      <c r="AF33" s="95">
        <f t="shared" si="6"/>
        <v>444393.73384971829</v>
      </c>
      <c r="AG33" s="95">
        <f t="shared" si="6"/>
        <v>411254.61951632053</v>
      </c>
      <c r="AH33" s="95">
        <f t="shared" si="6"/>
        <v>378115.5051829227</v>
      </c>
      <c r="AI33" s="95">
        <f t="shared" si="6"/>
        <v>344976.39084952493</v>
      </c>
      <c r="AJ33" s="95">
        <f t="shared" si="6"/>
        <v>311837.27651612711</v>
      </c>
      <c r="AK33" s="95">
        <f t="shared" si="6"/>
        <v>278698.16218272928</v>
      </c>
      <c r="AL33" s="95">
        <f t="shared" si="6"/>
        <v>245559.04784933155</v>
      </c>
      <c r="AM33" s="95">
        <f t="shared" si="6"/>
        <v>212419.93351593375</v>
      </c>
      <c r="AN33" s="95">
        <f t="shared" si="6"/>
        <v>179280.81918253598</v>
      </c>
      <c r="AO33" s="95">
        <f t="shared" si="6"/>
        <v>146141.70484913819</v>
      </c>
      <c r="AP33" s="95">
        <f t="shared" si="6"/>
        <v>113002.5905157404</v>
      </c>
      <c r="AQ33" s="95">
        <f t="shared" si="6"/>
        <v>79863.476182342609</v>
      </c>
      <c r="AR33" s="95">
        <f t="shared" si="6"/>
        <v>46724.361848944827</v>
      </c>
      <c r="AS33" s="95">
        <f t="shared" si="6"/>
        <v>15077.402322021957</v>
      </c>
      <c r="AT33" s="95">
        <f t="shared" si="6"/>
        <v>30154.804682245936</v>
      </c>
      <c r="AU33" s="97">
        <f t="shared" si="5"/>
        <v>31342379.44770357</v>
      </c>
    </row>
    <row r="34" spans="1:47" x14ac:dyDescent="0.2">
      <c r="A34" s="122">
        <f>A33+1</f>
        <v>5</v>
      </c>
      <c r="B34" s="2"/>
      <c r="C34" s="2" t="s">
        <v>9</v>
      </c>
      <c r="D34" s="112"/>
      <c r="E34" s="40">
        <f>E49*$F12</f>
        <v>2757486.6098910649</v>
      </c>
      <c r="F34" s="93">
        <f>F49*$G12</f>
        <v>2642333.990532238</v>
      </c>
      <c r="G34" s="93">
        <f t="shared" ref="G34:AT34" si="7">G49*$G12</f>
        <v>2548590.713864428</v>
      </c>
      <c r="H34" s="93">
        <f>H49*$H12</f>
        <v>2457872.8046994102</v>
      </c>
      <c r="I34" s="93">
        <f t="shared" si="7"/>
        <v>2369953.7959880317</v>
      </c>
      <c r="J34" s="93">
        <f t="shared" si="7"/>
        <v>2284624.6412233813</v>
      </c>
      <c r="K34" s="93">
        <f t="shared" si="7"/>
        <v>2201690.8110170835</v>
      </c>
      <c r="L34" s="93">
        <f t="shared" si="7"/>
        <v>2120972.2930992986</v>
      </c>
      <c r="M34" s="93">
        <f t="shared" si="7"/>
        <v>2041490.6336807366</v>
      </c>
      <c r="N34" s="93">
        <f t="shared" si="7"/>
        <v>1962186.0831083071</v>
      </c>
      <c r="O34" s="93">
        <f t="shared" si="7"/>
        <v>1882881.5325358773</v>
      </c>
      <c r="P34" s="93">
        <f t="shared" si="7"/>
        <v>1803576.9819634475</v>
      </c>
      <c r="Q34" s="93">
        <f t="shared" si="7"/>
        <v>1724272.431391018</v>
      </c>
      <c r="R34" s="93">
        <f t="shared" si="7"/>
        <v>1644967.8808185887</v>
      </c>
      <c r="S34" s="93">
        <f t="shared" si="7"/>
        <v>1565663.3302461591</v>
      </c>
      <c r="T34" s="93">
        <f t="shared" si="7"/>
        <v>1486358.7796737293</v>
      </c>
      <c r="U34" s="93">
        <f t="shared" si="7"/>
        <v>1407054.2291012995</v>
      </c>
      <c r="V34" s="93">
        <f t="shared" si="7"/>
        <v>1327749.6785288702</v>
      </c>
      <c r="W34" s="93">
        <f t="shared" si="7"/>
        <v>1248445.1279564404</v>
      </c>
      <c r="X34" s="93">
        <f t="shared" si="7"/>
        <v>1169140.5773840109</v>
      </c>
      <c r="Y34" s="93">
        <f t="shared" si="7"/>
        <v>1096313.5651021088</v>
      </c>
      <c r="Z34" s="93">
        <f t="shared" si="7"/>
        <v>1036438.725977555</v>
      </c>
      <c r="AA34" s="93">
        <f t="shared" si="7"/>
        <v>983041.42514352861</v>
      </c>
      <c r="AB34" s="93">
        <f t="shared" si="7"/>
        <v>929644.12430950231</v>
      </c>
      <c r="AC34" s="93">
        <f t="shared" si="7"/>
        <v>876246.82347547624</v>
      </c>
      <c r="AD34" s="93">
        <f t="shared" si="7"/>
        <v>822849.52264144993</v>
      </c>
      <c r="AE34" s="93">
        <f t="shared" si="7"/>
        <v>769452.22180742386</v>
      </c>
      <c r="AF34" s="93">
        <f t="shared" si="7"/>
        <v>716054.92097339767</v>
      </c>
      <c r="AG34" s="93">
        <f t="shared" si="7"/>
        <v>662657.6201393716</v>
      </c>
      <c r="AH34" s="93">
        <f t="shared" si="7"/>
        <v>609260.31930534542</v>
      </c>
      <c r="AI34" s="93">
        <f t="shared" si="7"/>
        <v>555863.01847131934</v>
      </c>
      <c r="AJ34" s="93">
        <f t="shared" si="7"/>
        <v>502465.71763729322</v>
      </c>
      <c r="AK34" s="93">
        <f t="shared" si="7"/>
        <v>449068.41680326703</v>
      </c>
      <c r="AL34" s="93">
        <f t="shared" si="7"/>
        <v>395671.11596924096</v>
      </c>
      <c r="AM34" s="93">
        <f t="shared" si="7"/>
        <v>342273.81513521483</v>
      </c>
      <c r="AN34" s="93">
        <f t="shared" si="7"/>
        <v>288876.51430118876</v>
      </c>
      <c r="AO34" s="93">
        <f t="shared" si="7"/>
        <v>235479.2134671626</v>
      </c>
      <c r="AP34" s="93">
        <f t="shared" si="7"/>
        <v>182081.9126331365</v>
      </c>
      <c r="AQ34" s="93">
        <f t="shared" si="7"/>
        <v>128684.61179911037</v>
      </c>
      <c r="AR34" s="93">
        <f t="shared" si="7"/>
        <v>75287.310965084253</v>
      </c>
      <c r="AS34" s="93">
        <f t="shared" si="7"/>
        <v>24294.330243257995</v>
      </c>
      <c r="AT34" s="93">
        <f t="shared" si="7"/>
        <v>48588.660548071195</v>
      </c>
      <c r="AU34" s="97">
        <f t="shared" si="5"/>
        <v>50377906.833551936</v>
      </c>
    </row>
    <row r="35" spans="1:47" x14ac:dyDescent="0.2">
      <c r="A35" s="122">
        <f>A34+1</f>
        <v>6</v>
      </c>
      <c r="B35" s="2"/>
      <c r="C35" s="2" t="s">
        <v>58</v>
      </c>
      <c r="D35" s="112"/>
      <c r="E35" s="38">
        <f>E32+E33+E34</f>
        <v>4545964.910015638</v>
      </c>
      <c r="F35" s="95">
        <f>F32+F33+F34</f>
        <v>4282203.5504458854</v>
      </c>
      <c r="G35" s="95">
        <f>G32+G33+G34</f>
        <v>4130281.8805829212</v>
      </c>
      <c r="H35" s="95">
        <f t="shared" ref="H35:AT35" si="8">H32+H33+H34</f>
        <v>3983263.1637562811</v>
      </c>
      <c r="I35" s="95">
        <f t="shared" si="8"/>
        <v>3840780.3842876214</v>
      </c>
      <c r="J35" s="95">
        <f t="shared" si="8"/>
        <v>3702494.7584738564</v>
      </c>
      <c r="K35" s="95">
        <f t="shared" si="8"/>
        <v>3568091.0292579485</v>
      </c>
      <c r="L35" s="95">
        <f t="shared" si="8"/>
        <v>3437277.466228907</v>
      </c>
      <c r="M35" s="95">
        <f t="shared" si="8"/>
        <v>3308468.3734431234</v>
      </c>
      <c r="N35" s="95">
        <f t="shared" si="8"/>
        <v>3179946.3057391206</v>
      </c>
      <c r="O35" s="95">
        <f t="shared" si="8"/>
        <v>3051424.2380351168</v>
      </c>
      <c r="P35" s="95">
        <f t="shared" si="8"/>
        <v>2922902.170331113</v>
      </c>
      <c r="Q35" s="95">
        <f t="shared" si="8"/>
        <v>2794380.1026271102</v>
      </c>
      <c r="R35" s="95">
        <f t="shared" si="8"/>
        <v>2665858.0349231074</v>
      </c>
      <c r="S35" s="95">
        <f t="shared" si="8"/>
        <v>2537335.9672191041</v>
      </c>
      <c r="T35" s="95">
        <f t="shared" si="8"/>
        <v>2408813.8995151008</v>
      </c>
      <c r="U35" s="95">
        <f t="shared" si="8"/>
        <v>2280291.8318110975</v>
      </c>
      <c r="V35" s="95">
        <f t="shared" si="8"/>
        <v>2151769.7641070941</v>
      </c>
      <c r="W35" s="95">
        <f t="shared" si="8"/>
        <v>2023247.6964030908</v>
      </c>
      <c r="X35" s="95">
        <f t="shared" si="8"/>
        <v>1894725.6286990878</v>
      </c>
      <c r="Y35" s="95">
        <f t="shared" si="8"/>
        <v>1776701.1504615315</v>
      </c>
      <c r="Z35" s="95">
        <f t="shared" si="8"/>
        <v>1679667.1458276603</v>
      </c>
      <c r="AA35" s="95">
        <f t="shared" si="8"/>
        <v>1593130.730660236</v>
      </c>
      <c r="AB35" s="95">
        <f t="shared" si="8"/>
        <v>1506594.3154928118</v>
      </c>
      <c r="AC35" s="95">
        <f t="shared" si="8"/>
        <v>1420057.9003253879</v>
      </c>
      <c r="AD35" s="95">
        <f t="shared" si="8"/>
        <v>1333521.4851579638</v>
      </c>
      <c r="AE35" s="95">
        <f t="shared" si="8"/>
        <v>1246985.0699905399</v>
      </c>
      <c r="AF35" s="95">
        <f t="shared" si="8"/>
        <v>1160448.654823116</v>
      </c>
      <c r="AG35" s="95">
        <f t="shared" si="8"/>
        <v>1073912.2396556921</v>
      </c>
      <c r="AH35" s="95">
        <f t="shared" si="8"/>
        <v>987375.82448826812</v>
      </c>
      <c r="AI35" s="95">
        <f t="shared" si="8"/>
        <v>900839.40932084434</v>
      </c>
      <c r="AJ35" s="95">
        <f t="shared" si="8"/>
        <v>814302.99415342032</v>
      </c>
      <c r="AK35" s="95">
        <f t="shared" si="8"/>
        <v>727766.57898599631</v>
      </c>
      <c r="AL35" s="95">
        <f t="shared" si="8"/>
        <v>641230.16381857253</v>
      </c>
      <c r="AM35" s="95">
        <f t="shared" si="8"/>
        <v>554693.74865114852</v>
      </c>
      <c r="AN35" s="95">
        <f t="shared" si="8"/>
        <v>468157.33348372474</v>
      </c>
      <c r="AO35" s="95">
        <f t="shared" si="8"/>
        <v>381620.91831630078</v>
      </c>
      <c r="AP35" s="95">
        <f t="shared" si="8"/>
        <v>295084.50314887689</v>
      </c>
      <c r="AQ35" s="95">
        <f t="shared" si="8"/>
        <v>208548.08798145299</v>
      </c>
      <c r="AR35" s="95">
        <f t="shared" si="8"/>
        <v>122011.67281402908</v>
      </c>
      <c r="AS35" s="95">
        <f t="shared" ref="AS35" si="9">AS32+AS33+AS34</f>
        <v>39371.732565279948</v>
      </c>
      <c r="AT35" s="95">
        <f t="shared" si="8"/>
        <v>78743.465230317131</v>
      </c>
      <c r="AU35" s="97">
        <f t="shared" si="5"/>
        <v>81720286.281255499</v>
      </c>
    </row>
    <row r="36" spans="1:47"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7">
        <f t="shared" si="5"/>
        <v>0</v>
      </c>
    </row>
    <row r="37" spans="1:47" x14ac:dyDescent="0.2">
      <c r="A37" s="122">
        <f>A35+1</f>
        <v>7</v>
      </c>
      <c r="B37" s="2" t="s">
        <v>59</v>
      </c>
      <c r="C37" s="2"/>
      <c r="D37" s="112"/>
      <c r="E37" s="41">
        <f>E27+E29+E35</f>
        <v>6761237.8561166571</v>
      </c>
      <c r="F37" s="92">
        <f>F27+F29+F35</f>
        <v>6466866.3065907601</v>
      </c>
      <c r="G37" s="92">
        <f t="shared" ref="G37:AT37" si="10">G27+G29+G35</f>
        <v>6290025.537866733</v>
      </c>
      <c r="H37" s="92">
        <f>H27+H29+H35</f>
        <v>6118891.9337936956</v>
      </c>
      <c r="I37" s="92">
        <f t="shared" si="10"/>
        <v>5953038.278591631</v>
      </c>
      <c r="J37" s="92">
        <f t="shared" si="10"/>
        <v>5792070.219232833</v>
      </c>
      <c r="K37" s="92">
        <f t="shared" si="10"/>
        <v>5635620.7883165162</v>
      </c>
      <c r="L37" s="92">
        <f t="shared" si="10"/>
        <v>5483350.4040688239</v>
      </c>
      <c r="M37" s="92">
        <f t="shared" si="10"/>
        <v>5333413.2752350681</v>
      </c>
      <c r="N37" s="92">
        <f t="shared" si="10"/>
        <v>5183810.2510497859</v>
      </c>
      <c r="O37" s="92">
        <f t="shared" si="10"/>
        <v>5034207.2268645037</v>
      </c>
      <c r="P37" s="92">
        <f t="shared" si="10"/>
        <v>4884604.2026792206</v>
      </c>
      <c r="Q37" s="92">
        <f t="shared" si="10"/>
        <v>4735001.1784939393</v>
      </c>
      <c r="R37" s="92">
        <f t="shared" si="10"/>
        <v>4585398.1543086581</v>
      </c>
      <c r="S37" s="92">
        <f t="shared" si="10"/>
        <v>4435795.1301233759</v>
      </c>
      <c r="T37" s="92">
        <f t="shared" si="10"/>
        <v>4286192.1059380937</v>
      </c>
      <c r="U37" s="92">
        <f t="shared" si="10"/>
        <v>4136589.0817528116</v>
      </c>
      <c r="V37" s="92">
        <f t="shared" si="10"/>
        <v>3986986.0575675294</v>
      </c>
      <c r="W37" s="92">
        <f t="shared" si="10"/>
        <v>3837383.0333822477</v>
      </c>
      <c r="X37" s="92">
        <f t="shared" si="10"/>
        <v>3687780.009196966</v>
      </c>
      <c r="Y37" s="92">
        <f t="shared" si="10"/>
        <v>3550396.451745233</v>
      </c>
      <c r="Z37" s="92">
        <f t="shared" si="10"/>
        <v>3437446.3506352147</v>
      </c>
      <c r="AA37" s="92">
        <f t="shared" si="10"/>
        <v>3336715.7162587452</v>
      </c>
      <c r="AB37" s="92">
        <f t="shared" si="10"/>
        <v>3235985.0818822761</v>
      </c>
      <c r="AC37" s="92">
        <f t="shared" si="10"/>
        <v>3135254.4475058075</v>
      </c>
      <c r="AD37" s="92">
        <f t="shared" si="10"/>
        <v>3034523.8131293384</v>
      </c>
      <c r="AE37" s="92">
        <f t="shared" si="10"/>
        <v>2933793.1787528694</v>
      </c>
      <c r="AF37" s="92">
        <f t="shared" si="10"/>
        <v>2833062.5443764008</v>
      </c>
      <c r="AG37" s="92">
        <f t="shared" si="10"/>
        <v>2732331.9099999322</v>
      </c>
      <c r="AH37" s="92">
        <f t="shared" si="10"/>
        <v>2631601.2756234631</v>
      </c>
      <c r="AI37" s="92">
        <f t="shared" si="10"/>
        <v>2530870.641246994</v>
      </c>
      <c r="AJ37" s="92">
        <f t="shared" si="10"/>
        <v>2430140.0068705254</v>
      </c>
      <c r="AK37" s="92">
        <f t="shared" si="10"/>
        <v>2329409.3724940564</v>
      </c>
      <c r="AL37" s="92">
        <f t="shared" si="10"/>
        <v>2228678.7381175878</v>
      </c>
      <c r="AM37" s="92">
        <f t="shared" si="10"/>
        <v>2127948.1037411187</v>
      </c>
      <c r="AN37" s="92">
        <f t="shared" si="10"/>
        <v>2027217.4693646501</v>
      </c>
      <c r="AO37" s="92">
        <f t="shared" si="10"/>
        <v>1926486.834988181</v>
      </c>
      <c r="AP37" s="92">
        <f t="shared" si="10"/>
        <v>1825756.2006117124</v>
      </c>
      <c r="AQ37" s="92">
        <f t="shared" si="10"/>
        <v>1725025.5662352436</v>
      </c>
      <c r="AR37" s="92">
        <f t="shared" si="10"/>
        <v>1624294.9318587747</v>
      </c>
      <c r="AS37" s="92">
        <f t="shared" ref="AS37" si="11">AS27+AS29+AS35</f>
        <v>1394615.5454687807</v>
      </c>
      <c r="AT37" s="92">
        <f t="shared" si="10"/>
        <v>91659.438287399345</v>
      </c>
      <c r="AU37" s="97">
        <f t="shared" si="5"/>
        <v>155751474.65036416</v>
      </c>
    </row>
    <row r="38" spans="1:47" x14ac:dyDescent="0.2">
      <c r="A38" s="122">
        <f>A37+1</f>
        <v>8</v>
      </c>
      <c r="B38" s="2" t="s">
        <v>60</v>
      </c>
      <c r="C38" s="2"/>
      <c r="D38" s="112"/>
      <c r="E38" s="40">
        <f t="shared" ref="E38" si="12">E37/(1-$F16)-E37</f>
        <v>322019.02429738268</v>
      </c>
      <c r="F38" s="93">
        <f>F37/(1-$G16)-F37</f>
        <v>307892.46174453385</v>
      </c>
      <c r="G38" s="93">
        <f>G37/(1-$G16)-G37</f>
        <v>299472.93719618488</v>
      </c>
      <c r="H38" s="486">
        <f>H37/(1-$H16)-H37</f>
        <v>304784.15960341226</v>
      </c>
      <c r="I38" s="486">
        <f>I37/(1-$H16)-I37</f>
        <v>296522.93069712352</v>
      </c>
      <c r="J38" s="486">
        <f t="shared" ref="J38:AR38" si="13">J37/(1-$H16)-J37</f>
        <v>288505.05503834505</v>
      </c>
      <c r="K38" s="486">
        <f t="shared" si="13"/>
        <v>280712.25385175832</v>
      </c>
      <c r="L38" s="486">
        <f t="shared" si="13"/>
        <v>273127.61244975682</v>
      </c>
      <c r="M38" s="486">
        <f t="shared" si="13"/>
        <v>265659.19132066984</v>
      </c>
      <c r="N38" s="486">
        <f t="shared" si="13"/>
        <v>258207.41206164844</v>
      </c>
      <c r="O38" s="486">
        <f t="shared" si="13"/>
        <v>250755.63280262612</v>
      </c>
      <c r="P38" s="486">
        <f t="shared" si="13"/>
        <v>243303.85354360472</v>
      </c>
      <c r="Q38" s="486">
        <f t="shared" si="13"/>
        <v>235852.0742845824</v>
      </c>
      <c r="R38" s="486">
        <f t="shared" si="13"/>
        <v>228400.295025561</v>
      </c>
      <c r="S38" s="486">
        <f t="shared" si="13"/>
        <v>220948.51576653868</v>
      </c>
      <c r="T38" s="486">
        <f t="shared" si="13"/>
        <v>213496.73650751729</v>
      </c>
      <c r="U38" s="486">
        <f t="shared" si="13"/>
        <v>206044.95724849496</v>
      </c>
      <c r="V38" s="486">
        <f t="shared" si="13"/>
        <v>198593.1779894731</v>
      </c>
      <c r="W38" s="486">
        <f t="shared" si="13"/>
        <v>191141.39873045124</v>
      </c>
      <c r="X38" s="486">
        <f t="shared" si="13"/>
        <v>183689.61947142938</v>
      </c>
      <c r="Y38" s="486">
        <f t="shared" si="13"/>
        <v>176846.49614872457</v>
      </c>
      <c r="Z38" s="486">
        <f t="shared" si="13"/>
        <v>171220.41188111203</v>
      </c>
      <c r="AA38" s="486">
        <f t="shared" si="13"/>
        <v>166202.983549817</v>
      </c>
      <c r="AB38" s="486">
        <f t="shared" si="13"/>
        <v>161185.55521852151</v>
      </c>
      <c r="AC38" s="486">
        <f t="shared" si="13"/>
        <v>156168.12688722648</v>
      </c>
      <c r="AD38" s="486">
        <f t="shared" si="13"/>
        <v>151150.69855593098</v>
      </c>
      <c r="AE38" s="486">
        <f t="shared" si="13"/>
        <v>146133.27022463595</v>
      </c>
      <c r="AF38" s="486">
        <f t="shared" si="13"/>
        <v>141115.84189334046</v>
      </c>
      <c r="AG38" s="486">
        <f t="shared" si="13"/>
        <v>136098.41356204497</v>
      </c>
      <c r="AH38" s="486">
        <f t="shared" si="13"/>
        <v>131080.98523074994</v>
      </c>
      <c r="AI38" s="486">
        <f t="shared" si="13"/>
        <v>126063.55689945444</v>
      </c>
      <c r="AJ38" s="486">
        <f t="shared" si="13"/>
        <v>121046.12856815942</v>
      </c>
      <c r="AK38" s="486">
        <f t="shared" si="13"/>
        <v>116028.70023686392</v>
      </c>
      <c r="AL38" s="486">
        <f t="shared" si="13"/>
        <v>111011.27190556889</v>
      </c>
      <c r="AM38" s="486">
        <f t="shared" si="13"/>
        <v>105993.8435742734</v>
      </c>
      <c r="AN38" s="486">
        <f t="shared" si="13"/>
        <v>100976.41524297837</v>
      </c>
      <c r="AO38" s="486">
        <f t="shared" si="13"/>
        <v>95958.986911682878</v>
      </c>
      <c r="AP38" s="486">
        <f t="shared" si="13"/>
        <v>90941.558580387617</v>
      </c>
      <c r="AQ38" s="486">
        <f t="shared" si="13"/>
        <v>85924.130249092355</v>
      </c>
      <c r="AR38" s="486">
        <f t="shared" si="13"/>
        <v>80906.701917797094</v>
      </c>
      <c r="AS38" s="93">
        <f t="shared" ref="AS38:AT38" si="14">AS37/(1-$G16)-AS37</f>
        <v>66398.71510007279</v>
      </c>
      <c r="AT38" s="93">
        <f t="shared" si="14"/>
        <v>4363.9761143147043</v>
      </c>
      <c r="AU38" s="97">
        <f t="shared" si="5"/>
        <v>7711946.0680838441</v>
      </c>
    </row>
    <row r="39" spans="1:47" x14ac:dyDescent="0.2">
      <c r="A39" s="122">
        <f>A38+1</f>
        <v>9</v>
      </c>
      <c r="B39" s="2"/>
      <c r="C39" s="2" t="s">
        <v>61</v>
      </c>
      <c r="D39" s="112"/>
      <c r="E39" s="41">
        <f>SUM(E37:E38)</f>
        <v>7083256.8804140398</v>
      </c>
      <c r="F39" s="92">
        <f>SUM(F37:F38)</f>
        <v>6774758.768335294</v>
      </c>
      <c r="G39" s="92">
        <f t="shared" ref="G39:AT39" si="15">SUM(G37:G38)</f>
        <v>6589498.4750629179</v>
      </c>
      <c r="H39" s="92">
        <f t="shared" si="15"/>
        <v>6423676.0933971079</v>
      </c>
      <c r="I39" s="92">
        <f t="shared" si="15"/>
        <v>6249561.2092887545</v>
      </c>
      <c r="J39" s="92">
        <f t="shared" si="15"/>
        <v>6080575.2742711781</v>
      </c>
      <c r="K39" s="92">
        <f t="shared" si="15"/>
        <v>5916333.0421682745</v>
      </c>
      <c r="L39" s="92">
        <f t="shared" si="15"/>
        <v>5756478.0165185807</v>
      </c>
      <c r="M39" s="92">
        <f t="shared" si="15"/>
        <v>5599072.4665557379</v>
      </c>
      <c r="N39" s="92">
        <f t="shared" si="15"/>
        <v>5442017.6631114343</v>
      </c>
      <c r="O39" s="92">
        <f t="shared" si="15"/>
        <v>5284962.8596671298</v>
      </c>
      <c r="P39" s="92">
        <f t="shared" si="15"/>
        <v>5127908.0562228253</v>
      </c>
      <c r="Q39" s="92">
        <f t="shared" si="15"/>
        <v>4970853.2527785217</v>
      </c>
      <c r="R39" s="92">
        <f t="shared" si="15"/>
        <v>4813798.4493342191</v>
      </c>
      <c r="S39" s="92">
        <f t="shared" si="15"/>
        <v>4656743.6458899146</v>
      </c>
      <c r="T39" s="92">
        <f t="shared" si="15"/>
        <v>4499688.842445611</v>
      </c>
      <c r="U39" s="92">
        <f t="shared" si="15"/>
        <v>4342634.0390013065</v>
      </c>
      <c r="V39" s="92">
        <f t="shared" si="15"/>
        <v>4185579.2355570025</v>
      </c>
      <c r="W39" s="92">
        <f t="shared" si="15"/>
        <v>4028524.4321126989</v>
      </c>
      <c r="X39" s="92">
        <f t="shared" si="15"/>
        <v>3871469.6286683953</v>
      </c>
      <c r="Y39" s="92">
        <f t="shared" si="15"/>
        <v>3727242.9478939576</v>
      </c>
      <c r="Z39" s="92">
        <f t="shared" si="15"/>
        <v>3608666.7625163267</v>
      </c>
      <c r="AA39" s="92">
        <f t="shared" si="15"/>
        <v>3502918.6998085622</v>
      </c>
      <c r="AB39" s="92">
        <f t="shared" si="15"/>
        <v>3397170.6371007976</v>
      </c>
      <c r="AC39" s="92">
        <f t="shared" si="15"/>
        <v>3291422.574393034</v>
      </c>
      <c r="AD39" s="92">
        <f t="shared" si="15"/>
        <v>3185674.5116852694</v>
      </c>
      <c r="AE39" s="92">
        <f t="shared" si="15"/>
        <v>3079926.4489775053</v>
      </c>
      <c r="AF39" s="92">
        <f t="shared" si="15"/>
        <v>2974178.3862697412</v>
      </c>
      <c r="AG39" s="92">
        <f t="shared" si="15"/>
        <v>2868430.3235619771</v>
      </c>
      <c r="AH39" s="92">
        <f t="shared" si="15"/>
        <v>2762682.260854213</v>
      </c>
      <c r="AI39" s="92">
        <f t="shared" si="15"/>
        <v>2656934.1981464485</v>
      </c>
      <c r="AJ39" s="92">
        <f t="shared" si="15"/>
        <v>2551186.1354386848</v>
      </c>
      <c r="AK39" s="92">
        <f t="shared" si="15"/>
        <v>2445438.0727309203</v>
      </c>
      <c r="AL39" s="92">
        <f t="shared" si="15"/>
        <v>2339690.0100231566</v>
      </c>
      <c r="AM39" s="92">
        <f t="shared" si="15"/>
        <v>2233941.9473153921</v>
      </c>
      <c r="AN39" s="92">
        <f t="shared" si="15"/>
        <v>2128193.8846076285</v>
      </c>
      <c r="AO39" s="92">
        <f t="shared" si="15"/>
        <v>2022445.8218998639</v>
      </c>
      <c r="AP39" s="92">
        <f t="shared" si="15"/>
        <v>1916697.7591921</v>
      </c>
      <c r="AQ39" s="92">
        <f t="shared" si="15"/>
        <v>1810949.6964843359</v>
      </c>
      <c r="AR39" s="92">
        <f t="shared" si="15"/>
        <v>1705201.6337765718</v>
      </c>
      <c r="AS39" s="92">
        <f t="shared" ref="AS39" si="16">SUM(AS37:AS38)</f>
        <v>1461014.2605688535</v>
      </c>
      <c r="AT39" s="92">
        <f t="shared" si="15"/>
        <v>96023.41440171405</v>
      </c>
      <c r="AU39" s="97">
        <f t="shared" si="5"/>
        <v>163463420.71844798</v>
      </c>
    </row>
    <row r="40" spans="1:47" x14ac:dyDescent="0.2">
      <c r="A40" s="122">
        <f t="shared" ref="A40:A66" si="17">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7">
        <f t="shared" si="5"/>
        <v>0</v>
      </c>
    </row>
    <row r="41" spans="1:47" x14ac:dyDescent="0.2">
      <c r="A41" s="122">
        <f t="shared" si="17"/>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7">
        <f t="shared" si="5"/>
        <v>0</v>
      </c>
    </row>
    <row r="42" spans="1:47" x14ac:dyDescent="0.2">
      <c r="A42" s="122">
        <f t="shared" si="17"/>
        <v>12</v>
      </c>
      <c r="B42" s="2" t="s">
        <v>62</v>
      </c>
      <c r="C42" s="2"/>
      <c r="D42" s="112"/>
      <c r="E42" s="40">
        <f>E39</f>
        <v>7083256.8804140398</v>
      </c>
      <c r="F42" s="93">
        <f>F39</f>
        <v>6774758.768335294</v>
      </c>
      <c r="G42" s="93">
        <f t="shared" ref="G42:AT42" si="18">G39</f>
        <v>6589498.4750629179</v>
      </c>
      <c r="H42" s="93">
        <f t="shared" si="18"/>
        <v>6423676.0933971079</v>
      </c>
      <c r="I42" s="93">
        <f t="shared" si="18"/>
        <v>6249561.2092887545</v>
      </c>
      <c r="J42" s="93">
        <f t="shared" si="18"/>
        <v>6080575.2742711781</v>
      </c>
      <c r="K42" s="93">
        <f t="shared" si="18"/>
        <v>5916333.0421682745</v>
      </c>
      <c r="L42" s="93">
        <f t="shared" si="18"/>
        <v>5756478.0165185807</v>
      </c>
      <c r="M42" s="93">
        <f t="shared" si="18"/>
        <v>5599072.4665557379</v>
      </c>
      <c r="N42" s="93">
        <f t="shared" si="18"/>
        <v>5442017.6631114343</v>
      </c>
      <c r="O42" s="93">
        <f t="shared" si="18"/>
        <v>5284962.8596671298</v>
      </c>
      <c r="P42" s="93">
        <f t="shared" si="18"/>
        <v>5127908.0562228253</v>
      </c>
      <c r="Q42" s="93">
        <f t="shared" si="18"/>
        <v>4970853.2527785217</v>
      </c>
      <c r="R42" s="93">
        <f t="shared" si="18"/>
        <v>4813798.4493342191</v>
      </c>
      <c r="S42" s="93">
        <f t="shared" si="18"/>
        <v>4656743.6458899146</v>
      </c>
      <c r="T42" s="93">
        <f t="shared" si="18"/>
        <v>4499688.842445611</v>
      </c>
      <c r="U42" s="93">
        <f t="shared" si="18"/>
        <v>4342634.0390013065</v>
      </c>
      <c r="V42" s="93">
        <f t="shared" si="18"/>
        <v>4185579.2355570025</v>
      </c>
      <c r="W42" s="93">
        <f t="shared" si="18"/>
        <v>4028524.4321126989</v>
      </c>
      <c r="X42" s="93">
        <f t="shared" si="18"/>
        <v>3871469.6286683953</v>
      </c>
      <c r="Y42" s="93">
        <f t="shared" si="18"/>
        <v>3727242.9478939576</v>
      </c>
      <c r="Z42" s="93">
        <f t="shared" si="18"/>
        <v>3608666.7625163267</v>
      </c>
      <c r="AA42" s="93">
        <f t="shared" si="18"/>
        <v>3502918.6998085622</v>
      </c>
      <c r="AB42" s="93">
        <f t="shared" si="18"/>
        <v>3397170.6371007976</v>
      </c>
      <c r="AC42" s="93">
        <f t="shared" si="18"/>
        <v>3291422.574393034</v>
      </c>
      <c r="AD42" s="93">
        <f t="shared" si="18"/>
        <v>3185674.5116852694</v>
      </c>
      <c r="AE42" s="93">
        <f t="shared" si="18"/>
        <v>3079926.4489775053</v>
      </c>
      <c r="AF42" s="93">
        <f t="shared" si="18"/>
        <v>2974178.3862697412</v>
      </c>
      <c r="AG42" s="93">
        <f t="shared" si="18"/>
        <v>2868430.3235619771</v>
      </c>
      <c r="AH42" s="93">
        <f t="shared" si="18"/>
        <v>2762682.260854213</v>
      </c>
      <c r="AI42" s="93">
        <f t="shared" si="18"/>
        <v>2656934.1981464485</v>
      </c>
      <c r="AJ42" s="93">
        <f t="shared" si="18"/>
        <v>2551186.1354386848</v>
      </c>
      <c r="AK42" s="93">
        <f t="shared" si="18"/>
        <v>2445438.0727309203</v>
      </c>
      <c r="AL42" s="93">
        <f t="shared" si="18"/>
        <v>2339690.0100231566</v>
      </c>
      <c r="AM42" s="93">
        <f t="shared" si="18"/>
        <v>2233941.9473153921</v>
      </c>
      <c r="AN42" s="93">
        <f t="shared" si="18"/>
        <v>2128193.8846076285</v>
      </c>
      <c r="AO42" s="93">
        <f t="shared" si="18"/>
        <v>2022445.8218998639</v>
      </c>
      <c r="AP42" s="93">
        <f t="shared" si="18"/>
        <v>1916697.7591921</v>
      </c>
      <c r="AQ42" s="93">
        <f t="shared" si="18"/>
        <v>1810949.6964843359</v>
      </c>
      <c r="AR42" s="93">
        <f t="shared" si="18"/>
        <v>1705201.6337765718</v>
      </c>
      <c r="AS42" s="93">
        <f t="shared" ref="AS42" si="19">AS39</f>
        <v>1461014.2605688535</v>
      </c>
      <c r="AT42" s="93">
        <f t="shared" si="18"/>
        <v>96023.41440171405</v>
      </c>
      <c r="AU42" s="97">
        <f t="shared" si="5"/>
        <v>163463420.71844798</v>
      </c>
    </row>
    <row r="43" spans="1:47" x14ac:dyDescent="0.2">
      <c r="A43" s="122">
        <f t="shared" si="17"/>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2">
        <f t="shared" si="17"/>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2">
        <f t="shared" si="17"/>
        <v>15</v>
      </c>
      <c r="B45" s="2" t="s">
        <v>63</v>
      </c>
      <c r="C45" s="112"/>
      <c r="D45" s="112"/>
      <c r="E45" s="45">
        <f>+E42/$F$22</f>
        <v>0.11680911008804319</v>
      </c>
      <c r="F45" s="94">
        <f t="shared" ref="F45:AT45" si="20">+F42/$F$22</f>
        <v>0.11172170601049218</v>
      </c>
      <c r="G45" s="94">
        <f>+G42/$F$22</f>
        <v>0.10866660150741629</v>
      </c>
      <c r="H45" s="94">
        <f t="shared" si="20"/>
        <v>0.10593204519213963</v>
      </c>
      <c r="I45" s="94">
        <f t="shared" si="20"/>
        <v>0.10306073824829338</v>
      </c>
      <c r="J45" s="94">
        <f t="shared" si="20"/>
        <v>0.10027401216733199</v>
      </c>
      <c r="K45" s="94">
        <f t="shared" si="20"/>
        <v>9.7565513902379539E-2</v>
      </c>
      <c r="L45" s="94">
        <f t="shared" si="20"/>
        <v>9.4929364514535985E-2</v>
      </c>
      <c r="M45" s="94">
        <f t="shared" si="20"/>
        <v>9.2333609126231619E-2</v>
      </c>
      <c r="N45" s="94">
        <f t="shared" si="20"/>
        <v>8.9743637855232164E-2</v>
      </c>
      <c r="O45" s="94">
        <f t="shared" si="20"/>
        <v>8.7153666584232681E-2</v>
      </c>
      <c r="P45" s="94">
        <f t="shared" si="20"/>
        <v>8.4563695313233211E-2</v>
      </c>
      <c r="Q45" s="94">
        <f t="shared" si="20"/>
        <v>8.1973724042233742E-2</v>
      </c>
      <c r="R45" s="94">
        <f t="shared" si="20"/>
        <v>7.9383752771234301E-2</v>
      </c>
      <c r="S45" s="94">
        <f t="shared" si="20"/>
        <v>7.6793781500234817E-2</v>
      </c>
      <c r="T45" s="94">
        <f t="shared" si="20"/>
        <v>7.4203810229235348E-2</v>
      </c>
      <c r="U45" s="94">
        <f t="shared" si="20"/>
        <v>7.1613838958235879E-2</v>
      </c>
      <c r="V45" s="94">
        <f t="shared" si="20"/>
        <v>6.9023867687236409E-2</v>
      </c>
      <c r="W45" s="94">
        <f t="shared" si="20"/>
        <v>6.643389641623694E-2</v>
      </c>
      <c r="X45" s="94">
        <f t="shared" si="20"/>
        <v>6.3843925145237485E-2</v>
      </c>
      <c r="Y45" s="94">
        <f t="shared" si="20"/>
        <v>6.1465500853045273E-2</v>
      </c>
      <c r="Z45" s="94">
        <f t="shared" si="20"/>
        <v>5.9510075696872437E-2</v>
      </c>
      <c r="AA45" s="94">
        <f t="shared" si="20"/>
        <v>5.7766197519506873E-2</v>
      </c>
      <c r="AB45" s="94">
        <f t="shared" si="20"/>
        <v>5.6022319342141302E-2</v>
      </c>
      <c r="AC45" s="94">
        <f t="shared" si="20"/>
        <v>5.4278441164775745E-2</v>
      </c>
      <c r="AD45" s="94">
        <f t="shared" si="20"/>
        <v>5.2534562987410174E-2</v>
      </c>
      <c r="AE45" s="94">
        <f t="shared" si="20"/>
        <v>5.0790684810044617E-2</v>
      </c>
      <c r="AF45" s="94">
        <f t="shared" si="20"/>
        <v>4.9046806632679053E-2</v>
      </c>
      <c r="AG45" s="94">
        <f t="shared" si="20"/>
        <v>4.7302928455313489E-2</v>
      </c>
      <c r="AH45" s="94">
        <f t="shared" si="20"/>
        <v>4.5559050277947932E-2</v>
      </c>
      <c r="AI45" s="94">
        <f t="shared" si="20"/>
        <v>4.3815172100582361E-2</v>
      </c>
      <c r="AJ45" s="94">
        <f t="shared" si="20"/>
        <v>4.2071293923216804E-2</v>
      </c>
      <c r="AK45" s="94">
        <f t="shared" si="20"/>
        <v>4.0327415745851233E-2</v>
      </c>
      <c r="AL45" s="94">
        <f t="shared" si="20"/>
        <v>3.8583537568485683E-2</v>
      </c>
      <c r="AM45" s="94">
        <f t="shared" si="20"/>
        <v>3.6839659391120112E-2</v>
      </c>
      <c r="AN45" s="94">
        <f t="shared" si="20"/>
        <v>3.5095781213754555E-2</v>
      </c>
      <c r="AO45" s="94">
        <f t="shared" si="20"/>
        <v>3.3351903036388991E-2</v>
      </c>
      <c r="AP45" s="94">
        <f t="shared" si="20"/>
        <v>3.1608024859023427E-2</v>
      </c>
      <c r="AQ45" s="94">
        <f t="shared" si="20"/>
        <v>2.9864146681657867E-2</v>
      </c>
      <c r="AR45" s="94">
        <f t="shared" si="20"/>
        <v>2.8120268504292306E-2</v>
      </c>
      <c r="AS45" s="94">
        <f t="shared" ref="AS45" si="21">+AS42/$F$22</f>
        <v>2.4093404839641026E-2</v>
      </c>
      <c r="AT45" s="94">
        <f t="shared" si="20"/>
        <v>1.5835102091093403E-3</v>
      </c>
    </row>
    <row r="46" spans="1:47" outlineLevel="1" x14ac:dyDescent="0.2">
      <c r="A46" s="122">
        <f t="shared" si="17"/>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2">
        <f t="shared" si="17"/>
        <v>17</v>
      </c>
      <c r="B47" s="2"/>
      <c r="C47" s="2"/>
      <c r="D47" s="112"/>
      <c r="E47" s="43">
        <f>+E27/2</f>
        <v>741135.08819157048</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2">
        <f t="shared" si="17"/>
        <v>18</v>
      </c>
      <c r="B48" s="2"/>
      <c r="C48" s="2"/>
      <c r="D48" s="112"/>
      <c r="E48" s="43">
        <f>+E60/2</f>
        <v>83130.028444770142</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2">
        <f t="shared" si="17"/>
        <v>19</v>
      </c>
      <c r="B49" s="46" t="s">
        <v>64</v>
      </c>
      <c r="C49" s="2"/>
      <c r="D49" s="112"/>
      <c r="E49" s="41">
        <f>F22-E27/2-E60/2</f>
        <v>59815327.763363659</v>
      </c>
      <c r="F49" s="110">
        <f>$F$22-(SUM($E$27:E27)+F27/2)-(SUM($E$60:E60)+F60/2)</f>
        <v>57945920.845005214</v>
      </c>
      <c r="G49" s="110">
        <f>$F$22-(SUM($E$27:F27)+G27/2)-(SUM($E$60:F60)+G60/2)</f>
        <v>55890147.233869031</v>
      </c>
      <c r="H49" s="110">
        <f>$F$22-(SUM($E$27:G27)+H27/2)-(SUM($E$60:G60)+H60/2)</f>
        <v>53900719.401302852</v>
      </c>
      <c r="I49" s="110">
        <f>$F$22-(SUM($E$27:H27)+I27/2)-(SUM($E$60:H60)+I60/2)</f>
        <v>51972670.964649811</v>
      </c>
      <c r="J49" s="110">
        <f>$F$22-(SUM($E$27:I27)+J27/2)-(SUM($E$60:I60)+J60/2)</f>
        <v>50101417.570688181</v>
      </c>
      <c r="K49" s="110">
        <f>$F$22-(SUM($E$27:J27)+K27/2)-(SUM($E$60:J60)+K60/2)</f>
        <v>48282693.224058844</v>
      </c>
      <c r="L49" s="110">
        <f>$F$22-(SUM($E$27:K27)+L27/2)-(SUM($E$60:K60)+L60/2)</f>
        <v>46512550.287265323</v>
      </c>
      <c r="M49" s="110">
        <f>$F$22-(SUM($E$27:L27)+M27/2)-(SUM($E$60:L60)+M60/2)</f>
        <v>44769531.440367028</v>
      </c>
      <c r="N49" s="110">
        <f>$F$22-(SUM($E$27:M27)+N27/2)-(SUM($E$60:M60)+N60/2)</f>
        <v>43030396.559392698</v>
      </c>
      <c r="O49" s="110">
        <f>$F$22-(SUM($E$27:N27)+O27/2)-(SUM($E$60:N60)+O60/2)</f>
        <v>41291261.678418361</v>
      </c>
      <c r="P49" s="110">
        <f>$F$22-(SUM($E$27:O27)+P27/2)-(SUM($E$60:O60)+P60/2)</f>
        <v>39552126.797444023</v>
      </c>
      <c r="Q49" s="110">
        <f>$F$22-(SUM($E$27:P27)+Q27/2)-(SUM($E$60:P60)+Q60/2)</f>
        <v>37812991.916469693</v>
      </c>
      <c r="R49" s="110">
        <f>$F$22-(SUM($E$27:Q27)+R27/2)-(SUM($E$60:Q60)+R60/2)</f>
        <v>36073857.035495363</v>
      </c>
      <c r="S49" s="110">
        <f>$F$22-(SUM($E$27:R27)+S27/2)-(SUM($E$60:R60)+S60/2)</f>
        <v>34334722.154521033</v>
      </c>
      <c r="T49" s="110">
        <f>$F$22-(SUM($E$27:S27)+T27/2)-(SUM($E$60:S60)+T60/2)</f>
        <v>32595587.273546696</v>
      </c>
      <c r="U49" s="110">
        <f>$F$22-(SUM($E$27:T27)+U27/2)-(SUM($E$60:T60)+U60/2)</f>
        <v>30856452.392572358</v>
      </c>
      <c r="V49" s="110">
        <f>$F$22-(SUM($E$27:U27)+V27/2)-(SUM($E$60:U60)+V60/2)</f>
        <v>29117317.511598028</v>
      </c>
      <c r="W49" s="110">
        <f>$F$22-(SUM($E$27:V27)+W27/2)-(SUM($E$60:V60)+W60/2)</f>
        <v>27378182.630623695</v>
      </c>
      <c r="X49" s="110">
        <f>$F$22-(SUM($E$27:W27)+X27/2)-(SUM($E$60:W60)+X60/2)</f>
        <v>25639047.749649361</v>
      </c>
      <c r="Y49" s="110">
        <f>$F$22-(SUM($E$27:X27)+Y27/2)-(SUM($E$60:X60)+Y60/2)</f>
        <v>24041964.146976069</v>
      </c>
      <c r="Z49" s="110">
        <f>$F$22-(SUM($E$27:Y27)+Z27/2)-(SUM($E$60:Y60)+Z60/2)</f>
        <v>22728919.429332346</v>
      </c>
      <c r="AA49" s="110">
        <f>$F$22-(SUM($E$27:Z27)+AA27/2)-(SUM($E$60:Z60)+AA60/2)</f>
        <v>21557925.989989661</v>
      </c>
      <c r="AB49" s="110">
        <f>$F$22-(SUM($E$27:AA27)+AB27/2)-(SUM($E$60:AA60)+AB60/2)</f>
        <v>20386932.550646979</v>
      </c>
      <c r="AC49" s="110">
        <f>$F$22-(SUM($E$27:AB27)+AC27/2)-(SUM($E$60:AB60)+AC60/2)</f>
        <v>19215939.111304302</v>
      </c>
      <c r="AD49" s="110">
        <f>$F$22-(SUM($E$27:AC27)+AD27/2)-(SUM($E$60:AC60)+AD60/2)</f>
        <v>18044945.67196162</v>
      </c>
      <c r="AE49" s="110">
        <f>$F$22-(SUM($E$27:AD27)+AE27/2)-(SUM($E$60:AD60)+AE60/2)</f>
        <v>16873952.232618943</v>
      </c>
      <c r="AF49" s="110">
        <f>$F$22-(SUM($E$27:AE27)+AF27/2)-(SUM($E$60:AE60)+AF60/2)</f>
        <v>15702958.793276265</v>
      </c>
      <c r="AG49" s="110">
        <f>$F$22-(SUM($E$27:AF27)+AG27/2)-(SUM($E$60:AF60)+AG60/2)</f>
        <v>14531965.353933588</v>
      </c>
      <c r="AH49" s="110">
        <f>$F$22-(SUM($E$27:AG27)+AH27/2)-(SUM($E$60:AG60)+AH60/2)</f>
        <v>13360971.914590908</v>
      </c>
      <c r="AI49" s="110">
        <f>$F$22-(SUM($E$27:AH27)+AI27/2)-(SUM($E$60:AH60)+AI60/2)</f>
        <v>12189978.475248231</v>
      </c>
      <c r="AJ49" s="110">
        <f>$F$22-(SUM($E$27:AI27)+AJ27/2)-(SUM($E$60:AI60)+AJ60/2)</f>
        <v>11018985.035905553</v>
      </c>
      <c r="AK49" s="110">
        <f>$F$22-(SUM($E$27:AJ27)+AK27/2)-(SUM($E$60:AJ60)+AK60/2)</f>
        <v>9847991.5965628736</v>
      </c>
      <c r="AL49" s="110">
        <f>$F$22-(SUM($E$27:AK27)+AL27/2)-(SUM($E$60:AK60)+AL60/2)</f>
        <v>8676998.157220196</v>
      </c>
      <c r="AM49" s="110">
        <f>$F$22-(SUM($E$27:AL27)+AM27/2)-(SUM($E$60:AL60)+AM60/2)</f>
        <v>7506004.7178775184</v>
      </c>
      <c r="AN49" s="110">
        <f>$F$22-(SUM($E$27:AM27)+AN27/2)-(SUM($E$60:AM60)+AN60/2)</f>
        <v>6335011.2785348408</v>
      </c>
      <c r="AO49" s="110">
        <f>$F$22-(SUM($E$27:AN27)+AO27/2)-(SUM($E$60:AN60)+AO60/2)</f>
        <v>5164017.8391921623</v>
      </c>
      <c r="AP49" s="110">
        <f>$F$22-(SUM($E$27:AO27)+AP27/2)-(SUM($E$60:AO60)+AP60/2)</f>
        <v>3993024.3998494847</v>
      </c>
      <c r="AQ49" s="110">
        <f>$F$22-(SUM($E$27:AP27)+AQ27/2)-(SUM($E$60:AP60)+AQ60/2)</f>
        <v>2822030.9605068062</v>
      </c>
      <c r="AR49" s="110">
        <f>$F$22-(SUM($E$27:AQ27)+AR27/2)-(SUM($E$60:AQ60)+AR60/2)</f>
        <v>1651037.5211641283</v>
      </c>
      <c r="AS49" s="110">
        <f>$F$22-(SUM($E$27:AR27)+AS27/2)-(SUM($E$60:AR60)+AS60/2)</f>
        <v>532770.40007144725</v>
      </c>
      <c r="AT49" s="110">
        <f>$F$22-(SUM($E$27:AR27)+AT27/2)-(SUM($E$60:AR60)+AT60/2)</f>
        <v>1065540.8014927893</v>
      </c>
      <c r="AU49" s="97">
        <f t="shared" ref="AU49:AU60" si="22">SUM(D49:AT49)</f>
        <v>1104122788.8085582</v>
      </c>
    </row>
    <row r="50" spans="1:47" x14ac:dyDescent="0.2">
      <c r="A50" s="122">
        <f t="shared" si="17"/>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7">
        <f t="shared" si="22"/>
        <v>0</v>
      </c>
    </row>
    <row r="51" spans="1:47" x14ac:dyDescent="0.2">
      <c r="A51" s="122">
        <f t="shared" si="17"/>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7">
        <f t="shared" si="22"/>
        <v>0</v>
      </c>
    </row>
    <row r="52" spans="1:47" x14ac:dyDescent="0.2">
      <c r="A52" s="122">
        <f t="shared" si="17"/>
        <v>22</v>
      </c>
      <c r="B52" s="2" t="s">
        <v>65</v>
      </c>
      <c r="C52" s="2"/>
      <c r="D52" s="112"/>
      <c r="E52" s="38">
        <f>(E34)/(1-$F$15)</f>
        <v>3490489.3796089427</v>
      </c>
      <c r="F52" s="95">
        <f>(F34)/(1-$G$15)</f>
        <v>3344726.5702939723</v>
      </c>
      <c r="G52" s="95">
        <f t="shared" ref="G52:AT52" si="23">(G34)/(1-$G$15)</f>
        <v>3226064.1947650984</v>
      </c>
      <c r="H52" s="95">
        <f>(H34)/(1-$H$15)</f>
        <v>3111231.3983536838</v>
      </c>
      <c r="I52" s="95">
        <f t="shared" si="23"/>
        <v>2999941.5139089008</v>
      </c>
      <c r="J52" s="95">
        <f t="shared" si="23"/>
        <v>2891929.9255992165</v>
      </c>
      <c r="K52" s="95">
        <f t="shared" si="23"/>
        <v>2786950.3936925107</v>
      </c>
      <c r="L52" s="95">
        <f t="shared" si="23"/>
        <v>2684775.0545560741</v>
      </c>
      <c r="M52" s="95">
        <f t="shared" si="23"/>
        <v>2584165.3590895399</v>
      </c>
      <c r="N52" s="95">
        <f t="shared" si="23"/>
        <v>2483779.8520358317</v>
      </c>
      <c r="O52" s="95">
        <f t="shared" si="23"/>
        <v>2383394.344982123</v>
      </c>
      <c r="P52" s="95">
        <f t="shared" si="23"/>
        <v>2283008.8379284143</v>
      </c>
      <c r="Q52" s="95">
        <f t="shared" si="23"/>
        <v>2182623.3308747062</v>
      </c>
      <c r="R52" s="95">
        <f t="shared" si="23"/>
        <v>2082237.8238209982</v>
      </c>
      <c r="S52" s="95">
        <f t="shared" si="23"/>
        <v>1981852.31676729</v>
      </c>
      <c r="T52" s="95">
        <f t="shared" si="23"/>
        <v>1881466.8097135813</v>
      </c>
      <c r="U52" s="95">
        <f t="shared" si="23"/>
        <v>1781081.3026598727</v>
      </c>
      <c r="V52" s="95">
        <f t="shared" si="23"/>
        <v>1680695.7956061647</v>
      </c>
      <c r="W52" s="95">
        <f t="shared" si="23"/>
        <v>1580310.2885524561</v>
      </c>
      <c r="X52" s="95">
        <f t="shared" si="23"/>
        <v>1479924.7814987479</v>
      </c>
      <c r="Y52" s="95">
        <f t="shared" si="23"/>
        <v>1387738.6900026693</v>
      </c>
      <c r="Z52" s="95">
        <f t="shared" si="23"/>
        <v>1311947.7544019683</v>
      </c>
      <c r="AA52" s="95">
        <f t="shared" si="23"/>
        <v>1244356.234358897</v>
      </c>
      <c r="AB52" s="95">
        <f t="shared" si="23"/>
        <v>1176764.7143158256</v>
      </c>
      <c r="AC52" s="95">
        <f t="shared" si="23"/>
        <v>1109173.1942727547</v>
      </c>
      <c r="AD52" s="95">
        <f t="shared" si="23"/>
        <v>1041581.6742296835</v>
      </c>
      <c r="AE52" s="95">
        <f t="shared" si="23"/>
        <v>973990.15418661246</v>
      </c>
      <c r="AF52" s="95">
        <f t="shared" si="23"/>
        <v>906398.63414354133</v>
      </c>
      <c r="AG52" s="95">
        <f t="shared" si="23"/>
        <v>838807.11410047032</v>
      </c>
      <c r="AH52" s="95">
        <f t="shared" si="23"/>
        <v>771215.5940573992</v>
      </c>
      <c r="AI52" s="95">
        <f t="shared" si="23"/>
        <v>703624.0740143283</v>
      </c>
      <c r="AJ52" s="95">
        <f t="shared" si="23"/>
        <v>636032.55397125718</v>
      </c>
      <c r="AK52" s="95">
        <f t="shared" si="23"/>
        <v>568441.03392818605</v>
      </c>
      <c r="AL52" s="95">
        <f t="shared" si="23"/>
        <v>500849.5138851151</v>
      </c>
      <c r="AM52" s="95">
        <f t="shared" si="23"/>
        <v>433257.99384204409</v>
      </c>
      <c r="AN52" s="95">
        <f t="shared" si="23"/>
        <v>365666.47379897308</v>
      </c>
      <c r="AO52" s="95">
        <f t="shared" si="23"/>
        <v>298074.95375590201</v>
      </c>
      <c r="AP52" s="95">
        <f t="shared" si="23"/>
        <v>230483.433712831</v>
      </c>
      <c r="AQ52" s="95">
        <f t="shared" si="23"/>
        <v>162891.91366975996</v>
      </c>
      <c r="AR52" s="95">
        <f t="shared" si="23"/>
        <v>95300.393626688921</v>
      </c>
      <c r="AS52" s="95">
        <f t="shared" si="23"/>
        <v>30752.316763617713</v>
      </c>
      <c r="AT52" s="95">
        <f t="shared" si="23"/>
        <v>61504.633605153409</v>
      </c>
      <c r="AU52" s="97">
        <f t="shared" si="22"/>
        <v>63769502.320951805</v>
      </c>
    </row>
    <row r="53" spans="1:47" x14ac:dyDescent="0.2">
      <c r="A53" s="122">
        <f t="shared" si="17"/>
        <v>23</v>
      </c>
      <c r="B53" s="2" t="s">
        <v>66</v>
      </c>
      <c r="C53" s="2"/>
      <c r="D53" s="112"/>
      <c r="E53" s="40">
        <f t="shared" ref="E53" si="24">E52*$F15</f>
        <v>733002.76971787796</v>
      </c>
      <c r="F53" s="93">
        <f>F52*$G15</f>
        <v>702392.57976173412</v>
      </c>
      <c r="G53" s="93">
        <f t="shared" ref="G53:AT53" si="25">G52*$G15</f>
        <v>677473.48090067063</v>
      </c>
      <c r="H53" s="93">
        <f>H52*$H15</f>
        <v>653358.59365427354</v>
      </c>
      <c r="I53" s="93">
        <f t="shared" si="25"/>
        <v>629987.71792086912</v>
      </c>
      <c r="J53" s="93">
        <f t="shared" si="25"/>
        <v>607305.28437583544</v>
      </c>
      <c r="K53" s="93">
        <f t="shared" si="25"/>
        <v>585259.5826754272</v>
      </c>
      <c r="L53" s="93">
        <f t="shared" si="25"/>
        <v>563802.7614567756</v>
      </c>
      <c r="M53" s="93">
        <f t="shared" si="25"/>
        <v>542674.72540880332</v>
      </c>
      <c r="N53" s="93">
        <f t="shared" si="25"/>
        <v>521593.76892752462</v>
      </c>
      <c r="O53" s="93">
        <f t="shared" si="25"/>
        <v>500512.81244624581</v>
      </c>
      <c r="P53" s="93">
        <f t="shared" si="25"/>
        <v>479431.85596496699</v>
      </c>
      <c r="Q53" s="93">
        <f t="shared" si="25"/>
        <v>458350.89948368829</v>
      </c>
      <c r="R53" s="93">
        <f t="shared" si="25"/>
        <v>437269.94300240959</v>
      </c>
      <c r="S53" s="93">
        <f t="shared" si="25"/>
        <v>416188.98652113089</v>
      </c>
      <c r="T53" s="93">
        <f t="shared" si="25"/>
        <v>395108.03003985208</v>
      </c>
      <c r="U53" s="93">
        <f t="shared" si="25"/>
        <v>374027.07355857326</v>
      </c>
      <c r="V53" s="93">
        <f t="shared" si="25"/>
        <v>352946.11707729456</v>
      </c>
      <c r="W53" s="93">
        <f t="shared" si="25"/>
        <v>331865.16059601575</v>
      </c>
      <c r="X53" s="93">
        <f t="shared" si="25"/>
        <v>310784.20411473705</v>
      </c>
      <c r="Y53" s="93">
        <f t="shared" si="25"/>
        <v>291425.12490056054</v>
      </c>
      <c r="Z53" s="93">
        <f t="shared" si="25"/>
        <v>275509.02842441335</v>
      </c>
      <c r="AA53" s="93">
        <f t="shared" si="25"/>
        <v>261314.80921536835</v>
      </c>
      <c r="AB53" s="93">
        <f t="shared" si="25"/>
        <v>247120.59000632336</v>
      </c>
      <c r="AC53" s="93">
        <f t="shared" si="25"/>
        <v>232926.37079727848</v>
      </c>
      <c r="AD53" s="93">
        <f t="shared" si="25"/>
        <v>218732.15158823351</v>
      </c>
      <c r="AE53" s="93">
        <f t="shared" si="25"/>
        <v>204537.9323791886</v>
      </c>
      <c r="AF53" s="93">
        <f t="shared" si="25"/>
        <v>190343.71317014366</v>
      </c>
      <c r="AG53" s="93">
        <f t="shared" si="25"/>
        <v>176149.49396109875</v>
      </c>
      <c r="AH53" s="93">
        <f t="shared" si="25"/>
        <v>161955.27475205384</v>
      </c>
      <c r="AI53" s="93">
        <f t="shared" si="25"/>
        <v>147761.05554300893</v>
      </c>
      <c r="AJ53" s="93">
        <f t="shared" si="25"/>
        <v>133566.83633396399</v>
      </c>
      <c r="AK53" s="93">
        <f t="shared" si="25"/>
        <v>119372.61712491907</v>
      </c>
      <c r="AL53" s="93">
        <f t="shared" si="25"/>
        <v>105178.39791587417</v>
      </c>
      <c r="AM53" s="93">
        <f t="shared" si="25"/>
        <v>90984.178706829262</v>
      </c>
      <c r="AN53" s="93">
        <f t="shared" si="25"/>
        <v>76789.959497784337</v>
      </c>
      <c r="AO53" s="93">
        <f t="shared" si="25"/>
        <v>62595.74028873942</v>
      </c>
      <c r="AP53" s="93">
        <f t="shared" si="25"/>
        <v>48401.52107969451</v>
      </c>
      <c r="AQ53" s="93">
        <f t="shared" si="25"/>
        <v>34207.301870649593</v>
      </c>
      <c r="AR53" s="93">
        <f t="shared" si="25"/>
        <v>20013.082661604672</v>
      </c>
      <c r="AS53" s="93">
        <f t="shared" si="25"/>
        <v>6457.9865203597192</v>
      </c>
      <c r="AT53" s="93">
        <f t="shared" si="25"/>
        <v>12915.973057082216</v>
      </c>
      <c r="AU53" s="97">
        <f t="shared" si="22"/>
        <v>13391595.487399878</v>
      </c>
    </row>
    <row r="54" spans="1:47" x14ac:dyDescent="0.2">
      <c r="A54" s="122">
        <f t="shared" si="17"/>
        <v>24</v>
      </c>
      <c r="B54" s="2" t="s">
        <v>67</v>
      </c>
      <c r="C54" s="2"/>
      <c r="D54" s="112"/>
      <c r="E54" s="38">
        <f>E52-E53</f>
        <v>2757486.6098910645</v>
      </c>
      <c r="F54" s="95">
        <f t="shared" ref="F54:AT54" si="26">F52-F53</f>
        <v>2642333.990532238</v>
      </c>
      <c r="G54" s="95">
        <f t="shared" si="26"/>
        <v>2548590.713864428</v>
      </c>
      <c r="H54" s="95">
        <f t="shared" si="26"/>
        <v>2457872.8046994102</v>
      </c>
      <c r="I54" s="95">
        <f t="shared" si="26"/>
        <v>2369953.7959880317</v>
      </c>
      <c r="J54" s="95">
        <f t="shared" si="26"/>
        <v>2284624.6412233813</v>
      </c>
      <c r="K54" s="95">
        <f t="shared" si="26"/>
        <v>2201690.8110170835</v>
      </c>
      <c r="L54" s="95">
        <f t="shared" si="26"/>
        <v>2120972.2930992986</v>
      </c>
      <c r="M54" s="95">
        <f t="shared" si="26"/>
        <v>2041490.6336807366</v>
      </c>
      <c r="N54" s="95">
        <f t="shared" si="26"/>
        <v>1962186.0831083071</v>
      </c>
      <c r="O54" s="95">
        <f t="shared" si="26"/>
        <v>1882881.5325358771</v>
      </c>
      <c r="P54" s="95">
        <f t="shared" si="26"/>
        <v>1803576.9819634473</v>
      </c>
      <c r="Q54" s="95">
        <f t="shared" si="26"/>
        <v>1724272.431391018</v>
      </c>
      <c r="R54" s="95">
        <f t="shared" si="26"/>
        <v>1644967.8808185887</v>
      </c>
      <c r="S54" s="95">
        <f t="shared" si="26"/>
        <v>1565663.3302461591</v>
      </c>
      <c r="T54" s="95">
        <f t="shared" si="26"/>
        <v>1486358.7796737293</v>
      </c>
      <c r="U54" s="95">
        <f t="shared" si="26"/>
        <v>1407054.2291012993</v>
      </c>
      <c r="V54" s="95">
        <f t="shared" si="26"/>
        <v>1327749.6785288702</v>
      </c>
      <c r="W54" s="95">
        <f t="shared" si="26"/>
        <v>1248445.1279564402</v>
      </c>
      <c r="X54" s="95">
        <f t="shared" si="26"/>
        <v>1169140.5773840109</v>
      </c>
      <c r="Y54" s="95">
        <f t="shared" si="26"/>
        <v>1096313.5651021088</v>
      </c>
      <c r="Z54" s="95">
        <f t="shared" si="26"/>
        <v>1036438.7259775549</v>
      </c>
      <c r="AA54" s="95">
        <f t="shared" si="26"/>
        <v>983041.42514352861</v>
      </c>
      <c r="AB54" s="95">
        <f t="shared" si="26"/>
        <v>929644.12430950231</v>
      </c>
      <c r="AC54" s="95">
        <f t="shared" si="26"/>
        <v>876246.82347547624</v>
      </c>
      <c r="AD54" s="95">
        <f t="shared" si="26"/>
        <v>822849.52264144993</v>
      </c>
      <c r="AE54" s="95">
        <f t="shared" si="26"/>
        <v>769452.22180742386</v>
      </c>
      <c r="AF54" s="95">
        <f t="shared" si="26"/>
        <v>716054.92097339767</v>
      </c>
      <c r="AG54" s="95">
        <f t="shared" si="26"/>
        <v>662657.6201393716</v>
      </c>
      <c r="AH54" s="95">
        <f t="shared" si="26"/>
        <v>609260.31930534542</v>
      </c>
      <c r="AI54" s="95">
        <f t="shared" si="26"/>
        <v>555863.01847131934</v>
      </c>
      <c r="AJ54" s="95">
        <f t="shared" si="26"/>
        <v>502465.71763729316</v>
      </c>
      <c r="AK54" s="95">
        <f t="shared" si="26"/>
        <v>449068.41680326697</v>
      </c>
      <c r="AL54" s="95">
        <f t="shared" si="26"/>
        <v>395671.1159692409</v>
      </c>
      <c r="AM54" s="95">
        <f t="shared" si="26"/>
        <v>342273.81513521483</v>
      </c>
      <c r="AN54" s="95">
        <f t="shared" si="26"/>
        <v>288876.51430118876</v>
      </c>
      <c r="AO54" s="95">
        <f t="shared" si="26"/>
        <v>235479.2134671626</v>
      </c>
      <c r="AP54" s="95">
        <f t="shared" si="26"/>
        <v>182081.9126331365</v>
      </c>
      <c r="AQ54" s="95">
        <f t="shared" si="26"/>
        <v>128684.61179911037</v>
      </c>
      <c r="AR54" s="95">
        <f t="shared" si="26"/>
        <v>75287.310965084253</v>
      </c>
      <c r="AS54" s="95">
        <f t="shared" ref="AS54" si="27">AS52-AS53</f>
        <v>24294.330243257995</v>
      </c>
      <c r="AT54" s="95">
        <f t="shared" si="26"/>
        <v>48588.660548071195</v>
      </c>
      <c r="AU54" s="97">
        <f t="shared" si="22"/>
        <v>50377906.833551936</v>
      </c>
    </row>
    <row r="55" spans="1:47" x14ac:dyDescent="0.2">
      <c r="A55" s="122">
        <f t="shared" si="17"/>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97">
        <f t="shared" si="22"/>
        <v>0</v>
      </c>
    </row>
    <row r="56" spans="1:47" x14ac:dyDescent="0.2">
      <c r="A56" s="122">
        <f t="shared" si="17"/>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97">
        <f t="shared" si="22"/>
        <v>0</v>
      </c>
    </row>
    <row r="57" spans="1:47" x14ac:dyDescent="0.2">
      <c r="A57" s="122">
        <f t="shared" si="17"/>
        <v>27</v>
      </c>
      <c r="B57" s="2" t="s">
        <v>68</v>
      </c>
      <c r="C57" s="2"/>
      <c r="D57" s="112"/>
      <c r="E57" s="38">
        <f>E27</f>
        <v>1482270.176383141</v>
      </c>
      <c r="F57" s="95">
        <f>F27</f>
        <v>1482270.176383141</v>
      </c>
      <c r="G57" s="95">
        <f>G27</f>
        <v>1482270.176383141</v>
      </c>
      <c r="H57" s="95">
        <f t="shared" ref="H57:AT57" si="28">H27</f>
        <v>1482270.176383141</v>
      </c>
      <c r="I57" s="95">
        <f t="shared" si="28"/>
        <v>1482270.176383141</v>
      </c>
      <c r="J57" s="95">
        <f t="shared" si="28"/>
        <v>1482270.176383141</v>
      </c>
      <c r="K57" s="95">
        <f t="shared" si="28"/>
        <v>1482270.176383141</v>
      </c>
      <c r="L57" s="95">
        <f t="shared" si="28"/>
        <v>1482270.176383141</v>
      </c>
      <c r="M57" s="95">
        <f t="shared" si="28"/>
        <v>1482270.176383141</v>
      </c>
      <c r="N57" s="95">
        <f t="shared" si="28"/>
        <v>1482270.176383141</v>
      </c>
      <c r="O57" s="95">
        <f t="shared" si="28"/>
        <v>1482270.176383141</v>
      </c>
      <c r="P57" s="95">
        <f t="shared" si="28"/>
        <v>1482270.176383141</v>
      </c>
      <c r="Q57" s="95">
        <f t="shared" si="28"/>
        <v>1482270.176383141</v>
      </c>
      <c r="R57" s="95">
        <f t="shared" si="28"/>
        <v>1482270.176383141</v>
      </c>
      <c r="S57" s="95">
        <f t="shared" si="28"/>
        <v>1482270.176383141</v>
      </c>
      <c r="T57" s="95">
        <f t="shared" si="28"/>
        <v>1482270.176383141</v>
      </c>
      <c r="U57" s="95">
        <f t="shared" si="28"/>
        <v>1482270.176383141</v>
      </c>
      <c r="V57" s="95">
        <f t="shared" si="28"/>
        <v>1482270.176383141</v>
      </c>
      <c r="W57" s="95">
        <f t="shared" si="28"/>
        <v>1482270.176383141</v>
      </c>
      <c r="X57" s="95">
        <f t="shared" si="28"/>
        <v>1482270.176383141</v>
      </c>
      <c r="Y57" s="95">
        <f t="shared" si="28"/>
        <v>1482270.176383141</v>
      </c>
      <c r="Z57" s="95">
        <f t="shared" si="28"/>
        <v>1482270.176383141</v>
      </c>
      <c r="AA57" s="95">
        <f t="shared" si="28"/>
        <v>1482270.176383141</v>
      </c>
      <c r="AB57" s="95">
        <f t="shared" si="28"/>
        <v>1482270.176383141</v>
      </c>
      <c r="AC57" s="95">
        <f t="shared" si="28"/>
        <v>1482270.176383141</v>
      </c>
      <c r="AD57" s="95">
        <f t="shared" si="28"/>
        <v>1482270.176383141</v>
      </c>
      <c r="AE57" s="95">
        <f t="shared" si="28"/>
        <v>1482270.176383141</v>
      </c>
      <c r="AF57" s="95">
        <f t="shared" si="28"/>
        <v>1482270.176383141</v>
      </c>
      <c r="AG57" s="95">
        <f t="shared" si="28"/>
        <v>1482270.176383141</v>
      </c>
      <c r="AH57" s="95">
        <f t="shared" si="28"/>
        <v>1482270.176383141</v>
      </c>
      <c r="AI57" s="95">
        <f t="shared" si="28"/>
        <v>1482270.176383141</v>
      </c>
      <c r="AJ57" s="95">
        <f t="shared" si="28"/>
        <v>1482270.176383141</v>
      </c>
      <c r="AK57" s="95">
        <f t="shared" si="28"/>
        <v>1482270.176383141</v>
      </c>
      <c r="AL57" s="95">
        <f t="shared" si="28"/>
        <v>1482270.176383141</v>
      </c>
      <c r="AM57" s="95">
        <f t="shared" si="28"/>
        <v>1482270.176383141</v>
      </c>
      <c r="AN57" s="95">
        <f t="shared" si="28"/>
        <v>1482270.176383141</v>
      </c>
      <c r="AO57" s="95">
        <f t="shared" si="28"/>
        <v>1482270.176383141</v>
      </c>
      <c r="AP57" s="95">
        <f t="shared" si="28"/>
        <v>1482270.176383141</v>
      </c>
      <c r="AQ57" s="95">
        <f t="shared" si="28"/>
        <v>1482270.176383141</v>
      </c>
      <c r="AR57" s="95">
        <f t="shared" si="28"/>
        <v>1482270.176383141</v>
      </c>
      <c r="AS57" s="95">
        <f t="shared" ref="AS57" si="29">AS27</f>
        <v>1348785.8263831409</v>
      </c>
      <c r="AT57" s="95">
        <f t="shared" si="28"/>
        <v>0</v>
      </c>
      <c r="AU57" s="97">
        <f t="shared" si="22"/>
        <v>60639592.881708734</v>
      </c>
    </row>
    <row r="58" spans="1:47" x14ac:dyDescent="0.2">
      <c r="A58" s="122">
        <f t="shared" si="17"/>
        <v>28</v>
      </c>
      <c r="B58" s="2" t="s">
        <v>69</v>
      </c>
      <c r="C58" s="2"/>
      <c r="D58" s="112"/>
      <c r="E58" s="38">
        <f>$F22*E62</f>
        <v>2273984.7329999995</v>
      </c>
      <c r="F58" s="95">
        <f t="shared" ref="F58:AT58" si="30">$F22*F62</f>
        <v>4377572.2100072</v>
      </c>
      <c r="G58" s="95">
        <f t="shared" si="30"/>
        <v>4048905.6165975993</v>
      </c>
      <c r="H58" s="95">
        <f t="shared" si="30"/>
        <v>3745707.6521975994</v>
      </c>
      <c r="I58" s="95">
        <f t="shared" si="30"/>
        <v>3464339.9412343996</v>
      </c>
      <c r="J58" s="95">
        <f t="shared" si="30"/>
        <v>3204802.4837079998</v>
      </c>
      <c r="K58" s="95">
        <f t="shared" si="30"/>
        <v>2964063.2999743996</v>
      </c>
      <c r="L58" s="95">
        <f t="shared" si="30"/>
        <v>2742122.3900335999</v>
      </c>
      <c r="M58" s="95">
        <f t="shared" si="30"/>
        <v>2705738.6343055996</v>
      </c>
      <c r="N58" s="95">
        <f t="shared" si="30"/>
        <v>2705132.2383768</v>
      </c>
      <c r="O58" s="95">
        <f t="shared" si="30"/>
        <v>2705738.6343055996</v>
      </c>
      <c r="P58" s="95">
        <f t="shared" si="30"/>
        <v>2705132.2383768</v>
      </c>
      <c r="Q58" s="95">
        <f t="shared" si="30"/>
        <v>2705738.6343055996</v>
      </c>
      <c r="R58" s="95">
        <f t="shared" si="30"/>
        <v>2705132.2383768</v>
      </c>
      <c r="S58" s="95">
        <f t="shared" si="30"/>
        <v>2705738.6343055996</v>
      </c>
      <c r="T58" s="95">
        <f t="shared" si="30"/>
        <v>2705132.2383768</v>
      </c>
      <c r="U58" s="95">
        <f t="shared" si="30"/>
        <v>2705738.6343055996</v>
      </c>
      <c r="V58" s="95">
        <f t="shared" si="30"/>
        <v>2705132.2383768</v>
      </c>
      <c r="W58" s="95">
        <f t="shared" si="30"/>
        <v>2705738.6343055996</v>
      </c>
      <c r="X58" s="95">
        <f t="shared" si="30"/>
        <v>2705132.2383768</v>
      </c>
      <c r="Y58" s="95">
        <f t="shared" si="30"/>
        <v>1352869.3171527998</v>
      </c>
      <c r="Z58" s="95">
        <f t="shared" si="30"/>
        <v>0</v>
      </c>
      <c r="AA58" s="95">
        <f t="shared" si="30"/>
        <v>0</v>
      </c>
      <c r="AB58" s="95">
        <f t="shared" si="30"/>
        <v>0</v>
      </c>
      <c r="AC58" s="95">
        <f t="shared" si="30"/>
        <v>0</v>
      </c>
      <c r="AD58" s="95">
        <f t="shared" si="30"/>
        <v>0</v>
      </c>
      <c r="AE58" s="95">
        <f t="shared" si="30"/>
        <v>0</v>
      </c>
      <c r="AF58" s="95">
        <f t="shared" si="30"/>
        <v>0</v>
      </c>
      <c r="AG58" s="95">
        <f t="shared" si="30"/>
        <v>0</v>
      </c>
      <c r="AH58" s="95">
        <f t="shared" si="30"/>
        <v>0</v>
      </c>
      <c r="AI58" s="95">
        <f t="shared" si="30"/>
        <v>0</v>
      </c>
      <c r="AJ58" s="95">
        <f t="shared" si="30"/>
        <v>0</v>
      </c>
      <c r="AK58" s="95">
        <f t="shared" si="30"/>
        <v>0</v>
      </c>
      <c r="AL58" s="95">
        <f t="shared" si="30"/>
        <v>0</v>
      </c>
      <c r="AM58" s="95">
        <f t="shared" si="30"/>
        <v>0</v>
      </c>
      <c r="AN58" s="95">
        <f t="shared" si="30"/>
        <v>0</v>
      </c>
      <c r="AO58" s="95">
        <f t="shared" si="30"/>
        <v>0</v>
      </c>
      <c r="AP58" s="95">
        <f t="shared" si="30"/>
        <v>0</v>
      </c>
      <c r="AQ58" s="95">
        <f t="shared" si="30"/>
        <v>0</v>
      </c>
      <c r="AR58" s="95">
        <f t="shared" si="30"/>
        <v>0</v>
      </c>
      <c r="AS58" s="95">
        <f t="shared" ref="AS58" si="31">$F22*AS62</f>
        <v>0</v>
      </c>
      <c r="AT58" s="95">
        <f t="shared" si="30"/>
        <v>0</v>
      </c>
      <c r="AU58" s="97">
        <f t="shared" si="22"/>
        <v>60639592.879999965</v>
      </c>
    </row>
    <row r="59" spans="1:47" x14ac:dyDescent="0.2">
      <c r="A59" s="122">
        <f t="shared" si="17"/>
        <v>29</v>
      </c>
      <c r="B59" s="2" t="s">
        <v>70</v>
      </c>
      <c r="C59" s="2"/>
      <c r="D59" s="112"/>
      <c r="E59" s="38">
        <f>E58-E57</f>
        <v>791714.55661685858</v>
      </c>
      <c r="F59" s="95">
        <f>F58-F57</f>
        <v>2895302.0336240591</v>
      </c>
      <c r="G59" s="95">
        <f>G58-G57</f>
        <v>2566635.4402144584</v>
      </c>
      <c r="H59" s="95">
        <f t="shared" ref="H59:AT59" si="32">H58-H57</f>
        <v>2263437.4758144584</v>
      </c>
      <c r="I59" s="95">
        <f t="shared" si="32"/>
        <v>1982069.7648512586</v>
      </c>
      <c r="J59" s="95">
        <f t="shared" si="32"/>
        <v>1722532.3073248588</v>
      </c>
      <c r="K59" s="95">
        <f t="shared" si="32"/>
        <v>1481793.1235912587</v>
      </c>
      <c r="L59" s="95">
        <f t="shared" si="32"/>
        <v>1259852.213650459</v>
      </c>
      <c r="M59" s="95">
        <f t="shared" si="32"/>
        <v>1223468.4579224586</v>
      </c>
      <c r="N59" s="95">
        <f t="shared" si="32"/>
        <v>1222862.061993659</v>
      </c>
      <c r="O59" s="95">
        <f t="shared" si="32"/>
        <v>1223468.4579224586</v>
      </c>
      <c r="P59" s="95">
        <f t="shared" si="32"/>
        <v>1222862.061993659</v>
      </c>
      <c r="Q59" s="95">
        <f t="shared" si="32"/>
        <v>1223468.4579224586</v>
      </c>
      <c r="R59" s="95">
        <f t="shared" si="32"/>
        <v>1222862.061993659</v>
      </c>
      <c r="S59" s="95">
        <f t="shared" si="32"/>
        <v>1223468.4579224586</v>
      </c>
      <c r="T59" s="95">
        <f t="shared" si="32"/>
        <v>1222862.061993659</v>
      </c>
      <c r="U59" s="95">
        <f t="shared" si="32"/>
        <v>1223468.4579224586</v>
      </c>
      <c r="V59" s="95">
        <f t="shared" si="32"/>
        <v>1222862.061993659</v>
      </c>
      <c r="W59" s="95">
        <f t="shared" si="32"/>
        <v>1223468.4579224586</v>
      </c>
      <c r="X59" s="95">
        <f t="shared" si="32"/>
        <v>1222862.061993659</v>
      </c>
      <c r="Y59" s="95">
        <f t="shared" si="32"/>
        <v>-129400.85923034116</v>
      </c>
      <c r="Z59" s="95">
        <f t="shared" si="32"/>
        <v>-1482270.176383141</v>
      </c>
      <c r="AA59" s="95">
        <f t="shared" si="32"/>
        <v>-1482270.176383141</v>
      </c>
      <c r="AB59" s="95">
        <f t="shared" si="32"/>
        <v>-1482270.176383141</v>
      </c>
      <c r="AC59" s="95">
        <f t="shared" si="32"/>
        <v>-1482270.176383141</v>
      </c>
      <c r="AD59" s="95">
        <f t="shared" si="32"/>
        <v>-1482270.176383141</v>
      </c>
      <c r="AE59" s="95">
        <f t="shared" si="32"/>
        <v>-1482270.176383141</v>
      </c>
      <c r="AF59" s="95">
        <f t="shared" si="32"/>
        <v>-1482270.176383141</v>
      </c>
      <c r="AG59" s="95">
        <f t="shared" si="32"/>
        <v>-1482270.176383141</v>
      </c>
      <c r="AH59" s="95">
        <f t="shared" si="32"/>
        <v>-1482270.176383141</v>
      </c>
      <c r="AI59" s="95">
        <f t="shared" si="32"/>
        <v>-1482270.176383141</v>
      </c>
      <c r="AJ59" s="95">
        <f t="shared" si="32"/>
        <v>-1482270.176383141</v>
      </c>
      <c r="AK59" s="95">
        <f t="shared" si="32"/>
        <v>-1482270.176383141</v>
      </c>
      <c r="AL59" s="95">
        <f t="shared" si="32"/>
        <v>-1482270.176383141</v>
      </c>
      <c r="AM59" s="95">
        <f t="shared" si="32"/>
        <v>-1482270.176383141</v>
      </c>
      <c r="AN59" s="95">
        <f t="shared" si="32"/>
        <v>-1482270.176383141</v>
      </c>
      <c r="AO59" s="95">
        <f t="shared" si="32"/>
        <v>-1482270.176383141</v>
      </c>
      <c r="AP59" s="95">
        <f t="shared" si="32"/>
        <v>-1482270.176383141</v>
      </c>
      <c r="AQ59" s="95">
        <f t="shared" si="32"/>
        <v>-1482270.176383141</v>
      </c>
      <c r="AR59" s="95">
        <f t="shared" si="32"/>
        <v>-1482270.176383141</v>
      </c>
      <c r="AS59" s="95">
        <f t="shared" ref="AS59" si="33">AS58-AS57</f>
        <v>-1348785.8263831409</v>
      </c>
      <c r="AT59" s="95">
        <f t="shared" si="32"/>
        <v>0</v>
      </c>
      <c r="AU59" s="97">
        <f t="shared" si="22"/>
        <v>-1.70879065990448E-3</v>
      </c>
    </row>
    <row r="60" spans="1:47" x14ac:dyDescent="0.2">
      <c r="A60" s="122">
        <f t="shared" si="17"/>
        <v>30</v>
      </c>
      <c r="B60" s="2" t="s">
        <v>71</v>
      </c>
      <c r="C60" s="2"/>
      <c r="D60" s="112"/>
      <c r="E60" s="38">
        <f>E59*$F$15</f>
        <v>166260.05688954028</v>
      </c>
      <c r="F60" s="95">
        <f>F59*$G$15</f>
        <v>608013.42706105241</v>
      </c>
      <c r="G60" s="95">
        <f t="shared" ref="G60:AT60" si="34">G59*$G$15</f>
        <v>538993.44244503626</v>
      </c>
      <c r="H60" s="95">
        <f t="shared" si="34"/>
        <v>475321.86992103624</v>
      </c>
      <c r="I60" s="95">
        <f t="shared" si="34"/>
        <v>416234.65061876428</v>
      </c>
      <c r="J60" s="95">
        <f t="shared" si="34"/>
        <v>361731.78453822032</v>
      </c>
      <c r="K60" s="95">
        <f t="shared" si="34"/>
        <v>311176.5559541643</v>
      </c>
      <c r="L60" s="95">
        <f t="shared" si="34"/>
        <v>264568.96486659639</v>
      </c>
      <c r="M60" s="95">
        <f t="shared" si="34"/>
        <v>256928.37616371631</v>
      </c>
      <c r="N60" s="95">
        <f t="shared" si="34"/>
        <v>256801.03301866839</v>
      </c>
      <c r="O60" s="95">
        <f t="shared" si="34"/>
        <v>256928.37616371631</v>
      </c>
      <c r="P60" s="95">
        <f t="shared" si="34"/>
        <v>256801.03301866839</v>
      </c>
      <c r="Q60" s="95">
        <f t="shared" si="34"/>
        <v>256928.37616371631</v>
      </c>
      <c r="R60" s="95">
        <f t="shared" si="34"/>
        <v>256801.03301866839</v>
      </c>
      <c r="S60" s="95">
        <f t="shared" si="34"/>
        <v>256928.37616371631</v>
      </c>
      <c r="T60" s="95">
        <f t="shared" si="34"/>
        <v>256801.03301866839</v>
      </c>
      <c r="U60" s="95">
        <f t="shared" si="34"/>
        <v>256928.37616371631</v>
      </c>
      <c r="V60" s="95">
        <f t="shared" si="34"/>
        <v>256801.03301866839</v>
      </c>
      <c r="W60" s="95">
        <f t="shared" si="34"/>
        <v>256928.37616371631</v>
      </c>
      <c r="X60" s="95">
        <f t="shared" si="34"/>
        <v>256801.03301866839</v>
      </c>
      <c r="Y60" s="95">
        <f t="shared" si="34"/>
        <v>-27174.180438371641</v>
      </c>
      <c r="Z60" s="95">
        <f t="shared" si="34"/>
        <v>-311276.73704045959</v>
      </c>
      <c r="AA60" s="95">
        <f t="shared" si="34"/>
        <v>-311276.73704045959</v>
      </c>
      <c r="AB60" s="95">
        <f t="shared" si="34"/>
        <v>-311276.73704045959</v>
      </c>
      <c r="AC60" s="95">
        <f t="shared" si="34"/>
        <v>-311276.73704045959</v>
      </c>
      <c r="AD60" s="95">
        <f t="shared" si="34"/>
        <v>-311276.73704045959</v>
      </c>
      <c r="AE60" s="95">
        <f t="shared" si="34"/>
        <v>-311276.73704045959</v>
      </c>
      <c r="AF60" s="95">
        <f t="shared" si="34"/>
        <v>-311276.73704045959</v>
      </c>
      <c r="AG60" s="95">
        <f t="shared" si="34"/>
        <v>-311276.73704045959</v>
      </c>
      <c r="AH60" s="95">
        <f t="shared" si="34"/>
        <v>-311276.73704045959</v>
      </c>
      <c r="AI60" s="95">
        <f t="shared" si="34"/>
        <v>-311276.73704045959</v>
      </c>
      <c r="AJ60" s="95">
        <f t="shared" si="34"/>
        <v>-311276.73704045959</v>
      </c>
      <c r="AK60" s="95">
        <f t="shared" si="34"/>
        <v>-311276.73704045959</v>
      </c>
      <c r="AL60" s="95">
        <f t="shared" si="34"/>
        <v>-311276.73704045959</v>
      </c>
      <c r="AM60" s="95">
        <f t="shared" si="34"/>
        <v>-311276.73704045959</v>
      </c>
      <c r="AN60" s="95">
        <f t="shared" si="34"/>
        <v>-311276.73704045959</v>
      </c>
      <c r="AO60" s="95">
        <f t="shared" si="34"/>
        <v>-311276.73704045959</v>
      </c>
      <c r="AP60" s="95">
        <f t="shared" si="34"/>
        <v>-311276.73704045959</v>
      </c>
      <c r="AQ60" s="95">
        <f t="shared" si="34"/>
        <v>-311276.73704045959</v>
      </c>
      <c r="AR60" s="95">
        <f t="shared" si="34"/>
        <v>-311276.73704045959</v>
      </c>
      <c r="AS60" s="95">
        <f t="shared" si="34"/>
        <v>-283245.02354045957</v>
      </c>
      <c r="AT60" s="95">
        <f t="shared" si="34"/>
        <v>0</v>
      </c>
      <c r="AU60" s="97">
        <f t="shared" si="22"/>
        <v>-3.5884365206584334E-4</v>
      </c>
    </row>
    <row r="61" spans="1:47" x14ac:dyDescent="0.2">
      <c r="A61" s="122">
        <f t="shared" si="17"/>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7" s="50" customFormat="1" x14ac:dyDescent="0.2">
      <c r="A62" s="122">
        <f t="shared" si="17"/>
        <v>32</v>
      </c>
      <c r="B62" s="2" t="str">
        <f t="shared" ref="B62" si="35">IF($F$18=1,B66,B65)</f>
        <v>MACRS Depreciation - 20</v>
      </c>
      <c r="C62" s="2"/>
      <c r="D62" s="47"/>
      <c r="E62" s="62">
        <f t="shared" ref="E62" si="36">IF($F$18=1,E66,E65)</f>
        <v>3.7499999999999999E-2</v>
      </c>
      <c r="F62" s="58">
        <f>IF($F$18=1,F66,F65)</f>
        <v>7.2190000000000004E-2</v>
      </c>
      <c r="G62" s="58">
        <f t="shared" ref="G62:Y62" si="37">IF($F$18=1,G66,G65)</f>
        <v>6.6769999999999996E-2</v>
      </c>
      <c r="H62" s="58">
        <f t="shared" si="37"/>
        <v>6.1769999999999999E-2</v>
      </c>
      <c r="I62" s="58">
        <f t="shared" si="37"/>
        <v>5.713E-2</v>
      </c>
      <c r="J62" s="58">
        <f t="shared" si="37"/>
        <v>5.2850000000000001E-2</v>
      </c>
      <c r="K62" s="58">
        <f t="shared" si="37"/>
        <v>4.888E-2</v>
      </c>
      <c r="L62" s="58">
        <f t="shared" si="37"/>
        <v>4.5220000000000003E-2</v>
      </c>
      <c r="M62" s="58">
        <f t="shared" si="37"/>
        <v>4.462E-2</v>
      </c>
      <c r="N62" s="58">
        <f t="shared" si="37"/>
        <v>4.4610000000000004E-2</v>
      </c>
      <c r="O62" s="58">
        <f t="shared" si="37"/>
        <v>4.462E-2</v>
      </c>
      <c r="P62" s="58">
        <f t="shared" si="37"/>
        <v>4.4610000000000004E-2</v>
      </c>
      <c r="Q62" s="58">
        <f t="shared" si="37"/>
        <v>4.462E-2</v>
      </c>
      <c r="R62" s="58">
        <f t="shared" si="37"/>
        <v>4.4610000000000004E-2</v>
      </c>
      <c r="S62" s="58">
        <f t="shared" si="37"/>
        <v>4.462E-2</v>
      </c>
      <c r="T62" s="58">
        <f t="shared" si="37"/>
        <v>4.4610000000000004E-2</v>
      </c>
      <c r="U62" s="58">
        <f t="shared" si="37"/>
        <v>4.462E-2</v>
      </c>
      <c r="V62" s="58">
        <f t="shared" si="37"/>
        <v>4.4610000000000004E-2</v>
      </c>
      <c r="W62" s="58">
        <f t="shared" si="37"/>
        <v>4.462E-2</v>
      </c>
      <c r="X62" s="58">
        <f t="shared" si="37"/>
        <v>4.4610000000000004E-2</v>
      </c>
      <c r="Y62" s="58">
        <f t="shared" si="37"/>
        <v>2.231E-2</v>
      </c>
      <c r="Z62" s="48"/>
      <c r="AA62" s="48"/>
      <c r="AB62" s="48"/>
      <c r="AC62" s="48"/>
      <c r="AD62" s="48"/>
      <c r="AE62" s="48"/>
      <c r="AF62" s="48"/>
      <c r="AG62" s="48"/>
      <c r="AH62" s="48"/>
      <c r="AI62" s="48"/>
      <c r="AJ62" s="48"/>
      <c r="AK62" s="48"/>
      <c r="AL62" s="48"/>
      <c r="AM62" s="48"/>
      <c r="AN62" s="48"/>
      <c r="AO62" s="48"/>
      <c r="AP62" s="47"/>
    </row>
    <row r="63" spans="1:47" outlineLevel="1" x14ac:dyDescent="0.25">
      <c r="A63" s="122">
        <f t="shared" si="17"/>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7" outlineLevel="1" x14ac:dyDescent="0.25">
      <c r="A64" s="122">
        <f t="shared" si="17"/>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122">
        <f t="shared" si="17"/>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2">
        <f t="shared" si="17"/>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51" workbookViewId="0">
      <selection activeCell="G68" sqref="G68"/>
    </sheetView>
  </sheetViews>
  <sheetFormatPr defaultColWidth="9.28515625" defaultRowHeight="15" outlineLevelRow="1" x14ac:dyDescent="0.25"/>
  <cols>
    <col min="1" max="1" width="17" style="252" customWidth="1"/>
    <col min="2" max="2" width="46" style="252" bestFit="1" customWidth="1"/>
    <col min="3" max="3" width="14.5703125" style="252" bestFit="1" customWidth="1"/>
    <col min="4" max="4" width="15.7109375" style="252" bestFit="1" customWidth="1"/>
    <col min="5" max="5" width="16" style="252" bestFit="1" customWidth="1"/>
    <col min="6" max="6" width="35.7109375" style="252" customWidth="1"/>
    <col min="7" max="7" width="28.5703125" style="251" bestFit="1" customWidth="1"/>
    <col min="8" max="8" width="11" style="251" customWidth="1"/>
    <col min="9" max="16384" width="9.28515625" style="251"/>
  </cols>
  <sheetData>
    <row r="1" spans="1:8" x14ac:dyDescent="0.25">
      <c r="A1" s="179"/>
      <c r="B1" s="179"/>
      <c r="C1" s="179"/>
      <c r="D1" s="179"/>
      <c r="E1" s="179"/>
      <c r="F1" s="179"/>
      <c r="G1"/>
      <c r="H1"/>
    </row>
    <row r="2" spans="1:8" x14ac:dyDescent="0.25">
      <c r="B2" s="253" t="s">
        <v>189</v>
      </c>
      <c r="C2" s="254"/>
      <c r="D2" s="254"/>
      <c r="E2" s="254"/>
    </row>
    <row r="4" spans="1:8" ht="15.75" thickBot="1" x14ac:dyDescent="0.3"/>
    <row r="5" spans="1:8" ht="15.75" thickBot="1" x14ac:dyDescent="0.3">
      <c r="A5" s="255"/>
      <c r="B5" s="256">
        <v>43739</v>
      </c>
      <c r="C5" s="257"/>
      <c r="D5" s="257"/>
      <c r="E5" s="258"/>
      <c r="F5" s="259"/>
      <c r="G5" s="260"/>
    </row>
    <row r="6" spans="1:8" ht="82.9" customHeight="1" x14ac:dyDescent="0.25">
      <c r="A6" s="261" t="s">
        <v>190</v>
      </c>
      <c r="B6" s="261" t="s">
        <v>191</v>
      </c>
      <c r="C6" s="262" t="s">
        <v>192</v>
      </c>
      <c r="D6" s="262" t="s">
        <v>193</v>
      </c>
      <c r="E6" s="262" t="s">
        <v>219</v>
      </c>
      <c r="F6" s="259"/>
      <c r="G6" s="260"/>
    </row>
    <row r="7" spans="1:8" ht="15.75" x14ac:dyDescent="0.25">
      <c r="A7" s="252" t="s">
        <v>83</v>
      </c>
      <c r="B7" s="264" t="s">
        <v>195</v>
      </c>
      <c r="C7" s="265">
        <v>49985039.879999995</v>
      </c>
      <c r="D7" s="265">
        <v>10065397.379999999</v>
      </c>
      <c r="E7" s="266">
        <f>SUM(C7:D7)</f>
        <v>60050437.25999999</v>
      </c>
      <c r="F7" s="259"/>
      <c r="G7" s="260"/>
    </row>
    <row r="8" spans="1:8" ht="15.75" x14ac:dyDescent="0.25">
      <c r="A8" s="252" t="s">
        <v>196</v>
      </c>
      <c r="B8" s="264" t="s">
        <v>197</v>
      </c>
      <c r="C8" s="265">
        <v>479737.33</v>
      </c>
      <c r="D8" s="265">
        <v>1588.01</v>
      </c>
      <c r="E8" s="266">
        <f>SUM(C8:D8)</f>
        <v>481325.34</v>
      </c>
      <c r="F8" s="259"/>
      <c r="G8" s="260"/>
    </row>
    <row r="9" spans="1:8" ht="15.75" x14ac:dyDescent="0.25">
      <c r="A9" s="252" t="s">
        <v>198</v>
      </c>
      <c r="B9" s="264" t="s">
        <v>199</v>
      </c>
      <c r="C9" s="265">
        <v>105950.33000000002</v>
      </c>
      <c r="D9" s="265">
        <v>1879.9500000000003</v>
      </c>
      <c r="E9" s="266">
        <f>SUM(C9:D9)</f>
        <v>107830.28000000001</v>
      </c>
      <c r="F9" s="259"/>
      <c r="G9" s="260"/>
    </row>
    <row r="10" spans="1:8" x14ac:dyDescent="0.25">
      <c r="A10" s="123" t="s">
        <v>200</v>
      </c>
      <c r="B10" s="123"/>
      <c r="C10" s="266">
        <f>SUM(C7:C9)</f>
        <v>50570727.539999992</v>
      </c>
      <c r="D10" s="266">
        <f t="shared" ref="D10:E10" si="0">SUM(D7:D9)</f>
        <v>10068865.339999998</v>
      </c>
      <c r="E10" s="266">
        <f t="shared" si="0"/>
        <v>60639592.879999995</v>
      </c>
      <c r="F10" s="259"/>
      <c r="G10" s="260"/>
    </row>
    <row r="11" spans="1:8" x14ac:dyDescent="0.25">
      <c r="F11" s="259"/>
      <c r="G11" s="260"/>
    </row>
    <row r="12" spans="1:8" x14ac:dyDescent="0.25">
      <c r="B12" s="250" t="s">
        <v>78</v>
      </c>
      <c r="C12" s="250"/>
      <c r="D12" s="250"/>
      <c r="E12" s="267">
        <f>+E7+E8</f>
        <v>60531762.599999994</v>
      </c>
      <c r="F12" s="259"/>
      <c r="G12" s="260"/>
    </row>
    <row r="13" spans="1:8" x14ac:dyDescent="0.25">
      <c r="B13" s="250" t="s">
        <v>79</v>
      </c>
      <c r="C13" s="250"/>
      <c r="D13" s="250"/>
      <c r="E13" s="267">
        <f>+E9</f>
        <v>107830.28000000001</v>
      </c>
      <c r="F13" s="259"/>
      <c r="G13" s="260"/>
    </row>
    <row r="14" spans="1:8" x14ac:dyDescent="0.25">
      <c r="E14" s="268">
        <f>+E12/E10</f>
        <v>0.99822178423569918</v>
      </c>
      <c r="F14" s="259"/>
      <c r="G14" s="260"/>
    </row>
    <row r="15" spans="1:8" x14ac:dyDescent="0.25">
      <c r="E15" s="268">
        <f>+E13/E10</f>
        <v>1.7782157643008243E-3</v>
      </c>
      <c r="F15" s="259"/>
      <c r="G15" s="260"/>
    </row>
    <row r="16" spans="1:8" x14ac:dyDescent="0.25">
      <c r="E16" s="268"/>
      <c r="F16" s="259"/>
      <c r="G16" s="260"/>
    </row>
    <row r="17" spans="1:8" x14ac:dyDescent="0.25">
      <c r="A17" s="269"/>
      <c r="B17" s="253" t="s">
        <v>201</v>
      </c>
      <c r="C17" s="253"/>
      <c r="D17" s="253"/>
      <c r="E17" s="253"/>
      <c r="F17" s="259"/>
      <c r="G17" s="260"/>
    </row>
    <row r="18" spans="1:8" x14ac:dyDescent="0.25">
      <c r="A18" s="270" t="s">
        <v>202</v>
      </c>
      <c r="B18" s="271" t="s">
        <v>203</v>
      </c>
      <c r="C18" s="272" t="s">
        <v>204</v>
      </c>
      <c r="D18" s="272" t="s">
        <v>205</v>
      </c>
      <c r="E18" s="272" t="s">
        <v>80</v>
      </c>
      <c r="F18" s="259"/>
      <c r="G18" s="260"/>
    </row>
    <row r="19" spans="1:8" x14ac:dyDescent="0.25">
      <c r="A19" s="123" t="s">
        <v>81</v>
      </c>
      <c r="B19" s="273">
        <f>D30</f>
        <v>2.443056207967733E-2</v>
      </c>
      <c r="C19" s="274">
        <f>E12*B19</f>
        <v>1478824.9839915903</v>
      </c>
      <c r="D19" s="274"/>
      <c r="E19" s="274">
        <f>SUM(C19:D19)</f>
        <v>1478824.9839915903</v>
      </c>
      <c r="F19" s="259"/>
      <c r="G19" s="260"/>
    </row>
    <row r="20" spans="1:8" x14ac:dyDescent="0.25">
      <c r="A20" s="250" t="s">
        <v>79</v>
      </c>
      <c r="B20" s="273">
        <f>D31</f>
        <v>3.1950138602539598E-2</v>
      </c>
      <c r="C20" s="274"/>
      <c r="D20" s="274">
        <f>E13*B20</f>
        <v>3445.1923915506541</v>
      </c>
      <c r="E20" s="274">
        <f>SUM(C20:D20)</f>
        <v>3445.1923915506541</v>
      </c>
      <c r="F20" s="259"/>
      <c r="G20" s="260"/>
    </row>
    <row r="21" spans="1:8" x14ac:dyDescent="0.25">
      <c r="A21" s="123" t="s">
        <v>206</v>
      </c>
      <c r="B21" s="275"/>
      <c r="C21" s="274">
        <f>SUM(C19:C20)</f>
        <v>1478824.9839915903</v>
      </c>
      <c r="D21" s="274">
        <f>SUM(D19:D20)</f>
        <v>3445.1923915506541</v>
      </c>
      <c r="E21" s="274">
        <f>SUM(C21:D21)</f>
        <v>1482270.176383141</v>
      </c>
      <c r="F21" s="259"/>
      <c r="G21" s="260"/>
    </row>
    <row r="22" spans="1:8" x14ac:dyDescent="0.25">
      <c r="A22" s="275"/>
      <c r="B22" s="125" t="s">
        <v>82</v>
      </c>
      <c r="C22" s="275"/>
      <c r="D22" s="275"/>
      <c r="E22" s="273">
        <f>+E21/E10</f>
        <v>2.4443933509191149E-2</v>
      </c>
      <c r="F22" s="276" t="s">
        <v>207</v>
      </c>
      <c r="G22" s="260"/>
    </row>
    <row r="23" spans="1:8" x14ac:dyDescent="0.25">
      <c r="E23" s="268">
        <f>E19/E21</f>
        <v>0.99767573250380226</v>
      </c>
      <c r="F23" s="277" t="s">
        <v>208</v>
      </c>
      <c r="G23" s="260"/>
      <c r="H23" s="260"/>
    </row>
    <row r="24" spans="1:8" x14ac:dyDescent="0.25">
      <c r="E24" s="268">
        <f>E20/E21</f>
        <v>2.3242674961977592E-3</v>
      </c>
      <c r="F24" s="259"/>
      <c r="G24" s="260"/>
      <c r="H24" s="260"/>
    </row>
    <row r="25" spans="1:8" ht="15.75" thickBot="1" x14ac:dyDescent="0.3">
      <c r="F25" s="259"/>
      <c r="G25" s="260"/>
      <c r="H25" s="260"/>
    </row>
    <row r="26" spans="1:8" x14ac:dyDescent="0.25">
      <c r="A26" s="278" t="s">
        <v>107</v>
      </c>
      <c r="B26" s="180"/>
      <c r="C26" s="180"/>
      <c r="D26" s="181"/>
      <c r="E26" s="268"/>
    </row>
    <row r="27" spans="1:8" ht="24.75" x14ac:dyDescent="0.25">
      <c r="A27" s="279" t="s">
        <v>108</v>
      </c>
      <c r="B27" s="280" t="s">
        <v>93</v>
      </c>
      <c r="C27" s="281" t="s">
        <v>109</v>
      </c>
      <c r="D27" s="282" t="s">
        <v>110</v>
      </c>
      <c r="E27" s="283"/>
      <c r="F27" s="259"/>
    </row>
    <row r="28" spans="1:8" x14ac:dyDescent="0.25">
      <c r="A28" s="279" t="s">
        <v>111</v>
      </c>
      <c r="B28" s="280"/>
      <c r="C28" s="182" t="s">
        <v>94</v>
      </c>
      <c r="D28" s="284" t="s">
        <v>94</v>
      </c>
      <c r="E28" s="259"/>
      <c r="F28" s="285"/>
    </row>
    <row r="29" spans="1:8" x14ac:dyDescent="0.25">
      <c r="A29" s="183"/>
      <c r="B29" s="184"/>
      <c r="C29" s="182" t="s">
        <v>112</v>
      </c>
      <c r="D29" s="185"/>
    </row>
    <row r="30" spans="1:8" x14ac:dyDescent="0.25">
      <c r="A30" s="186">
        <v>376.2</v>
      </c>
      <c r="B30" s="184" t="s">
        <v>113</v>
      </c>
      <c r="C30" s="187">
        <v>2.7700000000000002E-2</v>
      </c>
      <c r="D30" s="188">
        <v>2.443056207967733E-2</v>
      </c>
    </row>
    <row r="31" spans="1:8" ht="15.75" thickBot="1" x14ac:dyDescent="0.3">
      <c r="A31" s="189">
        <v>380.2</v>
      </c>
      <c r="B31" s="190" t="s">
        <v>114</v>
      </c>
      <c r="C31" s="191">
        <v>4.58E-2</v>
      </c>
      <c r="D31" s="192">
        <v>3.1950138602539598E-2</v>
      </c>
    </row>
    <row r="33" spans="1:8" x14ac:dyDescent="0.25">
      <c r="A33" s="269"/>
      <c r="B33" s="253" t="s">
        <v>201</v>
      </c>
      <c r="C33" s="253"/>
      <c r="D33" s="253"/>
      <c r="E33" s="268"/>
    </row>
    <row r="34" spans="1:8" x14ac:dyDescent="0.25">
      <c r="A34" s="270" t="s">
        <v>202</v>
      </c>
      <c r="B34" s="271" t="s">
        <v>209</v>
      </c>
      <c r="C34" s="272" t="s">
        <v>210</v>
      </c>
      <c r="D34" s="272" t="s">
        <v>211</v>
      </c>
      <c r="E34" s="272" t="s">
        <v>80</v>
      </c>
    </row>
    <row r="35" spans="1:8" x14ac:dyDescent="0.25">
      <c r="A35" s="123" t="s">
        <v>81</v>
      </c>
      <c r="B35" s="273">
        <f>D30</f>
        <v>2.443056207967733E-2</v>
      </c>
      <c r="C35" s="274">
        <f>E80*B35</f>
        <v>1026649.0141054934</v>
      </c>
      <c r="D35" s="274"/>
      <c r="E35" s="274">
        <f>SUM(C35:D35)</f>
        <v>1026649.0141054934</v>
      </c>
    </row>
    <row r="36" spans="1:8" x14ac:dyDescent="0.25">
      <c r="A36" s="123" t="s">
        <v>79</v>
      </c>
      <c r="B36" s="273">
        <f>D31</f>
        <v>3.1950138602539598E-2</v>
      </c>
      <c r="C36" s="274"/>
      <c r="D36" s="274">
        <f>E81*B36</f>
        <v>111651.69744198215</v>
      </c>
      <c r="E36" s="274">
        <f>SUM(C36:D36)</f>
        <v>111651.69744198215</v>
      </c>
    </row>
    <row r="37" spans="1:8" x14ac:dyDescent="0.25">
      <c r="A37" s="123" t="s">
        <v>206</v>
      </c>
      <c r="B37" s="275"/>
      <c r="C37" s="274">
        <f>SUM(C35:C36)</f>
        <v>1026649.0141054934</v>
      </c>
      <c r="D37" s="274">
        <f>SUM(D35:D36)</f>
        <v>111651.69744198215</v>
      </c>
      <c r="E37" s="274">
        <f>SUM(C37:D37)</f>
        <v>1138300.7115474755</v>
      </c>
    </row>
    <row r="38" spans="1:8" x14ac:dyDescent="0.25">
      <c r="A38" s="275"/>
      <c r="B38" s="125" t="s">
        <v>82</v>
      </c>
      <c r="C38" s="275"/>
      <c r="D38" s="275"/>
      <c r="E38" s="273">
        <f>+E37/E78</f>
        <v>2.5007867478263991E-2</v>
      </c>
    </row>
    <row r="41" spans="1:8" ht="15.75" thickBot="1" x14ac:dyDescent="0.3"/>
    <row r="42" spans="1:8" ht="15.75" thickBot="1" x14ac:dyDescent="0.3">
      <c r="A42" s="255"/>
      <c r="B42" s="286">
        <v>2018</v>
      </c>
      <c r="C42" s="257"/>
      <c r="D42" s="257"/>
      <c r="E42" s="258"/>
      <c r="G42" s="287"/>
      <c r="H42" s="287"/>
    </row>
    <row r="43" spans="1:8" ht="75" x14ac:dyDescent="0.25">
      <c r="A43" s="261" t="s">
        <v>190</v>
      </c>
      <c r="B43" s="261" t="s">
        <v>191</v>
      </c>
      <c r="C43" s="262" t="s">
        <v>212</v>
      </c>
      <c r="D43" s="262" t="s">
        <v>213</v>
      </c>
      <c r="E43" s="263" t="s">
        <v>194</v>
      </c>
      <c r="G43" s="288"/>
      <c r="H43" s="288"/>
    </row>
    <row r="44" spans="1:8" ht="15.75" x14ac:dyDescent="0.25">
      <c r="A44" s="252" t="s">
        <v>83</v>
      </c>
      <c r="B44" s="264" t="s">
        <v>195</v>
      </c>
      <c r="C44" s="265">
        <v>50181798.259999998</v>
      </c>
      <c r="D44" s="265">
        <v>4644023.4099999992</v>
      </c>
      <c r="E44" s="266">
        <f>SUM(C44:D44)</f>
        <v>54825821.669999994</v>
      </c>
      <c r="G44" s="289"/>
      <c r="H44" s="289"/>
    </row>
    <row r="45" spans="1:8" ht="15.75" x14ac:dyDescent="0.25">
      <c r="A45" s="252" t="s">
        <v>196</v>
      </c>
      <c r="B45" s="264" t="s">
        <v>197</v>
      </c>
      <c r="C45" s="265">
        <v>4782276.53</v>
      </c>
      <c r="D45" s="265"/>
      <c r="E45" s="266">
        <f>SUM(C45:D45)</f>
        <v>4782276.53</v>
      </c>
      <c r="G45" s="289"/>
      <c r="H45" s="289"/>
    </row>
    <row r="46" spans="1:8" ht="15.75" x14ac:dyDescent="0.25">
      <c r="A46" s="252" t="s">
        <v>198</v>
      </c>
      <c r="B46" s="264" t="s">
        <v>199</v>
      </c>
      <c r="C46" s="265">
        <v>676665.87999999989</v>
      </c>
      <c r="D46" s="265"/>
      <c r="E46" s="266">
        <f>SUM(C46:D46)</f>
        <v>676665.87999999989</v>
      </c>
      <c r="G46" s="289"/>
      <c r="H46" s="289"/>
    </row>
    <row r="47" spans="1:8" x14ac:dyDescent="0.25">
      <c r="A47" s="123" t="s">
        <v>200</v>
      </c>
      <c r="B47" s="123"/>
      <c r="C47" s="266">
        <f t="shared" ref="C47:D47" si="1">SUM(C44:C46)</f>
        <v>55640740.670000002</v>
      </c>
      <c r="D47" s="266">
        <f t="shared" si="1"/>
        <v>4644023.4099999992</v>
      </c>
      <c r="E47" s="266">
        <f>SUM(E44:E46)</f>
        <v>60284764.079999998</v>
      </c>
      <c r="F47" s="290"/>
      <c r="G47" s="291"/>
      <c r="H47" s="291"/>
    </row>
    <row r="48" spans="1:8" x14ac:dyDescent="0.25">
      <c r="G48" s="292"/>
      <c r="H48" s="292"/>
    </row>
    <row r="49" spans="1:8" x14ac:dyDescent="0.25">
      <c r="B49" s="250" t="s">
        <v>78</v>
      </c>
      <c r="C49" s="250"/>
      <c r="D49" s="250"/>
      <c r="E49" s="267">
        <f>+E44+E45</f>
        <v>59608098.199999996</v>
      </c>
      <c r="G49" s="292"/>
      <c r="H49" s="292"/>
    </row>
    <row r="50" spans="1:8" x14ac:dyDescent="0.25">
      <c r="B50" s="250" t="s">
        <v>79</v>
      </c>
      <c r="C50" s="250"/>
      <c r="D50" s="250"/>
      <c r="E50" s="267">
        <f>+E46</f>
        <v>676665.87999999989</v>
      </c>
      <c r="G50" s="292"/>
      <c r="H50" s="292"/>
    </row>
    <row r="51" spans="1:8" x14ac:dyDescent="0.25">
      <c r="E51" s="268">
        <f>+E49/E47</f>
        <v>0.98877550753782428</v>
      </c>
      <c r="G51" s="292"/>
      <c r="H51" s="292"/>
    </row>
    <row r="52" spans="1:8" x14ac:dyDescent="0.25">
      <c r="E52" s="268">
        <f>+E50/E47</f>
        <v>1.1224492462175693E-2</v>
      </c>
      <c r="G52" s="292"/>
      <c r="H52" s="292"/>
    </row>
    <row r="53" spans="1:8" x14ac:dyDescent="0.25">
      <c r="E53" s="268"/>
      <c r="G53" s="292"/>
      <c r="H53" s="292"/>
    </row>
    <row r="54" spans="1:8" x14ac:dyDescent="0.25">
      <c r="A54" s="269"/>
      <c r="B54" s="253" t="s">
        <v>201</v>
      </c>
      <c r="C54" s="253"/>
      <c r="D54" s="253"/>
      <c r="E54" s="253"/>
      <c r="G54" s="292"/>
      <c r="H54" s="292"/>
    </row>
    <row r="55" spans="1:8" x14ac:dyDescent="0.25">
      <c r="A55" s="270" t="s">
        <v>202</v>
      </c>
      <c r="B55" s="271" t="s">
        <v>214</v>
      </c>
      <c r="C55" s="272" t="s">
        <v>204</v>
      </c>
      <c r="D55" s="272" t="s">
        <v>205</v>
      </c>
      <c r="E55" s="272" t="s">
        <v>80</v>
      </c>
      <c r="G55" s="292"/>
      <c r="H55" s="292"/>
    </row>
    <row r="56" spans="1:8" x14ac:dyDescent="0.25">
      <c r="A56" s="123" t="s">
        <v>81</v>
      </c>
      <c r="B56" s="273">
        <f>C30</f>
        <v>2.7700000000000002E-2</v>
      </c>
      <c r="C56" s="274">
        <f>E49*B56</f>
        <v>1651144.32014</v>
      </c>
      <c r="D56" s="274"/>
      <c r="E56" s="274">
        <f>SUM(C56:D56)</f>
        <v>1651144.32014</v>
      </c>
      <c r="G56" s="292"/>
      <c r="H56" s="292"/>
    </row>
    <row r="57" spans="1:8" x14ac:dyDescent="0.25">
      <c r="A57" s="123" t="s">
        <v>79</v>
      </c>
      <c r="B57" s="273">
        <f>C31</f>
        <v>4.58E-2</v>
      </c>
      <c r="C57" s="274"/>
      <c r="D57" s="274">
        <f>E50*B57</f>
        <v>30991.297303999996</v>
      </c>
      <c r="E57" s="274">
        <f>SUM(C57:D57)</f>
        <v>30991.297303999996</v>
      </c>
      <c r="G57" s="292"/>
      <c r="H57" s="292"/>
    </row>
    <row r="58" spans="1:8" x14ac:dyDescent="0.25">
      <c r="A58" s="123" t="s">
        <v>206</v>
      </c>
      <c r="B58" s="275"/>
      <c r="C58" s="274">
        <f>SUM(C56:C57)</f>
        <v>1651144.32014</v>
      </c>
      <c r="D58" s="274">
        <f>SUM(D56:D57)</f>
        <v>30991.297303999996</v>
      </c>
      <c r="E58" s="274">
        <f>SUM(C58:D58)</f>
        <v>1682135.617444</v>
      </c>
      <c r="G58" s="292"/>
      <c r="H58" s="292"/>
    </row>
    <row r="59" spans="1:8" x14ac:dyDescent="0.25">
      <c r="A59" s="275"/>
      <c r="B59" s="125" t="s">
        <v>82</v>
      </c>
      <c r="C59" s="275"/>
      <c r="D59" s="275"/>
      <c r="E59" s="273">
        <f>+E58/E47</f>
        <v>2.790316331356538E-2</v>
      </c>
      <c r="G59" s="292"/>
      <c r="H59" s="292"/>
    </row>
    <row r="60" spans="1:8" x14ac:dyDescent="0.25">
      <c r="E60" s="268">
        <f>E56/E58</f>
        <v>0.98157621954935403</v>
      </c>
      <c r="G60" s="292"/>
      <c r="H60" s="292"/>
    </row>
    <row r="61" spans="1:8" x14ac:dyDescent="0.25">
      <c r="E61" s="268">
        <f>E57/E58</f>
        <v>1.8423780450645934E-2</v>
      </c>
      <c r="G61" s="292"/>
      <c r="H61" s="292"/>
    </row>
    <row r="62" spans="1:8" x14ac:dyDescent="0.25">
      <c r="A62" s="269"/>
      <c r="B62" s="253" t="s">
        <v>201</v>
      </c>
      <c r="C62" s="253"/>
      <c r="D62" s="253"/>
      <c r="E62" s="253"/>
      <c r="G62" s="292"/>
      <c r="H62" s="292"/>
    </row>
    <row r="63" spans="1:8" x14ac:dyDescent="0.25">
      <c r="A63" s="270" t="s">
        <v>202</v>
      </c>
      <c r="B63" s="271" t="s">
        <v>203</v>
      </c>
      <c r="C63" s="272" t="s">
        <v>204</v>
      </c>
      <c r="D63" s="272" t="s">
        <v>205</v>
      </c>
      <c r="E63" s="272" t="s">
        <v>80</v>
      </c>
      <c r="G63" s="292"/>
      <c r="H63" s="292"/>
    </row>
    <row r="64" spans="1:8" x14ac:dyDescent="0.25">
      <c r="A64" s="123" t="s">
        <v>81</v>
      </c>
      <c r="B64" s="273">
        <f>D30</f>
        <v>2.443056207967733E-2</v>
      </c>
      <c r="C64" s="274">
        <f>E49*B64</f>
        <v>1456259.3435266025</v>
      </c>
      <c r="D64" s="274"/>
      <c r="E64" s="274">
        <f>SUM(C64:D64)</f>
        <v>1456259.3435266025</v>
      </c>
      <c r="F64" s="259"/>
      <c r="G64" s="292"/>
      <c r="H64" s="292"/>
    </row>
    <row r="65" spans="1:8" x14ac:dyDescent="0.25">
      <c r="A65" s="123" t="s">
        <v>79</v>
      </c>
      <c r="B65" s="273">
        <f>D31</f>
        <v>3.1950138602539598E-2</v>
      </c>
      <c r="C65" s="274"/>
      <c r="D65" s="274">
        <f>E50*B65</f>
        <v>21619.568653609422</v>
      </c>
      <c r="E65" s="274">
        <f>SUM(C65:D65)</f>
        <v>21619.568653609422</v>
      </c>
      <c r="F65" s="259"/>
      <c r="G65" s="292"/>
      <c r="H65" s="292"/>
    </row>
    <row r="66" spans="1:8" x14ac:dyDescent="0.25">
      <c r="A66" s="123" t="s">
        <v>206</v>
      </c>
      <c r="B66" s="275"/>
      <c r="C66" s="274">
        <f>SUM(C64:C65)</f>
        <v>1456259.3435266025</v>
      </c>
      <c r="D66" s="274">
        <f>SUM(D64:D65)</f>
        <v>21619.568653609422</v>
      </c>
      <c r="E66" s="274">
        <f>SUM(C66:D66)</f>
        <v>1477878.9121802119</v>
      </c>
      <c r="F66" s="259"/>
      <c r="G66" s="292"/>
      <c r="H66" s="292"/>
    </row>
    <row r="67" spans="1:8" x14ac:dyDescent="0.25">
      <c r="A67" s="275"/>
      <c r="B67" s="125" t="s">
        <v>82</v>
      </c>
      <c r="C67" s="275"/>
      <c r="D67" s="275"/>
      <c r="E67" s="273">
        <f>+E66/E47</f>
        <v>2.451496550967695E-2</v>
      </c>
      <c r="G67" s="293"/>
      <c r="H67" s="293"/>
    </row>
    <row r="68" spans="1:8" x14ac:dyDescent="0.25">
      <c r="E68" s="268">
        <f>E64/E66</f>
        <v>0.98537121784780357</v>
      </c>
      <c r="F68" s="259"/>
      <c r="G68" s="294"/>
      <c r="H68" s="294"/>
    </row>
    <row r="69" spans="1:8" x14ac:dyDescent="0.25">
      <c r="E69" s="268">
        <f>E65/E66</f>
        <v>1.4628782152196472E-2</v>
      </c>
      <c r="F69" s="259"/>
      <c r="G69" s="294"/>
      <c r="H69" s="294"/>
    </row>
    <row r="70" spans="1:8" x14ac:dyDescent="0.25">
      <c r="F70" s="259"/>
      <c r="G70" s="294"/>
      <c r="H70" s="294"/>
    </row>
    <row r="71" spans="1:8" x14ac:dyDescent="0.25">
      <c r="E71" s="259">
        <f>E66/12*F71</f>
        <v>50237.303400000004</v>
      </c>
      <c r="F71" s="259">
        <f>0.01/E67</f>
        <v>0.40791409623042857</v>
      </c>
      <c r="G71" s="292"/>
      <c r="H71" s="292"/>
    </row>
    <row r="72" spans="1:8" ht="15.75" thickBot="1" x14ac:dyDescent="0.3">
      <c r="E72" s="259"/>
      <c r="G72" s="292"/>
      <c r="H72" s="292"/>
    </row>
    <row r="73" spans="1:8" ht="15.75" outlineLevel="1" thickBot="1" x14ac:dyDescent="0.3">
      <c r="A73" s="255"/>
      <c r="B73" s="286">
        <v>2017</v>
      </c>
      <c r="C73" s="257"/>
      <c r="D73" s="257"/>
      <c r="E73" s="258"/>
      <c r="G73" s="295"/>
      <c r="H73" s="295"/>
    </row>
    <row r="74" spans="1:8" ht="30" outlineLevel="1" x14ac:dyDescent="0.25">
      <c r="A74" s="261" t="s">
        <v>190</v>
      </c>
      <c r="B74" s="261" t="s">
        <v>191</v>
      </c>
      <c r="C74" s="263" t="s">
        <v>215</v>
      </c>
      <c r="D74" s="263" t="s">
        <v>216</v>
      </c>
      <c r="E74" s="263" t="s">
        <v>194</v>
      </c>
      <c r="G74" s="295"/>
      <c r="H74" s="295"/>
    </row>
    <row r="75" spans="1:8" ht="15.75" outlineLevel="1" x14ac:dyDescent="0.25">
      <c r="A75" s="252" t="s">
        <v>83</v>
      </c>
      <c r="B75" s="264" t="s">
        <v>195</v>
      </c>
      <c r="C75" s="266">
        <v>32093652.129999988</v>
      </c>
      <c r="D75" s="266">
        <v>2505759</v>
      </c>
      <c r="E75" s="266">
        <f>SUM(C75:D75)</f>
        <v>34599411.129999988</v>
      </c>
      <c r="G75" s="295"/>
      <c r="H75" s="295"/>
    </row>
    <row r="76" spans="1:8" ht="15.75" outlineLevel="1" x14ac:dyDescent="0.25">
      <c r="A76" s="252" t="s">
        <v>196</v>
      </c>
      <c r="B76" s="264" t="s">
        <v>197</v>
      </c>
      <c r="C76" s="266">
        <v>7251539.2899999935</v>
      </c>
      <c r="D76" s="266">
        <v>172193</v>
      </c>
      <c r="E76" s="266">
        <f>SUM(C76:D76)</f>
        <v>7423732.2899999935</v>
      </c>
      <c r="G76" s="295"/>
      <c r="H76" s="295"/>
    </row>
    <row r="77" spans="1:8" ht="15.75" outlineLevel="1" x14ac:dyDescent="0.25">
      <c r="A77" s="252" t="s">
        <v>198</v>
      </c>
      <c r="B77" s="264" t="s">
        <v>199</v>
      </c>
      <c r="C77" s="266">
        <v>3437688.6599999969</v>
      </c>
      <c r="D77" s="266">
        <v>56872</v>
      </c>
      <c r="E77" s="266">
        <f>SUM(C77:D77)</f>
        <v>3494560.6599999969</v>
      </c>
      <c r="G77" s="295"/>
      <c r="H77" s="295"/>
    </row>
    <row r="78" spans="1:8" outlineLevel="1" x14ac:dyDescent="0.25">
      <c r="A78" s="123" t="s">
        <v>200</v>
      </c>
      <c r="B78" s="123"/>
      <c r="C78" s="266">
        <f t="shared" ref="C78:D78" si="2">SUM(C75:C77)</f>
        <v>42782880.079999976</v>
      </c>
      <c r="D78" s="266">
        <f t="shared" si="2"/>
        <v>2734824</v>
      </c>
      <c r="E78" s="266">
        <f>SUM(E75:E77)</f>
        <v>45517704.079999976</v>
      </c>
      <c r="F78" s="296"/>
      <c r="G78" s="295"/>
      <c r="H78" s="295"/>
    </row>
    <row r="79" spans="1:8" outlineLevel="1" x14ac:dyDescent="0.25">
      <c r="F79" s="297"/>
      <c r="G79" s="295"/>
      <c r="H79" s="295"/>
    </row>
    <row r="80" spans="1:8" outlineLevel="1" x14ac:dyDescent="0.25">
      <c r="B80" s="250" t="s">
        <v>78</v>
      </c>
      <c r="C80" s="250"/>
      <c r="D80" s="250"/>
      <c r="E80" s="267">
        <f>+E75+E76</f>
        <v>42023143.419999979</v>
      </c>
      <c r="G80" s="295"/>
      <c r="H80" s="295"/>
    </row>
    <row r="81" spans="1:8" outlineLevel="1" x14ac:dyDescent="0.25">
      <c r="B81" s="250" t="s">
        <v>79</v>
      </c>
      <c r="C81" s="250"/>
      <c r="D81" s="250"/>
      <c r="E81" s="267">
        <f>+E77</f>
        <v>3494560.6599999969</v>
      </c>
    </row>
    <row r="82" spans="1:8" outlineLevel="1" x14ac:dyDescent="0.25">
      <c r="D82" s="252" t="s">
        <v>217</v>
      </c>
      <c r="E82" s="268">
        <f>+E80/E78</f>
        <v>0.92322634169205664</v>
      </c>
    </row>
    <row r="83" spans="1:8" outlineLevel="1" x14ac:dyDescent="0.25">
      <c r="D83" s="252" t="s">
        <v>218</v>
      </c>
      <c r="E83" s="268">
        <f>+E81/E78</f>
        <v>7.6773658307943346E-2</v>
      </c>
    </row>
    <row r="84" spans="1:8" outlineLevel="1" x14ac:dyDescent="0.25">
      <c r="A84" s="269"/>
      <c r="B84" s="253" t="s">
        <v>201</v>
      </c>
      <c r="C84" s="253"/>
      <c r="D84" s="253"/>
    </row>
    <row r="85" spans="1:8" outlineLevel="1" x14ac:dyDescent="0.25">
      <c r="A85" s="270" t="s">
        <v>202</v>
      </c>
      <c r="B85" s="271" t="s">
        <v>209</v>
      </c>
      <c r="C85" s="272" t="s">
        <v>210</v>
      </c>
      <c r="D85" s="272" t="s">
        <v>211</v>
      </c>
      <c r="E85" s="272" t="s">
        <v>80</v>
      </c>
    </row>
    <row r="86" spans="1:8" outlineLevel="1" x14ac:dyDescent="0.25">
      <c r="A86" s="123" t="s">
        <v>81</v>
      </c>
      <c r="B86" s="273">
        <f>C30</f>
        <v>2.7700000000000002E-2</v>
      </c>
      <c r="C86" s="274">
        <f>E80*B86</f>
        <v>1164041.0727339995</v>
      </c>
      <c r="D86" s="274"/>
      <c r="E86" s="274">
        <f>SUM(C86:D86)</f>
        <v>1164041.0727339995</v>
      </c>
      <c r="F86" s="259"/>
    </row>
    <row r="87" spans="1:8" outlineLevel="1" x14ac:dyDescent="0.25">
      <c r="A87" s="123" t="s">
        <v>79</v>
      </c>
      <c r="B87" s="273">
        <f>C31</f>
        <v>4.58E-2</v>
      </c>
      <c r="C87" s="274"/>
      <c r="D87" s="274">
        <f>E81*B87</f>
        <v>160050.87822799987</v>
      </c>
      <c r="E87" s="274">
        <f>SUM(C87:D87)</f>
        <v>160050.87822799987</v>
      </c>
      <c r="F87" s="259"/>
    </row>
    <row r="88" spans="1:8" outlineLevel="1" x14ac:dyDescent="0.25">
      <c r="A88" s="123" t="s">
        <v>206</v>
      </c>
      <c r="B88" s="275"/>
      <c r="C88" s="274">
        <f>SUM(C86:C87)</f>
        <v>1164041.0727339995</v>
      </c>
      <c r="D88" s="274">
        <f>SUM(D86:D87)</f>
        <v>160050.87822799987</v>
      </c>
      <c r="E88" s="274">
        <f>SUM(C88:D88)</f>
        <v>1324091.9509619994</v>
      </c>
      <c r="F88" s="259"/>
    </row>
    <row r="89" spans="1:8" outlineLevel="1" x14ac:dyDescent="0.25">
      <c r="A89" s="275"/>
      <c r="B89" s="125" t="s">
        <v>82</v>
      </c>
      <c r="C89" s="275"/>
      <c r="D89" s="275"/>
      <c r="E89" s="273">
        <f>+E88/E78</f>
        <v>2.9089603215373776E-2</v>
      </c>
      <c r="F89" s="259"/>
    </row>
    <row r="90" spans="1:8" outlineLevel="1" x14ac:dyDescent="0.25">
      <c r="E90" s="268">
        <f>E86/E88</f>
        <v>0.87912404564372038</v>
      </c>
      <c r="F90" s="259"/>
      <c r="G90" s="260"/>
      <c r="H90" s="260"/>
    </row>
    <row r="91" spans="1:8" outlineLevel="1" x14ac:dyDescent="0.25">
      <c r="E91" s="268">
        <f>E87/E88</f>
        <v>0.12087595435627962</v>
      </c>
      <c r="F91" s="259"/>
      <c r="G91" s="260"/>
      <c r="H91" s="260"/>
    </row>
  </sheetData>
  <pageMargins left="0.7" right="0.7" top="0.75" bottom="0.75" header="0.3" footer="0.3"/>
  <pageSetup scale="52"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I31" sqref="I31"/>
    </sheetView>
  </sheetViews>
  <sheetFormatPr defaultColWidth="9.28515625" defaultRowHeight="12.75" x14ac:dyDescent="0.2"/>
  <cols>
    <col min="1" max="1" width="3.5703125" style="65" customWidth="1"/>
    <col min="2" max="2" width="8.7109375" style="65" customWidth="1"/>
    <col min="3" max="3" width="63" style="65" bestFit="1" customWidth="1"/>
    <col min="4" max="4" width="4.42578125" style="65" customWidth="1"/>
    <col min="5" max="16384" width="9.28515625" style="65"/>
  </cols>
  <sheetData>
    <row r="3" spans="2:6" ht="13.5" thickBot="1" x14ac:dyDescent="0.25"/>
    <row r="4" spans="2:6" ht="13.5" thickBot="1" x14ac:dyDescent="0.25">
      <c r="B4" s="63"/>
      <c r="C4" s="63"/>
      <c r="D4" s="63"/>
      <c r="E4" s="63"/>
      <c r="F4" s="66" t="s">
        <v>115</v>
      </c>
    </row>
    <row r="5" spans="2:6" x14ac:dyDescent="0.2">
      <c r="C5" s="502" t="s">
        <v>116</v>
      </c>
      <c r="D5" s="502"/>
      <c r="E5" s="502"/>
      <c r="F5" s="502"/>
    </row>
    <row r="6" spans="2:6" x14ac:dyDescent="0.2">
      <c r="B6" s="67"/>
      <c r="C6" s="503" t="s">
        <v>119</v>
      </c>
      <c r="D6" s="503"/>
      <c r="E6" s="503"/>
      <c r="F6" s="503"/>
    </row>
    <row r="7" spans="2:6" x14ac:dyDescent="0.2">
      <c r="B7" s="68"/>
      <c r="C7" s="504" t="s">
        <v>117</v>
      </c>
      <c r="D7" s="504"/>
      <c r="E7" s="504"/>
      <c r="F7" s="504"/>
    </row>
    <row r="8" spans="2:6" x14ac:dyDescent="0.2">
      <c r="B8" s="68"/>
      <c r="C8" s="504"/>
      <c r="D8" s="504"/>
      <c r="E8" s="504"/>
      <c r="F8" s="504"/>
    </row>
    <row r="9" spans="2:6" x14ac:dyDescent="0.2">
      <c r="B9" s="63"/>
      <c r="C9" s="63"/>
      <c r="D9" s="63"/>
      <c r="E9" s="63"/>
      <c r="F9" s="63"/>
    </row>
    <row r="10" spans="2:6" x14ac:dyDescent="0.2">
      <c r="B10" s="111" t="s">
        <v>91</v>
      </c>
      <c r="C10" s="63"/>
      <c r="D10" s="63"/>
      <c r="E10" s="63"/>
      <c r="F10" s="63"/>
    </row>
    <row r="11" spans="2:6" x14ac:dyDescent="0.2">
      <c r="B11" s="69" t="s">
        <v>92</v>
      </c>
      <c r="C11" s="70" t="s">
        <v>93</v>
      </c>
      <c r="D11" s="71"/>
      <c r="E11" s="71"/>
      <c r="F11" s="72" t="s">
        <v>94</v>
      </c>
    </row>
    <row r="12" spans="2:6" x14ac:dyDescent="0.2">
      <c r="B12" s="64"/>
      <c r="C12" s="64"/>
      <c r="D12" s="64"/>
      <c r="E12" s="64"/>
      <c r="F12" s="73"/>
    </row>
    <row r="13" spans="2:6" x14ac:dyDescent="0.2">
      <c r="B13" s="73">
        <v>1</v>
      </c>
      <c r="C13" s="74" t="s">
        <v>95</v>
      </c>
      <c r="D13" s="64"/>
      <c r="E13" s="64"/>
      <c r="F13" s="75">
        <v>5.1399999999999996E-3</v>
      </c>
    </row>
    <row r="14" spans="2:6" x14ac:dyDescent="0.2">
      <c r="B14" s="73">
        <v>2</v>
      </c>
      <c r="C14" s="74" t="s">
        <v>96</v>
      </c>
      <c r="D14" s="64"/>
      <c r="E14" s="64"/>
      <c r="F14" s="75">
        <v>2E-3</v>
      </c>
    </row>
    <row r="15" spans="2:6" x14ac:dyDescent="0.2">
      <c r="B15" s="73">
        <v>3</v>
      </c>
      <c r="C15" s="74" t="s">
        <v>118</v>
      </c>
      <c r="D15" s="64"/>
      <c r="E15" s="76">
        <v>3.8519999999999999E-2</v>
      </c>
      <c r="F15" s="77">
        <v>3.8322000000000002E-2</v>
      </c>
    </row>
    <row r="16" spans="2:6" x14ac:dyDescent="0.2">
      <c r="B16" s="73">
        <v>4</v>
      </c>
      <c r="C16" s="74"/>
      <c r="D16" s="64"/>
      <c r="E16" s="64"/>
      <c r="F16" s="78"/>
    </row>
    <row r="17" spans="1:6" x14ac:dyDescent="0.2">
      <c r="B17" s="73">
        <v>5</v>
      </c>
      <c r="C17" s="74" t="s">
        <v>97</v>
      </c>
      <c r="D17" s="64"/>
      <c r="E17" s="64"/>
      <c r="F17" s="75">
        <v>4.5462000000000002E-2</v>
      </c>
    </row>
    <row r="18" spans="1:6" x14ac:dyDescent="0.2">
      <c r="B18" s="73">
        <v>6</v>
      </c>
      <c r="C18" s="64"/>
      <c r="D18" s="64"/>
      <c r="E18" s="64"/>
      <c r="F18" s="75"/>
    </row>
    <row r="19" spans="1:6" x14ac:dyDescent="0.2">
      <c r="A19" s="79"/>
      <c r="B19" s="73">
        <v>7</v>
      </c>
      <c r="C19" s="64" t="s">
        <v>98</v>
      </c>
      <c r="D19" s="64"/>
      <c r="E19" s="64"/>
      <c r="F19" s="75">
        <v>0.954538</v>
      </c>
    </row>
    <row r="20" spans="1:6" x14ac:dyDescent="0.2">
      <c r="B20" s="73">
        <v>8</v>
      </c>
      <c r="C20" s="74" t="s">
        <v>99</v>
      </c>
      <c r="D20" s="64"/>
      <c r="E20" s="80">
        <v>0.35</v>
      </c>
      <c r="F20" s="75">
        <v>0.334088</v>
      </c>
    </row>
    <row r="21" spans="1:6" x14ac:dyDescent="0.2">
      <c r="B21" s="73">
        <v>9</v>
      </c>
      <c r="C21" s="74" t="s">
        <v>100</v>
      </c>
      <c r="D21" s="64"/>
      <c r="E21" s="64"/>
      <c r="F21" s="81">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C1" zoomScale="90" zoomScaleNormal="90" workbookViewId="0">
      <selection activeCell="J38" sqref="J38"/>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14.28515625" bestFit="1" customWidth="1"/>
  </cols>
  <sheetData>
    <row r="1" spans="1:11" ht="15" x14ac:dyDescent="0.25">
      <c r="A1" s="153" t="s">
        <v>165</v>
      </c>
      <c r="B1" s="128"/>
      <c r="C1" s="128"/>
      <c r="D1" s="129" t="s">
        <v>145</v>
      </c>
      <c r="E1" s="130"/>
      <c r="F1" s="469"/>
      <c r="G1" s="469"/>
      <c r="H1" s="469"/>
      <c r="I1" s="470" t="s">
        <v>146</v>
      </c>
      <c r="J1" s="471"/>
    </row>
    <row r="2" spans="1:11" ht="15" x14ac:dyDescent="0.25">
      <c r="A2" s="131" t="s">
        <v>147</v>
      </c>
      <c r="B2" s="131"/>
      <c r="C2" s="131"/>
      <c r="D2" s="131"/>
      <c r="E2" s="131"/>
      <c r="F2" s="472" t="s">
        <v>147</v>
      </c>
      <c r="G2" s="472"/>
      <c r="H2" s="473"/>
      <c r="I2" s="473"/>
      <c r="J2" s="473"/>
    </row>
    <row r="3" spans="1:11" ht="15" x14ac:dyDescent="0.25">
      <c r="A3" s="131" t="s">
        <v>148</v>
      </c>
      <c r="B3" s="131"/>
      <c r="C3" s="131"/>
      <c r="D3" s="131"/>
      <c r="E3" s="131"/>
      <c r="F3" s="472" t="s">
        <v>148</v>
      </c>
      <c r="G3" s="472"/>
      <c r="H3" s="473"/>
      <c r="I3" s="473"/>
      <c r="J3" s="473"/>
    </row>
    <row r="4" spans="1:11" ht="15" x14ac:dyDescent="0.25">
      <c r="A4" s="131" t="s">
        <v>149</v>
      </c>
      <c r="B4" s="131"/>
      <c r="C4" s="131"/>
      <c r="D4" s="131"/>
      <c r="E4" s="131"/>
      <c r="F4" s="472" t="s">
        <v>149</v>
      </c>
      <c r="G4" s="472"/>
      <c r="H4" s="473"/>
      <c r="I4" s="473"/>
      <c r="J4" s="473"/>
    </row>
    <row r="5" spans="1:11" ht="15" x14ac:dyDescent="0.25">
      <c r="A5" s="131" t="s">
        <v>150</v>
      </c>
      <c r="B5" s="131"/>
      <c r="C5" s="131"/>
      <c r="D5" s="131"/>
      <c r="E5" s="131"/>
      <c r="F5" s="472" t="s">
        <v>150</v>
      </c>
      <c r="G5" s="472"/>
      <c r="H5" s="473"/>
      <c r="I5" s="473"/>
      <c r="J5" s="473"/>
    </row>
    <row r="6" spans="1:11" ht="14.25" x14ac:dyDescent="0.2">
      <c r="A6" s="131" t="s">
        <v>151</v>
      </c>
      <c r="B6" s="131"/>
      <c r="C6" s="131"/>
      <c r="D6" s="131"/>
      <c r="E6" s="131"/>
      <c r="F6" s="474" t="s">
        <v>152</v>
      </c>
      <c r="G6" s="474"/>
      <c r="H6" s="472"/>
      <c r="I6" s="472"/>
      <c r="J6" s="472"/>
    </row>
    <row r="7" spans="1:11" ht="15" x14ac:dyDescent="0.25">
      <c r="A7" s="128"/>
      <c r="B7" s="132"/>
      <c r="C7" s="132"/>
      <c r="D7" s="132"/>
      <c r="E7" s="132"/>
      <c r="F7" s="473"/>
      <c r="G7" s="473"/>
      <c r="H7" s="473"/>
      <c r="I7" s="473"/>
      <c r="J7" s="473"/>
    </row>
    <row r="8" spans="1:11" ht="15" x14ac:dyDescent="0.25">
      <c r="A8" s="128"/>
      <c r="B8" s="128"/>
      <c r="C8" s="128"/>
      <c r="D8" s="128"/>
      <c r="E8" s="128"/>
      <c r="F8" s="473"/>
      <c r="G8" s="472" t="s">
        <v>257</v>
      </c>
      <c r="H8" s="473"/>
      <c r="I8" s="473"/>
      <c r="J8" s="469"/>
    </row>
    <row r="9" spans="1:11" x14ac:dyDescent="0.2">
      <c r="A9" s="133" t="s">
        <v>91</v>
      </c>
      <c r="B9" s="133"/>
      <c r="C9" s="134" t="s">
        <v>132</v>
      </c>
      <c r="D9" s="135"/>
      <c r="E9" s="134" t="s">
        <v>153</v>
      </c>
      <c r="F9" s="468" t="s">
        <v>91</v>
      </c>
      <c r="G9" s="468"/>
      <c r="H9" s="468"/>
      <c r="I9" s="475"/>
      <c r="J9" s="475"/>
    </row>
    <row r="10" spans="1:11" x14ac:dyDescent="0.2">
      <c r="A10" s="136" t="s">
        <v>92</v>
      </c>
      <c r="B10" s="136" t="s">
        <v>93</v>
      </c>
      <c r="C10" s="137" t="s">
        <v>154</v>
      </c>
      <c r="D10" s="137" t="s">
        <v>155</v>
      </c>
      <c r="E10" s="137" t="s">
        <v>155</v>
      </c>
      <c r="F10" s="69" t="s">
        <v>92</v>
      </c>
      <c r="G10" s="69" t="s">
        <v>93</v>
      </c>
      <c r="H10" s="69"/>
      <c r="I10" s="476"/>
      <c r="J10" s="476"/>
    </row>
    <row r="11" spans="1:11" ht="15" x14ac:dyDescent="0.25">
      <c r="A11" s="128"/>
      <c r="B11" s="128"/>
      <c r="C11" s="128"/>
      <c r="D11" s="128"/>
      <c r="E11" s="128"/>
      <c r="F11" s="469"/>
      <c r="G11" s="469"/>
      <c r="H11" s="469"/>
      <c r="I11" s="469"/>
      <c r="J11" s="469"/>
    </row>
    <row r="12" spans="1:11" ht="15" x14ac:dyDescent="0.25">
      <c r="A12" s="139">
        <v>1</v>
      </c>
      <c r="B12" s="140" t="s">
        <v>156</v>
      </c>
      <c r="C12" s="141">
        <v>0.51500000000000001</v>
      </c>
      <c r="D12" s="141">
        <v>5.4951456310679617E-2</v>
      </c>
      <c r="E12" s="141">
        <v>2.8299999999999999E-2</v>
      </c>
      <c r="F12" s="477">
        <v>1</v>
      </c>
      <c r="G12" s="478" t="s">
        <v>95</v>
      </c>
      <c r="H12" s="479"/>
      <c r="I12" s="479"/>
      <c r="J12" s="480">
        <v>5.1240000000000001E-3</v>
      </c>
      <c r="K12" s="179"/>
    </row>
    <row r="13" spans="1:11" ht="15" x14ac:dyDescent="0.25">
      <c r="A13" s="139">
        <v>2</v>
      </c>
      <c r="B13" s="140" t="s">
        <v>157</v>
      </c>
      <c r="C13" s="141">
        <v>0.48499999999999999</v>
      </c>
      <c r="D13" s="141">
        <v>9.4E-2</v>
      </c>
      <c r="E13" s="141">
        <v>4.5600000000000002E-2</v>
      </c>
      <c r="F13" s="477">
        <f t="shared" ref="F13:F20" si="0">F12+1</f>
        <v>2</v>
      </c>
      <c r="G13" s="490" t="s">
        <v>96</v>
      </c>
      <c r="H13" s="491"/>
      <c r="I13" s="491"/>
      <c r="J13" s="492">
        <v>2E-3</v>
      </c>
      <c r="K13" s="179"/>
    </row>
    <row r="14" spans="1:11" ht="15" x14ac:dyDescent="0.25">
      <c r="A14" s="139">
        <v>3</v>
      </c>
      <c r="B14" s="140" t="s">
        <v>158</v>
      </c>
      <c r="C14" s="144">
        <v>1</v>
      </c>
      <c r="D14" s="145"/>
      <c r="E14" s="154">
        <v>7.3899999999999993E-2</v>
      </c>
      <c r="F14" s="477">
        <f t="shared" si="0"/>
        <v>3</v>
      </c>
      <c r="G14" s="478" t="str">
        <f>"STATE UTILITY TAX ( "&amp;J14*100&amp;"% - ( LINE 1 * "&amp;J14*100&amp;"% )  )"</f>
        <v>STATE UTILITY TAX ( 3.8323% - ( LINE 1 * 3.8323% )  )</v>
      </c>
      <c r="H14" s="128"/>
      <c r="I14" s="481">
        <v>3.8519999999999999E-2</v>
      </c>
      <c r="J14" s="482">
        <v>3.8323000000000003E-2</v>
      </c>
      <c r="K14" s="179"/>
    </row>
    <row r="15" spans="1:11" ht="15" x14ac:dyDescent="0.25">
      <c r="A15" s="139">
        <v>4</v>
      </c>
      <c r="B15" s="140"/>
      <c r="C15" s="128"/>
      <c r="D15" s="128"/>
      <c r="E15" s="128"/>
      <c r="F15" s="477">
        <f t="shared" si="0"/>
        <v>4</v>
      </c>
      <c r="G15" s="478"/>
      <c r="H15" s="479"/>
      <c r="I15" s="479"/>
      <c r="J15" s="483"/>
      <c r="K15" s="179"/>
    </row>
    <row r="16" spans="1:11" ht="15" x14ac:dyDescent="0.25">
      <c r="A16" s="139">
        <v>5</v>
      </c>
      <c r="B16" s="140" t="s">
        <v>160</v>
      </c>
      <c r="C16" s="141">
        <v>0.51500000000000001</v>
      </c>
      <c r="D16" s="141">
        <v>4.3411650485436902E-2</v>
      </c>
      <c r="E16" s="141">
        <v>2.24E-2</v>
      </c>
      <c r="F16" s="477">
        <f t="shared" si="0"/>
        <v>5</v>
      </c>
      <c r="G16" s="478" t="s">
        <v>97</v>
      </c>
      <c r="H16" s="479"/>
      <c r="I16" s="479"/>
      <c r="J16" s="480">
        <v>4.5447000000000001E-2</v>
      </c>
      <c r="K16" s="179"/>
    </row>
    <row r="17" spans="1:11" ht="15" x14ac:dyDescent="0.25">
      <c r="A17" s="139">
        <v>6</v>
      </c>
      <c r="B17" s="140" t="s">
        <v>157</v>
      </c>
      <c r="C17" s="141">
        <v>0.48499999999999999</v>
      </c>
      <c r="D17" s="141">
        <v>9.4E-2</v>
      </c>
      <c r="E17" s="141">
        <v>4.5600000000000002E-2</v>
      </c>
      <c r="F17" s="477">
        <f t="shared" si="0"/>
        <v>6</v>
      </c>
      <c r="G17" s="479"/>
      <c r="H17" s="479"/>
      <c r="I17" s="479"/>
      <c r="J17" s="480"/>
      <c r="K17" s="179"/>
    </row>
    <row r="18" spans="1:11" ht="15" x14ac:dyDescent="0.25">
      <c r="A18" s="139">
        <v>7</v>
      </c>
      <c r="B18" s="140" t="s">
        <v>161</v>
      </c>
      <c r="C18" s="144">
        <v>1</v>
      </c>
      <c r="D18" s="145"/>
      <c r="E18" s="144">
        <v>6.8000000000000005E-2</v>
      </c>
      <c r="F18" s="477">
        <f t="shared" si="0"/>
        <v>7</v>
      </c>
      <c r="G18" s="479" t="str">
        <f>"CONVERSION FACTOR EXCLUDING FEDERAL INCOME TAX ( 1 - LINE "&amp;$I$17&amp;" )"</f>
        <v>CONVERSION FACTOR EXCLUDING FEDERAL INCOME TAX ( 1 - LINE  )</v>
      </c>
      <c r="H18" s="479"/>
      <c r="I18" s="479"/>
      <c r="J18" s="480">
        <v>0.95455299999999998</v>
      </c>
      <c r="K18" s="179"/>
    </row>
    <row r="19" spans="1:11" ht="15" x14ac:dyDescent="0.25">
      <c r="A19" s="139"/>
      <c r="B19" s="128"/>
      <c r="C19" s="128"/>
      <c r="D19" s="128"/>
      <c r="E19" s="128"/>
      <c r="F19" s="477">
        <f t="shared" si="0"/>
        <v>8</v>
      </c>
      <c r="G19" s="478" t="s">
        <v>163</v>
      </c>
      <c r="H19" s="479"/>
      <c r="I19" s="484">
        <v>0.21</v>
      </c>
      <c r="J19" s="480">
        <v>0.200456</v>
      </c>
      <c r="K19" s="179"/>
    </row>
    <row r="20" spans="1:11" ht="15.75" thickBot="1" x14ac:dyDescent="0.3">
      <c r="A20" s="139"/>
      <c r="B20" s="128"/>
      <c r="C20" s="128"/>
      <c r="D20" s="128"/>
      <c r="E20" s="128"/>
      <c r="F20" s="477">
        <f t="shared" si="0"/>
        <v>9</v>
      </c>
      <c r="G20" s="478" t="str">
        <f>"CONVERSION FACTOR INCL FEDERAL INCOME TAX ( LINE "&amp;F18&amp;" - LINE "&amp;F19&amp;" ) "</f>
        <v xml:space="preserve">CONVERSION FACTOR INCL FEDERAL INCOME TAX ( LINE 7 - LINE 8 ) </v>
      </c>
      <c r="H20" s="479"/>
      <c r="I20" s="479"/>
      <c r="J20" s="485">
        <v>0.75409700000000002</v>
      </c>
      <c r="K20" s="179"/>
    </row>
    <row r="21" spans="1:11" ht="15.75" thickTop="1" x14ac:dyDescent="0.25">
      <c r="A21" s="139"/>
      <c r="B21" s="151"/>
      <c r="C21" s="152"/>
      <c r="D21" s="128"/>
      <c r="E21" s="128"/>
      <c r="F21" s="139"/>
      <c r="G21" s="128"/>
      <c r="H21" s="140"/>
      <c r="I21" s="140"/>
      <c r="J21" s="140"/>
      <c r="K21" s="179"/>
    </row>
    <row r="22" spans="1:11" x14ac:dyDescent="0.2">
      <c r="G22" s="179"/>
      <c r="H22" s="179"/>
      <c r="I22" s="179"/>
      <c r="J22" s="179"/>
      <c r="K22" s="179"/>
    </row>
    <row r="23" spans="1:11" ht="15" x14ac:dyDescent="0.25">
      <c r="F23" s="153" t="s">
        <v>165</v>
      </c>
      <c r="G23" s="128"/>
      <c r="H23" s="128"/>
      <c r="I23" s="129" t="s">
        <v>146</v>
      </c>
      <c r="J23" s="130"/>
      <c r="K23" s="179"/>
    </row>
    <row r="24" spans="1:11" ht="15" x14ac:dyDescent="0.25">
      <c r="F24" s="131" t="s">
        <v>147</v>
      </c>
      <c r="G24" s="131"/>
      <c r="H24" s="132"/>
      <c r="I24" s="132"/>
      <c r="J24" s="132"/>
      <c r="K24" s="179"/>
    </row>
    <row r="25" spans="1:11" ht="15" x14ac:dyDescent="0.25">
      <c r="F25" s="131" t="s">
        <v>148</v>
      </c>
      <c r="G25" s="131"/>
      <c r="H25" s="132"/>
      <c r="I25" s="132"/>
      <c r="J25" s="132"/>
      <c r="K25" s="179"/>
    </row>
    <row r="26" spans="1:11" ht="15" x14ac:dyDescent="0.25">
      <c r="F26" s="131" t="s">
        <v>149</v>
      </c>
      <c r="G26" s="131"/>
      <c r="H26" s="132"/>
      <c r="I26" s="132"/>
      <c r="J26" s="132"/>
      <c r="K26" s="179"/>
    </row>
    <row r="27" spans="1:11" ht="15" x14ac:dyDescent="0.25">
      <c r="F27" s="131" t="s">
        <v>150</v>
      </c>
      <c r="G27" s="131"/>
      <c r="H27" s="132"/>
      <c r="I27" s="132"/>
      <c r="J27" s="132"/>
      <c r="K27" s="179"/>
    </row>
    <row r="28" spans="1:11" ht="14.25" x14ac:dyDescent="0.2">
      <c r="F28" s="131" t="s">
        <v>152</v>
      </c>
      <c r="G28" s="131"/>
      <c r="H28" s="131"/>
      <c r="I28" s="131"/>
      <c r="J28" s="131"/>
      <c r="K28" s="179"/>
    </row>
    <row r="29" spans="1:11" ht="15" x14ac:dyDescent="0.25">
      <c r="F29" s="132"/>
      <c r="G29" s="132"/>
      <c r="H29" s="132"/>
      <c r="I29" s="132"/>
      <c r="J29" s="132"/>
      <c r="K29" s="179"/>
    </row>
    <row r="30" spans="1:11" ht="15" x14ac:dyDescent="0.25">
      <c r="F30" s="132"/>
      <c r="G30" s="131" t="s">
        <v>258</v>
      </c>
      <c r="H30" s="132"/>
      <c r="I30" s="132"/>
      <c r="J30" s="128"/>
      <c r="K30" s="179"/>
    </row>
    <row r="31" spans="1:11" x14ac:dyDescent="0.2">
      <c r="F31" s="133" t="s">
        <v>91</v>
      </c>
      <c r="G31" s="133"/>
      <c r="H31" s="133"/>
      <c r="I31" s="135"/>
      <c r="J31" s="135"/>
      <c r="K31" s="179"/>
    </row>
    <row r="32" spans="1:11" x14ac:dyDescent="0.2">
      <c r="F32" s="136" t="s">
        <v>92</v>
      </c>
      <c r="G32" s="136" t="s">
        <v>93</v>
      </c>
      <c r="H32" s="136"/>
      <c r="I32" s="138"/>
      <c r="J32" s="138"/>
      <c r="K32" s="179"/>
    </row>
    <row r="33" spans="6:11" ht="15" x14ac:dyDescent="0.25">
      <c r="F33" s="128"/>
      <c r="G33" s="128"/>
      <c r="H33" s="128"/>
      <c r="I33" s="128"/>
      <c r="J33" s="128"/>
      <c r="K33" s="179"/>
    </row>
    <row r="34" spans="6:11" ht="15" x14ac:dyDescent="0.25">
      <c r="F34" s="139">
        <v>1</v>
      </c>
      <c r="G34" s="142" t="s">
        <v>95</v>
      </c>
      <c r="H34" s="140"/>
      <c r="I34" s="140"/>
      <c r="J34" s="143">
        <v>5.1240000000000001E-3</v>
      </c>
      <c r="K34" s="179"/>
    </row>
    <row r="35" spans="6:11" ht="15" x14ac:dyDescent="0.25">
      <c r="F35" s="139">
        <v>2</v>
      </c>
      <c r="G35" s="493" t="s">
        <v>96</v>
      </c>
      <c r="H35" s="494"/>
      <c r="I35" s="494"/>
      <c r="J35" s="495">
        <v>4.0000000000000001E-3</v>
      </c>
      <c r="K35" s="179"/>
    </row>
    <row r="36" spans="6:11" ht="15" x14ac:dyDescent="0.25">
      <c r="F36" s="139">
        <v>3</v>
      </c>
      <c r="G36" s="142" t="s">
        <v>159</v>
      </c>
      <c r="H36" s="128"/>
      <c r="I36" s="146">
        <v>3.8519999999999999E-2</v>
      </c>
      <c r="J36" s="147">
        <v>3.8323000000000003E-2</v>
      </c>
      <c r="K36" s="179"/>
    </row>
    <row r="37" spans="6:11" ht="15" x14ac:dyDescent="0.25">
      <c r="F37" s="139">
        <v>4</v>
      </c>
      <c r="G37" s="142"/>
      <c r="H37" s="140"/>
      <c r="I37" s="140"/>
      <c r="J37" s="148"/>
      <c r="K37" s="179"/>
    </row>
    <row r="38" spans="6:11" ht="15" x14ac:dyDescent="0.25">
      <c r="F38" s="139">
        <v>5</v>
      </c>
      <c r="G38" s="142" t="s">
        <v>97</v>
      </c>
      <c r="H38" s="140"/>
      <c r="I38" s="140"/>
      <c r="J38" s="143">
        <v>4.7447000000000003E-2</v>
      </c>
      <c r="K38" s="179"/>
    </row>
    <row r="39" spans="6:11" ht="15" x14ac:dyDescent="0.25">
      <c r="F39" s="139">
        <v>6</v>
      </c>
      <c r="G39" s="140"/>
      <c r="H39" s="140"/>
      <c r="I39" s="140"/>
      <c r="J39" s="143"/>
    </row>
    <row r="40" spans="6:11" ht="15" x14ac:dyDescent="0.25">
      <c r="F40" s="139">
        <v>7</v>
      </c>
      <c r="G40" s="140" t="s">
        <v>162</v>
      </c>
      <c r="H40" s="140"/>
      <c r="I40" s="140"/>
      <c r="J40" s="143">
        <v>0.95255299999999998</v>
      </c>
    </row>
    <row r="41" spans="6:11" ht="15" x14ac:dyDescent="0.25">
      <c r="F41" s="139">
        <v>8</v>
      </c>
      <c r="G41" s="142" t="s">
        <v>163</v>
      </c>
      <c r="H41" s="140"/>
      <c r="I41" s="149">
        <v>0.21</v>
      </c>
      <c r="J41" s="143">
        <v>0.20003599999999999</v>
      </c>
    </row>
    <row r="42" spans="6:11" ht="15.75" thickBot="1" x14ac:dyDescent="0.3">
      <c r="F42" s="139">
        <v>9</v>
      </c>
      <c r="G42" s="142" t="s">
        <v>164</v>
      </c>
      <c r="H42" s="140"/>
      <c r="I42" s="140"/>
      <c r="J42" s="150">
        <v>0.75251699999999999</v>
      </c>
    </row>
    <row r="43" spans="6:11" ht="13.5" thickTop="1" x14ac:dyDescent="0.2"/>
  </sheetData>
  <pageMargins left="0.7" right="0.7" top="0.75" bottom="0.75" header="0.3" footer="0.3"/>
  <pageSetup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workbookViewId="0">
      <selection activeCell="L25" sqref="L25"/>
    </sheetView>
  </sheetViews>
  <sheetFormatPr defaultColWidth="9.28515625" defaultRowHeight="15" x14ac:dyDescent="0.2"/>
  <cols>
    <col min="1" max="1" width="19.28515625" style="99" bestFit="1" customWidth="1"/>
    <col min="2" max="2" width="11.5703125" style="99" bestFit="1" customWidth="1"/>
    <col min="3" max="22" width="10.28515625" style="99" bestFit="1" customWidth="1"/>
    <col min="23" max="23" width="12.7109375" style="99" bestFit="1" customWidth="1"/>
    <col min="24" max="16384" width="9.28515625" style="99"/>
  </cols>
  <sheetData>
    <row r="2" spans="1:23" x14ac:dyDescent="0.2">
      <c r="B2" s="100"/>
    </row>
    <row r="4" spans="1:23" x14ac:dyDescent="0.2">
      <c r="A4" s="101" t="s">
        <v>86</v>
      </c>
      <c r="B4" s="102">
        <v>1</v>
      </c>
      <c r="C4" s="102">
        <v>2</v>
      </c>
      <c r="D4" s="102">
        <v>3</v>
      </c>
      <c r="E4" s="102">
        <v>4</v>
      </c>
      <c r="F4" s="102">
        <v>5</v>
      </c>
      <c r="G4" s="102">
        <v>6</v>
      </c>
      <c r="H4" s="102">
        <v>7</v>
      </c>
      <c r="I4" s="102">
        <v>8</v>
      </c>
      <c r="J4" s="102">
        <v>9</v>
      </c>
      <c r="K4" s="102">
        <v>10</v>
      </c>
      <c r="L4" s="102">
        <v>11</v>
      </c>
      <c r="M4" s="102">
        <v>12</v>
      </c>
      <c r="N4" s="102">
        <v>13</v>
      </c>
      <c r="O4" s="102">
        <v>14</v>
      </c>
      <c r="P4" s="102">
        <v>15</v>
      </c>
      <c r="Q4" s="102">
        <v>16</v>
      </c>
      <c r="R4" s="102">
        <v>17</v>
      </c>
      <c r="S4" s="102">
        <v>18</v>
      </c>
      <c r="T4" s="102">
        <v>19</v>
      </c>
      <c r="U4" s="102">
        <v>20</v>
      </c>
      <c r="V4" s="102">
        <v>21</v>
      </c>
      <c r="W4" s="102" t="s">
        <v>87</v>
      </c>
    </row>
    <row r="5" spans="1:23" x14ac:dyDescent="0.2">
      <c r="A5" s="103" t="s">
        <v>88</v>
      </c>
      <c r="B5" s="104">
        <v>3.7499999999999999E-2</v>
      </c>
      <c r="C5" s="104">
        <v>7.2190000000000004E-2</v>
      </c>
      <c r="D5" s="104">
        <v>6.6769999999999996E-2</v>
      </c>
      <c r="E5" s="104">
        <v>6.1769999999999999E-2</v>
      </c>
      <c r="F5" s="104">
        <v>5.713E-2</v>
      </c>
      <c r="G5" s="104">
        <v>5.2850000000000001E-2</v>
      </c>
      <c r="H5" s="104">
        <v>4.888E-2</v>
      </c>
      <c r="I5" s="104">
        <v>4.5220000000000003E-2</v>
      </c>
      <c r="J5" s="104">
        <v>4.462E-2</v>
      </c>
      <c r="K5" s="104">
        <v>4.4610000000000004E-2</v>
      </c>
      <c r="L5" s="104">
        <v>4.462E-2</v>
      </c>
      <c r="M5" s="104">
        <v>4.4610000000000004E-2</v>
      </c>
      <c r="N5" s="104">
        <v>4.462E-2</v>
      </c>
      <c r="O5" s="104">
        <v>4.4610000000000004E-2</v>
      </c>
      <c r="P5" s="104">
        <v>4.462E-2</v>
      </c>
      <c r="Q5" s="104">
        <v>4.4610000000000004E-2</v>
      </c>
      <c r="R5" s="104">
        <v>4.462E-2</v>
      </c>
      <c r="S5" s="104">
        <v>4.4610000000000004E-2</v>
      </c>
      <c r="T5" s="104">
        <v>4.462E-2</v>
      </c>
      <c r="U5" s="104">
        <v>4.4610000000000004E-2</v>
      </c>
      <c r="V5" s="104">
        <v>2.231E-2</v>
      </c>
      <c r="W5" s="104">
        <f>SUM(B5:V5)</f>
        <v>1.0000000000000002</v>
      </c>
    </row>
    <row r="6" spans="1:23" x14ac:dyDescent="0.2">
      <c r="A6" s="103" t="s">
        <v>89</v>
      </c>
      <c r="B6" s="104">
        <f>B5*0.5+0.5</f>
        <v>0.51875000000000004</v>
      </c>
      <c r="C6" s="104">
        <f>C5*0.5</f>
        <v>3.6095000000000002E-2</v>
      </c>
      <c r="D6" s="104">
        <f t="shared" ref="D6:V6" si="0">D5*0.5</f>
        <v>3.3384999999999998E-2</v>
      </c>
      <c r="E6" s="104">
        <f t="shared" si="0"/>
        <v>3.0884999999999999E-2</v>
      </c>
      <c r="F6" s="104">
        <f t="shared" si="0"/>
        <v>2.8565E-2</v>
      </c>
      <c r="G6" s="104">
        <f t="shared" si="0"/>
        <v>2.6425000000000001E-2</v>
      </c>
      <c r="H6" s="104">
        <f t="shared" si="0"/>
        <v>2.444E-2</v>
      </c>
      <c r="I6" s="104">
        <f t="shared" si="0"/>
        <v>2.2610000000000002E-2</v>
      </c>
      <c r="J6" s="104">
        <f t="shared" si="0"/>
        <v>2.231E-2</v>
      </c>
      <c r="K6" s="104">
        <f t="shared" si="0"/>
        <v>2.2305000000000002E-2</v>
      </c>
      <c r="L6" s="104">
        <f t="shared" si="0"/>
        <v>2.231E-2</v>
      </c>
      <c r="M6" s="104">
        <f t="shared" si="0"/>
        <v>2.2305000000000002E-2</v>
      </c>
      <c r="N6" s="104">
        <f t="shared" si="0"/>
        <v>2.231E-2</v>
      </c>
      <c r="O6" s="104">
        <f t="shared" si="0"/>
        <v>2.2305000000000002E-2</v>
      </c>
      <c r="P6" s="104">
        <f t="shared" si="0"/>
        <v>2.231E-2</v>
      </c>
      <c r="Q6" s="104">
        <f t="shared" si="0"/>
        <v>2.2305000000000002E-2</v>
      </c>
      <c r="R6" s="104">
        <f t="shared" si="0"/>
        <v>2.231E-2</v>
      </c>
      <c r="S6" s="104">
        <f t="shared" si="0"/>
        <v>2.2305000000000002E-2</v>
      </c>
      <c r="T6" s="104">
        <f t="shared" si="0"/>
        <v>2.231E-2</v>
      </c>
      <c r="U6" s="104">
        <f t="shared" si="0"/>
        <v>2.2305000000000002E-2</v>
      </c>
      <c r="V6" s="104">
        <f t="shared" si="0"/>
        <v>1.1155E-2</v>
      </c>
      <c r="W6" s="104">
        <f>SUM(B6:V6)</f>
        <v>1.0000000000000004</v>
      </c>
    </row>
    <row r="7" spans="1:23" x14ac:dyDescent="0.2">
      <c r="A7" s="103" t="s">
        <v>90</v>
      </c>
      <c r="B7" s="104">
        <f>B5*0.6+0.4</f>
        <v>0.42250000000000004</v>
      </c>
      <c r="C7" s="104">
        <f>C5*0.6</f>
        <v>4.3313999999999998E-2</v>
      </c>
      <c r="D7" s="104">
        <f t="shared" ref="D7:V7" si="1">D5*0.6</f>
        <v>4.0061999999999993E-2</v>
      </c>
      <c r="E7" s="104">
        <f t="shared" si="1"/>
        <v>3.7061999999999998E-2</v>
      </c>
      <c r="F7" s="104">
        <f t="shared" si="1"/>
        <v>3.4277999999999996E-2</v>
      </c>
      <c r="G7" s="104">
        <f t="shared" si="1"/>
        <v>3.1710000000000002E-2</v>
      </c>
      <c r="H7" s="104">
        <f t="shared" si="1"/>
        <v>2.9328E-2</v>
      </c>
      <c r="I7" s="104">
        <f t="shared" si="1"/>
        <v>2.7132E-2</v>
      </c>
      <c r="J7" s="104">
        <f t="shared" si="1"/>
        <v>2.6772000000000001E-2</v>
      </c>
      <c r="K7" s="104">
        <f t="shared" si="1"/>
        <v>2.6766000000000002E-2</v>
      </c>
      <c r="L7" s="104">
        <f t="shared" si="1"/>
        <v>2.6772000000000001E-2</v>
      </c>
      <c r="M7" s="104">
        <f t="shared" si="1"/>
        <v>2.6766000000000002E-2</v>
      </c>
      <c r="N7" s="104">
        <f t="shared" si="1"/>
        <v>2.6772000000000001E-2</v>
      </c>
      <c r="O7" s="104">
        <f t="shared" si="1"/>
        <v>2.6766000000000002E-2</v>
      </c>
      <c r="P7" s="104">
        <f t="shared" si="1"/>
        <v>2.6772000000000001E-2</v>
      </c>
      <c r="Q7" s="104">
        <f t="shared" si="1"/>
        <v>2.6766000000000002E-2</v>
      </c>
      <c r="R7" s="104">
        <f t="shared" si="1"/>
        <v>2.6772000000000001E-2</v>
      </c>
      <c r="S7" s="104">
        <f t="shared" si="1"/>
        <v>2.6766000000000002E-2</v>
      </c>
      <c r="T7" s="104">
        <f t="shared" si="1"/>
        <v>2.6772000000000001E-2</v>
      </c>
      <c r="U7" s="104">
        <f t="shared" si="1"/>
        <v>2.6766000000000002E-2</v>
      </c>
      <c r="V7" s="104">
        <f t="shared" si="1"/>
        <v>1.3386E-2</v>
      </c>
      <c r="W7" s="104">
        <f>SUM(B7:V7)</f>
        <v>1</v>
      </c>
    </row>
  </sheetData>
  <pageMargins left="0.7" right="0.7" top="0.75" bottom="0.75" header="0.3" footer="0.3"/>
  <pageSetup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J40" sqref="J40"/>
    </sheetView>
  </sheetViews>
  <sheetFormatPr defaultRowHeight="12.75" x14ac:dyDescent="0.2"/>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7" activePane="bottomRight" state="frozen"/>
      <selection activeCell="F17" sqref="F17"/>
      <selection pane="topRight" activeCell="F17" sqref="F17"/>
      <selection pane="bottomLeft" activeCell="F17" sqref="F17"/>
      <selection pane="bottomRight" activeCell="AP66" sqref="AP66"/>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6.5703125" style="3" customWidth="1"/>
    <col min="47" max="47" width="15" style="3" bestFit="1" customWidth="1"/>
    <col min="48" max="48" width="12.28515625" style="3" bestFit="1" customWidth="1"/>
    <col min="49" max="16384" width="10.28515625" style="3"/>
  </cols>
  <sheetData>
    <row r="1" spans="1:41" ht="17.25" customHeight="1" x14ac:dyDescent="0.25">
      <c r="A1" s="1" t="s">
        <v>0</v>
      </c>
      <c r="B1" s="2"/>
      <c r="C1" s="2"/>
      <c r="E1" s="497"/>
      <c r="F1" s="497"/>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04" t="s">
        <v>241</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28"/>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GRC'!J38</f>
        <v>4.7447000000000003E-2</v>
      </c>
      <c r="G16" s="174" t="s">
        <v>256</v>
      </c>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'2022 C&amp;OM'!G7</f>
        <v>2.52211164896535E-2</v>
      </c>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5.75" thickBot="1" x14ac:dyDescent="0.25">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353">
        <f>'2022 C&amp;OM'!F6</f>
        <v>46183711.829999961</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2022</v>
      </c>
      <c r="F26" s="82">
        <v>2023</v>
      </c>
      <c r="G26" s="82">
        <v>2024</v>
      </c>
      <c r="H26" s="82">
        <v>2025</v>
      </c>
      <c r="I26" s="82">
        <v>2026</v>
      </c>
      <c r="J26" s="82">
        <v>2027</v>
      </c>
      <c r="K26" s="82">
        <v>2028</v>
      </c>
      <c r="L26" s="82">
        <v>2029</v>
      </c>
      <c r="M26" s="82">
        <v>2030</v>
      </c>
      <c r="N26" s="82">
        <v>2031</v>
      </c>
      <c r="O26" s="82">
        <v>2032</v>
      </c>
      <c r="P26" s="82">
        <v>2033</v>
      </c>
      <c r="Q26" s="82">
        <v>2034</v>
      </c>
      <c r="R26" s="82">
        <v>2035</v>
      </c>
      <c r="S26" s="82">
        <v>2036</v>
      </c>
      <c r="T26" s="82">
        <v>2037</v>
      </c>
      <c r="U26" s="82">
        <v>2038</v>
      </c>
      <c r="V26" s="82">
        <v>2039</v>
      </c>
      <c r="W26" s="82">
        <v>2040</v>
      </c>
      <c r="X26" s="82">
        <v>2041</v>
      </c>
      <c r="Y26" s="82">
        <v>2042</v>
      </c>
      <c r="Z26" s="82">
        <v>2043</v>
      </c>
      <c r="AA26" s="82">
        <v>2044</v>
      </c>
      <c r="AB26" s="82">
        <v>2045</v>
      </c>
      <c r="AC26" s="82">
        <v>2046</v>
      </c>
      <c r="AD26" s="82">
        <v>2047</v>
      </c>
      <c r="AE26" s="82">
        <v>2048</v>
      </c>
      <c r="AF26" s="82">
        <v>2049</v>
      </c>
      <c r="AG26" s="82">
        <v>2050</v>
      </c>
      <c r="AH26" s="82">
        <v>2051</v>
      </c>
      <c r="AI26" s="82">
        <v>2052</v>
      </c>
      <c r="AJ26" s="82">
        <v>2053</v>
      </c>
      <c r="AK26" s="82">
        <v>2054</v>
      </c>
      <c r="AL26" s="82">
        <v>2055</v>
      </c>
      <c r="AM26" s="82">
        <v>2056</v>
      </c>
      <c r="AN26" s="82">
        <v>2057</v>
      </c>
      <c r="AO26" s="82">
        <v>2058</v>
      </c>
      <c r="AP26" s="82">
        <v>2059</v>
      </c>
      <c r="AQ26" s="82">
        <v>2060</v>
      </c>
      <c r="AR26" s="82">
        <v>2061</v>
      </c>
      <c r="AS26" s="82"/>
    </row>
    <row r="27" spans="1:48" x14ac:dyDescent="0.2">
      <c r="A27" s="204">
        <v>1</v>
      </c>
      <c r="B27" s="2" t="s">
        <v>123</v>
      </c>
      <c r="C27" s="2"/>
      <c r="D27" s="112"/>
      <c r="E27" s="38">
        <f>$F22*$F17</f>
        <v>1164804.7759890174</v>
      </c>
      <c r="F27" s="95">
        <f>$F22*$F17</f>
        <v>1164804.7759890174</v>
      </c>
      <c r="G27" s="95">
        <f>$F22*$F17</f>
        <v>1164804.7759890174</v>
      </c>
      <c r="H27" s="95">
        <f t="shared" ref="H27:AQ27" si="0">$F22*$F17</f>
        <v>1164804.7759890174</v>
      </c>
      <c r="I27" s="95">
        <f t="shared" si="0"/>
        <v>1164804.7759890174</v>
      </c>
      <c r="J27" s="95">
        <f t="shared" si="0"/>
        <v>1164804.7759890174</v>
      </c>
      <c r="K27" s="95">
        <f t="shared" si="0"/>
        <v>1164804.7759890174</v>
      </c>
      <c r="L27" s="95">
        <f t="shared" si="0"/>
        <v>1164804.7759890174</v>
      </c>
      <c r="M27" s="95">
        <f t="shared" si="0"/>
        <v>1164804.7759890174</v>
      </c>
      <c r="N27" s="95">
        <f t="shared" si="0"/>
        <v>1164804.7759890174</v>
      </c>
      <c r="O27" s="95">
        <f t="shared" si="0"/>
        <v>1164804.7759890174</v>
      </c>
      <c r="P27" s="95">
        <f t="shared" si="0"/>
        <v>1164804.7759890174</v>
      </c>
      <c r="Q27" s="95">
        <f t="shared" si="0"/>
        <v>1164804.7759890174</v>
      </c>
      <c r="R27" s="95">
        <f t="shared" si="0"/>
        <v>1164804.7759890174</v>
      </c>
      <c r="S27" s="95">
        <f t="shared" si="0"/>
        <v>1164804.7759890174</v>
      </c>
      <c r="T27" s="95">
        <f t="shared" si="0"/>
        <v>1164804.7759890174</v>
      </c>
      <c r="U27" s="95">
        <f t="shared" si="0"/>
        <v>1164804.7759890174</v>
      </c>
      <c r="V27" s="95">
        <f t="shared" si="0"/>
        <v>1164804.7759890174</v>
      </c>
      <c r="W27" s="95">
        <f t="shared" si="0"/>
        <v>1164804.7759890174</v>
      </c>
      <c r="X27" s="95">
        <f t="shared" si="0"/>
        <v>1164804.7759890174</v>
      </c>
      <c r="Y27" s="95">
        <f t="shared" si="0"/>
        <v>1164804.7759890174</v>
      </c>
      <c r="Z27" s="95">
        <f t="shared" si="0"/>
        <v>1164804.7759890174</v>
      </c>
      <c r="AA27" s="95">
        <f t="shared" si="0"/>
        <v>1164804.7759890174</v>
      </c>
      <c r="AB27" s="95">
        <f t="shared" si="0"/>
        <v>1164804.7759890174</v>
      </c>
      <c r="AC27" s="95">
        <f t="shared" si="0"/>
        <v>1164804.7759890174</v>
      </c>
      <c r="AD27" s="95">
        <f t="shared" si="0"/>
        <v>1164804.7759890174</v>
      </c>
      <c r="AE27" s="95">
        <f t="shared" si="0"/>
        <v>1164804.7759890174</v>
      </c>
      <c r="AF27" s="95">
        <f t="shared" si="0"/>
        <v>1164804.7759890174</v>
      </c>
      <c r="AG27" s="95">
        <f t="shared" si="0"/>
        <v>1164804.7759890174</v>
      </c>
      <c r="AH27" s="95">
        <f t="shared" si="0"/>
        <v>1164804.7759890174</v>
      </c>
      <c r="AI27" s="95">
        <f t="shared" si="0"/>
        <v>1164804.7759890174</v>
      </c>
      <c r="AJ27" s="95">
        <f t="shared" si="0"/>
        <v>1164804.7759890174</v>
      </c>
      <c r="AK27" s="95">
        <f t="shared" si="0"/>
        <v>1164804.7759890174</v>
      </c>
      <c r="AL27" s="95">
        <f t="shared" si="0"/>
        <v>1164804.7759890174</v>
      </c>
      <c r="AM27" s="95">
        <f t="shared" si="0"/>
        <v>1164804.7759890174</v>
      </c>
      <c r="AN27" s="95">
        <f t="shared" si="0"/>
        <v>1164804.7759890174</v>
      </c>
      <c r="AO27" s="95">
        <f t="shared" si="0"/>
        <v>1164804.7759890174</v>
      </c>
      <c r="AP27" s="95">
        <f t="shared" si="0"/>
        <v>1164804.7759890174</v>
      </c>
      <c r="AQ27" s="95">
        <f t="shared" si="0"/>
        <v>1164804.7759890174</v>
      </c>
      <c r="AR27" s="95">
        <f>$F22*$F17-408479.21</f>
        <v>756325.56598901749</v>
      </c>
      <c r="AS27" s="95"/>
      <c r="AT27" s="97">
        <f>SUM(D27:AS27)</f>
        <v>46183711.829560727</v>
      </c>
      <c r="AU27" s="22">
        <f>F22</f>
        <v>46183711.829999961</v>
      </c>
      <c r="AV27" s="97">
        <f>+AU27-AT27</f>
        <v>4.3923407793045044E-4</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row>
    <row r="29" spans="1:48" x14ac:dyDescent="0.2">
      <c r="A29" s="204">
        <f>A27+1</f>
        <v>2</v>
      </c>
      <c r="B29" s="2" t="s">
        <v>54</v>
      </c>
      <c r="C29" s="2"/>
      <c r="D29" s="112"/>
      <c r="E29" s="38">
        <f>E53</f>
        <v>552035.37617265771</v>
      </c>
      <c r="F29" s="95">
        <f t="shared" ref="F29:AR29" si="1">F53</f>
        <v>534433.54432736395</v>
      </c>
      <c r="G29" s="95">
        <f t="shared" si="1"/>
        <v>515111.199704642</v>
      </c>
      <c r="H29" s="95">
        <f t="shared" si="1"/>
        <v>496401.35057699354</v>
      </c>
      <c r="I29" s="95">
        <f t="shared" si="1"/>
        <v>478258.1479534246</v>
      </c>
      <c r="J29" s="95">
        <f t="shared" si="1"/>
        <v>460639.26968840236</v>
      </c>
      <c r="K29" s="95">
        <f t="shared" si="1"/>
        <v>443505.33267427789</v>
      </c>
      <c r="L29" s="95">
        <f t="shared" si="1"/>
        <v>426819.8928412869</v>
      </c>
      <c r="M29" s="95">
        <f t="shared" si="1"/>
        <v>410384.85903603211</v>
      </c>
      <c r="N29" s="95">
        <f t="shared" si="1"/>
        <v>393985.6814929652</v>
      </c>
      <c r="O29" s="95">
        <f t="shared" si="1"/>
        <v>377586.503949898</v>
      </c>
      <c r="P29" s="95">
        <f t="shared" si="1"/>
        <v>361187.32640683104</v>
      </c>
      <c r="Q29" s="95">
        <f t="shared" si="1"/>
        <v>344788.1488637639</v>
      </c>
      <c r="R29" s="95">
        <f t="shared" si="1"/>
        <v>328388.97132069693</v>
      </c>
      <c r="S29" s="95">
        <f t="shared" si="1"/>
        <v>311989.79377762979</v>
      </c>
      <c r="T29" s="95">
        <f t="shared" si="1"/>
        <v>295590.61623456277</v>
      </c>
      <c r="U29" s="95">
        <f t="shared" si="1"/>
        <v>279191.43869149568</v>
      </c>
      <c r="V29" s="95">
        <f t="shared" si="1"/>
        <v>262792.2611484286</v>
      </c>
      <c r="W29" s="95">
        <f t="shared" si="1"/>
        <v>246393.08360536155</v>
      </c>
      <c r="X29" s="95">
        <f t="shared" si="1"/>
        <v>229993.9060622945</v>
      </c>
      <c r="Y29" s="95">
        <f t="shared" si="1"/>
        <v>214906.12722317071</v>
      </c>
      <c r="Z29" s="95">
        <f t="shared" si="1"/>
        <v>202440.55798435659</v>
      </c>
      <c r="AA29" s="95">
        <f t="shared" si="1"/>
        <v>191286.38744948574</v>
      </c>
      <c r="AB29" s="95">
        <f t="shared" si="1"/>
        <v>180132.2169146149</v>
      </c>
      <c r="AC29" s="95">
        <f t="shared" si="1"/>
        <v>168978.04637974408</v>
      </c>
      <c r="AD29" s="95">
        <f t="shared" si="1"/>
        <v>157823.87584487326</v>
      </c>
      <c r="AE29" s="95">
        <f t="shared" si="1"/>
        <v>146669.70531000241</v>
      </c>
      <c r="AF29" s="95">
        <f t="shared" si="1"/>
        <v>135515.53477513156</v>
      </c>
      <c r="AG29" s="95">
        <f t="shared" si="1"/>
        <v>124361.36424026071</v>
      </c>
      <c r="AH29" s="95">
        <f t="shared" si="1"/>
        <v>113207.19370538992</v>
      </c>
      <c r="AI29" s="95">
        <f t="shared" si="1"/>
        <v>102053.02317051907</v>
      </c>
      <c r="AJ29" s="95">
        <f t="shared" si="1"/>
        <v>90898.852635648233</v>
      </c>
      <c r="AK29" s="95">
        <f t="shared" si="1"/>
        <v>79744.682100777398</v>
      </c>
      <c r="AL29" s="95">
        <f t="shared" si="1"/>
        <v>68590.511565906549</v>
      </c>
      <c r="AM29" s="95">
        <f t="shared" si="1"/>
        <v>57436.341031035714</v>
      </c>
      <c r="AN29" s="95">
        <f t="shared" si="1"/>
        <v>46282.170496164865</v>
      </c>
      <c r="AO29" s="95">
        <f t="shared" si="1"/>
        <v>35127.99996129403</v>
      </c>
      <c r="AP29" s="95">
        <f t="shared" si="1"/>
        <v>23973.829426423188</v>
      </c>
      <c r="AQ29" s="95">
        <f t="shared" si="1"/>
        <v>12819.658891552343</v>
      </c>
      <c r="AR29" s="95">
        <f t="shared" si="1"/>
        <v>3621.2868141614622</v>
      </c>
      <c r="AS29" s="95"/>
      <c r="AT29" s="97">
        <f>SUM(D29:AS29)</f>
        <v>9905346.0704495236</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8"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2" spans="1:48" x14ac:dyDescent="0.2">
      <c r="A32" s="204">
        <f>A29+1</f>
        <v>3</v>
      </c>
      <c r="B32" s="2"/>
      <c r="C32" s="2"/>
      <c r="D32" s="112"/>
      <c r="E32" s="38">
        <f>E49*$F10</f>
        <v>0</v>
      </c>
      <c r="F32" s="95">
        <f t="shared" ref="F32:AR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c r="AT32" s="97">
        <f t="shared" ref="AT32:AT42" si="3">SUM(D32:AS32)</f>
        <v>0</v>
      </c>
    </row>
    <row r="33" spans="1:46" x14ac:dyDescent="0.2">
      <c r="A33" s="204">
        <f>A32+1</f>
        <v>4</v>
      </c>
      <c r="B33" s="13"/>
      <c r="C33" s="13" t="s">
        <v>102</v>
      </c>
      <c r="D33" s="112"/>
      <c r="E33" s="38">
        <f>E49*$F11</f>
        <v>1288831.9658617489</v>
      </c>
      <c r="F33" s="95">
        <f t="shared" ref="F33:AR33" si="4">F49*$F11</f>
        <v>1247737.1293365576</v>
      </c>
      <c r="G33" s="95">
        <f t="shared" si="4"/>
        <v>1202625.4272970636</v>
      </c>
      <c r="H33" s="95">
        <f t="shared" si="4"/>
        <v>1158943.7129124734</v>
      </c>
      <c r="I33" s="95">
        <f t="shared" si="4"/>
        <v>1116584.9429610188</v>
      </c>
      <c r="J33" s="95">
        <f t="shared" si="4"/>
        <v>1075450.3083149134</v>
      </c>
      <c r="K33" s="95">
        <f t="shared" si="4"/>
        <v>1035447.8615913565</v>
      </c>
      <c r="L33" s="95">
        <f t="shared" si="4"/>
        <v>996492.51715253247</v>
      </c>
      <c r="M33" s="95">
        <f t="shared" si="4"/>
        <v>958121.79338644224</v>
      </c>
      <c r="N33" s="95">
        <f t="shared" si="4"/>
        <v>919834.78290917119</v>
      </c>
      <c r="O33" s="95">
        <f t="shared" si="4"/>
        <v>881547.77243189956</v>
      </c>
      <c r="P33" s="95">
        <f t="shared" si="4"/>
        <v>843260.7619546284</v>
      </c>
      <c r="Q33" s="95">
        <f t="shared" si="4"/>
        <v>804973.751477357</v>
      </c>
      <c r="R33" s="95">
        <f t="shared" si="4"/>
        <v>766686.74100008572</v>
      </c>
      <c r="S33" s="95">
        <f t="shared" si="4"/>
        <v>728399.73052281432</v>
      </c>
      <c r="T33" s="95">
        <f t="shared" si="4"/>
        <v>690112.72004554293</v>
      </c>
      <c r="U33" s="95">
        <f t="shared" si="4"/>
        <v>651825.70956827153</v>
      </c>
      <c r="V33" s="95">
        <f t="shared" si="4"/>
        <v>613538.69909100025</v>
      </c>
      <c r="W33" s="95">
        <f t="shared" si="4"/>
        <v>575251.68861372885</v>
      </c>
      <c r="X33" s="95">
        <f t="shared" si="4"/>
        <v>536964.67813645757</v>
      </c>
      <c r="Y33" s="95">
        <f t="shared" si="4"/>
        <v>501739.37827155669</v>
      </c>
      <c r="Z33" s="95">
        <f t="shared" si="4"/>
        <v>472636.12728239986</v>
      </c>
      <c r="AA33" s="95">
        <f t="shared" si="4"/>
        <v>446594.58690561331</v>
      </c>
      <c r="AB33" s="95">
        <f t="shared" si="4"/>
        <v>420553.04652882682</v>
      </c>
      <c r="AC33" s="95">
        <f t="shared" si="4"/>
        <v>394511.50615204033</v>
      </c>
      <c r="AD33" s="95">
        <f t="shared" si="4"/>
        <v>368469.96577525383</v>
      </c>
      <c r="AE33" s="95">
        <f t="shared" si="4"/>
        <v>342428.4253984674</v>
      </c>
      <c r="AF33" s="95">
        <f t="shared" si="4"/>
        <v>316386.88502168091</v>
      </c>
      <c r="AG33" s="95">
        <f t="shared" si="4"/>
        <v>290345.34464489436</v>
      </c>
      <c r="AH33" s="95">
        <f t="shared" si="4"/>
        <v>264303.80426810798</v>
      </c>
      <c r="AI33" s="95">
        <f t="shared" si="4"/>
        <v>238262.26389132155</v>
      </c>
      <c r="AJ33" s="95">
        <f t="shared" si="4"/>
        <v>212220.72351453503</v>
      </c>
      <c r="AK33" s="95">
        <f t="shared" si="4"/>
        <v>186179.18313774857</v>
      </c>
      <c r="AL33" s="95">
        <f t="shared" si="4"/>
        <v>160137.64276096207</v>
      </c>
      <c r="AM33" s="95">
        <f t="shared" si="4"/>
        <v>134096.10238417558</v>
      </c>
      <c r="AN33" s="95">
        <f t="shared" si="4"/>
        <v>108054.56200738909</v>
      </c>
      <c r="AO33" s="95">
        <f t="shared" si="4"/>
        <v>82013.021630602612</v>
      </c>
      <c r="AP33" s="95">
        <f t="shared" si="4"/>
        <v>55971.48125381612</v>
      </c>
      <c r="AQ33" s="95">
        <f t="shared" si="4"/>
        <v>29929.940877029632</v>
      </c>
      <c r="AR33" s="95">
        <f t="shared" si="4"/>
        <v>8454.5853492280512</v>
      </c>
      <c r="AS33" s="95"/>
      <c r="AT33" s="97">
        <f t="shared" si="3"/>
        <v>23125921.271620713</v>
      </c>
    </row>
    <row r="34" spans="1:46" x14ac:dyDescent="0.2">
      <c r="A34" s="204">
        <f>A33+1</f>
        <v>5</v>
      </c>
      <c r="B34" s="2"/>
      <c r="C34" s="2" t="s">
        <v>9</v>
      </c>
      <c r="D34" s="112"/>
      <c r="E34" s="40">
        <f>E49*$F12</f>
        <v>2076704.5103638077</v>
      </c>
      <c r="F34" s="93">
        <f t="shared" ref="F34:AR34" si="5">F49*$F12</f>
        <v>2010488.0953267501</v>
      </c>
      <c r="G34" s="93">
        <f t="shared" si="5"/>
        <v>1937799.2750793677</v>
      </c>
      <c r="H34" s="93">
        <f t="shared" si="5"/>
        <v>1867414.6045515474</v>
      </c>
      <c r="I34" s="93">
        <f t="shared" si="5"/>
        <v>1799161.6042057404</v>
      </c>
      <c r="J34" s="93">
        <f t="shared" si="5"/>
        <v>1732881.0621611327</v>
      </c>
      <c r="K34" s="93">
        <f t="shared" si="5"/>
        <v>1668424.8229175215</v>
      </c>
      <c r="L34" s="93">
        <f t="shared" si="5"/>
        <v>1605655.7873553175</v>
      </c>
      <c r="M34" s="93">
        <f t="shared" si="5"/>
        <v>1543828.7554212639</v>
      </c>
      <c r="N34" s="93">
        <f t="shared" si="5"/>
        <v>1482136.6113306787</v>
      </c>
      <c r="O34" s="93">
        <f t="shared" si="5"/>
        <v>1420444.4672400926</v>
      </c>
      <c r="P34" s="93">
        <f t="shared" si="5"/>
        <v>1358752.3231495074</v>
      </c>
      <c r="Q34" s="93">
        <f t="shared" si="5"/>
        <v>1297060.1790589215</v>
      </c>
      <c r="R34" s="93">
        <f t="shared" si="5"/>
        <v>1235368.0349683361</v>
      </c>
      <c r="S34" s="93">
        <f t="shared" si="5"/>
        <v>1173675.8908777502</v>
      </c>
      <c r="T34" s="93">
        <f t="shared" si="5"/>
        <v>1111983.7467871648</v>
      </c>
      <c r="U34" s="93">
        <f t="shared" si="5"/>
        <v>1050291.6026965789</v>
      </c>
      <c r="V34" s="93">
        <f t="shared" si="5"/>
        <v>988599.45860599354</v>
      </c>
      <c r="W34" s="93">
        <f t="shared" si="5"/>
        <v>926907.31451540778</v>
      </c>
      <c r="X34" s="93">
        <f t="shared" si="5"/>
        <v>865215.17042482225</v>
      </c>
      <c r="Y34" s="93">
        <f t="shared" si="5"/>
        <v>808456.38336335646</v>
      </c>
      <c r="Z34" s="93">
        <f t="shared" si="5"/>
        <v>761562.09908400825</v>
      </c>
      <c r="AA34" s="93">
        <f t="shared" si="5"/>
        <v>719601.17183377978</v>
      </c>
      <c r="AB34" s="93">
        <f t="shared" si="5"/>
        <v>677640.24458355131</v>
      </c>
      <c r="AC34" s="93">
        <f t="shared" si="5"/>
        <v>635679.31733332295</v>
      </c>
      <c r="AD34" s="93">
        <f t="shared" si="5"/>
        <v>593718.39008309459</v>
      </c>
      <c r="AE34" s="93">
        <f t="shared" si="5"/>
        <v>551757.46283286624</v>
      </c>
      <c r="AF34" s="93">
        <f t="shared" si="5"/>
        <v>509796.53558263782</v>
      </c>
      <c r="AG34" s="93">
        <f t="shared" si="5"/>
        <v>467835.60833240935</v>
      </c>
      <c r="AH34" s="93">
        <f t="shared" si="5"/>
        <v>425874.68108218111</v>
      </c>
      <c r="AI34" s="93">
        <f t="shared" si="5"/>
        <v>383913.75383195275</v>
      </c>
      <c r="AJ34" s="93">
        <f t="shared" si="5"/>
        <v>341952.82658172434</v>
      </c>
      <c r="AK34" s="93">
        <f t="shared" si="5"/>
        <v>299991.89933149592</v>
      </c>
      <c r="AL34" s="93">
        <f t="shared" si="5"/>
        <v>258030.97208126751</v>
      </c>
      <c r="AM34" s="93">
        <f t="shared" si="5"/>
        <v>216070.04483103912</v>
      </c>
      <c r="AN34" s="93">
        <f t="shared" si="5"/>
        <v>174109.11758081071</v>
      </c>
      <c r="AO34" s="93">
        <f t="shared" si="5"/>
        <v>132148.19033058229</v>
      </c>
      <c r="AP34" s="93">
        <f t="shared" si="5"/>
        <v>90187.263080353907</v>
      </c>
      <c r="AQ34" s="93">
        <f t="shared" si="5"/>
        <v>48226.335830125485</v>
      </c>
      <c r="AR34" s="93">
        <f t="shared" si="5"/>
        <v>13622.936110416931</v>
      </c>
      <c r="AS34" s="93"/>
      <c r="AT34" s="97">
        <f t="shared" si="3"/>
        <v>37262968.550738655</v>
      </c>
    </row>
    <row r="35" spans="1:46" x14ac:dyDescent="0.2">
      <c r="A35" s="204">
        <f>A34+1</f>
        <v>6</v>
      </c>
      <c r="B35" s="2"/>
      <c r="C35" s="2" t="s">
        <v>58</v>
      </c>
      <c r="D35" s="112"/>
      <c r="E35" s="38">
        <f>E32+E33+E34</f>
        <v>3365536.4762255568</v>
      </c>
      <c r="F35" s="95">
        <f>F32+F33+F34</f>
        <v>3258225.2246633079</v>
      </c>
      <c r="G35" s="95">
        <f>G32+G33+G34</f>
        <v>3140424.7023764313</v>
      </c>
      <c r="H35" s="95">
        <f t="shared" ref="H35:AR35" si="6">H32+H33+H34</f>
        <v>3026358.317464021</v>
      </c>
      <c r="I35" s="95">
        <f t="shared" si="6"/>
        <v>2915746.5471667591</v>
      </c>
      <c r="J35" s="95">
        <f t="shared" si="6"/>
        <v>2808331.3704760461</v>
      </c>
      <c r="K35" s="95">
        <f t="shared" si="6"/>
        <v>2703872.6845088778</v>
      </c>
      <c r="L35" s="95">
        <f t="shared" si="6"/>
        <v>2602148.3045078497</v>
      </c>
      <c r="M35" s="95">
        <f t="shared" si="6"/>
        <v>2501950.5488077062</v>
      </c>
      <c r="N35" s="95">
        <f t="shared" si="6"/>
        <v>2401971.3942398499</v>
      </c>
      <c r="O35" s="95">
        <f t="shared" si="6"/>
        <v>2301992.2396719921</v>
      </c>
      <c r="P35" s="95">
        <f t="shared" si="6"/>
        <v>2202013.0851041358</v>
      </c>
      <c r="Q35" s="95">
        <f t="shared" si="6"/>
        <v>2102033.9305362785</v>
      </c>
      <c r="R35" s="95">
        <f t="shared" si="6"/>
        <v>2002054.7759684217</v>
      </c>
      <c r="S35" s="95">
        <f t="shared" si="6"/>
        <v>1902075.6214005644</v>
      </c>
      <c r="T35" s="95">
        <f t="shared" si="6"/>
        <v>1802096.4668327076</v>
      </c>
      <c r="U35" s="95">
        <f t="shared" si="6"/>
        <v>1702117.3122648504</v>
      </c>
      <c r="V35" s="95">
        <f t="shared" si="6"/>
        <v>1602138.1576969938</v>
      </c>
      <c r="W35" s="95">
        <f t="shared" si="6"/>
        <v>1502159.0031291367</v>
      </c>
      <c r="X35" s="95">
        <f t="shared" si="6"/>
        <v>1402179.8485612799</v>
      </c>
      <c r="Y35" s="95">
        <f t="shared" si="6"/>
        <v>1310195.7616349133</v>
      </c>
      <c r="Z35" s="95">
        <f t="shared" si="6"/>
        <v>1234198.2263664082</v>
      </c>
      <c r="AA35" s="95">
        <f t="shared" si="6"/>
        <v>1166195.7587393932</v>
      </c>
      <c r="AB35" s="95">
        <f t="shared" si="6"/>
        <v>1098193.2911123782</v>
      </c>
      <c r="AC35" s="95">
        <f t="shared" si="6"/>
        <v>1030190.8234853633</v>
      </c>
      <c r="AD35" s="95">
        <f t="shared" si="6"/>
        <v>962188.35585834843</v>
      </c>
      <c r="AE35" s="95">
        <f t="shared" si="6"/>
        <v>894185.88823133358</v>
      </c>
      <c r="AF35" s="95">
        <f t="shared" si="6"/>
        <v>826183.42060431873</v>
      </c>
      <c r="AG35" s="95">
        <f t="shared" si="6"/>
        <v>758180.95297730365</v>
      </c>
      <c r="AH35" s="95">
        <f t="shared" si="6"/>
        <v>690178.48535028915</v>
      </c>
      <c r="AI35" s="95">
        <f t="shared" si="6"/>
        <v>622176.0177232743</v>
      </c>
      <c r="AJ35" s="95">
        <f t="shared" si="6"/>
        <v>554173.55009625934</v>
      </c>
      <c r="AK35" s="95">
        <f t="shared" si="6"/>
        <v>486171.08246924449</v>
      </c>
      <c r="AL35" s="95">
        <f t="shared" si="6"/>
        <v>418168.61484222958</v>
      </c>
      <c r="AM35" s="95">
        <f t="shared" si="6"/>
        <v>350166.14721521467</v>
      </c>
      <c r="AN35" s="95">
        <f t="shared" si="6"/>
        <v>282163.67958819983</v>
      </c>
      <c r="AO35" s="95">
        <f t="shared" si="6"/>
        <v>214161.21196118492</v>
      </c>
      <c r="AP35" s="95">
        <f t="shared" si="6"/>
        <v>146158.74433417001</v>
      </c>
      <c r="AQ35" s="95">
        <f t="shared" si="6"/>
        <v>78156.276707155121</v>
      </c>
      <c r="AR35" s="95">
        <f t="shared" si="6"/>
        <v>22077.52145964498</v>
      </c>
      <c r="AS35" s="95"/>
      <c r="AT35" s="97">
        <f t="shared" si="3"/>
        <v>60388889.822359413</v>
      </c>
    </row>
    <row r="36" spans="1:46"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7">
        <f t="shared" si="3"/>
        <v>0</v>
      </c>
    </row>
    <row r="37" spans="1:46" x14ac:dyDescent="0.2">
      <c r="A37" s="204">
        <f>A35+1</f>
        <v>7</v>
      </c>
      <c r="B37" s="2" t="s">
        <v>59</v>
      </c>
      <c r="C37" s="2"/>
      <c r="D37" s="112"/>
      <c r="E37" s="41">
        <f>E27+E29+E35</f>
        <v>5082376.6283872314</v>
      </c>
      <c r="F37" s="92">
        <f>F27+F29+F35</f>
        <v>4957463.5449796896</v>
      </c>
      <c r="G37" s="92">
        <f t="shared" ref="G37:AR37" si="7">G27+G29+G35</f>
        <v>4820340.6780700907</v>
      </c>
      <c r="H37" s="92">
        <f t="shared" si="7"/>
        <v>4687564.4440300316</v>
      </c>
      <c r="I37" s="92">
        <f t="shared" si="7"/>
        <v>4558809.4711092012</v>
      </c>
      <c r="J37" s="92">
        <f t="shared" si="7"/>
        <v>4433775.4161534663</v>
      </c>
      <c r="K37" s="92">
        <f t="shared" si="7"/>
        <v>4312182.7931721732</v>
      </c>
      <c r="L37" s="92">
        <f t="shared" si="7"/>
        <v>4193772.9733381541</v>
      </c>
      <c r="M37" s="92">
        <f t="shared" si="7"/>
        <v>4077140.1838327558</v>
      </c>
      <c r="N37" s="92">
        <f t="shared" si="7"/>
        <v>3960761.8517218325</v>
      </c>
      <c r="O37" s="92">
        <f t="shared" si="7"/>
        <v>3844383.5196109079</v>
      </c>
      <c r="P37" s="92">
        <f t="shared" si="7"/>
        <v>3728005.1874999842</v>
      </c>
      <c r="Q37" s="92">
        <f t="shared" si="7"/>
        <v>3611626.85538906</v>
      </c>
      <c r="R37" s="92">
        <f t="shared" si="7"/>
        <v>3495248.5232781358</v>
      </c>
      <c r="S37" s="92">
        <f t="shared" si="7"/>
        <v>3378870.1911672116</v>
      </c>
      <c r="T37" s="92">
        <f t="shared" si="7"/>
        <v>3262491.8590562879</v>
      </c>
      <c r="U37" s="92">
        <f t="shared" si="7"/>
        <v>3146113.5269453637</v>
      </c>
      <c r="V37" s="92">
        <f t="shared" si="7"/>
        <v>3029735.19483444</v>
      </c>
      <c r="W37" s="92">
        <f t="shared" si="7"/>
        <v>2913356.8627235158</v>
      </c>
      <c r="X37" s="92">
        <f t="shared" si="7"/>
        <v>2796978.5306125917</v>
      </c>
      <c r="Y37" s="92">
        <f t="shared" si="7"/>
        <v>2689906.6648471016</v>
      </c>
      <c r="Z37" s="92">
        <f t="shared" si="7"/>
        <v>2601443.5603397824</v>
      </c>
      <c r="AA37" s="92">
        <f t="shared" si="7"/>
        <v>2522286.9221778964</v>
      </c>
      <c r="AB37" s="92">
        <f t="shared" si="7"/>
        <v>2443130.2840160104</v>
      </c>
      <c r="AC37" s="92">
        <f t="shared" si="7"/>
        <v>2363973.6458541248</v>
      </c>
      <c r="AD37" s="92">
        <f t="shared" si="7"/>
        <v>2284817.0076922392</v>
      </c>
      <c r="AE37" s="92">
        <f t="shared" si="7"/>
        <v>2205660.3695303537</v>
      </c>
      <c r="AF37" s="92">
        <f t="shared" si="7"/>
        <v>2126503.7313684677</v>
      </c>
      <c r="AG37" s="92">
        <f t="shared" si="7"/>
        <v>2047347.0932065819</v>
      </c>
      <c r="AH37" s="92">
        <f t="shared" si="7"/>
        <v>1968190.4550446966</v>
      </c>
      <c r="AI37" s="92">
        <f t="shared" si="7"/>
        <v>1889033.816882811</v>
      </c>
      <c r="AJ37" s="92">
        <f t="shared" si="7"/>
        <v>1809877.178720925</v>
      </c>
      <c r="AK37" s="92">
        <f t="shared" si="7"/>
        <v>1730720.5405590395</v>
      </c>
      <c r="AL37" s="92">
        <f t="shared" si="7"/>
        <v>1651563.9023971534</v>
      </c>
      <c r="AM37" s="92">
        <f t="shared" si="7"/>
        <v>1572407.2642352679</v>
      </c>
      <c r="AN37" s="92">
        <f t="shared" si="7"/>
        <v>1493250.6260733821</v>
      </c>
      <c r="AO37" s="92">
        <f t="shared" si="7"/>
        <v>1414093.9879114963</v>
      </c>
      <c r="AP37" s="92">
        <f t="shared" si="7"/>
        <v>1334937.3497496108</v>
      </c>
      <c r="AQ37" s="92">
        <f t="shared" si="7"/>
        <v>1255780.711587725</v>
      </c>
      <c r="AR37" s="92">
        <f t="shared" si="7"/>
        <v>782024.37426282396</v>
      </c>
      <c r="AS37" s="92"/>
      <c r="AT37" s="97">
        <f t="shared" si="3"/>
        <v>116477947.7223696</v>
      </c>
    </row>
    <row r="38" spans="1:46" x14ac:dyDescent="0.2">
      <c r="A38" s="204">
        <f>A37+1</f>
        <v>8</v>
      </c>
      <c r="B38" s="2" t="s">
        <v>60</v>
      </c>
      <c r="C38" s="2"/>
      <c r="D38" s="112"/>
      <c r="E38" s="40">
        <f>E37/(1-$F16)-E37</f>
        <v>253154.9676365396</v>
      </c>
      <c r="F38" s="93">
        <f t="shared" ref="F38:AR38" si="8">F37/(1-$F16)-F37</f>
        <v>246933.00301259011</v>
      </c>
      <c r="G38" s="93">
        <f t="shared" si="8"/>
        <v>240102.86477748957</v>
      </c>
      <c r="H38" s="93">
        <f t="shared" si="8"/>
        <v>233489.23385459185</v>
      </c>
      <c r="I38" s="93">
        <f t="shared" si="8"/>
        <v>227075.90336256195</v>
      </c>
      <c r="J38" s="93">
        <f t="shared" si="8"/>
        <v>220847.91310324334</v>
      </c>
      <c r="K38" s="93">
        <f t="shared" si="8"/>
        <v>214791.34178112913</v>
      </c>
      <c r="L38" s="93">
        <f t="shared" si="8"/>
        <v>208893.30700336397</v>
      </c>
      <c r="M38" s="93">
        <f t="shared" si="8"/>
        <v>203083.78673135536</v>
      </c>
      <c r="N38" s="93">
        <f t="shared" si="8"/>
        <v>197286.94107167376</v>
      </c>
      <c r="O38" s="93">
        <f t="shared" si="8"/>
        <v>191490.0954119917</v>
      </c>
      <c r="P38" s="93">
        <f t="shared" si="8"/>
        <v>185693.24975230964</v>
      </c>
      <c r="Q38" s="93">
        <f t="shared" si="8"/>
        <v>179896.40409262758</v>
      </c>
      <c r="R38" s="93">
        <f t="shared" si="8"/>
        <v>174099.55843294552</v>
      </c>
      <c r="S38" s="93">
        <f t="shared" si="8"/>
        <v>168302.71277326392</v>
      </c>
      <c r="T38" s="93">
        <f t="shared" si="8"/>
        <v>162505.86711358186</v>
      </c>
      <c r="U38" s="93">
        <f t="shared" si="8"/>
        <v>156709.0214538998</v>
      </c>
      <c r="V38" s="93">
        <f t="shared" si="8"/>
        <v>150912.1757942182</v>
      </c>
      <c r="W38" s="93">
        <f t="shared" si="8"/>
        <v>145115.33013453614</v>
      </c>
      <c r="X38" s="93">
        <f t="shared" si="8"/>
        <v>139318.48447485408</v>
      </c>
      <c r="Y38" s="93">
        <f t="shared" si="8"/>
        <v>133985.19717748044</v>
      </c>
      <c r="Z38" s="93">
        <f t="shared" si="8"/>
        <v>129578.81882419297</v>
      </c>
      <c r="AA38" s="93">
        <f t="shared" si="8"/>
        <v>125635.9988332144</v>
      </c>
      <c r="AB38" s="93">
        <f t="shared" si="8"/>
        <v>121693.17884223536</v>
      </c>
      <c r="AC38" s="93">
        <f t="shared" si="8"/>
        <v>117750.35885125631</v>
      </c>
      <c r="AD38" s="93">
        <f t="shared" si="8"/>
        <v>113807.53886027727</v>
      </c>
      <c r="AE38" s="93">
        <f t="shared" si="8"/>
        <v>109864.71886929823</v>
      </c>
      <c r="AF38" s="93">
        <f t="shared" si="8"/>
        <v>105921.89887831919</v>
      </c>
      <c r="AG38" s="93">
        <f t="shared" si="8"/>
        <v>101979.07888734038</v>
      </c>
      <c r="AH38" s="93">
        <f t="shared" si="8"/>
        <v>98036.258896361338</v>
      </c>
      <c r="AI38" s="93">
        <f t="shared" si="8"/>
        <v>94093.438905382529</v>
      </c>
      <c r="AJ38" s="93">
        <f t="shared" si="8"/>
        <v>90150.618914403487</v>
      </c>
      <c r="AK38" s="93">
        <f t="shared" si="8"/>
        <v>86207.798923424445</v>
      </c>
      <c r="AL38" s="93">
        <f t="shared" si="8"/>
        <v>82264.978932445403</v>
      </c>
      <c r="AM38" s="93">
        <f t="shared" si="8"/>
        <v>78322.158941466594</v>
      </c>
      <c r="AN38" s="93">
        <f t="shared" si="8"/>
        <v>74379.338950487552</v>
      </c>
      <c r="AO38" s="93">
        <f t="shared" si="8"/>
        <v>70436.51895950851</v>
      </c>
      <c r="AP38" s="93">
        <f t="shared" si="8"/>
        <v>66493.698968529701</v>
      </c>
      <c r="AQ38" s="93">
        <f t="shared" si="8"/>
        <v>62550.878977550659</v>
      </c>
      <c r="AR38" s="93">
        <f t="shared" si="8"/>
        <v>38952.909166889614</v>
      </c>
      <c r="AS38" s="93"/>
      <c r="AT38" s="97">
        <f t="shared" si="3"/>
        <v>5801807.5483288281</v>
      </c>
    </row>
    <row r="39" spans="1:46" x14ac:dyDescent="0.2">
      <c r="A39" s="204">
        <f>A38+1</f>
        <v>9</v>
      </c>
      <c r="B39" s="2"/>
      <c r="C39" s="2" t="s">
        <v>61</v>
      </c>
      <c r="D39" s="112"/>
      <c r="E39" s="41">
        <f>SUM(E37:E38)</f>
        <v>5335531.596023771</v>
      </c>
      <c r="F39" s="92">
        <f t="shared" ref="F39:AR39" si="9">SUM(F37:F38)</f>
        <v>5204396.5479922798</v>
      </c>
      <c r="G39" s="92">
        <f t="shared" si="9"/>
        <v>5060443.5428475803</v>
      </c>
      <c r="H39" s="92">
        <f t="shared" si="9"/>
        <v>4921053.6778846234</v>
      </c>
      <c r="I39" s="92">
        <f t="shared" si="9"/>
        <v>4785885.3744717631</v>
      </c>
      <c r="J39" s="92">
        <f t="shared" si="9"/>
        <v>4654623.3292567097</v>
      </c>
      <c r="K39" s="92">
        <f t="shared" si="9"/>
        <v>4526974.1349533023</v>
      </c>
      <c r="L39" s="92">
        <f t="shared" si="9"/>
        <v>4402666.2803415181</v>
      </c>
      <c r="M39" s="92">
        <f t="shared" si="9"/>
        <v>4280223.9705641111</v>
      </c>
      <c r="N39" s="92">
        <f t="shared" si="9"/>
        <v>4158048.7927935063</v>
      </c>
      <c r="O39" s="92">
        <f t="shared" si="9"/>
        <v>4035873.6150228996</v>
      </c>
      <c r="P39" s="92">
        <f t="shared" si="9"/>
        <v>3913698.4372522938</v>
      </c>
      <c r="Q39" s="92">
        <f t="shared" si="9"/>
        <v>3791523.2594816876</v>
      </c>
      <c r="R39" s="92">
        <f t="shared" si="9"/>
        <v>3669348.0817110813</v>
      </c>
      <c r="S39" s="92">
        <f t="shared" si="9"/>
        <v>3547172.9039404755</v>
      </c>
      <c r="T39" s="92">
        <f t="shared" si="9"/>
        <v>3424997.7261698698</v>
      </c>
      <c r="U39" s="92">
        <f t="shared" si="9"/>
        <v>3302822.5483992635</v>
      </c>
      <c r="V39" s="92">
        <f t="shared" si="9"/>
        <v>3180647.3706286582</v>
      </c>
      <c r="W39" s="92">
        <f t="shared" si="9"/>
        <v>3058472.192858052</v>
      </c>
      <c r="X39" s="92">
        <f t="shared" si="9"/>
        <v>2936297.0150874457</v>
      </c>
      <c r="Y39" s="92">
        <f t="shared" si="9"/>
        <v>2823891.862024582</v>
      </c>
      <c r="Z39" s="92">
        <f t="shared" si="9"/>
        <v>2731022.3791639754</v>
      </c>
      <c r="AA39" s="92">
        <f t="shared" si="9"/>
        <v>2647922.9210111108</v>
      </c>
      <c r="AB39" s="92">
        <f t="shared" si="9"/>
        <v>2564823.4628582457</v>
      </c>
      <c r="AC39" s="92">
        <f t="shared" si="9"/>
        <v>2481724.0047053811</v>
      </c>
      <c r="AD39" s="92">
        <f t="shared" si="9"/>
        <v>2398624.5465525165</v>
      </c>
      <c r="AE39" s="92">
        <f t="shared" si="9"/>
        <v>2315525.0883996519</v>
      </c>
      <c r="AF39" s="92">
        <f t="shared" si="9"/>
        <v>2232425.6302467869</v>
      </c>
      <c r="AG39" s="92">
        <f t="shared" si="9"/>
        <v>2149326.1720939223</v>
      </c>
      <c r="AH39" s="92">
        <f t="shared" si="9"/>
        <v>2066226.7139410579</v>
      </c>
      <c r="AI39" s="92">
        <f t="shared" si="9"/>
        <v>1983127.2557881935</v>
      </c>
      <c r="AJ39" s="92">
        <f t="shared" si="9"/>
        <v>1900027.7976353285</v>
      </c>
      <c r="AK39" s="92">
        <f t="shared" si="9"/>
        <v>1816928.3394824639</v>
      </c>
      <c r="AL39" s="92">
        <f t="shared" si="9"/>
        <v>1733828.8813295988</v>
      </c>
      <c r="AM39" s="92">
        <f t="shared" si="9"/>
        <v>1650729.4231767345</v>
      </c>
      <c r="AN39" s="92">
        <f t="shared" si="9"/>
        <v>1567629.9650238696</v>
      </c>
      <c r="AO39" s="92">
        <f t="shared" si="9"/>
        <v>1484530.5068710048</v>
      </c>
      <c r="AP39" s="92">
        <f t="shared" si="9"/>
        <v>1401431.0487181405</v>
      </c>
      <c r="AQ39" s="92">
        <f t="shared" si="9"/>
        <v>1318331.5905652756</v>
      </c>
      <c r="AR39" s="92">
        <f t="shared" si="9"/>
        <v>820977.28342971357</v>
      </c>
      <c r="AS39" s="92"/>
      <c r="AT39" s="97">
        <f t="shared" si="3"/>
        <v>122279755.27069844</v>
      </c>
    </row>
    <row r="40" spans="1:46" x14ac:dyDescent="0.2">
      <c r="A40" s="204">
        <f t="shared" ref="A40:A66" si="10">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7">
        <f t="shared" si="3"/>
        <v>0</v>
      </c>
    </row>
    <row r="41" spans="1:46" x14ac:dyDescent="0.2">
      <c r="A41" s="204">
        <f t="shared" si="10"/>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7">
        <f t="shared" si="3"/>
        <v>0</v>
      </c>
    </row>
    <row r="42" spans="1:46" x14ac:dyDescent="0.2">
      <c r="A42" s="204">
        <f t="shared" si="10"/>
        <v>12</v>
      </c>
      <c r="B42" s="2" t="s">
        <v>140</v>
      </c>
      <c r="C42" s="2"/>
      <c r="D42" s="112"/>
      <c r="E42" s="40">
        <f>E39</f>
        <v>5335531.596023771</v>
      </c>
      <c r="F42" s="93">
        <f>F39</f>
        <v>5204396.5479922798</v>
      </c>
      <c r="G42" s="93">
        <f t="shared" ref="G42:AR42" si="11">G39</f>
        <v>5060443.5428475803</v>
      </c>
      <c r="H42" s="93">
        <f t="shared" si="11"/>
        <v>4921053.6778846234</v>
      </c>
      <c r="I42" s="93">
        <f t="shared" si="11"/>
        <v>4785885.3744717631</v>
      </c>
      <c r="J42" s="93">
        <f t="shared" si="11"/>
        <v>4654623.3292567097</v>
      </c>
      <c r="K42" s="93">
        <f t="shared" si="11"/>
        <v>4526974.1349533023</v>
      </c>
      <c r="L42" s="93">
        <f t="shared" si="11"/>
        <v>4402666.2803415181</v>
      </c>
      <c r="M42" s="93">
        <f t="shared" si="11"/>
        <v>4280223.9705641111</v>
      </c>
      <c r="N42" s="93">
        <f t="shared" si="11"/>
        <v>4158048.7927935063</v>
      </c>
      <c r="O42" s="93">
        <f t="shared" si="11"/>
        <v>4035873.6150228996</v>
      </c>
      <c r="P42" s="93">
        <f t="shared" si="11"/>
        <v>3913698.4372522938</v>
      </c>
      <c r="Q42" s="93">
        <f t="shared" si="11"/>
        <v>3791523.2594816876</v>
      </c>
      <c r="R42" s="93">
        <f t="shared" si="11"/>
        <v>3669348.0817110813</v>
      </c>
      <c r="S42" s="93">
        <f t="shared" si="11"/>
        <v>3547172.9039404755</v>
      </c>
      <c r="T42" s="93">
        <f t="shared" si="11"/>
        <v>3424997.7261698698</v>
      </c>
      <c r="U42" s="93">
        <f t="shared" si="11"/>
        <v>3302822.5483992635</v>
      </c>
      <c r="V42" s="93">
        <f t="shared" si="11"/>
        <v>3180647.3706286582</v>
      </c>
      <c r="W42" s="93">
        <f t="shared" si="11"/>
        <v>3058472.192858052</v>
      </c>
      <c r="X42" s="93">
        <f t="shared" si="11"/>
        <v>2936297.0150874457</v>
      </c>
      <c r="Y42" s="93">
        <f t="shared" si="11"/>
        <v>2823891.862024582</v>
      </c>
      <c r="Z42" s="93">
        <f t="shared" si="11"/>
        <v>2731022.3791639754</v>
      </c>
      <c r="AA42" s="93">
        <f t="shared" si="11"/>
        <v>2647922.9210111108</v>
      </c>
      <c r="AB42" s="93">
        <f t="shared" si="11"/>
        <v>2564823.4628582457</v>
      </c>
      <c r="AC42" s="93">
        <f t="shared" si="11"/>
        <v>2481724.0047053811</v>
      </c>
      <c r="AD42" s="93">
        <f t="shared" si="11"/>
        <v>2398624.5465525165</v>
      </c>
      <c r="AE42" s="93">
        <f t="shared" si="11"/>
        <v>2315525.0883996519</v>
      </c>
      <c r="AF42" s="93">
        <f t="shared" si="11"/>
        <v>2232425.6302467869</v>
      </c>
      <c r="AG42" s="93">
        <f t="shared" si="11"/>
        <v>2149326.1720939223</v>
      </c>
      <c r="AH42" s="93">
        <f t="shared" si="11"/>
        <v>2066226.7139410579</v>
      </c>
      <c r="AI42" s="93">
        <f t="shared" si="11"/>
        <v>1983127.2557881935</v>
      </c>
      <c r="AJ42" s="93">
        <f t="shared" si="11"/>
        <v>1900027.7976353285</v>
      </c>
      <c r="AK42" s="93">
        <f t="shared" si="11"/>
        <v>1816928.3394824639</v>
      </c>
      <c r="AL42" s="93">
        <f t="shared" si="11"/>
        <v>1733828.8813295988</v>
      </c>
      <c r="AM42" s="93">
        <f t="shared" si="11"/>
        <v>1650729.4231767345</v>
      </c>
      <c r="AN42" s="93">
        <f t="shared" si="11"/>
        <v>1567629.9650238696</v>
      </c>
      <c r="AO42" s="93">
        <f t="shared" si="11"/>
        <v>1484530.5068710048</v>
      </c>
      <c r="AP42" s="93">
        <f t="shared" si="11"/>
        <v>1401431.0487181405</v>
      </c>
      <c r="AQ42" s="93">
        <f t="shared" si="11"/>
        <v>1318331.5905652756</v>
      </c>
      <c r="AR42" s="93">
        <f t="shared" si="11"/>
        <v>820977.28342971357</v>
      </c>
      <c r="AS42" s="93"/>
      <c r="AT42" s="97">
        <f t="shared" si="3"/>
        <v>122279755.27069844</v>
      </c>
    </row>
    <row r="43" spans="1:46" x14ac:dyDescent="0.2">
      <c r="A43" s="204">
        <f t="shared" si="10"/>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204">
        <f t="shared" si="10"/>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204">
        <f t="shared" si="10"/>
        <v>15</v>
      </c>
      <c r="B45" s="2" t="s">
        <v>63</v>
      </c>
      <c r="C45" s="112"/>
      <c r="D45" s="112"/>
      <c r="E45" s="45">
        <f>+E42/$F$22</f>
        <v>0.11552842733090853</v>
      </c>
      <c r="F45" s="94">
        <f t="shared" ref="F45:AR45" si="12">+F42/$F$22</f>
        <v>0.11268900531748975</v>
      </c>
      <c r="G45" s="94">
        <f t="shared" si="12"/>
        <v>0.10957204049503062</v>
      </c>
      <c r="H45" s="94">
        <f t="shared" si="12"/>
        <v>0.10655387977473069</v>
      </c>
      <c r="I45" s="94">
        <f t="shared" si="12"/>
        <v>0.10362712707216733</v>
      </c>
      <c r="J45" s="94">
        <f t="shared" si="12"/>
        <v>0.1007849552324888</v>
      </c>
      <c r="K45" s="94">
        <f t="shared" si="12"/>
        <v>9.8021011208819203E-2</v>
      </c>
      <c r="L45" s="94">
        <f t="shared" si="12"/>
        <v>9.5329416062258546E-2</v>
      </c>
      <c r="M45" s="94">
        <f t="shared" si="12"/>
        <v>9.2678214915237034E-2</v>
      </c>
      <c r="N45" s="94">
        <f t="shared" si="12"/>
        <v>9.0032797885520446E-2</v>
      </c>
      <c r="O45" s="94">
        <f t="shared" si="12"/>
        <v>8.7387380855803831E-2</v>
      </c>
      <c r="P45" s="94">
        <f t="shared" si="12"/>
        <v>8.474196382608723E-2</v>
      </c>
      <c r="Q45" s="94">
        <f t="shared" si="12"/>
        <v>8.2096546796370629E-2</v>
      </c>
      <c r="R45" s="94">
        <f t="shared" si="12"/>
        <v>7.9451129766654027E-2</v>
      </c>
      <c r="S45" s="94">
        <f t="shared" si="12"/>
        <v>7.6805712736937426E-2</v>
      </c>
      <c r="T45" s="94">
        <f t="shared" si="12"/>
        <v>7.4160295707220825E-2</v>
      </c>
      <c r="U45" s="94">
        <f t="shared" si="12"/>
        <v>7.1514878677504223E-2</v>
      </c>
      <c r="V45" s="94">
        <f t="shared" si="12"/>
        <v>6.8869461647787636E-2</v>
      </c>
      <c r="W45" s="94">
        <f t="shared" si="12"/>
        <v>6.6224044618071021E-2</v>
      </c>
      <c r="X45" s="94">
        <f t="shared" si="12"/>
        <v>6.3578627588354419E-2</v>
      </c>
      <c r="Y45" s="94">
        <f t="shared" si="12"/>
        <v>6.1144757537445089E-2</v>
      </c>
      <c r="Z45" s="94">
        <f t="shared" si="12"/>
        <v>5.9133886622555122E-2</v>
      </c>
      <c r="AA45" s="94">
        <f t="shared" si="12"/>
        <v>5.7334562686472419E-2</v>
      </c>
      <c r="AB45" s="94">
        <f t="shared" si="12"/>
        <v>5.5535238750389716E-2</v>
      </c>
      <c r="AC45" s="94">
        <f t="shared" si="12"/>
        <v>5.3735914814307013E-2</v>
      </c>
      <c r="AD45" s="94">
        <f t="shared" si="12"/>
        <v>5.1936590878224317E-2</v>
      </c>
      <c r="AE45" s="94">
        <f t="shared" si="12"/>
        <v>5.0137266942141621E-2</v>
      </c>
      <c r="AF45" s="94">
        <f t="shared" si="12"/>
        <v>4.8337943006058912E-2</v>
      </c>
      <c r="AG45" s="94">
        <f t="shared" si="12"/>
        <v>4.6538619069976216E-2</v>
      </c>
      <c r="AH45" s="94">
        <f t="shared" si="12"/>
        <v>4.473929513389352E-2</v>
      </c>
      <c r="AI45" s="94">
        <f t="shared" si="12"/>
        <v>4.2939971197810831E-2</v>
      </c>
      <c r="AJ45" s="94">
        <f t="shared" si="12"/>
        <v>4.1140647261728121E-2</v>
      </c>
      <c r="AK45" s="94">
        <f t="shared" si="12"/>
        <v>3.9341323325645425E-2</v>
      </c>
      <c r="AL45" s="94">
        <f t="shared" si="12"/>
        <v>3.7541999389562715E-2</v>
      </c>
      <c r="AM45" s="94">
        <f t="shared" si="12"/>
        <v>3.5742675453480019E-2</v>
      </c>
      <c r="AN45" s="94">
        <f t="shared" si="12"/>
        <v>3.3943351517397316E-2</v>
      </c>
      <c r="AO45" s="94">
        <f t="shared" si="12"/>
        <v>3.2144027581314613E-2</v>
      </c>
      <c r="AP45" s="94">
        <f t="shared" si="12"/>
        <v>3.0344703645231921E-2</v>
      </c>
      <c r="AQ45" s="94">
        <f t="shared" si="12"/>
        <v>2.8545379709149218E-2</v>
      </c>
      <c r="AR45" s="94">
        <f t="shared" si="12"/>
        <v>1.7776338256476478E-2</v>
      </c>
      <c r="AS45" s="94"/>
    </row>
    <row r="46" spans="1:46" outlineLevel="1" x14ac:dyDescent="0.2">
      <c r="A46" s="204">
        <f t="shared" si="10"/>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204">
        <f t="shared" si="10"/>
        <v>17</v>
      </c>
      <c r="B47" s="2"/>
      <c r="C47" s="2"/>
      <c r="D47" s="112"/>
      <c r="E47" s="43">
        <f>+E27/2</f>
        <v>582402.38799450872</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204">
        <f t="shared" si="10"/>
        <v>18</v>
      </c>
      <c r="B48" s="2"/>
      <c r="C48" s="2"/>
      <c r="D48" s="112"/>
      <c r="E48" s="43">
        <f>+E60/2</f>
        <v>59543.863851778005</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204">
        <f t="shared" si="10"/>
        <v>19</v>
      </c>
      <c r="B49" s="46" t="s">
        <v>64</v>
      </c>
      <c r="C49" s="2"/>
      <c r="D49" s="112"/>
      <c r="E49" s="41">
        <f>F22-E27/2-E60/2</f>
        <v>45541765.578153677</v>
      </c>
      <c r="F49" s="110">
        <f>$F$22-(SUM($E$27:E27)+F27/2)-(SUM($E$60:E60)+F60/2)</f>
        <v>44089651.21330592</v>
      </c>
      <c r="G49" s="110">
        <f>$F$22-(SUM($E$27:F27)+G27/2)-(SUM($E$60:F60)+G60/2)</f>
        <v>42495598.13770543</v>
      </c>
      <c r="H49" s="110">
        <f>$F$22-(SUM($E$27:G27)+H27/2)-(SUM($E$60:G60)+H60/2)</f>
        <v>40952074.661218144</v>
      </c>
      <c r="I49" s="110">
        <f>$F$22-(SUM($E$27:H27)+I27/2)-(SUM($E$60:H60)+I60/2)</f>
        <v>39455298.337845184</v>
      </c>
      <c r="J49" s="110">
        <f>$F$22-(SUM($E$27:I27)+J27/2)-(SUM($E$60:I60)+J60/2)</f>
        <v>38001777.678972207</v>
      </c>
      <c r="K49" s="110">
        <f>$F$22-(SUM($E$27:J27)+K27/2)-(SUM($E$60:J60)+K60/2)</f>
        <v>36588263.660471961</v>
      </c>
      <c r="L49" s="110">
        <f>$F$22-(SUM($E$27:K27)+L27/2)-(SUM($E$60:K60)+L60/2)</f>
        <v>35211749.722704329</v>
      </c>
      <c r="M49" s="110">
        <f>$F$22-(SUM($E$27:L27)+M27/2)-(SUM($E$60:L60)+M60/2)</f>
        <v>33855893.759238243</v>
      </c>
      <c r="N49" s="110">
        <f>$F$22-(SUM($E$27:M27)+N27/2)-(SUM($E$60:M60)+N60/2)</f>
        <v>32502995.862514883</v>
      </c>
      <c r="O49" s="110">
        <f>$F$22-(SUM($E$27:N27)+O27/2)-(SUM($E$60:N60)+O60/2)</f>
        <v>31150097.965791505</v>
      </c>
      <c r="P49" s="110">
        <f>$F$22-(SUM($E$27:O27)+P27/2)-(SUM($E$60:O60)+P60/2)</f>
        <v>29797200.069068141</v>
      </c>
      <c r="Q49" s="110">
        <f>$F$22-(SUM($E$27:P27)+Q27/2)-(SUM($E$60:P60)+Q60/2)</f>
        <v>28444302.17234477</v>
      </c>
      <c r="R49" s="110">
        <f>$F$22-(SUM($E$27:Q27)+R27/2)-(SUM($E$60:Q60)+R60/2)</f>
        <v>27091404.275621403</v>
      </c>
      <c r="S49" s="110">
        <f>$F$22-(SUM($E$27:R27)+S27/2)-(SUM($E$60:R60)+S60/2)</f>
        <v>25738506.378898032</v>
      </c>
      <c r="T49" s="110">
        <f>$F$22-(SUM($E$27:S27)+T27/2)-(SUM($E$60:S60)+T60/2)</f>
        <v>24385608.482174665</v>
      </c>
      <c r="U49" s="110">
        <f>$F$22-(SUM($E$27:T27)+U27/2)-(SUM($E$60:T60)+U60/2)</f>
        <v>23032710.585451294</v>
      </c>
      <c r="V49" s="110">
        <f>$F$22-(SUM($E$27:U27)+V27/2)-(SUM($E$60:U60)+V60/2)</f>
        <v>21679812.688727926</v>
      </c>
      <c r="W49" s="110">
        <f>$F$22-(SUM($E$27:V27)+W27/2)-(SUM($E$60:V60)+W60/2)</f>
        <v>20326914.792004555</v>
      </c>
      <c r="X49" s="110">
        <f>$F$22-(SUM($E$27:W27)+X27/2)-(SUM($E$60:W60)+X60/2)</f>
        <v>18974016.895281188</v>
      </c>
      <c r="Y49" s="110">
        <f>$F$22-(SUM($E$27:X27)+Y27/2)-(SUM($E$60:X60)+Y60/2)</f>
        <v>17729306.652705185</v>
      </c>
      <c r="Z49" s="110">
        <f>$F$22-(SUM($E$27:Y27)+Z27/2)-(SUM($E$60:Y60)+Z60/2)</f>
        <v>16700923.225526497</v>
      </c>
      <c r="AA49" s="110">
        <f>$F$22-(SUM($E$27:Z27)+AA27/2)-(SUM($E$60:Z60)+AA60/2)</f>
        <v>15780727.452495171</v>
      </c>
      <c r="AB49" s="110">
        <f>$F$22-(SUM($E$27:AA27)+AB27/2)-(SUM($E$60:AA60)+AB60/2)</f>
        <v>14860531.679463845</v>
      </c>
      <c r="AC49" s="110">
        <f>$F$22-(SUM($E$27:AB27)+AC27/2)-(SUM($E$60:AB60)+AC60/2)</f>
        <v>13940335.906432521</v>
      </c>
      <c r="AD49" s="110">
        <f>$F$22-(SUM($E$27:AC27)+AD27/2)-(SUM($E$60:AC60)+AD60/2)</f>
        <v>13020140.133401196</v>
      </c>
      <c r="AE49" s="110">
        <f>$F$22-(SUM($E$27:AD27)+AE27/2)-(SUM($E$60:AD60)+AE60/2)</f>
        <v>12099944.360369872</v>
      </c>
      <c r="AF49" s="110">
        <f>$F$22-(SUM($E$27:AE27)+AF27/2)-(SUM($E$60:AE60)+AF60/2)</f>
        <v>11179748.587338548</v>
      </c>
      <c r="AG49" s="110">
        <f>$F$22-(SUM($E$27:AF27)+AG27/2)-(SUM($E$60:AF60)+AG60/2)</f>
        <v>10259552.814307222</v>
      </c>
      <c r="AH49" s="110">
        <f>$F$22-(SUM($E$27:AG27)+AH27/2)-(SUM($E$60:AG60)+AH60/2)</f>
        <v>9339357.0412759017</v>
      </c>
      <c r="AI49" s="110">
        <f>$F$22-(SUM($E$27:AH27)+AI27/2)-(SUM($E$60:AH60)+AI60/2)</f>
        <v>8419161.2682445776</v>
      </c>
      <c r="AJ49" s="110">
        <f>$F$22-(SUM($E$27:AI27)+AJ27/2)-(SUM($E$60:AI60)+AJ60/2)</f>
        <v>7498965.4952132525</v>
      </c>
      <c r="AK49" s="110">
        <f>$F$22-(SUM($E$27:AJ27)+AK27/2)-(SUM($E$60:AJ60)+AK60/2)</f>
        <v>6578769.7221819283</v>
      </c>
      <c r="AL49" s="110">
        <f>$F$22-(SUM($E$27:AK27)+AL27/2)-(SUM($E$60:AK60)+AL60/2)</f>
        <v>5658573.9491506033</v>
      </c>
      <c r="AM49" s="110">
        <f>$F$22-(SUM($E$27:AL27)+AM27/2)-(SUM($E$60:AL60)+AM60/2)</f>
        <v>4738378.1761192791</v>
      </c>
      <c r="AN49" s="110">
        <f>$F$22-(SUM($E$27:AM27)+AN27/2)-(SUM($E$60:AM60)+AN60/2)</f>
        <v>3818182.403087954</v>
      </c>
      <c r="AO49" s="110">
        <f>$F$22-(SUM($E$27:AN27)+AO27/2)-(SUM($E$60:AN60)+AO60/2)</f>
        <v>2897986.6300566294</v>
      </c>
      <c r="AP49" s="110">
        <f>$F$22-(SUM($E$27:AO27)+AP27/2)-(SUM($E$60:AO60)+AP60/2)</f>
        <v>1977790.8570253048</v>
      </c>
      <c r="AQ49" s="110">
        <f>$F$22-(SUM($E$27:AP27)+AQ27/2)-(SUM($E$60:AP60)+AQ60/2)</f>
        <v>1057595.08399398</v>
      </c>
      <c r="AR49" s="110">
        <f>$F$22-(SUM($E$27:AQ27)+AR27/2)-(SUM($E$60:AQ60)+AR60/2)</f>
        <v>298748.598912652</v>
      </c>
      <c r="AS49" s="110"/>
      <c r="AT49" s="97">
        <f t="shared" ref="AT49:AT60" si="13">SUM(D49:AS49)</f>
        <v>817170362.95479572</v>
      </c>
    </row>
    <row r="50" spans="1:46" x14ac:dyDescent="0.2">
      <c r="A50" s="204">
        <f t="shared" si="10"/>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7">
        <f t="shared" si="13"/>
        <v>0</v>
      </c>
    </row>
    <row r="51" spans="1:46" x14ac:dyDescent="0.2">
      <c r="A51" s="204">
        <f t="shared" si="10"/>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7">
        <f t="shared" si="13"/>
        <v>0</v>
      </c>
    </row>
    <row r="52" spans="1:46" x14ac:dyDescent="0.2">
      <c r="A52" s="204">
        <f t="shared" si="10"/>
        <v>22</v>
      </c>
      <c r="B52" s="2" t="s">
        <v>65</v>
      </c>
      <c r="C52" s="2"/>
      <c r="D52" s="112"/>
      <c r="E52" s="38">
        <f>(E34)/(1-$F$15)</f>
        <v>2628739.8865364655</v>
      </c>
      <c r="F52" s="95">
        <f t="shared" ref="F52:AR52" si="14">(F34)/(1-$F$15)</f>
        <v>2544921.6396541139</v>
      </c>
      <c r="G52" s="95">
        <f t="shared" si="14"/>
        <v>2452910.4747840096</v>
      </c>
      <c r="H52" s="95">
        <f t="shared" si="14"/>
        <v>2363815.9551285408</v>
      </c>
      <c r="I52" s="95">
        <f t="shared" si="14"/>
        <v>2277419.7521591648</v>
      </c>
      <c r="J52" s="95">
        <f t="shared" si="14"/>
        <v>2193520.331849535</v>
      </c>
      <c r="K52" s="95">
        <f t="shared" si="14"/>
        <v>2111930.1555917994</v>
      </c>
      <c r="L52" s="95">
        <f t="shared" si="14"/>
        <v>2032475.6801966042</v>
      </c>
      <c r="M52" s="95">
        <f t="shared" si="14"/>
        <v>1954213.614457296</v>
      </c>
      <c r="N52" s="95">
        <f t="shared" si="14"/>
        <v>1876122.2928236439</v>
      </c>
      <c r="O52" s="95">
        <f t="shared" si="14"/>
        <v>1798030.9711899906</v>
      </c>
      <c r="P52" s="95">
        <f t="shared" si="14"/>
        <v>1719939.6495563383</v>
      </c>
      <c r="Q52" s="95">
        <f t="shared" si="14"/>
        <v>1641848.3279226853</v>
      </c>
      <c r="R52" s="95">
        <f t="shared" si="14"/>
        <v>1563757.006289033</v>
      </c>
      <c r="S52" s="95">
        <f t="shared" si="14"/>
        <v>1485665.68465538</v>
      </c>
      <c r="T52" s="95">
        <f t="shared" si="14"/>
        <v>1407574.3630217277</v>
      </c>
      <c r="U52" s="95">
        <f t="shared" si="14"/>
        <v>1329483.0413880746</v>
      </c>
      <c r="V52" s="95">
        <f t="shared" si="14"/>
        <v>1251391.7197544221</v>
      </c>
      <c r="W52" s="95">
        <f t="shared" si="14"/>
        <v>1173300.3981207693</v>
      </c>
      <c r="X52" s="95">
        <f t="shared" si="14"/>
        <v>1095209.0764871167</v>
      </c>
      <c r="Y52" s="95">
        <f t="shared" si="14"/>
        <v>1023362.5105865272</v>
      </c>
      <c r="Z52" s="95">
        <f t="shared" si="14"/>
        <v>964002.65706836479</v>
      </c>
      <c r="AA52" s="95">
        <f t="shared" si="14"/>
        <v>910887.55928326549</v>
      </c>
      <c r="AB52" s="95">
        <f t="shared" si="14"/>
        <v>857772.4614981662</v>
      </c>
      <c r="AC52" s="95">
        <f t="shared" si="14"/>
        <v>804657.36371306702</v>
      </c>
      <c r="AD52" s="95">
        <f t="shared" si="14"/>
        <v>751542.26592796785</v>
      </c>
      <c r="AE52" s="95">
        <f t="shared" si="14"/>
        <v>698427.16814286867</v>
      </c>
      <c r="AF52" s="95">
        <f t="shared" si="14"/>
        <v>645312.07035776938</v>
      </c>
      <c r="AG52" s="95">
        <f t="shared" si="14"/>
        <v>592196.97257267009</v>
      </c>
      <c r="AH52" s="95">
        <f t="shared" si="14"/>
        <v>539081.87478757103</v>
      </c>
      <c r="AI52" s="95">
        <f t="shared" si="14"/>
        <v>485966.77700247179</v>
      </c>
      <c r="AJ52" s="95">
        <f t="shared" si="14"/>
        <v>432851.67921737256</v>
      </c>
      <c r="AK52" s="95">
        <f t="shared" si="14"/>
        <v>379736.58143227332</v>
      </c>
      <c r="AL52" s="95">
        <f t="shared" si="14"/>
        <v>326621.48364717403</v>
      </c>
      <c r="AM52" s="95">
        <f t="shared" si="14"/>
        <v>273506.38586207485</v>
      </c>
      <c r="AN52" s="95">
        <f t="shared" si="14"/>
        <v>220391.28807697556</v>
      </c>
      <c r="AO52" s="95">
        <f t="shared" si="14"/>
        <v>167276.19029187632</v>
      </c>
      <c r="AP52" s="95">
        <f t="shared" si="14"/>
        <v>114161.09250677709</v>
      </c>
      <c r="AQ52" s="95">
        <f t="shared" si="14"/>
        <v>61045.994721677824</v>
      </c>
      <c r="AR52" s="95">
        <f t="shared" si="14"/>
        <v>17244.222924578393</v>
      </c>
      <c r="AS52" s="95"/>
      <c r="AT52" s="97">
        <f t="shared" si="13"/>
        <v>47168314.621188186</v>
      </c>
    </row>
    <row r="53" spans="1:46" x14ac:dyDescent="0.2">
      <c r="A53" s="204">
        <f t="shared" si="10"/>
        <v>23</v>
      </c>
      <c r="B53" s="2" t="s">
        <v>66</v>
      </c>
      <c r="C53" s="2"/>
      <c r="D53" s="112"/>
      <c r="E53" s="40">
        <f t="shared" ref="E53:AR53" si="15">E52*$F15</f>
        <v>552035.37617265771</v>
      </c>
      <c r="F53" s="93">
        <f t="shared" si="15"/>
        <v>534433.54432736395</v>
      </c>
      <c r="G53" s="93">
        <f t="shared" si="15"/>
        <v>515111.199704642</v>
      </c>
      <c r="H53" s="93">
        <f t="shared" si="15"/>
        <v>496401.35057699354</v>
      </c>
      <c r="I53" s="93">
        <f t="shared" si="15"/>
        <v>478258.1479534246</v>
      </c>
      <c r="J53" s="93">
        <f t="shared" si="15"/>
        <v>460639.26968840236</v>
      </c>
      <c r="K53" s="93">
        <f t="shared" si="15"/>
        <v>443505.33267427789</v>
      </c>
      <c r="L53" s="93">
        <f t="shared" si="15"/>
        <v>426819.8928412869</v>
      </c>
      <c r="M53" s="93">
        <f t="shared" si="15"/>
        <v>410384.85903603211</v>
      </c>
      <c r="N53" s="93">
        <f t="shared" si="15"/>
        <v>393985.6814929652</v>
      </c>
      <c r="O53" s="93">
        <f t="shared" si="15"/>
        <v>377586.503949898</v>
      </c>
      <c r="P53" s="93">
        <f t="shared" si="15"/>
        <v>361187.32640683104</v>
      </c>
      <c r="Q53" s="93">
        <f t="shared" si="15"/>
        <v>344788.1488637639</v>
      </c>
      <c r="R53" s="93">
        <f t="shared" si="15"/>
        <v>328388.97132069693</v>
      </c>
      <c r="S53" s="93">
        <f t="shared" si="15"/>
        <v>311989.79377762979</v>
      </c>
      <c r="T53" s="93">
        <f t="shared" si="15"/>
        <v>295590.61623456277</v>
      </c>
      <c r="U53" s="93">
        <f t="shared" si="15"/>
        <v>279191.43869149568</v>
      </c>
      <c r="V53" s="93">
        <f t="shared" si="15"/>
        <v>262792.2611484286</v>
      </c>
      <c r="W53" s="93">
        <f t="shared" si="15"/>
        <v>246393.08360536155</v>
      </c>
      <c r="X53" s="93">
        <f t="shared" si="15"/>
        <v>229993.9060622945</v>
      </c>
      <c r="Y53" s="93">
        <f t="shared" si="15"/>
        <v>214906.12722317071</v>
      </c>
      <c r="Z53" s="93">
        <f t="shared" si="15"/>
        <v>202440.55798435659</v>
      </c>
      <c r="AA53" s="93">
        <f t="shared" si="15"/>
        <v>191286.38744948574</v>
      </c>
      <c r="AB53" s="93">
        <f t="shared" si="15"/>
        <v>180132.2169146149</v>
      </c>
      <c r="AC53" s="93">
        <f t="shared" si="15"/>
        <v>168978.04637974408</v>
      </c>
      <c r="AD53" s="93">
        <f t="shared" si="15"/>
        <v>157823.87584487326</v>
      </c>
      <c r="AE53" s="93">
        <f t="shared" si="15"/>
        <v>146669.70531000241</v>
      </c>
      <c r="AF53" s="93">
        <f t="shared" si="15"/>
        <v>135515.53477513156</v>
      </c>
      <c r="AG53" s="93">
        <f t="shared" si="15"/>
        <v>124361.36424026071</v>
      </c>
      <c r="AH53" s="93">
        <f t="shared" si="15"/>
        <v>113207.19370538992</v>
      </c>
      <c r="AI53" s="93">
        <f t="shared" si="15"/>
        <v>102053.02317051907</v>
      </c>
      <c r="AJ53" s="93">
        <f t="shared" si="15"/>
        <v>90898.852635648233</v>
      </c>
      <c r="AK53" s="93">
        <f t="shared" si="15"/>
        <v>79744.682100777398</v>
      </c>
      <c r="AL53" s="93">
        <f t="shared" si="15"/>
        <v>68590.511565906549</v>
      </c>
      <c r="AM53" s="93">
        <f t="shared" si="15"/>
        <v>57436.341031035714</v>
      </c>
      <c r="AN53" s="93">
        <f t="shared" si="15"/>
        <v>46282.170496164865</v>
      </c>
      <c r="AO53" s="93">
        <f t="shared" si="15"/>
        <v>35127.99996129403</v>
      </c>
      <c r="AP53" s="93">
        <f t="shared" si="15"/>
        <v>23973.829426423188</v>
      </c>
      <c r="AQ53" s="93">
        <f t="shared" si="15"/>
        <v>12819.658891552343</v>
      </c>
      <c r="AR53" s="93">
        <f t="shared" si="15"/>
        <v>3621.2868141614622</v>
      </c>
      <c r="AS53" s="93"/>
      <c r="AT53" s="97">
        <f t="shared" si="13"/>
        <v>9905346.0704495236</v>
      </c>
    </row>
    <row r="54" spans="1:46" x14ac:dyDescent="0.2">
      <c r="A54" s="204">
        <f t="shared" si="10"/>
        <v>24</v>
      </c>
      <c r="B54" s="2" t="s">
        <v>67</v>
      </c>
      <c r="C54" s="2"/>
      <c r="D54" s="112"/>
      <c r="E54" s="38">
        <f>E52-E53</f>
        <v>2076704.5103638079</v>
      </c>
      <c r="F54" s="95">
        <f t="shared" ref="F54:AR54" si="16">F52-F53</f>
        <v>2010488.0953267501</v>
      </c>
      <c r="G54" s="95">
        <f t="shared" si="16"/>
        <v>1937799.2750793677</v>
      </c>
      <c r="H54" s="95">
        <f t="shared" si="16"/>
        <v>1867414.6045515472</v>
      </c>
      <c r="I54" s="95">
        <f t="shared" si="16"/>
        <v>1799161.6042057402</v>
      </c>
      <c r="J54" s="95">
        <f t="shared" si="16"/>
        <v>1732881.0621611327</v>
      </c>
      <c r="K54" s="95">
        <f t="shared" si="16"/>
        <v>1668424.8229175215</v>
      </c>
      <c r="L54" s="95">
        <f t="shared" si="16"/>
        <v>1605655.7873553173</v>
      </c>
      <c r="M54" s="95">
        <f t="shared" si="16"/>
        <v>1543828.7554212639</v>
      </c>
      <c r="N54" s="95">
        <f t="shared" si="16"/>
        <v>1482136.6113306787</v>
      </c>
      <c r="O54" s="95">
        <f t="shared" si="16"/>
        <v>1420444.4672400926</v>
      </c>
      <c r="P54" s="95">
        <f t="shared" si="16"/>
        <v>1358752.3231495074</v>
      </c>
      <c r="Q54" s="95">
        <f t="shared" si="16"/>
        <v>1297060.1790589215</v>
      </c>
      <c r="R54" s="95">
        <f t="shared" si="16"/>
        <v>1235368.0349683361</v>
      </c>
      <c r="S54" s="95">
        <f t="shared" si="16"/>
        <v>1173675.8908777502</v>
      </c>
      <c r="T54" s="95">
        <f t="shared" si="16"/>
        <v>1111983.7467871648</v>
      </c>
      <c r="U54" s="95">
        <f t="shared" si="16"/>
        <v>1050291.6026965789</v>
      </c>
      <c r="V54" s="95">
        <f t="shared" si="16"/>
        <v>988599.45860599354</v>
      </c>
      <c r="W54" s="95">
        <f t="shared" si="16"/>
        <v>926907.31451540778</v>
      </c>
      <c r="X54" s="95">
        <f t="shared" si="16"/>
        <v>865215.17042482225</v>
      </c>
      <c r="Y54" s="95">
        <f t="shared" si="16"/>
        <v>808456.38336335646</v>
      </c>
      <c r="Z54" s="95">
        <f t="shared" si="16"/>
        <v>761562.09908400825</v>
      </c>
      <c r="AA54" s="95">
        <f t="shared" si="16"/>
        <v>719601.17183377978</v>
      </c>
      <c r="AB54" s="95">
        <f t="shared" si="16"/>
        <v>677640.24458355131</v>
      </c>
      <c r="AC54" s="95">
        <f t="shared" si="16"/>
        <v>635679.31733332295</v>
      </c>
      <c r="AD54" s="95">
        <f t="shared" si="16"/>
        <v>593718.39008309459</v>
      </c>
      <c r="AE54" s="95">
        <f t="shared" si="16"/>
        <v>551757.46283286624</v>
      </c>
      <c r="AF54" s="95">
        <f t="shared" si="16"/>
        <v>509796.53558263782</v>
      </c>
      <c r="AG54" s="95">
        <f t="shared" si="16"/>
        <v>467835.60833240941</v>
      </c>
      <c r="AH54" s="95">
        <f t="shared" si="16"/>
        <v>425874.68108218111</v>
      </c>
      <c r="AI54" s="95">
        <f t="shared" si="16"/>
        <v>383913.75383195269</v>
      </c>
      <c r="AJ54" s="95">
        <f t="shared" si="16"/>
        <v>341952.82658172434</v>
      </c>
      <c r="AK54" s="95">
        <f t="shared" si="16"/>
        <v>299991.89933149592</v>
      </c>
      <c r="AL54" s="95">
        <f t="shared" si="16"/>
        <v>258030.97208126748</v>
      </c>
      <c r="AM54" s="95">
        <f t="shared" si="16"/>
        <v>216070.04483103915</v>
      </c>
      <c r="AN54" s="95">
        <f t="shared" si="16"/>
        <v>174109.11758081068</v>
      </c>
      <c r="AO54" s="95">
        <f t="shared" si="16"/>
        <v>132148.19033058229</v>
      </c>
      <c r="AP54" s="95">
        <f t="shared" si="16"/>
        <v>90187.263080353907</v>
      </c>
      <c r="AQ54" s="95">
        <f t="shared" si="16"/>
        <v>48226.335830125478</v>
      </c>
      <c r="AR54" s="95">
        <f t="shared" si="16"/>
        <v>13622.936110416931</v>
      </c>
      <c r="AS54" s="95"/>
      <c r="AT54" s="97">
        <f t="shared" si="13"/>
        <v>37262968.550738655</v>
      </c>
    </row>
    <row r="55" spans="1:46" x14ac:dyDescent="0.2">
      <c r="A55" s="204">
        <f t="shared" si="10"/>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97">
        <f t="shared" si="13"/>
        <v>0</v>
      </c>
    </row>
    <row r="56" spans="1:46" x14ac:dyDescent="0.2">
      <c r="A56" s="204">
        <f t="shared" si="10"/>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97">
        <f t="shared" si="13"/>
        <v>0</v>
      </c>
    </row>
    <row r="57" spans="1:46" x14ac:dyDescent="0.2">
      <c r="A57" s="204">
        <f t="shared" si="10"/>
        <v>27</v>
      </c>
      <c r="B57" s="2" t="s">
        <v>68</v>
      </c>
      <c r="C57" s="2"/>
      <c r="D57" s="112"/>
      <c r="E57" s="114">
        <f>E27+E28</f>
        <v>1164804.7759890174</v>
      </c>
      <c r="F57" s="95">
        <f>F27</f>
        <v>1164804.7759890174</v>
      </c>
      <c r="G57" s="95">
        <f>G27</f>
        <v>1164804.7759890174</v>
      </c>
      <c r="H57" s="95">
        <f t="shared" ref="H57:AR57" si="17">H27</f>
        <v>1164804.7759890174</v>
      </c>
      <c r="I57" s="95">
        <f t="shared" si="17"/>
        <v>1164804.7759890174</v>
      </c>
      <c r="J57" s="95">
        <f t="shared" si="17"/>
        <v>1164804.7759890174</v>
      </c>
      <c r="K57" s="95">
        <f t="shared" si="17"/>
        <v>1164804.7759890174</v>
      </c>
      <c r="L57" s="95">
        <f t="shared" si="17"/>
        <v>1164804.7759890174</v>
      </c>
      <c r="M57" s="95">
        <f t="shared" si="17"/>
        <v>1164804.7759890174</v>
      </c>
      <c r="N57" s="95">
        <f t="shared" si="17"/>
        <v>1164804.7759890174</v>
      </c>
      <c r="O57" s="95">
        <f t="shared" si="17"/>
        <v>1164804.7759890174</v>
      </c>
      <c r="P57" s="95">
        <f t="shared" si="17"/>
        <v>1164804.7759890174</v>
      </c>
      <c r="Q57" s="95">
        <f t="shared" si="17"/>
        <v>1164804.7759890174</v>
      </c>
      <c r="R57" s="95">
        <f t="shared" si="17"/>
        <v>1164804.7759890174</v>
      </c>
      <c r="S57" s="95">
        <f t="shared" si="17"/>
        <v>1164804.7759890174</v>
      </c>
      <c r="T57" s="95">
        <f t="shared" si="17"/>
        <v>1164804.7759890174</v>
      </c>
      <c r="U57" s="95">
        <f t="shared" si="17"/>
        <v>1164804.7759890174</v>
      </c>
      <c r="V57" s="95">
        <f t="shared" si="17"/>
        <v>1164804.7759890174</v>
      </c>
      <c r="W57" s="95">
        <f t="shared" si="17"/>
        <v>1164804.7759890174</v>
      </c>
      <c r="X57" s="95">
        <f t="shared" si="17"/>
        <v>1164804.7759890174</v>
      </c>
      <c r="Y57" s="95">
        <f t="shared" si="17"/>
        <v>1164804.7759890174</v>
      </c>
      <c r="Z57" s="95">
        <f t="shared" si="17"/>
        <v>1164804.7759890174</v>
      </c>
      <c r="AA57" s="95">
        <f t="shared" si="17"/>
        <v>1164804.7759890174</v>
      </c>
      <c r="AB57" s="95">
        <f t="shared" si="17"/>
        <v>1164804.7759890174</v>
      </c>
      <c r="AC57" s="95">
        <f t="shared" si="17"/>
        <v>1164804.7759890174</v>
      </c>
      <c r="AD57" s="95">
        <f t="shared" si="17"/>
        <v>1164804.7759890174</v>
      </c>
      <c r="AE57" s="95">
        <f t="shared" si="17"/>
        <v>1164804.7759890174</v>
      </c>
      <c r="AF57" s="95">
        <f t="shared" si="17"/>
        <v>1164804.7759890174</v>
      </c>
      <c r="AG57" s="95">
        <f t="shared" si="17"/>
        <v>1164804.7759890174</v>
      </c>
      <c r="AH57" s="95">
        <f t="shared" si="17"/>
        <v>1164804.7759890174</v>
      </c>
      <c r="AI57" s="95">
        <f t="shared" si="17"/>
        <v>1164804.7759890174</v>
      </c>
      <c r="AJ57" s="95">
        <f t="shared" si="17"/>
        <v>1164804.7759890174</v>
      </c>
      <c r="AK57" s="95">
        <f t="shared" si="17"/>
        <v>1164804.7759890174</v>
      </c>
      <c r="AL57" s="95">
        <f t="shared" si="17"/>
        <v>1164804.7759890174</v>
      </c>
      <c r="AM57" s="95">
        <f t="shared" si="17"/>
        <v>1164804.7759890174</v>
      </c>
      <c r="AN57" s="95">
        <f t="shared" si="17"/>
        <v>1164804.7759890174</v>
      </c>
      <c r="AO57" s="95">
        <f t="shared" si="17"/>
        <v>1164804.7759890174</v>
      </c>
      <c r="AP57" s="95">
        <f t="shared" si="17"/>
        <v>1164804.7759890174</v>
      </c>
      <c r="AQ57" s="95">
        <f t="shared" si="17"/>
        <v>1164804.7759890174</v>
      </c>
      <c r="AR57" s="95">
        <f t="shared" si="17"/>
        <v>756325.56598901749</v>
      </c>
      <c r="AS57" s="95"/>
      <c r="AT57" s="97">
        <f t="shared" si="13"/>
        <v>46183711.829560727</v>
      </c>
    </row>
    <row r="58" spans="1:46" x14ac:dyDescent="0.2">
      <c r="A58" s="204">
        <f t="shared" si="10"/>
        <v>28</v>
      </c>
      <c r="B58" s="2" t="s">
        <v>69</v>
      </c>
      <c r="C58" s="2"/>
      <c r="D58" s="112"/>
      <c r="E58" s="38">
        <f>$F22*E62</f>
        <v>1731889.1936249984</v>
      </c>
      <c r="F58" s="95">
        <f t="shared" ref="F58:AR58" si="18">$F22*F62</f>
        <v>3334002.1570076975</v>
      </c>
      <c r="G58" s="95">
        <f t="shared" si="18"/>
        <v>3083686.4388890974</v>
      </c>
      <c r="H58" s="95">
        <f t="shared" si="18"/>
        <v>2852767.8797390973</v>
      </c>
      <c r="I58" s="95">
        <f t="shared" si="18"/>
        <v>2638475.4568478977</v>
      </c>
      <c r="J58" s="95">
        <f t="shared" si="18"/>
        <v>2440809.1702154982</v>
      </c>
      <c r="K58" s="95">
        <f t="shared" si="18"/>
        <v>2257459.834250398</v>
      </c>
      <c r="L58" s="95">
        <f t="shared" si="18"/>
        <v>2088427.4489525985</v>
      </c>
      <c r="M58" s="95">
        <f t="shared" si="18"/>
        <v>2060717.2218545983</v>
      </c>
      <c r="N58" s="95">
        <f t="shared" si="18"/>
        <v>2060255.3847362984</v>
      </c>
      <c r="O58" s="95">
        <f t="shared" si="18"/>
        <v>2060717.2218545983</v>
      </c>
      <c r="P58" s="95">
        <f t="shared" si="18"/>
        <v>2060255.3847362984</v>
      </c>
      <c r="Q58" s="95">
        <f t="shared" si="18"/>
        <v>2060717.2218545983</v>
      </c>
      <c r="R58" s="95">
        <f t="shared" si="18"/>
        <v>2060255.3847362984</v>
      </c>
      <c r="S58" s="95">
        <f t="shared" si="18"/>
        <v>2060717.2218545983</v>
      </c>
      <c r="T58" s="95">
        <f t="shared" si="18"/>
        <v>2060255.3847362984</v>
      </c>
      <c r="U58" s="95">
        <f t="shared" si="18"/>
        <v>2060717.2218545983</v>
      </c>
      <c r="V58" s="95">
        <f t="shared" si="18"/>
        <v>2060255.3847362984</v>
      </c>
      <c r="W58" s="95">
        <f t="shared" si="18"/>
        <v>2060717.2218545983</v>
      </c>
      <c r="X58" s="95">
        <f t="shared" si="18"/>
        <v>2060255.3847362984</v>
      </c>
      <c r="Y58" s="95">
        <f t="shared" si="18"/>
        <v>1030358.6109272991</v>
      </c>
      <c r="Z58" s="95">
        <f t="shared" si="18"/>
        <v>0</v>
      </c>
      <c r="AA58" s="95">
        <f t="shared" si="18"/>
        <v>0</v>
      </c>
      <c r="AB58" s="95">
        <f t="shared" si="18"/>
        <v>0</v>
      </c>
      <c r="AC58" s="95">
        <f t="shared" si="18"/>
        <v>0</v>
      </c>
      <c r="AD58" s="95">
        <f t="shared" si="18"/>
        <v>0</v>
      </c>
      <c r="AE58" s="95">
        <f t="shared" si="18"/>
        <v>0</v>
      </c>
      <c r="AF58" s="95">
        <f t="shared" si="18"/>
        <v>0</v>
      </c>
      <c r="AG58" s="95">
        <f t="shared" si="18"/>
        <v>0</v>
      </c>
      <c r="AH58" s="95">
        <f t="shared" si="18"/>
        <v>0</v>
      </c>
      <c r="AI58" s="95">
        <f t="shared" si="18"/>
        <v>0</v>
      </c>
      <c r="AJ58" s="95">
        <f t="shared" si="18"/>
        <v>0</v>
      </c>
      <c r="AK58" s="95">
        <f t="shared" si="18"/>
        <v>0</v>
      </c>
      <c r="AL58" s="95">
        <f t="shared" si="18"/>
        <v>0</v>
      </c>
      <c r="AM58" s="95">
        <f t="shared" si="18"/>
        <v>0</v>
      </c>
      <c r="AN58" s="95">
        <f t="shared" si="18"/>
        <v>0</v>
      </c>
      <c r="AO58" s="95">
        <f t="shared" si="18"/>
        <v>0</v>
      </c>
      <c r="AP58" s="95">
        <f t="shared" si="18"/>
        <v>0</v>
      </c>
      <c r="AQ58" s="95">
        <f t="shared" si="18"/>
        <v>0</v>
      </c>
      <c r="AR58" s="95">
        <f t="shared" si="18"/>
        <v>0</v>
      </c>
      <c r="AS58" s="95"/>
      <c r="AT58" s="97">
        <f t="shared" si="13"/>
        <v>46183711.829999961</v>
      </c>
    </row>
    <row r="59" spans="1:46" x14ac:dyDescent="0.2">
      <c r="A59" s="204">
        <f t="shared" si="10"/>
        <v>29</v>
      </c>
      <c r="B59" s="2" t="s">
        <v>70</v>
      </c>
      <c r="C59" s="2"/>
      <c r="D59" s="112"/>
      <c r="E59" s="38">
        <f>E58-E57</f>
        <v>567084.41763598099</v>
      </c>
      <c r="F59" s="95">
        <f>F58-F57</f>
        <v>2169197.3810186801</v>
      </c>
      <c r="G59" s="95">
        <f>G58-G57</f>
        <v>1918881.66290008</v>
      </c>
      <c r="H59" s="95">
        <f t="shared" ref="H59:AR59" si="19">H58-H57</f>
        <v>1687963.1037500799</v>
      </c>
      <c r="I59" s="95">
        <f t="shared" si="19"/>
        <v>1473670.6808588803</v>
      </c>
      <c r="J59" s="95">
        <f t="shared" si="19"/>
        <v>1276004.3942264807</v>
      </c>
      <c r="K59" s="95">
        <f t="shared" si="19"/>
        <v>1092655.0582613805</v>
      </c>
      <c r="L59" s="95">
        <f t="shared" si="19"/>
        <v>923622.67296358105</v>
      </c>
      <c r="M59" s="95">
        <f t="shared" si="19"/>
        <v>895912.44586558081</v>
      </c>
      <c r="N59" s="95">
        <f t="shared" si="19"/>
        <v>895450.6087472809</v>
      </c>
      <c r="O59" s="95">
        <f t="shared" si="19"/>
        <v>895912.44586558081</v>
      </c>
      <c r="P59" s="95">
        <f t="shared" si="19"/>
        <v>895450.6087472809</v>
      </c>
      <c r="Q59" s="95">
        <f t="shared" si="19"/>
        <v>895912.44586558081</v>
      </c>
      <c r="R59" s="95">
        <f t="shared" si="19"/>
        <v>895450.6087472809</v>
      </c>
      <c r="S59" s="95">
        <f t="shared" si="19"/>
        <v>895912.44586558081</v>
      </c>
      <c r="T59" s="95">
        <f t="shared" si="19"/>
        <v>895450.6087472809</v>
      </c>
      <c r="U59" s="95">
        <f t="shared" si="19"/>
        <v>895912.44586558081</v>
      </c>
      <c r="V59" s="95">
        <f t="shared" si="19"/>
        <v>895450.6087472809</v>
      </c>
      <c r="W59" s="95">
        <f t="shared" si="19"/>
        <v>895912.44586558081</v>
      </c>
      <c r="X59" s="95">
        <f t="shared" si="19"/>
        <v>895450.6087472809</v>
      </c>
      <c r="Y59" s="95">
        <f t="shared" si="19"/>
        <v>-134446.16506171832</v>
      </c>
      <c r="Z59" s="95">
        <f t="shared" si="19"/>
        <v>-1164804.7759890174</v>
      </c>
      <c r="AA59" s="95">
        <f t="shared" si="19"/>
        <v>-1164804.7759890174</v>
      </c>
      <c r="AB59" s="95">
        <f t="shared" si="19"/>
        <v>-1164804.7759890174</v>
      </c>
      <c r="AC59" s="95">
        <f t="shared" si="19"/>
        <v>-1164804.7759890174</v>
      </c>
      <c r="AD59" s="95">
        <f t="shared" si="19"/>
        <v>-1164804.7759890174</v>
      </c>
      <c r="AE59" s="95">
        <f t="shared" si="19"/>
        <v>-1164804.7759890174</v>
      </c>
      <c r="AF59" s="95">
        <f t="shared" si="19"/>
        <v>-1164804.7759890174</v>
      </c>
      <c r="AG59" s="95">
        <f t="shared" si="19"/>
        <v>-1164804.7759890174</v>
      </c>
      <c r="AH59" s="95">
        <f t="shared" si="19"/>
        <v>-1164804.7759890174</v>
      </c>
      <c r="AI59" s="95">
        <f t="shared" si="19"/>
        <v>-1164804.7759890174</v>
      </c>
      <c r="AJ59" s="95">
        <f t="shared" si="19"/>
        <v>-1164804.7759890174</v>
      </c>
      <c r="AK59" s="95">
        <f t="shared" si="19"/>
        <v>-1164804.7759890174</v>
      </c>
      <c r="AL59" s="95">
        <f t="shared" si="19"/>
        <v>-1164804.7759890174</v>
      </c>
      <c r="AM59" s="95">
        <f t="shared" si="19"/>
        <v>-1164804.7759890174</v>
      </c>
      <c r="AN59" s="95">
        <f t="shared" si="19"/>
        <v>-1164804.7759890174</v>
      </c>
      <c r="AO59" s="95">
        <f t="shared" si="19"/>
        <v>-1164804.7759890174</v>
      </c>
      <c r="AP59" s="95">
        <f t="shared" si="19"/>
        <v>-1164804.7759890174</v>
      </c>
      <c r="AQ59" s="95">
        <f t="shared" si="19"/>
        <v>-1164804.7759890174</v>
      </c>
      <c r="AR59" s="95">
        <f t="shared" si="19"/>
        <v>-756325.56598901749</v>
      </c>
      <c r="AS59" s="95"/>
      <c r="AT59" s="97">
        <f t="shared" si="13"/>
        <v>4.392554983496666E-4</v>
      </c>
    </row>
    <row r="60" spans="1:46" x14ac:dyDescent="0.2">
      <c r="A60" s="204">
        <f t="shared" si="10"/>
        <v>30</v>
      </c>
      <c r="B60" s="2" t="s">
        <v>71</v>
      </c>
      <c r="C60" s="2"/>
      <c r="D60" s="112"/>
      <c r="E60" s="38">
        <f>E59*F15</f>
        <v>119087.72770355601</v>
      </c>
      <c r="F60" s="95">
        <f t="shared" ref="F60:AR60" si="20">F59*$F$15</f>
        <v>455531.45001392282</v>
      </c>
      <c r="G60" s="95">
        <f t="shared" si="20"/>
        <v>402965.14920901676</v>
      </c>
      <c r="H60" s="95">
        <f t="shared" si="20"/>
        <v>354472.25178751675</v>
      </c>
      <c r="I60" s="95">
        <f t="shared" si="20"/>
        <v>309470.84298036486</v>
      </c>
      <c r="J60" s="95">
        <f t="shared" si="20"/>
        <v>267960.92278756096</v>
      </c>
      <c r="K60" s="95">
        <f t="shared" si="20"/>
        <v>229457.56223488989</v>
      </c>
      <c r="L60" s="95">
        <f t="shared" si="20"/>
        <v>193960.76132235202</v>
      </c>
      <c r="M60" s="95">
        <f t="shared" si="20"/>
        <v>188141.61363177196</v>
      </c>
      <c r="N60" s="95">
        <f t="shared" si="20"/>
        <v>188044.62783692899</v>
      </c>
      <c r="O60" s="95">
        <f t="shared" si="20"/>
        <v>188141.61363177196</v>
      </c>
      <c r="P60" s="95">
        <f t="shared" si="20"/>
        <v>188044.62783692899</v>
      </c>
      <c r="Q60" s="95">
        <f t="shared" si="20"/>
        <v>188141.61363177196</v>
      </c>
      <c r="R60" s="95">
        <f t="shared" si="20"/>
        <v>188044.62783692899</v>
      </c>
      <c r="S60" s="95">
        <f t="shared" si="20"/>
        <v>188141.61363177196</v>
      </c>
      <c r="T60" s="95">
        <f t="shared" si="20"/>
        <v>188044.62783692899</v>
      </c>
      <c r="U60" s="95">
        <f t="shared" si="20"/>
        <v>188141.61363177196</v>
      </c>
      <c r="V60" s="95">
        <f t="shared" si="20"/>
        <v>188044.62783692899</v>
      </c>
      <c r="W60" s="95">
        <f t="shared" si="20"/>
        <v>188141.61363177196</v>
      </c>
      <c r="X60" s="95">
        <f t="shared" si="20"/>
        <v>188044.62783692899</v>
      </c>
      <c r="Y60" s="95">
        <f t="shared" si="20"/>
        <v>-28233.694662960846</v>
      </c>
      <c r="Z60" s="95">
        <f t="shared" si="20"/>
        <v>-244609.00295769365</v>
      </c>
      <c r="AA60" s="95">
        <f t="shared" si="20"/>
        <v>-244609.00295769365</v>
      </c>
      <c r="AB60" s="95">
        <f t="shared" si="20"/>
        <v>-244609.00295769365</v>
      </c>
      <c r="AC60" s="95">
        <f t="shared" si="20"/>
        <v>-244609.00295769365</v>
      </c>
      <c r="AD60" s="95">
        <f t="shared" si="20"/>
        <v>-244609.00295769365</v>
      </c>
      <c r="AE60" s="95">
        <f t="shared" si="20"/>
        <v>-244609.00295769365</v>
      </c>
      <c r="AF60" s="95">
        <f t="shared" si="20"/>
        <v>-244609.00295769365</v>
      </c>
      <c r="AG60" s="95">
        <f t="shared" si="20"/>
        <v>-244609.00295769365</v>
      </c>
      <c r="AH60" s="95">
        <f t="shared" si="20"/>
        <v>-244609.00295769365</v>
      </c>
      <c r="AI60" s="95">
        <f t="shared" si="20"/>
        <v>-244609.00295769365</v>
      </c>
      <c r="AJ60" s="95">
        <f t="shared" si="20"/>
        <v>-244609.00295769365</v>
      </c>
      <c r="AK60" s="95">
        <f t="shared" si="20"/>
        <v>-244609.00295769365</v>
      </c>
      <c r="AL60" s="95">
        <f t="shared" si="20"/>
        <v>-244609.00295769365</v>
      </c>
      <c r="AM60" s="95">
        <f t="shared" si="20"/>
        <v>-244609.00295769365</v>
      </c>
      <c r="AN60" s="95">
        <f t="shared" si="20"/>
        <v>-244609.00295769365</v>
      </c>
      <c r="AO60" s="95">
        <f t="shared" si="20"/>
        <v>-244609.00295769365</v>
      </c>
      <c r="AP60" s="95">
        <f t="shared" si="20"/>
        <v>-244609.00295769365</v>
      </c>
      <c r="AQ60" s="95">
        <f t="shared" si="20"/>
        <v>-244609.00295769365</v>
      </c>
      <c r="AR60" s="95">
        <f t="shared" si="20"/>
        <v>-158828.36885769365</v>
      </c>
      <c r="AS60" s="95"/>
      <c r="AT60" s="97">
        <f t="shared" si="13"/>
        <v>9.2243979452177882E-5</v>
      </c>
    </row>
    <row r="61" spans="1:46" x14ac:dyDescent="0.2">
      <c r="A61" s="204">
        <f t="shared" si="10"/>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6" s="50" customFormat="1" x14ac:dyDescent="0.2">
      <c r="A62" s="204">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6" outlineLevel="1" x14ac:dyDescent="0.25">
      <c r="A63" s="204">
        <f t="shared" si="10"/>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6" outlineLevel="1" x14ac:dyDescent="0.25">
      <c r="A64" s="204">
        <f t="shared" si="10"/>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204">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04">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0" zoomScale="96" zoomScaleNormal="96" workbookViewId="0">
      <selection activeCell="J5" sqref="J5"/>
    </sheetView>
  </sheetViews>
  <sheetFormatPr defaultColWidth="8.7109375" defaultRowHeight="12.75" x14ac:dyDescent="0.2"/>
  <cols>
    <col min="1" max="1" width="6.85546875" style="307" customWidth="1"/>
    <col min="2" max="2" width="29.5703125" style="307" customWidth="1"/>
    <col min="3" max="3" width="26.7109375" style="307" bestFit="1" customWidth="1"/>
    <col min="4" max="4" width="18.7109375" style="174" bestFit="1" customWidth="1"/>
    <col min="5" max="5" width="14.5703125" style="174" customWidth="1"/>
    <col min="6" max="6" width="15.42578125" style="174" customWidth="1"/>
    <col min="7" max="7" width="14.42578125" style="174" customWidth="1"/>
    <col min="8" max="8" width="12.28515625" style="174" bestFit="1" customWidth="1"/>
    <col min="9" max="9" width="3.7109375" style="174" customWidth="1"/>
    <col min="10" max="10" width="15.7109375" style="307" bestFit="1" customWidth="1"/>
    <col min="11" max="11" width="15" style="307" customWidth="1"/>
    <col min="12" max="12" width="12" style="307" customWidth="1"/>
    <col min="13" max="13" width="14.140625" style="307" customWidth="1"/>
    <col min="14" max="16384" width="8.7109375" style="307"/>
  </cols>
  <sheetData>
    <row r="1" spans="2:17" ht="13.5" thickBot="1" x14ac:dyDescent="0.25"/>
    <row r="2" spans="2:17" ht="13.5" thickBot="1" x14ac:dyDescent="0.25">
      <c r="B2" s="306" t="s">
        <v>132</v>
      </c>
      <c r="J2" s="346" t="s">
        <v>226</v>
      </c>
      <c r="K2" s="347"/>
      <c r="L2" s="347"/>
      <c r="M2" s="348"/>
    </row>
    <row r="3" spans="2:17" ht="45" x14ac:dyDescent="0.25">
      <c r="B3" s="308" t="s">
        <v>138</v>
      </c>
      <c r="C3" s="309" t="s">
        <v>125</v>
      </c>
      <c r="D3" s="382" t="s">
        <v>243</v>
      </c>
      <c r="E3" s="382" t="s">
        <v>244</v>
      </c>
      <c r="F3" s="176" t="s">
        <v>80</v>
      </c>
      <c r="G3" s="383" t="s">
        <v>13</v>
      </c>
      <c r="H3" s="176" t="s">
        <v>137</v>
      </c>
      <c r="I3" s="310"/>
      <c r="J3" s="394" t="s">
        <v>222</v>
      </c>
      <c r="K3" s="395" t="s">
        <v>225</v>
      </c>
      <c r="L3" s="395" t="s">
        <v>223</v>
      </c>
      <c r="M3" s="396" t="s">
        <v>224</v>
      </c>
      <c r="N3" s="174"/>
    </row>
    <row r="4" spans="2:17" x14ac:dyDescent="0.2">
      <c r="B4" s="311" t="s">
        <v>133</v>
      </c>
      <c r="C4" s="312" t="s">
        <v>134</v>
      </c>
      <c r="D4" s="384">
        <f>[62]Summary!$C$11</f>
        <v>2537024.6299999948</v>
      </c>
      <c r="E4" s="384">
        <f>[62]Summary!$D$11</f>
        <v>2318400</v>
      </c>
      <c r="F4" s="384">
        <f>+D4+E4</f>
        <v>4855424.6299999952</v>
      </c>
      <c r="G4" s="240">
        <f>E36</f>
        <v>3.1950138602539598E-2</v>
      </c>
      <c r="H4" s="384">
        <f>+G4*F4</f>
        <v>155131.48990268438</v>
      </c>
      <c r="I4" s="302"/>
      <c r="J4" s="397">
        <v>380</v>
      </c>
      <c r="K4" s="398" t="s">
        <v>79</v>
      </c>
      <c r="L4" s="399">
        <f>F4/F6</f>
        <v>0.10513283661288599</v>
      </c>
      <c r="M4" s="400">
        <f>H4/H6</f>
        <v>0.13318239511077268</v>
      </c>
      <c r="N4" s="174"/>
    </row>
    <row r="5" spans="2:17" x14ac:dyDescent="0.2">
      <c r="B5" s="311" t="s">
        <v>135</v>
      </c>
      <c r="C5" s="312" t="s">
        <v>83</v>
      </c>
      <c r="D5" s="385">
        <f>[62]Summary!$C$10</f>
        <v>20065458.199999966</v>
      </c>
      <c r="E5" s="385">
        <f>[62]Summary!$D$10</f>
        <v>21262829</v>
      </c>
      <c r="F5" s="385">
        <f>+D5+E5</f>
        <v>41328287.199999966</v>
      </c>
      <c r="G5" s="240">
        <f>E35</f>
        <v>2.443056207967733E-2</v>
      </c>
      <c r="H5" s="385">
        <f>+G5*F5</f>
        <v>1009673.2860863331</v>
      </c>
      <c r="I5" s="302"/>
      <c r="J5" s="397">
        <v>376</v>
      </c>
      <c r="K5" s="398" t="s">
        <v>78</v>
      </c>
      <c r="L5" s="401">
        <f>F5/F6</f>
        <v>0.89486716338711403</v>
      </c>
      <c r="M5" s="402">
        <f>H5/H6</f>
        <v>0.86681760488922732</v>
      </c>
      <c r="N5" s="174"/>
    </row>
    <row r="6" spans="2:17" ht="13.5" thickBot="1" x14ac:dyDescent="0.25">
      <c r="B6" s="313" t="s">
        <v>80</v>
      </c>
      <c r="C6" s="314"/>
      <c r="D6" s="386">
        <f>SUM(D4:D5)</f>
        <v>22602482.829999961</v>
      </c>
      <c r="E6" s="386">
        <f t="shared" ref="E6:F6" si="0">SUM(E4:E5)</f>
        <v>23581229</v>
      </c>
      <c r="F6" s="386">
        <f t="shared" si="0"/>
        <v>46183711.829999961</v>
      </c>
      <c r="G6" s="173"/>
      <c r="H6" s="386">
        <f>SUM(H4:H5)</f>
        <v>1164804.7759890174</v>
      </c>
      <c r="I6" s="303"/>
      <c r="J6" s="403"/>
      <c r="K6" s="404"/>
      <c r="L6" s="405">
        <f>SUM(L4:L5)</f>
        <v>1</v>
      </c>
      <c r="M6" s="406">
        <f>SUM(M4:M5)</f>
        <v>1</v>
      </c>
      <c r="N6" s="174"/>
    </row>
    <row r="7" spans="2:17" ht="13.5" thickTop="1" x14ac:dyDescent="0.2">
      <c r="B7" s="344" t="s">
        <v>82</v>
      </c>
      <c r="G7" s="467">
        <f>+H6/F6</f>
        <v>2.52211164896535E-2</v>
      </c>
      <c r="J7" s="174"/>
      <c r="K7" s="174"/>
      <c r="L7" s="174"/>
      <c r="M7" s="174"/>
      <c r="N7" s="174"/>
    </row>
    <row r="8" spans="2:17" x14ac:dyDescent="0.2">
      <c r="B8" s="315"/>
      <c r="C8" s="174"/>
      <c r="G8" s="175"/>
      <c r="J8" s="174"/>
    </row>
    <row r="9" spans="2:17" x14ac:dyDescent="0.2">
      <c r="B9"/>
      <c r="C9"/>
      <c r="D9" s="179"/>
      <c r="E9" s="179"/>
      <c r="F9" s="179"/>
      <c r="G9" s="179"/>
      <c r="H9" s="179"/>
      <c r="I9" s="175"/>
      <c r="J9" s="174"/>
    </row>
    <row r="10" spans="2:17" x14ac:dyDescent="0.2">
      <c r="B10"/>
      <c r="C10"/>
      <c r="D10" s="179"/>
      <c r="E10" s="179"/>
      <c r="F10" s="179"/>
      <c r="G10" s="179"/>
      <c r="H10" s="179"/>
      <c r="I10" s="175"/>
      <c r="J10" s="174"/>
    </row>
    <row r="11" spans="2:17" ht="13.5" thickBot="1" x14ac:dyDescent="0.25">
      <c r="B11" s="315"/>
      <c r="I11" s="307"/>
      <c r="J11" s="175"/>
      <c r="K11" s="174"/>
      <c r="L11" s="174"/>
      <c r="M11" s="174"/>
    </row>
    <row r="12" spans="2:17" ht="13.5" thickBot="1" x14ac:dyDescent="0.25">
      <c r="I12" s="307"/>
      <c r="J12" s="346" t="s">
        <v>227</v>
      </c>
      <c r="K12" s="347"/>
      <c r="L12" s="347"/>
      <c r="M12" s="349"/>
      <c r="N12" s="350"/>
      <c r="O12" s="350"/>
    </row>
    <row r="13" spans="2:17" ht="31.5" customHeight="1" x14ac:dyDescent="0.25">
      <c r="B13" s="316" t="s">
        <v>124</v>
      </c>
      <c r="C13" s="309" t="s">
        <v>125</v>
      </c>
      <c r="D13" s="382" t="s">
        <v>243</v>
      </c>
      <c r="E13" s="382" t="s">
        <v>244</v>
      </c>
      <c r="F13" s="176" t="s">
        <v>80</v>
      </c>
      <c r="I13" s="307"/>
      <c r="J13" s="351" t="s">
        <v>222</v>
      </c>
      <c r="K13" s="176">
        <v>892</v>
      </c>
      <c r="L13" s="176">
        <v>893</v>
      </c>
      <c r="M13" s="176">
        <v>878</v>
      </c>
      <c r="N13" s="176">
        <v>887</v>
      </c>
      <c r="O13" s="176">
        <v>874</v>
      </c>
      <c r="P13" s="174"/>
    </row>
    <row r="14" spans="2:17" x14ac:dyDescent="0.2">
      <c r="B14" s="311" t="s">
        <v>126</v>
      </c>
      <c r="C14" s="311" t="s">
        <v>127</v>
      </c>
      <c r="D14" s="384">
        <f>[62]Summary!$C$7</f>
        <v>1103012.98</v>
      </c>
      <c r="E14" s="384">
        <f>[62]Summary!$D$7</f>
        <v>96566</v>
      </c>
      <c r="F14" s="387">
        <f>+D14+E14</f>
        <v>1199578.98</v>
      </c>
      <c r="I14" s="307"/>
      <c r="J14" s="407" t="s">
        <v>178</v>
      </c>
      <c r="K14" s="408">
        <f>'[62]Buried Meter FERC % for COS'!$G$3743</f>
        <v>0.99753221399080905</v>
      </c>
      <c r="L14" s="408">
        <f>'[62]Buried Meter FERC % for COS'!$G$3744</f>
        <v>1.7026182230421242E-3</v>
      </c>
      <c r="M14" s="408"/>
      <c r="N14" s="409"/>
      <c r="O14" s="409">
        <f>'[62]Buried Meter FERC % for COS'!$G$3745</f>
        <v>7.651677861488077E-4</v>
      </c>
      <c r="P14" s="410"/>
      <c r="Q14" s="345"/>
    </row>
    <row r="15" spans="2:17" x14ac:dyDescent="0.2">
      <c r="B15" s="311" t="s">
        <v>220</v>
      </c>
      <c r="C15" s="311"/>
      <c r="D15" s="388">
        <v>-437688.5</v>
      </c>
      <c r="E15" s="389">
        <v>0</v>
      </c>
      <c r="F15" s="385">
        <f>+D15+E15</f>
        <v>-437688.5</v>
      </c>
      <c r="I15" s="307"/>
      <c r="J15" s="407"/>
      <c r="K15" s="408">
        <v>1</v>
      </c>
      <c r="L15" s="408"/>
      <c r="M15" s="408"/>
      <c r="N15" s="409"/>
      <c r="O15" s="409"/>
      <c r="P15" s="174"/>
    </row>
    <row r="16" spans="2:17" x14ac:dyDescent="0.2">
      <c r="B16" s="311" t="s">
        <v>128</v>
      </c>
      <c r="C16" s="311" t="s">
        <v>129</v>
      </c>
      <c r="D16" s="390">
        <f>[62]Summary!$C$5</f>
        <v>1941365.62</v>
      </c>
      <c r="E16" s="390">
        <f>[62]Summary!$D$5</f>
        <v>1474000</v>
      </c>
      <c r="F16" s="390">
        <f>+D16+E16</f>
        <v>3415365.62</v>
      </c>
      <c r="I16" s="307"/>
      <c r="J16" s="407" t="s">
        <v>144</v>
      </c>
      <c r="K16" s="409"/>
      <c r="L16" s="409"/>
      <c r="M16" s="409"/>
      <c r="N16" s="409"/>
      <c r="O16" s="408">
        <v>1</v>
      </c>
      <c r="P16" s="174"/>
      <c r="Q16" s="174"/>
    </row>
    <row r="17" spans="1:18" x14ac:dyDescent="0.2">
      <c r="B17" s="311" t="s">
        <v>130</v>
      </c>
      <c r="C17" s="311" t="s">
        <v>131</v>
      </c>
      <c r="D17" s="390">
        <f>[62]Summary!$C$6</f>
        <v>10517.5</v>
      </c>
      <c r="E17" s="389">
        <f>[62]Summary!$D$6</f>
        <v>43737</v>
      </c>
      <c r="F17" s="385">
        <f>+D17+E17</f>
        <v>54254.5</v>
      </c>
      <c r="I17" s="307"/>
      <c r="J17" s="407" t="s">
        <v>143</v>
      </c>
      <c r="K17" s="408">
        <f>'[62]O&amp;M Cross Bore Repair'!$F$19</f>
        <v>-0.73360874732588566</v>
      </c>
      <c r="L17" s="408"/>
      <c r="M17" s="408"/>
      <c r="N17" s="408">
        <f>'[62]O&amp;M Cross Bore Repair'!$F$18</f>
        <v>1.7336087473258857</v>
      </c>
      <c r="O17" s="408"/>
      <c r="P17" s="174"/>
      <c r="Q17" s="174"/>
    </row>
    <row r="18" spans="1:18" x14ac:dyDescent="0.2">
      <c r="B18" s="318" t="s">
        <v>221</v>
      </c>
      <c r="C18" s="312"/>
      <c r="D18" s="388">
        <v>-82000</v>
      </c>
      <c r="E18" s="391">
        <v>0</v>
      </c>
      <c r="F18" s="385">
        <f>+D18+E18</f>
        <v>-82000</v>
      </c>
      <c r="I18" s="307"/>
      <c r="J18" s="411"/>
      <c r="K18" s="408"/>
      <c r="L18" s="408"/>
      <c r="M18" s="408"/>
      <c r="N18" s="409"/>
      <c r="O18" s="409">
        <v>1</v>
      </c>
      <c r="P18" s="174"/>
    </row>
    <row r="19" spans="1:18" ht="13.5" thickBot="1" x14ac:dyDescent="0.25">
      <c r="B19" s="313" t="s">
        <v>80</v>
      </c>
      <c r="C19" s="314"/>
      <c r="D19" s="386">
        <f>SUM(D14:D18)</f>
        <v>2535207.6</v>
      </c>
      <c r="E19" s="386">
        <f>SUM(E14:E18)</f>
        <v>1614303</v>
      </c>
      <c r="F19" s="386">
        <f>SUM(F14:F18)</f>
        <v>4149510.5999999996</v>
      </c>
    </row>
    <row r="20" spans="1:18" ht="13.5" thickTop="1" x14ac:dyDescent="0.2">
      <c r="B20" s="174"/>
      <c r="C20" s="174"/>
      <c r="I20"/>
      <c r="J20"/>
      <c r="K20"/>
      <c r="L20"/>
      <c r="M20"/>
      <c r="N20"/>
      <c r="O20"/>
      <c r="P20"/>
      <c r="Q20"/>
      <c r="R20"/>
    </row>
    <row r="21" spans="1:18" x14ac:dyDescent="0.2">
      <c r="B21" s="319" t="s">
        <v>136</v>
      </c>
      <c r="C21" s="320"/>
      <c r="D21" s="392">
        <f>+D6+D19</f>
        <v>25137690.429999962</v>
      </c>
      <c r="E21" s="392">
        <f>+E6+E19</f>
        <v>25195532</v>
      </c>
      <c r="F21" s="392">
        <f>SUM(D21:E21)</f>
        <v>50333222.429999962</v>
      </c>
      <c r="I21"/>
      <c r="J21"/>
      <c r="K21"/>
      <c r="L21"/>
      <c r="M21"/>
      <c r="N21"/>
      <c r="O21"/>
      <c r="P21"/>
      <c r="Q21"/>
      <c r="R21"/>
    </row>
    <row r="22" spans="1:18" x14ac:dyDescent="0.2">
      <c r="B22" s="174"/>
      <c r="C22" s="174"/>
    </row>
    <row r="23" spans="1:18" x14ac:dyDescent="0.2">
      <c r="B23" s="174"/>
      <c r="C23" s="174"/>
    </row>
    <row r="24" spans="1:18" x14ac:dyDescent="0.2">
      <c r="B24" s="174"/>
      <c r="C24" s="174"/>
    </row>
    <row r="25" spans="1:18" x14ac:dyDescent="0.2">
      <c r="B25" s="317" t="s">
        <v>60</v>
      </c>
      <c r="C25" s="317"/>
      <c r="D25" s="173"/>
      <c r="E25" s="173"/>
      <c r="F25" s="496">
        <f>'2019 GRC'!J38</f>
        <v>4.7447000000000003E-2</v>
      </c>
      <c r="G25" s="174" t="s">
        <v>256</v>
      </c>
    </row>
    <row r="26" spans="1:18" x14ac:dyDescent="0.2">
      <c r="B26" s="317" t="s">
        <v>139</v>
      </c>
      <c r="C26" s="317"/>
      <c r="D26" s="173"/>
      <c r="E26" s="173"/>
      <c r="F26" s="390">
        <f>+(F19)/(1-$F$25)</f>
        <v>4356199.1826176597</v>
      </c>
      <c r="G26" s="177"/>
    </row>
    <row r="27" spans="1:18" x14ac:dyDescent="0.2">
      <c r="B27" s="317" t="s">
        <v>177</v>
      </c>
      <c r="C27" s="317"/>
      <c r="D27" s="173"/>
      <c r="E27" s="173"/>
      <c r="F27" s="390">
        <f>'2022 CAP CRM'!E39</f>
        <v>5335531.596023771</v>
      </c>
    </row>
    <row r="28" spans="1:18" ht="13.5" thickBot="1" x14ac:dyDescent="0.25">
      <c r="B28" s="352" t="s">
        <v>228</v>
      </c>
      <c r="C28" s="178"/>
      <c r="D28" s="178"/>
      <c r="E28" s="178"/>
      <c r="F28" s="393">
        <f>SUM(F26:F27)</f>
        <v>9691730.7786414307</v>
      </c>
    </row>
    <row r="30" spans="1:18" ht="13.5" thickBot="1" x14ac:dyDescent="0.25">
      <c r="A30" s="304"/>
      <c r="B30" s="305" t="s">
        <v>180</v>
      </c>
      <c r="C30" s="305"/>
      <c r="D30" s="305"/>
      <c r="E30" s="305"/>
      <c r="F30" s="305"/>
      <c r="G30" s="305"/>
      <c r="H30" s="304"/>
      <c r="I30" s="304"/>
      <c r="J30" s="304"/>
    </row>
    <row r="31" spans="1:18" x14ac:dyDescent="0.2">
      <c r="A31" s="304"/>
      <c r="B31" s="321" t="s">
        <v>107</v>
      </c>
      <c r="C31" s="322"/>
      <c r="D31" s="322"/>
      <c r="E31" s="323"/>
      <c r="F31" s="304"/>
      <c r="G31" s="304"/>
      <c r="H31" s="304"/>
      <c r="I31" s="304"/>
      <c r="J31" s="304"/>
    </row>
    <row r="32" spans="1:18" ht="25.5" x14ac:dyDescent="0.2">
      <c r="A32" s="304"/>
      <c r="B32" s="324" t="s">
        <v>108</v>
      </c>
      <c r="C32" s="325" t="s">
        <v>93</v>
      </c>
      <c r="D32" s="326" t="s">
        <v>109</v>
      </c>
      <c r="E32" s="327" t="s">
        <v>110</v>
      </c>
      <c r="F32" s="304"/>
      <c r="G32" s="304"/>
      <c r="H32" s="304"/>
      <c r="I32" s="304"/>
      <c r="J32" s="304"/>
    </row>
    <row r="33" spans="1:10" x14ac:dyDescent="0.2">
      <c r="A33" s="304"/>
      <c r="B33" s="328" t="s">
        <v>111</v>
      </c>
      <c r="C33" s="329"/>
      <c r="D33" s="330" t="s">
        <v>94</v>
      </c>
      <c r="E33" s="331" t="s">
        <v>94</v>
      </c>
      <c r="F33" s="304"/>
      <c r="G33" s="304"/>
      <c r="H33" s="304"/>
      <c r="I33" s="304"/>
      <c r="J33" s="304"/>
    </row>
    <row r="34" spans="1:10" x14ac:dyDescent="0.2">
      <c r="A34" s="304"/>
      <c r="B34" s="332"/>
      <c r="C34" s="333"/>
      <c r="D34" s="334" t="s">
        <v>112</v>
      </c>
      <c r="E34" s="335"/>
      <c r="F34" s="304"/>
      <c r="G34" s="304"/>
      <c r="H34" s="304"/>
      <c r="I34" s="304"/>
      <c r="J34" s="304"/>
    </row>
    <row r="35" spans="1:10" x14ac:dyDescent="0.2">
      <c r="B35" s="336">
        <v>376.2</v>
      </c>
      <c r="C35" s="333" t="s">
        <v>113</v>
      </c>
      <c r="D35" s="337">
        <v>2.7700000000000002E-2</v>
      </c>
      <c r="E35" s="338">
        <v>2.443056207967733E-2</v>
      </c>
      <c r="F35" s="304"/>
      <c r="G35" s="304"/>
      <c r="H35" s="304"/>
      <c r="I35" s="304"/>
      <c r="J35" s="304"/>
    </row>
    <row r="36" spans="1:10" ht="13.5" thickBot="1" x14ac:dyDescent="0.25">
      <c r="B36" s="339">
        <v>380.2</v>
      </c>
      <c r="C36" s="340" t="s">
        <v>114</v>
      </c>
      <c r="D36" s="341">
        <v>4.58E-2</v>
      </c>
      <c r="E36" s="342">
        <v>3.1950138602539598E-2</v>
      </c>
      <c r="F36" s="304"/>
      <c r="G36" s="304"/>
      <c r="H36" s="304"/>
      <c r="I36" s="304"/>
      <c r="J36" s="304"/>
    </row>
    <row r="37" spans="1:10" x14ac:dyDescent="0.2">
      <c r="B37" s="304"/>
      <c r="C37" s="304"/>
      <c r="D37" s="304"/>
      <c r="E37" s="304"/>
      <c r="F37" s="304"/>
      <c r="G37" s="304"/>
      <c r="H37" s="304"/>
      <c r="I37" s="304"/>
      <c r="J37" s="304"/>
    </row>
    <row r="38" spans="1:10" x14ac:dyDescent="0.2">
      <c r="A38" s="343" t="s">
        <v>183</v>
      </c>
    </row>
    <row r="39" spans="1:10" ht="12.75" customHeight="1" x14ac:dyDescent="0.2">
      <c r="A39" s="300" t="s">
        <v>181</v>
      </c>
      <c r="B39" s="355" t="s">
        <v>260</v>
      </c>
      <c r="C39" s="354"/>
      <c r="D39" s="354"/>
      <c r="E39" s="354"/>
      <c r="F39" s="354"/>
      <c r="G39" s="354"/>
      <c r="H39" s="354"/>
      <c r="I39" s="354"/>
      <c r="J39" s="354"/>
    </row>
    <row r="40" spans="1:10" x14ac:dyDescent="0.2">
      <c r="A40" s="300" t="s">
        <v>182</v>
      </c>
      <c r="B40" s="498" t="s">
        <v>229</v>
      </c>
      <c r="C40" s="498"/>
      <c r="D40" s="498"/>
      <c r="E40" s="498"/>
      <c r="F40" s="498"/>
      <c r="G40" s="498"/>
      <c r="H40" s="498"/>
      <c r="I40" s="498"/>
      <c r="J40" s="498"/>
    </row>
    <row r="41" spans="1:10" ht="12.75" customHeight="1" x14ac:dyDescent="0.2">
      <c r="B41" s="498"/>
      <c r="C41" s="498"/>
      <c r="D41" s="498"/>
      <c r="E41" s="498"/>
      <c r="F41" s="498"/>
      <c r="G41" s="498"/>
      <c r="H41" s="498"/>
      <c r="I41" s="498"/>
      <c r="J41" s="498"/>
    </row>
    <row r="42" spans="1:10" x14ac:dyDescent="0.2">
      <c r="A42" s="301"/>
      <c r="B42" s="354"/>
      <c r="C42" s="354"/>
      <c r="D42" s="354"/>
      <c r="E42" s="354"/>
      <c r="F42" s="354"/>
      <c r="G42" s="354"/>
      <c r="H42" s="354"/>
      <c r="I42" s="354"/>
      <c r="J42" s="354"/>
    </row>
  </sheetData>
  <mergeCells count="1">
    <mergeCell ref="B40:J41"/>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zoomScale="90" zoomScaleNormal="90" workbookViewId="0">
      <selection activeCell="B34" sqref="B34"/>
    </sheetView>
  </sheetViews>
  <sheetFormatPr defaultColWidth="9.28515625" defaultRowHeight="15" x14ac:dyDescent="0.25"/>
  <cols>
    <col min="1" max="1" width="9.28515625" style="194"/>
    <col min="2" max="2" width="27.7109375" style="194" bestFit="1" customWidth="1"/>
    <col min="3" max="3" width="16.42578125" style="194" bestFit="1" customWidth="1"/>
    <col min="4" max="4" width="26.28515625" style="194" customWidth="1"/>
    <col min="5" max="5" width="16.7109375" style="194" customWidth="1"/>
    <col min="6" max="6" width="25.5703125" style="194" customWidth="1"/>
    <col min="7" max="7" width="1" style="207" customWidth="1"/>
    <col min="8" max="8" width="17.7109375" style="194" customWidth="1"/>
    <col min="9" max="9" width="19.5703125" style="194" customWidth="1"/>
    <col min="10" max="10" width="14.28515625" style="194" bestFit="1" customWidth="1"/>
    <col min="11" max="11" width="16" style="194" bestFit="1" customWidth="1"/>
    <col min="12" max="12" width="23.7109375" style="194" customWidth="1"/>
    <col min="13" max="13" width="9.28515625" style="194"/>
    <col min="14" max="14" width="17.5703125" style="194" customWidth="1"/>
    <col min="15" max="15" width="16.28515625" style="194" bestFit="1" customWidth="1"/>
    <col min="16" max="16" width="14.5703125" style="194" bestFit="1" customWidth="1"/>
    <col min="17" max="16384" width="9.28515625" style="194"/>
  </cols>
  <sheetData>
    <row r="2" spans="2:21" ht="16.5" thickBot="1" x14ac:dyDescent="0.3">
      <c r="B2" s="193" t="s">
        <v>245</v>
      </c>
      <c r="P2"/>
    </row>
    <row r="3" spans="2:21" ht="15.75" thickBot="1" x14ac:dyDescent="0.3">
      <c r="B3" s="209" t="s">
        <v>246</v>
      </c>
      <c r="C3" s="210"/>
      <c r="D3" s="210"/>
      <c r="E3" s="211" t="s">
        <v>247</v>
      </c>
      <c r="F3" s="212"/>
      <c r="G3" s="208"/>
      <c r="H3" s="499" t="s">
        <v>248</v>
      </c>
      <c r="I3" s="500"/>
      <c r="J3" s="501"/>
      <c r="L3"/>
      <c r="M3" t="s">
        <v>255</v>
      </c>
      <c r="N3"/>
      <c r="O3"/>
      <c r="P3"/>
      <c r="R3"/>
      <c r="S3"/>
      <c r="T3"/>
      <c r="U3"/>
    </row>
    <row r="4" spans="2:21" ht="11.25" customHeight="1" thickBot="1" x14ac:dyDescent="0.3">
      <c r="B4" s="215" t="s">
        <v>168</v>
      </c>
      <c r="C4" s="216"/>
      <c r="D4" s="216"/>
      <c r="E4" s="216"/>
      <c r="F4" s="217"/>
      <c r="G4" s="214"/>
      <c r="H4" s="225"/>
      <c r="I4" s="218"/>
      <c r="J4" s="226"/>
      <c r="K4" s="207"/>
      <c r="L4"/>
      <c r="M4" s="346" t="s">
        <v>227</v>
      </c>
      <c r="N4" s="347"/>
      <c r="O4" s="349"/>
      <c r="P4" s="350"/>
      <c r="Q4" s="350"/>
      <c r="R4"/>
      <c r="S4"/>
      <c r="T4"/>
      <c r="U4"/>
    </row>
    <row r="5" spans="2:21" ht="30" x14ac:dyDescent="0.25">
      <c r="B5" s="195" t="s">
        <v>138</v>
      </c>
      <c r="C5" s="196" t="s">
        <v>125</v>
      </c>
      <c r="D5" s="412" t="s">
        <v>249</v>
      </c>
      <c r="E5" s="412" t="s">
        <v>250</v>
      </c>
      <c r="F5" s="413" t="s">
        <v>251</v>
      </c>
      <c r="G5" s="221"/>
      <c r="H5" s="412" t="s">
        <v>252</v>
      </c>
      <c r="I5" s="413" t="s">
        <v>253</v>
      </c>
      <c r="J5" s="414" t="s">
        <v>142</v>
      </c>
      <c r="K5"/>
      <c r="L5"/>
      <c r="M5" s="176">
        <v>892</v>
      </c>
      <c r="N5" s="176">
        <v>893</v>
      </c>
      <c r="O5" s="176">
        <v>878</v>
      </c>
      <c r="P5" s="176">
        <v>887</v>
      </c>
      <c r="Q5" s="176">
        <v>874</v>
      </c>
      <c r="R5"/>
      <c r="S5"/>
      <c r="T5"/>
      <c r="U5"/>
    </row>
    <row r="6" spans="2:21" x14ac:dyDescent="0.25">
      <c r="B6" s="415" t="s">
        <v>128</v>
      </c>
      <c r="C6" s="416" t="s">
        <v>129</v>
      </c>
      <c r="D6" s="417">
        <v>3372737.88</v>
      </c>
      <c r="E6" s="417">
        <v>32632.38112233928</v>
      </c>
      <c r="F6" s="418">
        <f>+E6+D6</f>
        <v>3405370.2611223389</v>
      </c>
      <c r="G6" s="222"/>
      <c r="H6" s="419">
        <v>121746.12</v>
      </c>
      <c r="I6" s="420">
        <v>3494484</v>
      </c>
      <c r="J6" s="418">
        <f>+I6-F6</f>
        <v>89113.738877661061</v>
      </c>
      <c r="K6"/>
      <c r="L6"/>
      <c r="M6" s="373"/>
      <c r="N6" s="372"/>
      <c r="O6" s="373"/>
      <c r="P6" s="372"/>
      <c r="Q6" s="378">
        <f>D6/D6</f>
        <v>1</v>
      </c>
      <c r="R6" s="381">
        <f>SUM(M6:Q6)</f>
        <v>1</v>
      </c>
      <c r="S6"/>
      <c r="T6"/>
      <c r="U6"/>
    </row>
    <row r="7" spans="2:21" x14ac:dyDescent="0.25">
      <c r="B7" s="415" t="s">
        <v>130</v>
      </c>
      <c r="C7" s="416" t="s">
        <v>131</v>
      </c>
      <c r="D7" s="421">
        <v>55286.64</v>
      </c>
      <c r="E7" s="417">
        <v>0</v>
      </c>
      <c r="F7" s="418">
        <f>+E7+D7</f>
        <v>55286.64</v>
      </c>
      <c r="G7" s="222"/>
      <c r="H7" s="419">
        <v>2606.84</v>
      </c>
      <c r="I7" s="420">
        <v>57893.479999999996</v>
      </c>
      <c r="J7" s="418">
        <f t="shared" ref="J7:J8" si="0">+I7-F7</f>
        <v>2606.8399999999965</v>
      </c>
      <c r="K7"/>
      <c r="L7"/>
      <c r="M7" s="380">
        <v>0.70679999999999998</v>
      </c>
      <c r="N7" s="376"/>
      <c r="O7" s="375"/>
      <c r="P7" s="379">
        <v>0.29320000000000002</v>
      </c>
      <c r="Q7" s="377"/>
      <c r="R7" s="381">
        <f>SUM(M7:Q7)</f>
        <v>1</v>
      </c>
      <c r="S7"/>
      <c r="T7"/>
      <c r="U7"/>
    </row>
    <row r="8" spans="2:21" ht="15.75" thickBot="1" x14ac:dyDescent="0.3">
      <c r="B8" s="422" t="s">
        <v>254</v>
      </c>
      <c r="C8" s="423" t="s">
        <v>127</v>
      </c>
      <c r="D8" s="424">
        <v>1496840.2499999984</v>
      </c>
      <c r="E8" s="424">
        <v>38325.156058420442</v>
      </c>
      <c r="F8" s="425">
        <f>D8+E8</f>
        <v>1535165.4060584188</v>
      </c>
      <c r="G8" s="223"/>
      <c r="H8" s="426">
        <v>59096.19</v>
      </c>
      <c r="I8" s="427">
        <v>1555936.4399999983</v>
      </c>
      <c r="J8" s="425">
        <f t="shared" si="0"/>
        <v>20771.033941579517</v>
      </c>
      <c r="K8"/>
      <c r="L8"/>
      <c r="M8" s="380">
        <v>0.98753444798133938</v>
      </c>
      <c r="N8" s="379">
        <v>7.841451350603406E-4</v>
      </c>
      <c r="O8" s="380">
        <v>1.1681406883600347E-2</v>
      </c>
      <c r="P8" s="374"/>
      <c r="Q8" s="377"/>
      <c r="R8" s="381">
        <f t="shared" ref="R8" si="1">SUM(M8:Q8)</f>
        <v>1</v>
      </c>
      <c r="S8"/>
      <c r="T8"/>
      <c r="U8"/>
    </row>
    <row r="9" spans="2:21" x14ac:dyDescent="0.25">
      <c r="B9" s="428" t="s">
        <v>169</v>
      </c>
      <c r="C9" s="429"/>
      <c r="D9" s="430">
        <f>SUM(D6:D8)</f>
        <v>4924864.7699999986</v>
      </c>
      <c r="E9" s="431">
        <f>SUM(E6:E8)</f>
        <v>70957.537180759726</v>
      </c>
      <c r="F9" s="432">
        <f>SUM(F6:F8)</f>
        <v>4995822.3071807576</v>
      </c>
      <c r="G9" s="220"/>
      <c r="H9" s="433">
        <f>SUM(H6:H8)</f>
        <v>183449.15</v>
      </c>
      <c r="I9" s="434">
        <f>SUM(I6:I8)</f>
        <v>5108313.9199999981</v>
      </c>
      <c r="J9" s="432">
        <f>+I9-F9</f>
        <v>112491.61281924043</v>
      </c>
      <c r="K9" s="207"/>
      <c r="L9"/>
      <c r="M9"/>
      <c r="N9"/>
      <c r="O9"/>
      <c r="P9"/>
      <c r="Q9"/>
      <c r="R9"/>
      <c r="S9"/>
      <c r="T9"/>
      <c r="U9"/>
    </row>
    <row r="10" spans="2:21" x14ac:dyDescent="0.25">
      <c r="B10" s="435" t="s">
        <v>187</v>
      </c>
      <c r="C10" s="487">
        <f>'2021 + true up CAP'!F16</f>
        <v>4.5447000000000001E-2</v>
      </c>
      <c r="D10" s="436"/>
      <c r="E10" s="437"/>
      <c r="F10" s="438"/>
      <c r="G10" s="439"/>
      <c r="H10" s="440"/>
      <c r="I10" s="441"/>
      <c r="J10" s="438"/>
      <c r="L10"/>
      <c r="M10"/>
      <c r="N10"/>
      <c r="O10"/>
      <c r="P10"/>
      <c r="Q10"/>
      <c r="R10"/>
      <c r="S10"/>
      <c r="T10"/>
      <c r="U10"/>
    </row>
    <row r="11" spans="2:21" x14ac:dyDescent="0.25">
      <c r="B11" s="442" t="s">
        <v>188</v>
      </c>
      <c r="C11" s="443"/>
      <c r="D11" s="444"/>
      <c r="E11" s="445"/>
      <c r="F11" s="446"/>
      <c r="G11" s="444"/>
      <c r="H11" s="447"/>
      <c r="I11" s="444"/>
      <c r="J11" s="446">
        <f>+J9/(1-C10)</f>
        <v>117847.42473098972</v>
      </c>
      <c r="K11" s="371"/>
      <c r="L11"/>
      <c r="M11"/>
      <c r="N11"/>
      <c r="O11"/>
      <c r="P11"/>
      <c r="Q11"/>
      <c r="R11"/>
      <c r="S11"/>
      <c r="T11"/>
      <c r="U11"/>
    </row>
    <row r="12" spans="2:21" ht="15.75" thickBot="1" x14ac:dyDescent="0.3">
      <c r="B12" s="197"/>
      <c r="C12" s="198"/>
      <c r="D12" s="198"/>
      <c r="E12" s="198"/>
      <c r="F12" s="199"/>
      <c r="G12" s="198"/>
      <c r="H12" s="197"/>
      <c r="I12" s="198"/>
      <c r="J12" s="199"/>
      <c r="L12"/>
      <c r="M12"/>
      <c r="N12"/>
      <c r="O12"/>
      <c r="P12"/>
      <c r="Q12"/>
      <c r="R12"/>
      <c r="S12"/>
      <c r="T12"/>
      <c r="U12"/>
    </row>
    <row r="13" spans="2:21" ht="11.25" customHeight="1" thickBot="1" x14ac:dyDescent="0.3">
      <c r="B13" s="215" t="s">
        <v>132</v>
      </c>
      <c r="C13" s="216"/>
      <c r="D13" s="216"/>
      <c r="E13" s="216"/>
      <c r="F13" s="217"/>
      <c r="G13" s="214"/>
      <c r="H13" s="225"/>
      <c r="I13" s="218"/>
      <c r="J13" s="219"/>
      <c r="L13"/>
      <c r="M13"/>
      <c r="N13"/>
      <c r="O13"/>
      <c r="P13"/>
      <c r="Q13"/>
      <c r="R13"/>
      <c r="S13"/>
      <c r="T13"/>
      <c r="U13"/>
    </row>
    <row r="14" spans="2:21" ht="30" x14ac:dyDescent="0.25">
      <c r="B14" s="448" t="s">
        <v>138</v>
      </c>
      <c r="C14" s="449" t="s">
        <v>125</v>
      </c>
      <c r="D14" s="412" t="s">
        <v>249</v>
      </c>
      <c r="E14" s="412" t="s">
        <v>250</v>
      </c>
      <c r="F14" s="413" t="s">
        <v>251</v>
      </c>
      <c r="G14" s="221"/>
      <c r="H14" s="412" t="s">
        <v>252</v>
      </c>
      <c r="I14" s="413" t="s">
        <v>253</v>
      </c>
      <c r="J14" s="414" t="s">
        <v>142</v>
      </c>
      <c r="K14" s="207"/>
      <c r="L14" s="207"/>
      <c r="M14"/>
      <c r="N14"/>
      <c r="O14"/>
      <c r="P14"/>
      <c r="Q14"/>
      <c r="R14"/>
      <c r="S14"/>
      <c r="T14"/>
      <c r="U14"/>
    </row>
    <row r="15" spans="2:21" x14ac:dyDescent="0.25">
      <c r="B15" s="450" t="s">
        <v>170</v>
      </c>
      <c r="C15" s="451" t="s">
        <v>83</v>
      </c>
      <c r="D15" s="452">
        <v>38193603.479999885</v>
      </c>
      <c r="E15" s="453">
        <v>2692261</v>
      </c>
      <c r="F15" s="418">
        <f>SUM(D15:E15)</f>
        <v>40885864.479999885</v>
      </c>
      <c r="G15" s="222"/>
      <c r="H15" s="454">
        <v>2526053.129999998</v>
      </c>
      <c r="I15" s="420">
        <v>40719656.60999988</v>
      </c>
      <c r="J15" s="418">
        <f t="shared" ref="J15:J19" si="2">+I15-F15</f>
        <v>-166207.87000000477</v>
      </c>
      <c r="K15" s="207" t="str">
        <f>H26</f>
        <v>Mains, FERC 376</v>
      </c>
      <c r="L15" s="207"/>
      <c r="M15"/>
      <c r="N15"/>
      <c r="O15"/>
      <c r="P15"/>
      <c r="Q15"/>
      <c r="R15"/>
      <c r="S15"/>
      <c r="T15"/>
      <c r="U15"/>
    </row>
    <row r="16" spans="2:21" ht="15.75" thickBot="1" x14ac:dyDescent="0.3">
      <c r="B16" s="455" t="s">
        <v>171</v>
      </c>
      <c r="C16" s="456" t="s">
        <v>172</v>
      </c>
      <c r="D16" s="424">
        <v>3059912.300000004</v>
      </c>
      <c r="E16" s="457">
        <v>172736.98467741959</v>
      </c>
      <c r="F16" s="458">
        <f>SUM(D16:E16)</f>
        <v>3232649.2846774235</v>
      </c>
      <c r="G16" s="213"/>
      <c r="H16" s="426">
        <v>371917.48000000016</v>
      </c>
      <c r="I16" s="424">
        <v>3431829.780000004</v>
      </c>
      <c r="J16" s="458">
        <f t="shared" si="2"/>
        <v>199180.49532258045</v>
      </c>
      <c r="K16" s="207" t="str">
        <f>H27</f>
        <v>Services, FERC 380</v>
      </c>
      <c r="L16" s="207"/>
      <c r="M16"/>
      <c r="N16"/>
      <c r="O16"/>
      <c r="P16"/>
      <c r="Q16"/>
      <c r="R16"/>
      <c r="S16"/>
      <c r="T16"/>
      <c r="U16"/>
    </row>
    <row r="17" spans="2:21" x14ac:dyDescent="0.25">
      <c r="B17" s="428" t="s">
        <v>173</v>
      </c>
      <c r="C17" s="459"/>
      <c r="D17" s="430">
        <f>SUM(D15:D16)</f>
        <v>41253515.779999889</v>
      </c>
      <c r="E17" s="434">
        <f>SUM(E15:E16)</f>
        <v>2864997.9846774195</v>
      </c>
      <c r="F17" s="432">
        <f>SUM(F15:F16)</f>
        <v>44118513.764677308</v>
      </c>
      <c r="G17" s="220"/>
      <c r="H17" s="460">
        <f>SUM(H15:H16)</f>
        <v>2897970.609999998</v>
      </c>
      <c r="I17" s="434">
        <f>SUM(I15:I16)</f>
        <v>44151486.389999881</v>
      </c>
      <c r="J17" s="432">
        <f t="shared" si="2"/>
        <v>32972.625322572887</v>
      </c>
      <c r="K17" s="207"/>
      <c r="L17" s="207"/>
      <c r="M17"/>
      <c r="N17"/>
      <c r="O17"/>
      <c r="P17"/>
      <c r="Q17"/>
      <c r="R17"/>
      <c r="S17"/>
      <c r="T17"/>
      <c r="U17"/>
    </row>
    <row r="18" spans="2:21" x14ac:dyDescent="0.25">
      <c r="B18" s="197"/>
      <c r="C18" s="198"/>
      <c r="D18" s="198"/>
      <c r="E18" s="198"/>
      <c r="F18" s="432"/>
      <c r="G18" s="198"/>
      <c r="H18" s="197"/>
      <c r="I18" s="198"/>
      <c r="J18" s="199"/>
      <c r="K18" s="207"/>
      <c r="L18" s="207"/>
      <c r="M18"/>
      <c r="N18"/>
      <c r="O18"/>
      <c r="P18"/>
      <c r="Q18"/>
      <c r="R18"/>
      <c r="S18"/>
      <c r="T18"/>
      <c r="U18"/>
    </row>
    <row r="19" spans="2:21" ht="15.75" thickBot="1" x14ac:dyDescent="0.3">
      <c r="B19" s="461" t="s">
        <v>174</v>
      </c>
      <c r="C19" s="462"/>
      <c r="D19" s="463">
        <f>D9+D17</f>
        <v>46178380.549999885</v>
      </c>
      <c r="E19" s="463">
        <f>E9+E17</f>
        <v>2935955.5218581795</v>
      </c>
      <c r="F19" s="464">
        <f>F9+F17</f>
        <v>49114336.071858063</v>
      </c>
      <c r="G19" s="224"/>
      <c r="H19" s="465">
        <f>H9+H17</f>
        <v>3081419.7599999979</v>
      </c>
      <c r="I19" s="466">
        <f>I9+I17</f>
        <v>49259800.309999883</v>
      </c>
      <c r="J19" s="464">
        <f t="shared" si="2"/>
        <v>145464.23814181983</v>
      </c>
      <c r="K19" s="207"/>
      <c r="L19" s="207"/>
      <c r="M19"/>
      <c r="N19"/>
      <c r="O19"/>
      <c r="P19"/>
      <c r="Q19"/>
      <c r="R19"/>
      <c r="S19"/>
      <c r="T19"/>
      <c r="U19"/>
    </row>
    <row r="20" spans="2:21" x14ac:dyDescent="0.25">
      <c r="B20" s="207"/>
      <c r="C20" s="207"/>
      <c r="D20" s="207"/>
      <c r="E20" s="207"/>
      <c r="F20" s="207"/>
      <c r="H20" s="207"/>
      <c r="I20" s="207"/>
      <c r="J20" s="207"/>
      <c r="K20" s="207"/>
      <c r="L20" s="207"/>
    </row>
    <row r="21" spans="2:21" ht="30" x14ac:dyDescent="0.25">
      <c r="B21" s="207"/>
      <c r="C21" s="207"/>
      <c r="D21" s="207"/>
      <c r="E21" s="171" t="s">
        <v>13</v>
      </c>
      <c r="F21" s="172" t="s">
        <v>137</v>
      </c>
      <c r="H21" s="171" t="s">
        <v>13</v>
      </c>
      <c r="I21" s="172" t="s">
        <v>137</v>
      </c>
      <c r="J21" s="207"/>
      <c r="K21" s="207"/>
      <c r="L21" s="207"/>
    </row>
    <row r="22" spans="2:21" x14ac:dyDescent="0.25">
      <c r="B22" s="207"/>
      <c r="C22" s="207"/>
      <c r="D22" s="123" t="s">
        <v>81</v>
      </c>
      <c r="E22" s="240">
        <f>'2022 C&amp;OM'!E35</f>
        <v>2.443056207967733E-2</v>
      </c>
      <c r="F22" s="241">
        <f>+F15*E22</f>
        <v>998864.65035991149</v>
      </c>
      <c r="H22" s="240">
        <f>+E22</f>
        <v>2.443056207967733E-2</v>
      </c>
      <c r="I22" s="241">
        <f>+I15*H22</f>
        <v>994804.09867374541</v>
      </c>
      <c r="J22" s="207"/>
      <c r="K22" s="207"/>
      <c r="L22" s="207"/>
      <c r="M22" s="357"/>
    </row>
    <row r="23" spans="2:21" x14ac:dyDescent="0.25">
      <c r="D23" s="124" t="s">
        <v>79</v>
      </c>
      <c r="E23" s="240">
        <f>'2022 C&amp;OM'!E36</f>
        <v>3.1950138602539598E-2</v>
      </c>
      <c r="F23" s="242">
        <f>+F16*E23</f>
        <v>103283.59269884416</v>
      </c>
      <c r="H23" s="240">
        <f>+E23</f>
        <v>3.1950138602539598E-2</v>
      </c>
      <c r="I23" s="242">
        <f>+I16*H23</f>
        <v>109647.43713132309</v>
      </c>
    </row>
    <row r="24" spans="2:21" x14ac:dyDescent="0.25">
      <c r="E24" s="173"/>
      <c r="F24" s="244">
        <f>SUM(F22:F23)</f>
        <v>1102148.2430587558</v>
      </c>
      <c r="H24" s="245"/>
      <c r="I24" s="244">
        <f>SUM(I22:I23)</f>
        <v>1104451.5358050684</v>
      </c>
    </row>
    <row r="25" spans="2:21" x14ac:dyDescent="0.25">
      <c r="E25" s="243"/>
      <c r="F25" s="246">
        <f>+F24/F17</f>
        <v>2.4981536072077995E-2</v>
      </c>
      <c r="G25" s="247"/>
      <c r="H25" s="240"/>
      <c r="I25" s="246">
        <f>+I24/I17</f>
        <v>2.5015047648661311E-2</v>
      </c>
    </row>
    <row r="26" spans="2:21" x14ac:dyDescent="0.25">
      <c r="E26" s="207"/>
      <c r="G26" s="247"/>
      <c r="H26" s="247" t="s">
        <v>184</v>
      </c>
      <c r="I26" s="246">
        <f>+I22/I24</f>
        <v>0.90072227383757708</v>
      </c>
    </row>
    <row r="27" spans="2:21" x14ac:dyDescent="0.25">
      <c r="E27" s="207"/>
      <c r="G27" s="247"/>
      <c r="H27" s="247" t="s">
        <v>185</v>
      </c>
      <c r="I27" s="246">
        <f>+I23/I24</f>
        <v>9.9277726162422988E-2</v>
      </c>
    </row>
    <row r="28" spans="2:21" x14ac:dyDescent="0.25">
      <c r="I28" s="207"/>
    </row>
    <row r="34" spans="2:2" x14ac:dyDescent="0.25">
      <c r="B34" s="299"/>
    </row>
  </sheetData>
  <mergeCells count="1">
    <mergeCell ref="H3:J3"/>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M34" sqref="M34"/>
    </sheetView>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85" zoomScaleNormal="85" workbookViewId="0">
      <pane xSplit="4" ySplit="26" topLeftCell="E75" activePane="bottomRight" state="frozen"/>
      <selection activeCell="AH61" sqref="AH61"/>
      <selection pane="topRight" activeCell="AH61" sqref="AH61"/>
      <selection pane="bottomLeft" activeCell="AH61" sqref="AH61"/>
      <selection pane="bottomRight" activeCell="AG17" sqref="AG17"/>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34" width="12.7109375" style="56" bestFit="1" customWidth="1"/>
    <col min="35"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49" width="14.7109375" style="3" customWidth="1"/>
    <col min="50" max="16384" width="10.28515625" style="3"/>
  </cols>
  <sheetData>
    <row r="1" spans="1:41" ht="17.25" customHeight="1" x14ac:dyDescent="0.25">
      <c r="A1" s="1" t="s">
        <v>0</v>
      </c>
      <c r="B1" s="2"/>
      <c r="C1" s="2"/>
      <c r="E1" s="497"/>
      <c r="F1" s="497"/>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03" t="s">
        <v>176</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107" t="s">
        <v>259</v>
      </c>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107"/>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7" t="s">
        <v>5</v>
      </c>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20" t="s">
        <v>8</v>
      </c>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21"/>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4"/>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4">
        <f>+F11</f>
        <v>2.8299999999999999E-2</v>
      </c>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4">
        <f>+F12</f>
        <v>4.5600000000000002E-2</v>
      </c>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156">
        <f>G10+G11+G12</f>
        <v>7.3899999999999993E-2</v>
      </c>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21"/>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4">
        <f>+F15</f>
        <v>0.21</v>
      </c>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4">
        <f>'2019 GRC'!$J$38</f>
        <v>4.7447000000000003E-2</v>
      </c>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9" x14ac:dyDescent="0.2">
      <c r="A17" s="12" t="s">
        <v>13</v>
      </c>
      <c r="B17" s="13"/>
      <c r="C17" s="13"/>
      <c r="D17" s="14"/>
      <c r="E17" s="14"/>
      <c r="F17" s="24">
        <f>'Summary 2021'!I25</f>
        <v>2.5015047648661311E-2</v>
      </c>
      <c r="G17" s="24">
        <f>+F17</f>
        <v>2.5015047648661311E-2</v>
      </c>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9" x14ac:dyDescent="0.2">
      <c r="A18" s="12" t="s">
        <v>14</v>
      </c>
      <c r="B18" s="13"/>
      <c r="C18" s="13"/>
      <c r="D18" s="14"/>
      <c r="E18" s="14"/>
      <c r="F18" s="30">
        <v>2</v>
      </c>
      <c r="G18" s="30">
        <v>2</v>
      </c>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9" x14ac:dyDescent="0.2">
      <c r="A19" s="12"/>
      <c r="B19" s="13"/>
      <c r="C19" s="13"/>
      <c r="D19" s="14"/>
      <c r="E19" s="14"/>
      <c r="F19" s="15"/>
      <c r="G19" s="15"/>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9" x14ac:dyDescent="0.2">
      <c r="A20" s="12" t="s">
        <v>15</v>
      </c>
      <c r="B20" s="13"/>
      <c r="C20" s="13"/>
      <c r="D20" s="14"/>
      <c r="E20" s="14"/>
      <c r="F20" s="15"/>
      <c r="G20" s="15"/>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9" ht="15.75" thickBot="1" x14ac:dyDescent="0.25">
      <c r="A21" s="12" t="s">
        <v>16</v>
      </c>
      <c r="B21" s="13"/>
      <c r="C21" s="13"/>
      <c r="D21" s="14"/>
      <c r="E21" s="14"/>
      <c r="F21" s="15"/>
      <c r="G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9" ht="15.75" thickBot="1" x14ac:dyDescent="0.25">
      <c r="A22" s="31" t="s">
        <v>17</v>
      </c>
      <c r="B22" s="32"/>
      <c r="C22" s="32"/>
      <c r="D22" s="32"/>
      <c r="E22" s="33"/>
      <c r="F22" s="57">
        <v>44151486.389999881</v>
      </c>
      <c r="G22" s="353">
        <f>+F22</f>
        <v>44151486.389999881</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9"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9"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9"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9" x14ac:dyDescent="0.2">
      <c r="A26" s="2"/>
      <c r="B26" s="2"/>
      <c r="C26" s="2"/>
      <c r="D26" s="112"/>
      <c r="E26" s="82">
        <v>2021</v>
      </c>
      <c r="F26" s="82">
        <v>2022</v>
      </c>
      <c r="G26" s="82">
        <v>2023</v>
      </c>
      <c r="H26" s="82">
        <v>2024</v>
      </c>
      <c r="I26" s="82">
        <v>2025</v>
      </c>
      <c r="J26" s="82">
        <v>2026</v>
      </c>
      <c r="K26" s="82">
        <v>2027</v>
      </c>
      <c r="L26" s="82">
        <v>2028</v>
      </c>
      <c r="M26" s="82">
        <v>2029</v>
      </c>
      <c r="N26" s="82">
        <v>2030</v>
      </c>
      <c r="O26" s="82">
        <v>2031</v>
      </c>
      <c r="P26" s="82">
        <v>2032</v>
      </c>
      <c r="Q26" s="82">
        <v>2033</v>
      </c>
      <c r="R26" s="82">
        <v>2034</v>
      </c>
      <c r="S26" s="82">
        <v>2035</v>
      </c>
      <c r="T26" s="82">
        <v>2036</v>
      </c>
      <c r="U26" s="82">
        <v>2037</v>
      </c>
      <c r="V26" s="82">
        <v>2038</v>
      </c>
      <c r="W26" s="82">
        <v>2039</v>
      </c>
      <c r="X26" s="82">
        <v>2040</v>
      </c>
      <c r="Y26" s="82">
        <v>2041</v>
      </c>
      <c r="Z26" s="82">
        <v>2042</v>
      </c>
      <c r="AA26" s="82">
        <v>2043</v>
      </c>
      <c r="AB26" s="82">
        <v>2044</v>
      </c>
      <c r="AC26" s="82">
        <v>2045</v>
      </c>
      <c r="AD26" s="82">
        <v>2046</v>
      </c>
      <c r="AE26" s="82">
        <v>2047</v>
      </c>
      <c r="AF26" s="82">
        <v>2048</v>
      </c>
      <c r="AG26" s="82">
        <v>2049</v>
      </c>
      <c r="AH26" s="82">
        <v>2050</v>
      </c>
      <c r="AI26" s="82">
        <v>2051</v>
      </c>
      <c r="AJ26" s="82">
        <v>2052</v>
      </c>
      <c r="AK26" s="82">
        <v>2053</v>
      </c>
      <c r="AL26" s="82">
        <v>2054</v>
      </c>
      <c r="AM26" s="82">
        <v>2055</v>
      </c>
      <c r="AN26" s="82">
        <v>2056</v>
      </c>
      <c r="AO26" s="82">
        <v>2057</v>
      </c>
      <c r="AP26" s="82">
        <v>2058</v>
      </c>
      <c r="AQ26" s="82">
        <v>2059</v>
      </c>
      <c r="AR26" s="82">
        <v>2060</v>
      </c>
    </row>
    <row r="27" spans="1:49" x14ac:dyDescent="0.2">
      <c r="A27" s="203">
        <v>1</v>
      </c>
      <c r="B27" s="2" t="s">
        <v>123</v>
      </c>
      <c r="C27" s="2"/>
      <c r="D27" s="112"/>
      <c r="E27" s="38">
        <f>$F22*$F17</f>
        <v>1104451.5358050684</v>
      </c>
      <c r="F27" s="95">
        <f>$F22*$F17</f>
        <v>1104451.5358050684</v>
      </c>
      <c r="G27" s="95">
        <f>$F22*$F17</f>
        <v>1104451.5358050684</v>
      </c>
      <c r="H27" s="95">
        <f t="shared" ref="H27:AQ27" si="0">$F22*$F17</f>
        <v>1104451.5358050684</v>
      </c>
      <c r="I27" s="95">
        <f t="shared" si="0"/>
        <v>1104451.5358050684</v>
      </c>
      <c r="J27" s="95">
        <f t="shared" si="0"/>
        <v>1104451.5358050684</v>
      </c>
      <c r="K27" s="95">
        <f t="shared" si="0"/>
        <v>1104451.5358050684</v>
      </c>
      <c r="L27" s="95">
        <f t="shared" si="0"/>
        <v>1104451.5358050684</v>
      </c>
      <c r="M27" s="95">
        <f t="shared" si="0"/>
        <v>1104451.5358050684</v>
      </c>
      <c r="N27" s="95">
        <f t="shared" si="0"/>
        <v>1104451.5358050684</v>
      </c>
      <c r="O27" s="95">
        <f t="shared" si="0"/>
        <v>1104451.5358050684</v>
      </c>
      <c r="P27" s="95">
        <f t="shared" si="0"/>
        <v>1104451.5358050684</v>
      </c>
      <c r="Q27" s="95">
        <f t="shared" si="0"/>
        <v>1104451.5358050684</v>
      </c>
      <c r="R27" s="95">
        <f t="shared" si="0"/>
        <v>1104451.5358050684</v>
      </c>
      <c r="S27" s="95">
        <f t="shared" si="0"/>
        <v>1104451.5358050684</v>
      </c>
      <c r="T27" s="95">
        <f t="shared" si="0"/>
        <v>1104451.5358050684</v>
      </c>
      <c r="U27" s="95">
        <f t="shared" si="0"/>
        <v>1104451.5358050684</v>
      </c>
      <c r="V27" s="95">
        <f t="shared" si="0"/>
        <v>1104451.5358050684</v>
      </c>
      <c r="W27" s="95">
        <f t="shared" si="0"/>
        <v>1104451.5358050684</v>
      </c>
      <c r="X27" s="95">
        <f t="shared" si="0"/>
        <v>1104451.5358050684</v>
      </c>
      <c r="Y27" s="95">
        <f t="shared" si="0"/>
        <v>1104451.5358050684</v>
      </c>
      <c r="Z27" s="95">
        <f t="shared" si="0"/>
        <v>1104451.5358050684</v>
      </c>
      <c r="AA27" s="95">
        <f t="shared" si="0"/>
        <v>1104451.5358050684</v>
      </c>
      <c r="AB27" s="95">
        <f t="shared" si="0"/>
        <v>1104451.5358050684</v>
      </c>
      <c r="AC27" s="95">
        <f t="shared" si="0"/>
        <v>1104451.5358050684</v>
      </c>
      <c r="AD27" s="95">
        <f t="shared" si="0"/>
        <v>1104451.5358050684</v>
      </c>
      <c r="AE27" s="95">
        <f t="shared" si="0"/>
        <v>1104451.5358050684</v>
      </c>
      <c r="AF27" s="95">
        <f t="shared" si="0"/>
        <v>1104451.5358050684</v>
      </c>
      <c r="AG27" s="95">
        <f t="shared" si="0"/>
        <v>1104451.5358050684</v>
      </c>
      <c r="AH27" s="95">
        <f t="shared" si="0"/>
        <v>1104451.5358050684</v>
      </c>
      <c r="AI27" s="95">
        <f t="shared" si="0"/>
        <v>1104451.5358050684</v>
      </c>
      <c r="AJ27" s="95">
        <f t="shared" si="0"/>
        <v>1104451.5358050684</v>
      </c>
      <c r="AK27" s="95">
        <f t="shared" si="0"/>
        <v>1104451.5358050684</v>
      </c>
      <c r="AL27" s="95">
        <f t="shared" si="0"/>
        <v>1104451.5358050684</v>
      </c>
      <c r="AM27" s="95">
        <f t="shared" si="0"/>
        <v>1104451.5358050684</v>
      </c>
      <c r="AN27" s="95">
        <f t="shared" si="0"/>
        <v>1104451.5358050684</v>
      </c>
      <c r="AO27" s="95">
        <f t="shared" si="0"/>
        <v>1104451.5358050684</v>
      </c>
      <c r="AP27" s="95">
        <f t="shared" si="0"/>
        <v>1104451.5358050684</v>
      </c>
      <c r="AQ27" s="95">
        <f t="shared" si="0"/>
        <v>1104451.5358050684</v>
      </c>
      <c r="AR27" s="95">
        <f>$F22*$F17-86890</f>
        <v>1017561.5358050684</v>
      </c>
      <c r="AS27" s="95">
        <v>60314.96</v>
      </c>
      <c r="AT27" s="95"/>
      <c r="AU27" s="97">
        <f>SUM(D27:AT27)</f>
        <v>44151486.39220275</v>
      </c>
      <c r="AV27" s="22">
        <f>F22</f>
        <v>44151486.389999881</v>
      </c>
      <c r="AW27" s="170">
        <f>+AU27-AV27</f>
        <v>2.2028684616088867E-3</v>
      </c>
    </row>
    <row r="28" spans="1:49"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row>
    <row r="29" spans="1:49" x14ac:dyDescent="0.2">
      <c r="A29" s="203">
        <f>A27+1</f>
        <v>2</v>
      </c>
      <c r="B29" s="2" t="s">
        <v>54</v>
      </c>
      <c r="C29" s="2"/>
      <c r="D29" s="112"/>
      <c r="E29" s="38">
        <f>E53</f>
        <v>527787.68326246506</v>
      </c>
      <c r="F29" s="95">
        <f>F53</f>
        <v>511047.51098398818</v>
      </c>
      <c r="G29" s="95">
        <f t="shared" ref="G29:AS29" si="1">G53</f>
        <v>492662.53378476249</v>
      </c>
      <c r="H29" s="95">
        <f t="shared" si="1"/>
        <v>474863.10039401648</v>
      </c>
      <c r="I29" s="95">
        <f t="shared" si="1"/>
        <v>457605.37931744958</v>
      </c>
      <c r="J29" s="95">
        <f t="shared" si="1"/>
        <v>440848.91071416874</v>
      </c>
      <c r="K29" s="95">
        <f t="shared" si="1"/>
        <v>424556.0444544538</v>
      </c>
      <c r="L29" s="95">
        <f t="shared" si="1"/>
        <v>408691.94011975813</v>
      </c>
      <c r="M29" s="95">
        <f t="shared" si="1"/>
        <v>393067.22317701305</v>
      </c>
      <c r="N29" s="95">
        <f t="shared" si="1"/>
        <v>377476.78471058002</v>
      </c>
      <c r="O29" s="95">
        <f t="shared" si="1"/>
        <v>361886.34624414711</v>
      </c>
      <c r="P29" s="95">
        <f t="shared" si="1"/>
        <v>346295.90777771408</v>
      </c>
      <c r="Q29" s="95">
        <f t="shared" si="1"/>
        <v>330705.46931128117</v>
      </c>
      <c r="R29" s="95">
        <f t="shared" si="1"/>
        <v>315115.0308448482</v>
      </c>
      <c r="S29" s="95">
        <f t="shared" si="1"/>
        <v>299524.59237841523</v>
      </c>
      <c r="T29" s="95">
        <f t="shared" si="1"/>
        <v>283934.15391198226</v>
      </c>
      <c r="U29" s="95">
        <f t="shared" si="1"/>
        <v>268343.71544554934</v>
      </c>
      <c r="V29" s="95">
        <f t="shared" si="1"/>
        <v>252753.27697911632</v>
      </c>
      <c r="W29" s="95">
        <f t="shared" si="1"/>
        <v>237162.83851268337</v>
      </c>
      <c r="X29" s="95">
        <f t="shared" si="1"/>
        <v>221572.40004625043</v>
      </c>
      <c r="Y29" s="95">
        <f t="shared" si="1"/>
        <v>207235.65470526699</v>
      </c>
      <c r="Z29" s="95">
        <f t="shared" si="1"/>
        <v>195405.73367294809</v>
      </c>
      <c r="AA29" s="95">
        <f t="shared" si="1"/>
        <v>184829.50576607874</v>
      </c>
      <c r="AB29" s="95">
        <f t="shared" si="1"/>
        <v>174253.2778592094</v>
      </c>
      <c r="AC29" s="95">
        <f t="shared" si="1"/>
        <v>163677.04995234008</v>
      </c>
      <c r="AD29" s="95">
        <f t="shared" si="1"/>
        <v>153100.82204547073</v>
      </c>
      <c r="AE29" s="95">
        <f t="shared" si="1"/>
        <v>142524.59413860136</v>
      </c>
      <c r="AF29" s="95">
        <f t="shared" si="1"/>
        <v>131948.36623173204</v>
      </c>
      <c r="AG29" s="95">
        <f t="shared" si="1"/>
        <v>121372.1383248627</v>
      </c>
      <c r="AH29" s="95">
        <f t="shared" si="1"/>
        <v>110795.91041799335</v>
      </c>
      <c r="AI29" s="95">
        <f t="shared" si="1"/>
        <v>100219.68251112403</v>
      </c>
      <c r="AJ29" s="95">
        <f t="shared" si="1"/>
        <v>89643.454604254759</v>
      </c>
      <c r="AK29" s="95">
        <f t="shared" si="1"/>
        <v>79067.226697385442</v>
      </c>
      <c r="AL29" s="95">
        <f t="shared" si="1"/>
        <v>68490.998790516096</v>
      </c>
      <c r="AM29" s="95">
        <f t="shared" si="1"/>
        <v>57914.770883646757</v>
      </c>
      <c r="AN29" s="95">
        <f t="shared" si="1"/>
        <v>47338.542976777411</v>
      </c>
      <c r="AO29" s="95">
        <f t="shared" si="1"/>
        <v>36762.31506990808</v>
      </c>
      <c r="AP29" s="95">
        <f t="shared" si="1"/>
        <v>26186.08716303873</v>
      </c>
      <c r="AQ29" s="95">
        <f t="shared" si="1"/>
        <v>15609.859256169391</v>
      </c>
      <c r="AR29" s="95">
        <f t="shared" si="1"/>
        <v>5449.6606693000522</v>
      </c>
      <c r="AS29" s="95">
        <f t="shared" si="1"/>
        <v>288.78800738537626</v>
      </c>
      <c r="AT29" s="95"/>
      <c r="AU29" s="97">
        <f>SUM(D29:AT29)</f>
        <v>9538015.2821146548</v>
      </c>
    </row>
    <row r="30" spans="1:49"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9"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9" x14ac:dyDescent="0.2">
      <c r="A32" s="203">
        <f>A29+1</f>
        <v>3</v>
      </c>
      <c r="B32" s="2"/>
      <c r="C32" s="2"/>
      <c r="D32" s="112"/>
      <c r="E32" s="38">
        <f>E49*$F10</f>
        <v>0</v>
      </c>
      <c r="F32" s="95">
        <f t="shared" ref="F32:AS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f t="shared" si="2"/>
        <v>0</v>
      </c>
      <c r="AT32" s="95"/>
      <c r="AU32" s="97">
        <f t="shared" ref="AU32:AU42" si="3">SUM(D32:AT32)</f>
        <v>0</v>
      </c>
    </row>
    <row r="33" spans="1:47" x14ac:dyDescent="0.2">
      <c r="A33" s="203">
        <f>A32+1</f>
        <v>4</v>
      </c>
      <c r="B33" s="13"/>
      <c r="C33" s="13" t="s">
        <v>102</v>
      </c>
      <c r="D33" s="112"/>
      <c r="E33" s="38">
        <f>E49*$F11</f>
        <v>1232221.0980262039</v>
      </c>
      <c r="F33" s="95">
        <f>F49*$F11</f>
        <v>1193137.9702453034</v>
      </c>
      <c r="G33" s="95">
        <f t="shared" ref="G33:AS33" si="4">G49*$F11</f>
        <v>1150214.7313936858</v>
      </c>
      <c r="H33" s="95">
        <f t="shared" si="4"/>
        <v>1108658.5563397063</v>
      </c>
      <c r="I33" s="95">
        <f t="shared" si="4"/>
        <v>1068367.1120927548</v>
      </c>
      <c r="J33" s="95">
        <f t="shared" si="4"/>
        <v>1029245.9374307299</v>
      </c>
      <c r="K33" s="95">
        <f t="shared" si="4"/>
        <v>991207.13093861972</v>
      </c>
      <c r="L33" s="95">
        <f t="shared" si="4"/>
        <v>954169.35100850381</v>
      </c>
      <c r="M33" s="95">
        <f t="shared" si="4"/>
        <v>917690.46664248954</v>
      </c>
      <c r="N33" s="95">
        <f t="shared" si="4"/>
        <v>881291.61192297807</v>
      </c>
      <c r="O33" s="95">
        <f t="shared" si="4"/>
        <v>844892.75720346672</v>
      </c>
      <c r="P33" s="95">
        <f t="shared" si="4"/>
        <v>808493.90248395514</v>
      </c>
      <c r="Q33" s="95">
        <f t="shared" si="4"/>
        <v>772095.04776444368</v>
      </c>
      <c r="R33" s="95">
        <f t="shared" si="4"/>
        <v>735696.19304493233</v>
      </c>
      <c r="S33" s="95">
        <f t="shared" si="4"/>
        <v>699297.33832542074</v>
      </c>
      <c r="T33" s="95">
        <f t="shared" si="4"/>
        <v>662898.48360590928</v>
      </c>
      <c r="U33" s="95">
        <f t="shared" si="4"/>
        <v>626499.62888639781</v>
      </c>
      <c r="V33" s="95">
        <f t="shared" si="4"/>
        <v>590100.77416688635</v>
      </c>
      <c r="W33" s="95">
        <f t="shared" si="4"/>
        <v>553701.91944737488</v>
      </c>
      <c r="X33" s="95">
        <f t="shared" si="4"/>
        <v>517303.06472786347</v>
      </c>
      <c r="Y33" s="95">
        <f t="shared" si="4"/>
        <v>483831.19593208586</v>
      </c>
      <c r="Z33" s="95">
        <f t="shared" si="4"/>
        <v>456211.98702235799</v>
      </c>
      <c r="AA33" s="95">
        <f t="shared" si="4"/>
        <v>431519.7640363641</v>
      </c>
      <c r="AB33" s="95">
        <f t="shared" si="4"/>
        <v>406827.54105037014</v>
      </c>
      <c r="AC33" s="95">
        <f t="shared" si="4"/>
        <v>382135.31806437619</v>
      </c>
      <c r="AD33" s="95">
        <f t="shared" si="4"/>
        <v>357443.09507838235</v>
      </c>
      <c r="AE33" s="95">
        <f t="shared" si="4"/>
        <v>332750.8720923884</v>
      </c>
      <c r="AF33" s="95">
        <f t="shared" si="4"/>
        <v>308058.64910639444</v>
      </c>
      <c r="AG33" s="95">
        <f t="shared" si="4"/>
        <v>283366.42612040049</v>
      </c>
      <c r="AH33" s="95">
        <f t="shared" si="4"/>
        <v>258674.20313440656</v>
      </c>
      <c r="AI33" s="95">
        <f t="shared" si="4"/>
        <v>233981.98014841269</v>
      </c>
      <c r="AJ33" s="95">
        <f t="shared" si="4"/>
        <v>209289.75716241894</v>
      </c>
      <c r="AK33" s="95">
        <f t="shared" si="4"/>
        <v>184597.53417642505</v>
      </c>
      <c r="AL33" s="95">
        <f t="shared" si="4"/>
        <v>159905.31119043109</v>
      </c>
      <c r="AM33" s="95">
        <f t="shared" si="4"/>
        <v>135213.0882044372</v>
      </c>
      <c r="AN33" s="95">
        <f t="shared" si="4"/>
        <v>110520.86521844326</v>
      </c>
      <c r="AO33" s="95">
        <f t="shared" si="4"/>
        <v>85828.642232449332</v>
      </c>
      <c r="AP33" s="95">
        <f t="shared" si="4"/>
        <v>61136.4192464554</v>
      </c>
      <c r="AQ33" s="95">
        <f t="shared" si="4"/>
        <v>36444.196260461475</v>
      </c>
      <c r="AR33" s="95">
        <f t="shared" si="4"/>
        <v>12723.27313946755</v>
      </c>
      <c r="AS33" s="95">
        <f t="shared" si="4"/>
        <v>674.23073111057408</v>
      </c>
      <c r="AT33" s="95"/>
      <c r="AU33" s="97">
        <f t="shared" si="3"/>
        <v>22268317.425045662</v>
      </c>
    </row>
    <row r="34" spans="1:47" x14ac:dyDescent="0.2">
      <c r="A34" s="203">
        <f>A33+1</f>
        <v>5</v>
      </c>
      <c r="B34" s="2"/>
      <c r="C34" s="2" t="s">
        <v>9</v>
      </c>
      <c r="D34" s="112"/>
      <c r="E34" s="40">
        <f>E49*$F12</f>
        <v>1985486.9989397493</v>
      </c>
      <c r="F34" s="93">
        <f>F49*$F12</f>
        <v>1922512.0651302414</v>
      </c>
      <c r="G34" s="93">
        <f t="shared" ref="G34:AS34" si="5">G49*$F12</f>
        <v>1853349.5318569639</v>
      </c>
      <c r="H34" s="93">
        <f t="shared" si="5"/>
        <v>1786389.7586251099</v>
      </c>
      <c r="I34" s="93">
        <f t="shared" si="5"/>
        <v>1721467.8555275486</v>
      </c>
      <c r="J34" s="93">
        <f t="shared" si="5"/>
        <v>1658431.6164961585</v>
      </c>
      <c r="K34" s="93">
        <f t="shared" si="5"/>
        <v>1597139.4053286596</v>
      </c>
      <c r="L34" s="93">
        <f t="shared" si="5"/>
        <v>1537460.1556886141</v>
      </c>
      <c r="M34" s="93">
        <f t="shared" si="5"/>
        <v>1478681.4586182872</v>
      </c>
      <c r="N34" s="93">
        <f t="shared" si="5"/>
        <v>1420031.7139112297</v>
      </c>
      <c r="O34" s="93">
        <f t="shared" si="5"/>
        <v>1361381.9692041725</v>
      </c>
      <c r="P34" s="93">
        <f t="shared" si="5"/>
        <v>1302732.224497115</v>
      </c>
      <c r="Q34" s="93">
        <f t="shared" si="5"/>
        <v>1244082.4797900578</v>
      </c>
      <c r="R34" s="93">
        <f t="shared" si="5"/>
        <v>1185432.7350830005</v>
      </c>
      <c r="S34" s="93">
        <f t="shared" si="5"/>
        <v>1126782.990375943</v>
      </c>
      <c r="T34" s="93">
        <f t="shared" si="5"/>
        <v>1068133.2456688858</v>
      </c>
      <c r="U34" s="93">
        <f t="shared" si="5"/>
        <v>1009483.5009618284</v>
      </c>
      <c r="V34" s="93">
        <f t="shared" si="5"/>
        <v>950833.75625477103</v>
      </c>
      <c r="W34" s="93">
        <f t="shared" si="5"/>
        <v>892184.01154771366</v>
      </c>
      <c r="X34" s="93">
        <f t="shared" si="5"/>
        <v>833534.2668406564</v>
      </c>
      <c r="Y34" s="93">
        <f t="shared" si="5"/>
        <v>779600.79627219494</v>
      </c>
      <c r="Z34" s="93">
        <f t="shared" si="5"/>
        <v>735097.76000775711</v>
      </c>
      <c r="AA34" s="93">
        <f t="shared" si="5"/>
        <v>695310.9978819153</v>
      </c>
      <c r="AB34" s="93">
        <f t="shared" si="5"/>
        <v>655524.2357560735</v>
      </c>
      <c r="AC34" s="93">
        <f t="shared" si="5"/>
        <v>615737.47363023169</v>
      </c>
      <c r="AD34" s="93">
        <f t="shared" si="5"/>
        <v>575950.71150439</v>
      </c>
      <c r="AE34" s="93">
        <f t="shared" si="5"/>
        <v>536163.94937854807</v>
      </c>
      <c r="AF34" s="93">
        <f t="shared" si="5"/>
        <v>496377.18725270627</v>
      </c>
      <c r="AG34" s="93">
        <f t="shared" si="5"/>
        <v>456590.42512686446</v>
      </c>
      <c r="AH34" s="93">
        <f t="shared" si="5"/>
        <v>416803.66300102265</v>
      </c>
      <c r="AI34" s="93">
        <f t="shared" si="5"/>
        <v>377016.9008751809</v>
      </c>
      <c r="AJ34" s="93">
        <f t="shared" si="5"/>
        <v>337230.13874933938</v>
      </c>
      <c r="AK34" s="93">
        <f t="shared" si="5"/>
        <v>297443.37662349764</v>
      </c>
      <c r="AL34" s="93">
        <f t="shared" si="5"/>
        <v>257656.6144976558</v>
      </c>
      <c r="AM34" s="93">
        <f t="shared" si="5"/>
        <v>217869.85237181402</v>
      </c>
      <c r="AN34" s="93">
        <f t="shared" si="5"/>
        <v>178083.09024597218</v>
      </c>
      <c r="AO34" s="93">
        <f t="shared" si="5"/>
        <v>138296.32812013041</v>
      </c>
      <c r="AP34" s="93">
        <f t="shared" si="5"/>
        <v>98509.565994288569</v>
      </c>
      <c r="AQ34" s="93">
        <f t="shared" si="5"/>
        <v>58722.803868446761</v>
      </c>
      <c r="AR34" s="93">
        <f t="shared" si="5"/>
        <v>20501.10442260496</v>
      </c>
      <c r="AS34" s="93">
        <f t="shared" si="5"/>
        <v>1086.3929801640347</v>
      </c>
      <c r="AT34" s="93"/>
      <c r="AU34" s="97">
        <f t="shared" si="3"/>
        <v>35881105.108907491</v>
      </c>
    </row>
    <row r="35" spans="1:47" x14ac:dyDescent="0.2">
      <c r="A35" s="203">
        <f>A34+1</f>
        <v>6</v>
      </c>
      <c r="B35" s="2"/>
      <c r="C35" s="2" t="s">
        <v>58</v>
      </c>
      <c r="D35" s="112"/>
      <c r="E35" s="38">
        <f>E32+E33+E34</f>
        <v>3217708.0969659532</v>
      </c>
      <c r="F35" s="95">
        <f>F32+F33+F34</f>
        <v>3115650.0353755448</v>
      </c>
      <c r="G35" s="95">
        <f>G32+G33+G34</f>
        <v>3003564.2632506499</v>
      </c>
      <c r="H35" s="95">
        <f t="shared" ref="H35:AS35" si="6">H32+H33+H34</f>
        <v>2895048.314964816</v>
      </c>
      <c r="I35" s="95">
        <f t="shared" si="6"/>
        <v>2789834.9676203034</v>
      </c>
      <c r="J35" s="95">
        <f t="shared" si="6"/>
        <v>2687677.5539268884</v>
      </c>
      <c r="K35" s="95">
        <f t="shared" si="6"/>
        <v>2588346.5362672792</v>
      </c>
      <c r="L35" s="95">
        <f t="shared" si="6"/>
        <v>2491629.5066971178</v>
      </c>
      <c r="M35" s="95">
        <f t="shared" si="6"/>
        <v>2396371.9252607767</v>
      </c>
      <c r="N35" s="95">
        <f t="shared" si="6"/>
        <v>2301323.3258342077</v>
      </c>
      <c r="O35" s="95">
        <f t="shared" si="6"/>
        <v>2206274.7264076392</v>
      </c>
      <c r="P35" s="95">
        <f t="shared" si="6"/>
        <v>2111226.1269810703</v>
      </c>
      <c r="Q35" s="95">
        <f t="shared" si="6"/>
        <v>2016177.5275545013</v>
      </c>
      <c r="R35" s="95">
        <f t="shared" si="6"/>
        <v>1921128.9281279328</v>
      </c>
      <c r="S35" s="95">
        <f t="shared" si="6"/>
        <v>1826080.3287013639</v>
      </c>
      <c r="T35" s="95">
        <f t="shared" si="6"/>
        <v>1731031.7292747949</v>
      </c>
      <c r="U35" s="95">
        <f t="shared" si="6"/>
        <v>1635983.1298482262</v>
      </c>
      <c r="V35" s="95">
        <f t="shared" si="6"/>
        <v>1540934.5304216575</v>
      </c>
      <c r="W35" s="95">
        <f t="shared" si="6"/>
        <v>1445885.9309950885</v>
      </c>
      <c r="X35" s="95">
        <f t="shared" si="6"/>
        <v>1350837.3315685198</v>
      </c>
      <c r="Y35" s="95">
        <f t="shared" si="6"/>
        <v>1263431.9922042808</v>
      </c>
      <c r="Z35" s="95">
        <f t="shared" si="6"/>
        <v>1191309.7470301152</v>
      </c>
      <c r="AA35" s="95">
        <f t="shared" si="6"/>
        <v>1126830.7619182793</v>
      </c>
      <c r="AB35" s="95">
        <f t="shared" si="6"/>
        <v>1062351.7768064437</v>
      </c>
      <c r="AC35" s="95">
        <f t="shared" si="6"/>
        <v>997872.79169460782</v>
      </c>
      <c r="AD35" s="95">
        <f t="shared" si="6"/>
        <v>933393.80658277241</v>
      </c>
      <c r="AE35" s="95">
        <f t="shared" si="6"/>
        <v>868914.82147093653</v>
      </c>
      <c r="AF35" s="95">
        <f t="shared" si="6"/>
        <v>804435.83635910065</v>
      </c>
      <c r="AG35" s="95">
        <f t="shared" si="6"/>
        <v>739956.851247265</v>
      </c>
      <c r="AH35" s="95">
        <f t="shared" si="6"/>
        <v>675477.86613542924</v>
      </c>
      <c r="AI35" s="95">
        <f t="shared" si="6"/>
        <v>610998.8810235936</v>
      </c>
      <c r="AJ35" s="95">
        <f t="shared" si="6"/>
        <v>546519.8959117583</v>
      </c>
      <c r="AK35" s="95">
        <f t="shared" si="6"/>
        <v>482040.91079992265</v>
      </c>
      <c r="AL35" s="95">
        <f t="shared" si="6"/>
        <v>417561.92568808689</v>
      </c>
      <c r="AM35" s="95">
        <f t="shared" si="6"/>
        <v>353082.94057625125</v>
      </c>
      <c r="AN35" s="95">
        <f t="shared" si="6"/>
        <v>288603.95546441543</v>
      </c>
      <c r="AO35" s="95">
        <f t="shared" si="6"/>
        <v>224124.97035257972</v>
      </c>
      <c r="AP35" s="95">
        <f t="shared" si="6"/>
        <v>159645.98524074396</v>
      </c>
      <c r="AQ35" s="95">
        <f t="shared" si="6"/>
        <v>95167.000128908228</v>
      </c>
      <c r="AR35" s="95">
        <f t="shared" si="6"/>
        <v>33224.377562072506</v>
      </c>
      <c r="AS35" s="95">
        <f t="shared" si="6"/>
        <v>1760.6237112746089</v>
      </c>
      <c r="AT35" s="95"/>
      <c r="AU35" s="97">
        <f t="shared" si="3"/>
        <v>58149422.533953175</v>
      </c>
    </row>
    <row r="36" spans="1:47"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7">
        <f t="shared" si="3"/>
        <v>0</v>
      </c>
    </row>
    <row r="37" spans="1:47" x14ac:dyDescent="0.2">
      <c r="A37" s="203">
        <f>A35+1</f>
        <v>7</v>
      </c>
      <c r="B37" s="2" t="s">
        <v>59</v>
      </c>
      <c r="C37" s="2"/>
      <c r="D37" s="112"/>
      <c r="E37" s="41">
        <f>E27+E29+E35</f>
        <v>4849947.3160334863</v>
      </c>
      <c r="F37" s="92">
        <f>F27+F29+F35</f>
        <v>4731149.0821646014</v>
      </c>
      <c r="G37" s="92">
        <f t="shared" ref="G37:AS37" si="7">G27+G29+G35</f>
        <v>4600678.3328404808</v>
      </c>
      <c r="H37" s="92">
        <f t="shared" si="7"/>
        <v>4474362.951163901</v>
      </c>
      <c r="I37" s="92">
        <f t="shared" si="7"/>
        <v>4351891.8827428212</v>
      </c>
      <c r="J37" s="92">
        <f t="shared" si="7"/>
        <v>4232978.0004461259</v>
      </c>
      <c r="K37" s="92">
        <f t="shared" si="7"/>
        <v>4117354.1165268011</v>
      </c>
      <c r="L37" s="92">
        <f t="shared" si="7"/>
        <v>4004772.9826219445</v>
      </c>
      <c r="M37" s="92">
        <f t="shared" si="7"/>
        <v>3893890.6842428581</v>
      </c>
      <c r="N37" s="92">
        <f t="shared" si="7"/>
        <v>3783251.6463498562</v>
      </c>
      <c r="O37" s="92">
        <f t="shared" si="7"/>
        <v>3672612.6084568547</v>
      </c>
      <c r="P37" s="92">
        <f t="shared" si="7"/>
        <v>3561973.5705638528</v>
      </c>
      <c r="Q37" s="92">
        <f t="shared" si="7"/>
        <v>3451334.5326708509</v>
      </c>
      <c r="R37" s="92">
        <f t="shared" si="7"/>
        <v>3340695.4947778494</v>
      </c>
      <c r="S37" s="92">
        <f t="shared" si="7"/>
        <v>3230056.4568848475</v>
      </c>
      <c r="T37" s="92">
        <f t="shared" si="7"/>
        <v>3119417.4189918456</v>
      </c>
      <c r="U37" s="92">
        <f t="shared" si="7"/>
        <v>3008778.3810988441</v>
      </c>
      <c r="V37" s="92">
        <f t="shared" si="7"/>
        <v>2898139.3432058422</v>
      </c>
      <c r="W37" s="92">
        <f t="shared" si="7"/>
        <v>2787500.3053128403</v>
      </c>
      <c r="X37" s="92">
        <f t="shared" si="7"/>
        <v>2676861.2674198383</v>
      </c>
      <c r="Y37" s="92">
        <f t="shared" si="7"/>
        <v>2575119.1827146159</v>
      </c>
      <c r="Z37" s="92">
        <f t="shared" si="7"/>
        <v>2491167.0165081318</v>
      </c>
      <c r="AA37" s="92">
        <f t="shared" si="7"/>
        <v>2416111.8034894266</v>
      </c>
      <c r="AB37" s="92">
        <f t="shared" si="7"/>
        <v>2341056.5904707215</v>
      </c>
      <c r="AC37" s="92">
        <f t="shared" si="7"/>
        <v>2266001.3774520163</v>
      </c>
      <c r="AD37" s="92">
        <f t="shared" si="7"/>
        <v>2190946.1644333117</v>
      </c>
      <c r="AE37" s="92">
        <f t="shared" si="7"/>
        <v>2115890.9514146065</v>
      </c>
      <c r="AF37" s="92">
        <f t="shared" si="7"/>
        <v>2040835.7383959012</v>
      </c>
      <c r="AG37" s="92">
        <f t="shared" si="7"/>
        <v>1965780.5253771963</v>
      </c>
      <c r="AH37" s="92">
        <f t="shared" si="7"/>
        <v>1890725.3123584911</v>
      </c>
      <c r="AI37" s="92">
        <f t="shared" si="7"/>
        <v>1815670.099339786</v>
      </c>
      <c r="AJ37" s="92">
        <f t="shared" si="7"/>
        <v>1740614.8863210815</v>
      </c>
      <c r="AK37" s="92">
        <f t="shared" si="7"/>
        <v>1665559.6733023766</v>
      </c>
      <c r="AL37" s="92">
        <f t="shared" si="7"/>
        <v>1590504.4602836715</v>
      </c>
      <c r="AM37" s="92">
        <f t="shared" si="7"/>
        <v>1515449.2472649664</v>
      </c>
      <c r="AN37" s="92">
        <f t="shared" si="7"/>
        <v>1440394.0342462612</v>
      </c>
      <c r="AO37" s="92">
        <f t="shared" si="7"/>
        <v>1365338.8212275561</v>
      </c>
      <c r="AP37" s="92">
        <f t="shared" si="7"/>
        <v>1290283.6082088512</v>
      </c>
      <c r="AQ37" s="92">
        <f t="shared" si="7"/>
        <v>1215228.3951901461</v>
      </c>
      <c r="AR37" s="92">
        <f t="shared" si="7"/>
        <v>1056235.574036441</v>
      </c>
      <c r="AS37" s="92">
        <f t="shared" si="7"/>
        <v>62364.371718659982</v>
      </c>
      <c r="AT37" s="92"/>
      <c r="AU37" s="97">
        <f t="shared" si="3"/>
        <v>111838924.20827056</v>
      </c>
    </row>
    <row r="38" spans="1:47" x14ac:dyDescent="0.2">
      <c r="A38" s="203">
        <f>A37+1</f>
        <v>8</v>
      </c>
      <c r="B38" s="2" t="s">
        <v>60</v>
      </c>
      <c r="C38" s="2"/>
      <c r="D38" s="112"/>
      <c r="E38" s="40">
        <f>E37/(1-$F16)-E37</f>
        <v>230909.70922701433</v>
      </c>
      <c r="F38" s="93">
        <f>F37/(1-$G16)-F37</f>
        <v>235660.20001140516</v>
      </c>
      <c r="G38" s="93">
        <f t="shared" ref="G38:AR38" si="8">G37/(1-$G16)-G37</f>
        <v>229161.40609318577</v>
      </c>
      <c r="H38" s="93">
        <f t="shared" si="8"/>
        <v>222869.59249918256</v>
      </c>
      <c r="I38" s="93">
        <f t="shared" si="8"/>
        <v>216769.26550071128</v>
      </c>
      <c r="J38" s="93">
        <f t="shared" si="8"/>
        <v>210846.12319437042</v>
      </c>
      <c r="K38" s="93">
        <f t="shared" si="8"/>
        <v>205086.85686449707</v>
      </c>
      <c r="L38" s="93">
        <f t="shared" si="8"/>
        <v>199479.15098316129</v>
      </c>
      <c r="M38" s="93">
        <f t="shared" si="8"/>
        <v>193956.06469694711</v>
      </c>
      <c r="N38" s="93">
        <f t="shared" si="8"/>
        <v>188445.09530111356</v>
      </c>
      <c r="O38" s="93">
        <f t="shared" si="8"/>
        <v>182934.12590528047</v>
      </c>
      <c r="P38" s="93">
        <f t="shared" si="8"/>
        <v>177423.15650944691</v>
      </c>
      <c r="Q38" s="93">
        <f t="shared" si="8"/>
        <v>171912.18711361336</v>
      </c>
      <c r="R38" s="93">
        <f t="shared" si="8"/>
        <v>166401.21771778027</v>
      </c>
      <c r="S38" s="93">
        <f t="shared" si="8"/>
        <v>160890.24832194671</v>
      </c>
      <c r="T38" s="93">
        <f t="shared" si="8"/>
        <v>155379.27892611362</v>
      </c>
      <c r="U38" s="93">
        <f t="shared" si="8"/>
        <v>149868.30953028006</v>
      </c>
      <c r="V38" s="93">
        <f t="shared" si="8"/>
        <v>144357.34013444651</v>
      </c>
      <c r="W38" s="93">
        <f t="shared" si="8"/>
        <v>138846.37073861342</v>
      </c>
      <c r="X38" s="93">
        <f t="shared" si="8"/>
        <v>133335.40134277986</v>
      </c>
      <c r="Y38" s="93">
        <f t="shared" si="8"/>
        <v>128267.59231482167</v>
      </c>
      <c r="Z38" s="93">
        <f t="shared" si="8"/>
        <v>124085.90538506676</v>
      </c>
      <c r="AA38" s="93">
        <f t="shared" si="8"/>
        <v>120347.37882318674</v>
      </c>
      <c r="AB38" s="93">
        <f t="shared" si="8"/>
        <v>116608.85226130672</v>
      </c>
      <c r="AC38" s="93">
        <f t="shared" si="8"/>
        <v>112870.3256994267</v>
      </c>
      <c r="AD38" s="93">
        <f t="shared" si="8"/>
        <v>109131.79913754668</v>
      </c>
      <c r="AE38" s="93">
        <f t="shared" si="8"/>
        <v>105393.27257566666</v>
      </c>
      <c r="AF38" s="93">
        <f t="shared" si="8"/>
        <v>101654.74601378641</v>
      </c>
      <c r="AG38" s="93">
        <f t="shared" si="8"/>
        <v>97916.219451906392</v>
      </c>
      <c r="AH38" s="93">
        <f t="shared" si="8"/>
        <v>94177.692890026374</v>
      </c>
      <c r="AI38" s="93">
        <f t="shared" si="8"/>
        <v>90439.166328146355</v>
      </c>
      <c r="AJ38" s="93">
        <f t="shared" si="8"/>
        <v>86700.639766266337</v>
      </c>
      <c r="AK38" s="93">
        <f t="shared" si="8"/>
        <v>82962.113204386318</v>
      </c>
      <c r="AL38" s="93">
        <f t="shared" si="8"/>
        <v>79223.5866425063</v>
      </c>
      <c r="AM38" s="93">
        <f t="shared" si="8"/>
        <v>75485.060080626281</v>
      </c>
      <c r="AN38" s="93">
        <f t="shared" si="8"/>
        <v>71746.533518746262</v>
      </c>
      <c r="AO38" s="93">
        <f t="shared" si="8"/>
        <v>68008.006956866244</v>
      </c>
      <c r="AP38" s="93">
        <f t="shared" si="8"/>
        <v>64269.480394986225</v>
      </c>
      <c r="AQ38" s="93">
        <f t="shared" si="8"/>
        <v>60530.953833106207</v>
      </c>
      <c r="AR38" s="93">
        <f t="shared" si="8"/>
        <v>52611.465484132757</v>
      </c>
      <c r="AS38" s="93">
        <f t="shared" ref="AS38" si="9">AS37/(1-$F16)-AS37</f>
        <v>2969.2155401511918</v>
      </c>
      <c r="AT38" s="93"/>
      <c r="AU38" s="97">
        <f t="shared" si="3"/>
        <v>5559931.106914551</v>
      </c>
    </row>
    <row r="39" spans="1:47" x14ac:dyDescent="0.2">
      <c r="A39" s="203">
        <f>A38+1</f>
        <v>9</v>
      </c>
      <c r="B39" s="2"/>
      <c r="C39" s="2" t="s">
        <v>61</v>
      </c>
      <c r="D39" s="112"/>
      <c r="E39" s="41">
        <f>SUM(E37:E38)</f>
        <v>5080857.0252605006</v>
      </c>
      <c r="F39" s="92">
        <f t="shared" ref="F39:AS39" si="10">SUM(F37:F38)</f>
        <v>4966809.2821760066</v>
      </c>
      <c r="G39" s="92">
        <f t="shared" si="10"/>
        <v>4829839.7389336666</v>
      </c>
      <c r="H39" s="92">
        <f t="shared" si="10"/>
        <v>4697232.5436630836</v>
      </c>
      <c r="I39" s="92">
        <f t="shared" si="10"/>
        <v>4568661.1482435325</v>
      </c>
      <c r="J39" s="92">
        <f t="shared" si="10"/>
        <v>4443824.1236404963</v>
      </c>
      <c r="K39" s="92">
        <f t="shared" si="10"/>
        <v>4322440.9733912982</v>
      </c>
      <c r="L39" s="92">
        <f t="shared" si="10"/>
        <v>4204252.1336051058</v>
      </c>
      <c r="M39" s="92">
        <f t="shared" si="10"/>
        <v>4087846.7489398052</v>
      </c>
      <c r="N39" s="92">
        <f t="shared" si="10"/>
        <v>3971696.7416509697</v>
      </c>
      <c r="O39" s="92">
        <f t="shared" si="10"/>
        <v>3855546.7343621352</v>
      </c>
      <c r="P39" s="92">
        <f t="shared" si="10"/>
        <v>3739396.7270732997</v>
      </c>
      <c r="Q39" s="92">
        <f t="shared" si="10"/>
        <v>3623246.7197844642</v>
      </c>
      <c r="R39" s="92">
        <f t="shared" si="10"/>
        <v>3507096.7124956297</v>
      </c>
      <c r="S39" s="92">
        <f t="shared" si="10"/>
        <v>3390946.7052067942</v>
      </c>
      <c r="T39" s="92">
        <f t="shared" si="10"/>
        <v>3274796.6979179592</v>
      </c>
      <c r="U39" s="92">
        <f t="shared" si="10"/>
        <v>3158646.6906291242</v>
      </c>
      <c r="V39" s="92">
        <f t="shared" si="10"/>
        <v>3042496.6833402887</v>
      </c>
      <c r="W39" s="92">
        <f t="shared" si="10"/>
        <v>2926346.6760514537</v>
      </c>
      <c r="X39" s="92">
        <f t="shared" si="10"/>
        <v>2810196.6687626182</v>
      </c>
      <c r="Y39" s="92">
        <f t="shared" si="10"/>
        <v>2703386.7750294376</v>
      </c>
      <c r="Z39" s="92">
        <f t="shared" si="10"/>
        <v>2615252.9218931985</v>
      </c>
      <c r="AA39" s="92">
        <f t="shared" si="10"/>
        <v>2536459.1823126134</v>
      </c>
      <c r="AB39" s="92">
        <f t="shared" si="10"/>
        <v>2457665.4427320282</v>
      </c>
      <c r="AC39" s="92">
        <f t="shared" si="10"/>
        <v>2378871.703151443</v>
      </c>
      <c r="AD39" s="92">
        <f t="shared" si="10"/>
        <v>2300077.9635708584</v>
      </c>
      <c r="AE39" s="92">
        <f t="shared" si="10"/>
        <v>2221284.2239902732</v>
      </c>
      <c r="AF39" s="92">
        <f t="shared" si="10"/>
        <v>2142490.4844096876</v>
      </c>
      <c r="AG39" s="92">
        <f t="shared" si="10"/>
        <v>2063696.7448291027</v>
      </c>
      <c r="AH39" s="92">
        <f t="shared" si="10"/>
        <v>1984903.0052485175</v>
      </c>
      <c r="AI39" s="92">
        <f t="shared" si="10"/>
        <v>1906109.2656679323</v>
      </c>
      <c r="AJ39" s="92">
        <f t="shared" si="10"/>
        <v>1827315.5260873479</v>
      </c>
      <c r="AK39" s="92">
        <f t="shared" si="10"/>
        <v>1748521.786506763</v>
      </c>
      <c r="AL39" s="92">
        <f t="shared" si="10"/>
        <v>1669728.0469261778</v>
      </c>
      <c r="AM39" s="92">
        <f t="shared" si="10"/>
        <v>1590934.3073455926</v>
      </c>
      <c r="AN39" s="92">
        <f t="shared" si="10"/>
        <v>1512140.5677650075</v>
      </c>
      <c r="AO39" s="92">
        <f t="shared" si="10"/>
        <v>1433346.8281844223</v>
      </c>
      <c r="AP39" s="92">
        <f t="shared" si="10"/>
        <v>1354553.0886038374</v>
      </c>
      <c r="AQ39" s="92">
        <f t="shared" si="10"/>
        <v>1275759.3490232523</v>
      </c>
      <c r="AR39" s="92">
        <f t="shared" si="10"/>
        <v>1108847.0395205738</v>
      </c>
      <c r="AS39" s="92">
        <f t="shared" si="10"/>
        <v>65333.587258811174</v>
      </c>
      <c r="AT39" s="92"/>
      <c r="AU39" s="97">
        <f t="shared" si="3"/>
        <v>117398855.3151851</v>
      </c>
    </row>
    <row r="40" spans="1:47" x14ac:dyDescent="0.2">
      <c r="A40" s="203">
        <f t="shared" ref="A40:A66" si="11">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7">
        <f t="shared" si="3"/>
        <v>0</v>
      </c>
    </row>
    <row r="41" spans="1:47" x14ac:dyDescent="0.2">
      <c r="A41" s="203">
        <f t="shared" si="11"/>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7">
        <f t="shared" si="3"/>
        <v>0</v>
      </c>
    </row>
    <row r="42" spans="1:47" x14ac:dyDescent="0.2">
      <c r="A42" s="203">
        <f t="shared" si="11"/>
        <v>12</v>
      </c>
      <c r="B42" s="2" t="s">
        <v>140</v>
      </c>
      <c r="C42" s="2"/>
      <c r="D42" s="112"/>
      <c r="E42" s="40">
        <f>E39</f>
        <v>5080857.0252605006</v>
      </c>
      <c r="F42" s="93">
        <f>F39</f>
        <v>4966809.2821760066</v>
      </c>
      <c r="G42" s="93">
        <f t="shared" ref="G42:AS42" si="12">G39</f>
        <v>4829839.7389336666</v>
      </c>
      <c r="H42" s="93">
        <f t="shared" si="12"/>
        <v>4697232.5436630836</v>
      </c>
      <c r="I42" s="93">
        <f t="shared" si="12"/>
        <v>4568661.1482435325</v>
      </c>
      <c r="J42" s="93">
        <f t="shared" si="12"/>
        <v>4443824.1236404963</v>
      </c>
      <c r="K42" s="93">
        <f t="shared" si="12"/>
        <v>4322440.9733912982</v>
      </c>
      <c r="L42" s="93">
        <f t="shared" si="12"/>
        <v>4204252.1336051058</v>
      </c>
      <c r="M42" s="93">
        <f t="shared" si="12"/>
        <v>4087846.7489398052</v>
      </c>
      <c r="N42" s="93">
        <f t="shared" si="12"/>
        <v>3971696.7416509697</v>
      </c>
      <c r="O42" s="93">
        <f t="shared" si="12"/>
        <v>3855546.7343621352</v>
      </c>
      <c r="P42" s="93">
        <f t="shared" si="12"/>
        <v>3739396.7270732997</v>
      </c>
      <c r="Q42" s="93">
        <f t="shared" si="12"/>
        <v>3623246.7197844642</v>
      </c>
      <c r="R42" s="93">
        <f t="shared" si="12"/>
        <v>3507096.7124956297</v>
      </c>
      <c r="S42" s="93">
        <f t="shared" si="12"/>
        <v>3390946.7052067942</v>
      </c>
      <c r="T42" s="93">
        <f t="shared" si="12"/>
        <v>3274796.6979179592</v>
      </c>
      <c r="U42" s="93">
        <f t="shared" si="12"/>
        <v>3158646.6906291242</v>
      </c>
      <c r="V42" s="93">
        <f t="shared" si="12"/>
        <v>3042496.6833402887</v>
      </c>
      <c r="W42" s="93">
        <f t="shared" si="12"/>
        <v>2926346.6760514537</v>
      </c>
      <c r="X42" s="93">
        <f t="shared" si="12"/>
        <v>2810196.6687626182</v>
      </c>
      <c r="Y42" s="93">
        <f t="shared" si="12"/>
        <v>2703386.7750294376</v>
      </c>
      <c r="Z42" s="93">
        <f t="shared" si="12"/>
        <v>2615252.9218931985</v>
      </c>
      <c r="AA42" s="93">
        <f t="shared" si="12"/>
        <v>2536459.1823126134</v>
      </c>
      <c r="AB42" s="93">
        <f t="shared" si="12"/>
        <v>2457665.4427320282</v>
      </c>
      <c r="AC42" s="93">
        <f t="shared" si="12"/>
        <v>2378871.703151443</v>
      </c>
      <c r="AD42" s="93">
        <f t="shared" si="12"/>
        <v>2300077.9635708584</v>
      </c>
      <c r="AE42" s="93">
        <f t="shared" si="12"/>
        <v>2221284.2239902732</v>
      </c>
      <c r="AF42" s="93">
        <f t="shared" si="12"/>
        <v>2142490.4844096876</v>
      </c>
      <c r="AG42" s="93">
        <f t="shared" si="12"/>
        <v>2063696.7448291027</v>
      </c>
      <c r="AH42" s="93">
        <f t="shared" si="12"/>
        <v>1984903.0052485175</v>
      </c>
      <c r="AI42" s="93">
        <f t="shared" si="12"/>
        <v>1906109.2656679323</v>
      </c>
      <c r="AJ42" s="93">
        <f t="shared" si="12"/>
        <v>1827315.5260873479</v>
      </c>
      <c r="AK42" s="93">
        <f t="shared" si="12"/>
        <v>1748521.786506763</v>
      </c>
      <c r="AL42" s="93">
        <f t="shared" si="12"/>
        <v>1669728.0469261778</v>
      </c>
      <c r="AM42" s="93">
        <f t="shared" si="12"/>
        <v>1590934.3073455926</v>
      </c>
      <c r="AN42" s="93">
        <f t="shared" si="12"/>
        <v>1512140.5677650075</v>
      </c>
      <c r="AO42" s="93">
        <f t="shared" si="12"/>
        <v>1433346.8281844223</v>
      </c>
      <c r="AP42" s="93">
        <f t="shared" si="12"/>
        <v>1354553.0886038374</v>
      </c>
      <c r="AQ42" s="93">
        <f t="shared" si="12"/>
        <v>1275759.3490232523</v>
      </c>
      <c r="AR42" s="93">
        <f t="shared" si="12"/>
        <v>1108847.0395205738</v>
      </c>
      <c r="AS42" s="93">
        <f t="shared" si="12"/>
        <v>65333.587258811174</v>
      </c>
      <c r="AT42" s="93"/>
      <c r="AU42" s="97">
        <f t="shared" si="3"/>
        <v>117398855.3151851</v>
      </c>
    </row>
    <row r="43" spans="1:47" x14ac:dyDescent="0.2">
      <c r="A43" s="203">
        <f t="shared" si="11"/>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203">
        <f t="shared" si="11"/>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203">
        <f t="shared" si="11"/>
        <v>15</v>
      </c>
      <c r="B45" s="2" t="s">
        <v>63</v>
      </c>
      <c r="C45" s="112"/>
      <c r="D45" s="112"/>
      <c r="E45" s="45">
        <f>+E42/$F$22</f>
        <v>0.11507782502224642</v>
      </c>
      <c r="F45" s="94">
        <f t="shared" ref="F45:AS45" si="13">+F42/$F$22</f>
        <v>0.11249472414819917</v>
      </c>
      <c r="G45" s="94">
        <f t="shared" si="13"/>
        <v>0.10939246068117889</v>
      </c>
      <c r="H45" s="94">
        <f t="shared" si="13"/>
        <v>0.10638900131631777</v>
      </c>
      <c r="I45" s="94">
        <f t="shared" si="13"/>
        <v>0.10347694996919321</v>
      </c>
      <c r="J45" s="94">
        <f t="shared" si="13"/>
        <v>0.10064947948495349</v>
      </c>
      <c r="K45" s="94">
        <f t="shared" si="13"/>
        <v>9.7900236816722719E-2</v>
      </c>
      <c r="L45" s="94">
        <f t="shared" si="13"/>
        <v>9.5223343025600843E-2</v>
      </c>
      <c r="M45" s="94">
        <f t="shared" si="13"/>
        <v>9.2586843234018154E-2</v>
      </c>
      <c r="N45" s="94">
        <f t="shared" si="13"/>
        <v>8.9956127559740362E-2</v>
      </c>
      <c r="O45" s="94">
        <f t="shared" si="13"/>
        <v>8.7325411885462584E-2</v>
      </c>
      <c r="P45" s="94">
        <f t="shared" si="13"/>
        <v>8.4694696211184792E-2</v>
      </c>
      <c r="Q45" s="94">
        <f t="shared" si="13"/>
        <v>8.2063980536906986E-2</v>
      </c>
      <c r="R45" s="94">
        <f t="shared" si="13"/>
        <v>7.9433264862629221E-2</v>
      </c>
      <c r="S45" s="94">
        <f t="shared" si="13"/>
        <v>7.6802549188351416E-2</v>
      </c>
      <c r="T45" s="94">
        <f t="shared" si="13"/>
        <v>7.4171833514073637E-2</v>
      </c>
      <c r="U45" s="94">
        <f t="shared" si="13"/>
        <v>7.1541117839795845E-2</v>
      </c>
      <c r="V45" s="94">
        <f t="shared" si="13"/>
        <v>6.8910402165518053E-2</v>
      </c>
      <c r="W45" s="94">
        <f t="shared" si="13"/>
        <v>6.6279686491240261E-2</v>
      </c>
      <c r="X45" s="94">
        <f t="shared" si="13"/>
        <v>6.3648970816962469E-2</v>
      </c>
      <c r="Y45" s="94">
        <f t="shared" si="13"/>
        <v>6.1229802121491948E-2</v>
      </c>
      <c r="Z45" s="94">
        <f t="shared" si="13"/>
        <v>5.9233632562040804E-2</v>
      </c>
      <c r="AA45" s="94">
        <f t="shared" si="13"/>
        <v>5.7449009981396917E-2</v>
      </c>
      <c r="AB45" s="94">
        <f t="shared" si="13"/>
        <v>5.5664387400753031E-2</v>
      </c>
      <c r="AC45" s="94">
        <f t="shared" si="13"/>
        <v>5.3879764820109137E-2</v>
      </c>
      <c r="AD45" s="94">
        <f t="shared" si="13"/>
        <v>5.2095142239465257E-2</v>
      </c>
      <c r="AE45" s="94">
        <f t="shared" si="13"/>
        <v>5.031051965882137E-2</v>
      </c>
      <c r="AF45" s="94">
        <f t="shared" si="13"/>
        <v>4.852589707817747E-2</v>
      </c>
      <c r="AG45" s="94">
        <f t="shared" si="13"/>
        <v>4.6741274497533583E-2</v>
      </c>
      <c r="AH45" s="94">
        <f t="shared" si="13"/>
        <v>4.4956651916889696E-2</v>
      </c>
      <c r="AI45" s="94">
        <f t="shared" si="13"/>
        <v>4.317202933624581E-2</v>
      </c>
      <c r="AJ45" s="94">
        <f t="shared" si="13"/>
        <v>4.138740675560193E-2</v>
      </c>
      <c r="AK45" s="94">
        <f t="shared" si="13"/>
        <v>3.960278417495805E-2</v>
      </c>
      <c r="AL45" s="94">
        <f t="shared" si="13"/>
        <v>3.7818161594314156E-2</v>
      </c>
      <c r="AM45" s="94">
        <f t="shared" si="13"/>
        <v>3.603353901367027E-2</v>
      </c>
      <c r="AN45" s="94">
        <f t="shared" si="13"/>
        <v>3.4248916433026383E-2</v>
      </c>
      <c r="AO45" s="94">
        <f t="shared" si="13"/>
        <v>3.2464293852382489E-2</v>
      </c>
      <c r="AP45" s="94">
        <f t="shared" si="13"/>
        <v>3.0679671271738606E-2</v>
      </c>
      <c r="AQ45" s="94">
        <f t="shared" si="13"/>
        <v>2.8895048691094716E-2</v>
      </c>
      <c r="AR45" s="94">
        <f t="shared" si="13"/>
        <v>2.5114602705011597E-2</v>
      </c>
      <c r="AS45" s="94">
        <f t="shared" si="13"/>
        <v>1.4797596321379782E-3</v>
      </c>
      <c r="AT45" s="94"/>
    </row>
    <row r="46" spans="1:47" outlineLevel="1" x14ac:dyDescent="0.2">
      <c r="A46" s="203">
        <f t="shared" si="11"/>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203">
        <f t="shared" si="11"/>
        <v>17</v>
      </c>
      <c r="B47" s="2"/>
      <c r="C47" s="2"/>
      <c r="D47" s="112"/>
      <c r="E47" s="43">
        <f>+E27/2</f>
        <v>552225.76790253422</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203">
        <f t="shared" si="11"/>
        <v>18</v>
      </c>
      <c r="B48" s="2"/>
      <c r="C48" s="2"/>
      <c r="D48" s="112"/>
      <c r="E48" s="43">
        <f>+E60/2</f>
        <v>57879.066401092343</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203">
        <f t="shared" si="11"/>
        <v>19</v>
      </c>
      <c r="B49" s="46" t="s">
        <v>64</v>
      </c>
      <c r="C49" s="2"/>
      <c r="D49" s="112"/>
      <c r="E49" s="41">
        <f>F22-E27/2-E60/2</f>
        <v>43541381.555696256</v>
      </c>
      <c r="F49" s="110">
        <f>$F$22-(SUM($E$27:E27)+F27/2)-(SUM($E$60:E60)+F60/2)</f>
        <v>42160352.305487752</v>
      </c>
      <c r="G49" s="110">
        <f>$F$22-(SUM($E$27:F27)+G27/2)-(SUM($E$60:F60)+G60/2)</f>
        <v>40643630.084582537</v>
      </c>
      <c r="H49" s="110">
        <f>$F$22-(SUM($E$27:G27)+H27/2)-(SUM($E$60:G60)+H60/2)</f>
        <v>39175214.004936621</v>
      </c>
      <c r="I49" s="110">
        <f>$F$22-(SUM($E$27:H27)+I27/2)-(SUM($E$60:H60)+I60/2)</f>
        <v>37751488.059814662</v>
      </c>
      <c r="J49" s="110">
        <f>$F$22-(SUM($E$27:I27)+J27/2)-(SUM($E$60:I60)+J60/2)</f>
        <v>36369114.396845579</v>
      </c>
      <c r="K49" s="110">
        <f>$F$22-(SUM($E$27:J27)+K27/2)-(SUM($E$60:J60)+K60/2)</f>
        <v>35024986.95896183</v>
      </c>
      <c r="L49" s="110">
        <f>$F$22-(SUM($E$27:K27)+L27/2)-(SUM($E$60:K60)+L60/2)</f>
        <v>33716231.48439943</v>
      </c>
      <c r="M49" s="110">
        <f>$F$22-(SUM($E$27:L27)+M27/2)-(SUM($E$60:L60)+M60/2)</f>
        <v>32427224.969699278</v>
      </c>
      <c r="N49" s="110">
        <f>$F$22-(SUM($E$27:M27)+N27/2)-(SUM($E$60:M60)+N60/2)</f>
        <v>31141046.357702408</v>
      </c>
      <c r="O49" s="110">
        <f>$F$22-(SUM($E$27:N27)+O27/2)-(SUM($E$60:N60)+O60/2)</f>
        <v>29854867.745705537</v>
      </c>
      <c r="P49" s="110">
        <f>$F$22-(SUM($E$27:O27)+P27/2)-(SUM($E$60:O60)+P60/2)</f>
        <v>28568689.133708663</v>
      </c>
      <c r="Q49" s="110">
        <f>$F$22-(SUM($E$27:P27)+Q27/2)-(SUM($E$60:P60)+Q60/2)</f>
        <v>27282510.521711793</v>
      </c>
      <c r="R49" s="110">
        <f>$F$22-(SUM($E$27:Q27)+R27/2)-(SUM($E$60:Q60)+R60/2)</f>
        <v>25996331.909714922</v>
      </c>
      <c r="S49" s="110">
        <f>$F$22-(SUM($E$27:R27)+S27/2)-(SUM($E$60:R60)+S60/2)</f>
        <v>24710153.297718048</v>
      </c>
      <c r="T49" s="110">
        <f>$F$22-(SUM($E$27:S27)+T27/2)-(SUM($E$60:S60)+T60/2)</f>
        <v>23423974.685721178</v>
      </c>
      <c r="U49" s="110">
        <f>$F$22-(SUM($E$27:T27)+U27/2)-(SUM($E$60:T60)+U60/2)</f>
        <v>22137796.073724307</v>
      </c>
      <c r="V49" s="110">
        <f>$F$22-(SUM($E$27:U27)+V27/2)-(SUM($E$60:U60)+V60/2)</f>
        <v>20851617.461727433</v>
      </c>
      <c r="W49" s="110">
        <f>$F$22-(SUM($E$27:V27)+W27/2)-(SUM($E$60:V60)+W60/2)</f>
        <v>19565438.849730562</v>
      </c>
      <c r="X49" s="110">
        <f>$F$22-(SUM($E$27:W27)+X27/2)-(SUM($E$60:W60)+X60/2)</f>
        <v>18279260.237733692</v>
      </c>
      <c r="Y49" s="110">
        <f>$F$22-(SUM($E$27:X27)+Y27/2)-(SUM($E$60:X60)+Y60/2)</f>
        <v>17096508.690179713</v>
      </c>
      <c r="Z49" s="110">
        <f>$F$22-(SUM($E$27:Y27)+Z27/2)-(SUM($E$60:Y60)+Z60/2)</f>
        <v>16120564.912450813</v>
      </c>
      <c r="AA49" s="110">
        <f>$F$22-(SUM($E$27:Z27)+AA27/2)-(SUM($E$60:Z60)+AA60/2)</f>
        <v>15248048.19916481</v>
      </c>
      <c r="AB49" s="110">
        <f>$F$22-(SUM($E$27:AA27)+AB27/2)-(SUM($E$60:AA60)+AB60/2)</f>
        <v>14375531.485878805</v>
      </c>
      <c r="AC49" s="110">
        <f>$F$22-(SUM($E$27:AB27)+AC27/2)-(SUM($E$60:AB60)+AC60/2)</f>
        <v>13503014.7725928</v>
      </c>
      <c r="AD49" s="110">
        <f>$F$22-(SUM($E$27:AC27)+AD27/2)-(SUM($E$60:AC60)+AD60/2)</f>
        <v>12630498.059306797</v>
      </c>
      <c r="AE49" s="110">
        <f>$F$22-(SUM($E$27:AD27)+AE27/2)-(SUM($E$60:AD60)+AE60/2)</f>
        <v>11757981.346020792</v>
      </c>
      <c r="AF49" s="110">
        <f>$F$22-(SUM($E$27:AE27)+AF27/2)-(SUM($E$60:AE60)+AF60/2)</f>
        <v>10885464.632734787</v>
      </c>
      <c r="AG49" s="110">
        <f>$F$22-(SUM($E$27:AF27)+AG27/2)-(SUM($E$60:AF60)+AG60/2)</f>
        <v>10012947.919448782</v>
      </c>
      <c r="AH49" s="110">
        <f>$F$22-(SUM($E$27:AG27)+AH27/2)-(SUM($E$60:AG60)+AH60/2)</f>
        <v>9140431.2061627768</v>
      </c>
      <c r="AI49" s="110">
        <f>$F$22-(SUM($E$27:AH27)+AI27/2)-(SUM($E$60:AH60)+AI60/2)</f>
        <v>8267914.4928767737</v>
      </c>
      <c r="AJ49" s="110">
        <f>$F$22-(SUM($E$27:AI27)+AJ27/2)-(SUM($E$60:AI60)+AJ60/2)</f>
        <v>7395397.7795907762</v>
      </c>
      <c r="AK49" s="110">
        <f>$F$22-(SUM($E$27:AJ27)+AK27/2)-(SUM($E$60:AJ60)+AK60/2)</f>
        <v>6522881.0663047722</v>
      </c>
      <c r="AL49" s="110">
        <f>$F$22-(SUM($E$27:AK27)+AL27/2)-(SUM($E$60:AK60)+AL60/2)</f>
        <v>5650364.3530187672</v>
      </c>
      <c r="AM49" s="110">
        <f>$F$22-(SUM($E$27:AL27)+AM27/2)-(SUM($E$60:AL60)+AM60/2)</f>
        <v>4777847.6397327632</v>
      </c>
      <c r="AN49" s="110">
        <f>$F$22-(SUM($E$27:AM27)+AN27/2)-(SUM($E$60:AM60)+AN60/2)</f>
        <v>3905330.9264467582</v>
      </c>
      <c r="AO49" s="110">
        <f>$F$22-(SUM($E$27:AN27)+AO27/2)-(SUM($E$60:AN60)+AO60/2)</f>
        <v>3032814.2131607542</v>
      </c>
      <c r="AP49" s="110">
        <f>$F$22-(SUM($E$27:AO27)+AP27/2)-(SUM($E$60:AO60)+AP60/2)</f>
        <v>2160297.4998747492</v>
      </c>
      <c r="AQ49" s="110">
        <f>$F$22-(SUM($E$27:AP27)+AQ27/2)-(SUM($E$60:AP60)+AQ60/2)</f>
        <v>1287780.7865887447</v>
      </c>
      <c r="AR49" s="110">
        <f>$F$22-(SUM($E$27:AQ27)+AR27/2)-(SUM($E$60:AQ60)+AR60/2)</f>
        <v>449585.62330274034</v>
      </c>
      <c r="AS49" s="110">
        <f>$F$22-(SUM($E$27:AR27)+AS27/2)-(SUM($E$60:AR60)+AS60/2)</f>
        <v>23824.407459737602</v>
      </c>
      <c r="AT49" s="110"/>
      <c r="AU49" s="97"/>
    </row>
    <row r="50" spans="1:47" x14ac:dyDescent="0.2">
      <c r="A50" s="203">
        <f t="shared" si="11"/>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7">
        <f t="shared" ref="AU50:AU60" si="14">SUM(D50:AT50)</f>
        <v>0</v>
      </c>
    </row>
    <row r="51" spans="1:47" x14ac:dyDescent="0.2">
      <c r="A51" s="203">
        <f t="shared" si="11"/>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7">
        <f t="shared" si="14"/>
        <v>0</v>
      </c>
    </row>
    <row r="52" spans="1:47" x14ac:dyDescent="0.2">
      <c r="A52" s="203">
        <f t="shared" si="11"/>
        <v>22</v>
      </c>
      <c r="B52" s="2" t="s">
        <v>65</v>
      </c>
      <c r="C52" s="2"/>
      <c r="D52" s="112"/>
      <c r="E52" s="38">
        <f>(E34)/(1-$F$15)</f>
        <v>2513274.6822022144</v>
      </c>
      <c r="F52" s="95">
        <f>(F34)/(1-$F$15)</f>
        <v>2433559.5761142294</v>
      </c>
      <c r="G52" s="95">
        <f t="shared" ref="G52:AS52" si="15">(G34)/(1-$F$15)</f>
        <v>2346012.0656417264</v>
      </c>
      <c r="H52" s="95">
        <f t="shared" si="15"/>
        <v>2261252.8590191263</v>
      </c>
      <c r="I52" s="95">
        <f t="shared" si="15"/>
        <v>2179073.234844998</v>
      </c>
      <c r="J52" s="95">
        <f t="shared" si="15"/>
        <v>2099280.5272103273</v>
      </c>
      <c r="K52" s="95">
        <f t="shared" si="15"/>
        <v>2021695.4497831133</v>
      </c>
      <c r="L52" s="95">
        <f t="shared" si="15"/>
        <v>1946152.0958083721</v>
      </c>
      <c r="M52" s="95">
        <f t="shared" si="15"/>
        <v>1871748.6817953002</v>
      </c>
      <c r="N52" s="95">
        <f t="shared" si="15"/>
        <v>1797508.4986218098</v>
      </c>
      <c r="O52" s="95">
        <f t="shared" si="15"/>
        <v>1723268.3154483195</v>
      </c>
      <c r="P52" s="95">
        <f t="shared" si="15"/>
        <v>1649028.1322748291</v>
      </c>
      <c r="Q52" s="95">
        <f t="shared" si="15"/>
        <v>1574787.9491013389</v>
      </c>
      <c r="R52" s="95">
        <f t="shared" si="15"/>
        <v>1500547.7659278486</v>
      </c>
      <c r="S52" s="95">
        <f t="shared" si="15"/>
        <v>1426307.5827543582</v>
      </c>
      <c r="T52" s="95">
        <f t="shared" si="15"/>
        <v>1352067.399580868</v>
      </c>
      <c r="U52" s="95">
        <f t="shared" si="15"/>
        <v>1277827.2164073777</v>
      </c>
      <c r="V52" s="95">
        <f t="shared" si="15"/>
        <v>1203587.0332338873</v>
      </c>
      <c r="W52" s="95">
        <f t="shared" si="15"/>
        <v>1129346.8500603971</v>
      </c>
      <c r="X52" s="95">
        <f t="shared" si="15"/>
        <v>1055106.6668869068</v>
      </c>
      <c r="Y52" s="95">
        <f t="shared" si="15"/>
        <v>986836.45097746188</v>
      </c>
      <c r="Z52" s="95">
        <f t="shared" si="15"/>
        <v>930503.4936807052</v>
      </c>
      <c r="AA52" s="95">
        <f t="shared" si="15"/>
        <v>880140.50364799402</v>
      </c>
      <c r="AB52" s="95">
        <f t="shared" si="15"/>
        <v>829777.51361528283</v>
      </c>
      <c r="AC52" s="95">
        <f t="shared" si="15"/>
        <v>779414.52358257177</v>
      </c>
      <c r="AD52" s="95">
        <f t="shared" si="15"/>
        <v>729051.5335498607</v>
      </c>
      <c r="AE52" s="95">
        <f t="shared" si="15"/>
        <v>678688.5435171494</v>
      </c>
      <c r="AF52" s="95">
        <f t="shared" si="15"/>
        <v>628325.55348443834</v>
      </c>
      <c r="AG52" s="95">
        <f t="shared" si="15"/>
        <v>577962.56345172715</v>
      </c>
      <c r="AH52" s="95">
        <f t="shared" si="15"/>
        <v>527599.57341901597</v>
      </c>
      <c r="AI52" s="95">
        <f t="shared" si="15"/>
        <v>477236.5833863049</v>
      </c>
      <c r="AJ52" s="95">
        <f t="shared" si="15"/>
        <v>426873.59335359413</v>
      </c>
      <c r="AK52" s="95">
        <f t="shared" si="15"/>
        <v>376510.60332088306</v>
      </c>
      <c r="AL52" s="95">
        <f t="shared" si="15"/>
        <v>326147.61328817188</v>
      </c>
      <c r="AM52" s="95">
        <f t="shared" si="15"/>
        <v>275784.62325546076</v>
      </c>
      <c r="AN52" s="95">
        <f t="shared" si="15"/>
        <v>225421.6332227496</v>
      </c>
      <c r="AO52" s="95">
        <f t="shared" si="15"/>
        <v>175058.64319003848</v>
      </c>
      <c r="AP52" s="95">
        <f t="shared" si="15"/>
        <v>124695.6531573273</v>
      </c>
      <c r="AQ52" s="95">
        <f t="shared" si="15"/>
        <v>74332.663124616156</v>
      </c>
      <c r="AR52" s="95">
        <f t="shared" si="15"/>
        <v>25950.76509190501</v>
      </c>
      <c r="AS52" s="95">
        <f t="shared" si="15"/>
        <v>1375.1809875494109</v>
      </c>
      <c r="AT52" s="95"/>
      <c r="AU52" s="97"/>
    </row>
    <row r="53" spans="1:47" x14ac:dyDescent="0.2">
      <c r="A53" s="203">
        <f t="shared" si="11"/>
        <v>23</v>
      </c>
      <c r="B53" s="2" t="s">
        <v>66</v>
      </c>
      <c r="C53" s="2"/>
      <c r="D53" s="112"/>
      <c r="E53" s="40">
        <f t="shared" ref="E53:AS53" si="16">E52*$F15</f>
        <v>527787.68326246506</v>
      </c>
      <c r="F53" s="93">
        <f>F52*$F15</f>
        <v>511047.51098398818</v>
      </c>
      <c r="G53" s="93">
        <f t="shared" si="16"/>
        <v>492662.53378476249</v>
      </c>
      <c r="H53" s="93">
        <f t="shared" si="16"/>
        <v>474863.10039401648</v>
      </c>
      <c r="I53" s="93">
        <f t="shared" si="16"/>
        <v>457605.37931744958</v>
      </c>
      <c r="J53" s="93">
        <f t="shared" si="16"/>
        <v>440848.91071416874</v>
      </c>
      <c r="K53" s="93">
        <f t="shared" si="16"/>
        <v>424556.0444544538</v>
      </c>
      <c r="L53" s="93">
        <f t="shared" si="16"/>
        <v>408691.94011975813</v>
      </c>
      <c r="M53" s="93">
        <f t="shared" si="16"/>
        <v>393067.22317701305</v>
      </c>
      <c r="N53" s="93">
        <f t="shared" si="16"/>
        <v>377476.78471058002</v>
      </c>
      <c r="O53" s="93">
        <f t="shared" si="16"/>
        <v>361886.34624414711</v>
      </c>
      <c r="P53" s="93">
        <f t="shared" si="16"/>
        <v>346295.90777771408</v>
      </c>
      <c r="Q53" s="93">
        <f t="shared" si="16"/>
        <v>330705.46931128117</v>
      </c>
      <c r="R53" s="93">
        <f t="shared" si="16"/>
        <v>315115.0308448482</v>
      </c>
      <c r="S53" s="93">
        <f t="shared" si="16"/>
        <v>299524.59237841523</v>
      </c>
      <c r="T53" s="93">
        <f t="shared" si="16"/>
        <v>283934.15391198226</v>
      </c>
      <c r="U53" s="93">
        <f t="shared" si="16"/>
        <v>268343.71544554934</v>
      </c>
      <c r="V53" s="93">
        <f t="shared" si="16"/>
        <v>252753.27697911632</v>
      </c>
      <c r="W53" s="93">
        <f t="shared" si="16"/>
        <v>237162.83851268337</v>
      </c>
      <c r="X53" s="93">
        <f t="shared" si="16"/>
        <v>221572.40004625043</v>
      </c>
      <c r="Y53" s="93">
        <f t="shared" si="16"/>
        <v>207235.65470526699</v>
      </c>
      <c r="Z53" s="93">
        <f t="shared" si="16"/>
        <v>195405.73367294809</v>
      </c>
      <c r="AA53" s="93">
        <f t="shared" si="16"/>
        <v>184829.50576607874</v>
      </c>
      <c r="AB53" s="93">
        <f t="shared" si="16"/>
        <v>174253.2778592094</v>
      </c>
      <c r="AC53" s="93">
        <f t="shared" si="16"/>
        <v>163677.04995234008</v>
      </c>
      <c r="AD53" s="93">
        <f t="shared" si="16"/>
        <v>153100.82204547073</v>
      </c>
      <c r="AE53" s="93">
        <f t="shared" si="16"/>
        <v>142524.59413860136</v>
      </c>
      <c r="AF53" s="93">
        <f t="shared" si="16"/>
        <v>131948.36623173204</v>
      </c>
      <c r="AG53" s="93">
        <f t="shared" si="16"/>
        <v>121372.1383248627</v>
      </c>
      <c r="AH53" s="93">
        <f t="shared" si="16"/>
        <v>110795.91041799335</v>
      </c>
      <c r="AI53" s="93">
        <f t="shared" si="16"/>
        <v>100219.68251112403</v>
      </c>
      <c r="AJ53" s="93">
        <f t="shared" si="16"/>
        <v>89643.454604254759</v>
      </c>
      <c r="AK53" s="93">
        <f t="shared" si="16"/>
        <v>79067.226697385442</v>
      </c>
      <c r="AL53" s="93">
        <f t="shared" si="16"/>
        <v>68490.998790516096</v>
      </c>
      <c r="AM53" s="93">
        <f t="shared" si="16"/>
        <v>57914.770883646757</v>
      </c>
      <c r="AN53" s="93">
        <f t="shared" si="16"/>
        <v>47338.542976777411</v>
      </c>
      <c r="AO53" s="93">
        <f t="shared" si="16"/>
        <v>36762.31506990808</v>
      </c>
      <c r="AP53" s="93">
        <f t="shared" si="16"/>
        <v>26186.08716303873</v>
      </c>
      <c r="AQ53" s="93">
        <f t="shared" si="16"/>
        <v>15609.859256169391</v>
      </c>
      <c r="AR53" s="93">
        <f t="shared" si="16"/>
        <v>5449.6606693000522</v>
      </c>
      <c r="AS53" s="93">
        <f t="shared" si="16"/>
        <v>288.78800738537626</v>
      </c>
      <c r="AT53" s="93"/>
      <c r="AU53" s="97"/>
    </row>
    <row r="54" spans="1:47" x14ac:dyDescent="0.2">
      <c r="A54" s="203">
        <f t="shared" si="11"/>
        <v>24</v>
      </c>
      <c r="B54" s="2" t="s">
        <v>67</v>
      </c>
      <c r="C54" s="2"/>
      <c r="D54" s="112"/>
      <c r="E54" s="38">
        <f>E52-E53</f>
        <v>1985486.9989397493</v>
      </c>
      <c r="F54" s="95">
        <f t="shared" ref="F54:AS54" si="17">F52-F53</f>
        <v>1922512.0651302412</v>
      </c>
      <c r="G54" s="95">
        <f t="shared" si="17"/>
        <v>1853349.5318569639</v>
      </c>
      <c r="H54" s="95">
        <f t="shared" si="17"/>
        <v>1786389.7586251097</v>
      </c>
      <c r="I54" s="95">
        <f t="shared" si="17"/>
        <v>1721467.8555275484</v>
      </c>
      <c r="J54" s="95">
        <f t="shared" si="17"/>
        <v>1658431.6164961585</v>
      </c>
      <c r="K54" s="95">
        <f t="shared" si="17"/>
        <v>1597139.4053286596</v>
      </c>
      <c r="L54" s="95">
        <f t="shared" si="17"/>
        <v>1537460.1556886141</v>
      </c>
      <c r="M54" s="95">
        <f t="shared" si="17"/>
        <v>1478681.4586182872</v>
      </c>
      <c r="N54" s="95">
        <f t="shared" si="17"/>
        <v>1420031.7139112297</v>
      </c>
      <c r="O54" s="95">
        <f t="shared" si="17"/>
        <v>1361381.9692041725</v>
      </c>
      <c r="P54" s="95">
        <f t="shared" si="17"/>
        <v>1302732.224497115</v>
      </c>
      <c r="Q54" s="95">
        <f t="shared" si="17"/>
        <v>1244082.4797900578</v>
      </c>
      <c r="R54" s="95">
        <f t="shared" si="17"/>
        <v>1185432.7350830005</v>
      </c>
      <c r="S54" s="95">
        <f t="shared" si="17"/>
        <v>1126782.990375943</v>
      </c>
      <c r="T54" s="95">
        <f t="shared" si="17"/>
        <v>1068133.2456688858</v>
      </c>
      <c r="U54" s="95">
        <f t="shared" si="17"/>
        <v>1009483.5009618284</v>
      </c>
      <c r="V54" s="95">
        <f t="shared" si="17"/>
        <v>950833.75625477103</v>
      </c>
      <c r="W54" s="95">
        <f t="shared" si="17"/>
        <v>892184.01154771366</v>
      </c>
      <c r="X54" s="95">
        <f t="shared" si="17"/>
        <v>833534.2668406564</v>
      </c>
      <c r="Y54" s="95">
        <f t="shared" si="17"/>
        <v>779600.79627219494</v>
      </c>
      <c r="Z54" s="95">
        <f t="shared" si="17"/>
        <v>735097.76000775711</v>
      </c>
      <c r="AA54" s="95">
        <f t="shared" si="17"/>
        <v>695310.9978819153</v>
      </c>
      <c r="AB54" s="95">
        <f t="shared" si="17"/>
        <v>655524.23575607338</v>
      </c>
      <c r="AC54" s="95">
        <f t="shared" si="17"/>
        <v>615737.47363023169</v>
      </c>
      <c r="AD54" s="95">
        <f t="shared" si="17"/>
        <v>575950.71150439</v>
      </c>
      <c r="AE54" s="95">
        <f t="shared" si="17"/>
        <v>536163.94937854807</v>
      </c>
      <c r="AF54" s="95">
        <f t="shared" si="17"/>
        <v>496377.18725270627</v>
      </c>
      <c r="AG54" s="95">
        <f t="shared" si="17"/>
        <v>456590.42512686446</v>
      </c>
      <c r="AH54" s="95">
        <f t="shared" si="17"/>
        <v>416803.66300102265</v>
      </c>
      <c r="AI54" s="95">
        <f t="shared" si="17"/>
        <v>377016.90087518084</v>
      </c>
      <c r="AJ54" s="95">
        <f t="shared" si="17"/>
        <v>337230.13874933938</v>
      </c>
      <c r="AK54" s="95">
        <f t="shared" si="17"/>
        <v>297443.37662349764</v>
      </c>
      <c r="AL54" s="95">
        <f t="shared" si="17"/>
        <v>257656.61449765577</v>
      </c>
      <c r="AM54" s="95">
        <f t="shared" si="17"/>
        <v>217869.85237181399</v>
      </c>
      <c r="AN54" s="95">
        <f t="shared" si="17"/>
        <v>178083.09024597218</v>
      </c>
      <c r="AO54" s="95">
        <f t="shared" si="17"/>
        <v>138296.32812013041</v>
      </c>
      <c r="AP54" s="95">
        <f t="shared" si="17"/>
        <v>98509.565994288569</v>
      </c>
      <c r="AQ54" s="95">
        <f t="shared" si="17"/>
        <v>58722.803868446761</v>
      </c>
      <c r="AR54" s="95">
        <f t="shared" si="17"/>
        <v>20501.104422604956</v>
      </c>
      <c r="AS54" s="95">
        <f t="shared" si="17"/>
        <v>1086.3929801640347</v>
      </c>
      <c r="AT54" s="95"/>
      <c r="AU54" s="97"/>
    </row>
    <row r="55" spans="1:47" x14ac:dyDescent="0.2">
      <c r="A55" s="203">
        <f t="shared" si="11"/>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97">
        <f t="shared" si="14"/>
        <v>0</v>
      </c>
    </row>
    <row r="56" spans="1:47" x14ac:dyDescent="0.2">
      <c r="A56" s="203">
        <f t="shared" si="11"/>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97">
        <f t="shared" si="14"/>
        <v>0</v>
      </c>
    </row>
    <row r="57" spans="1:47" x14ac:dyDescent="0.2">
      <c r="A57" s="203">
        <f t="shared" si="11"/>
        <v>27</v>
      </c>
      <c r="B57" s="2" t="s">
        <v>68</v>
      </c>
      <c r="C57" s="2"/>
      <c r="D57" s="112"/>
      <c r="E57" s="38">
        <f>E27+E28</f>
        <v>1104451.5358050684</v>
      </c>
      <c r="F57" s="95">
        <f>F27</f>
        <v>1104451.5358050684</v>
      </c>
      <c r="G57" s="95">
        <f>G27</f>
        <v>1104451.5358050684</v>
      </c>
      <c r="H57" s="95">
        <f t="shared" ref="H57:AS57" si="18">H27</f>
        <v>1104451.5358050684</v>
      </c>
      <c r="I57" s="95">
        <f t="shared" si="18"/>
        <v>1104451.5358050684</v>
      </c>
      <c r="J57" s="95">
        <f t="shared" si="18"/>
        <v>1104451.5358050684</v>
      </c>
      <c r="K57" s="95">
        <f t="shared" si="18"/>
        <v>1104451.5358050684</v>
      </c>
      <c r="L57" s="95">
        <f t="shared" si="18"/>
        <v>1104451.5358050684</v>
      </c>
      <c r="M57" s="95">
        <f t="shared" si="18"/>
        <v>1104451.5358050684</v>
      </c>
      <c r="N57" s="95">
        <f t="shared" si="18"/>
        <v>1104451.5358050684</v>
      </c>
      <c r="O57" s="95">
        <f t="shared" si="18"/>
        <v>1104451.5358050684</v>
      </c>
      <c r="P57" s="95">
        <f t="shared" si="18"/>
        <v>1104451.5358050684</v>
      </c>
      <c r="Q57" s="95">
        <f t="shared" si="18"/>
        <v>1104451.5358050684</v>
      </c>
      <c r="R57" s="95">
        <f t="shared" si="18"/>
        <v>1104451.5358050684</v>
      </c>
      <c r="S57" s="95">
        <f t="shared" si="18"/>
        <v>1104451.5358050684</v>
      </c>
      <c r="T57" s="95">
        <f t="shared" si="18"/>
        <v>1104451.5358050684</v>
      </c>
      <c r="U57" s="95">
        <f t="shared" si="18"/>
        <v>1104451.5358050684</v>
      </c>
      <c r="V57" s="95">
        <f t="shared" si="18"/>
        <v>1104451.5358050684</v>
      </c>
      <c r="W57" s="95">
        <f t="shared" si="18"/>
        <v>1104451.5358050684</v>
      </c>
      <c r="X57" s="95">
        <f t="shared" si="18"/>
        <v>1104451.5358050684</v>
      </c>
      <c r="Y57" s="95">
        <f t="shared" si="18"/>
        <v>1104451.5358050684</v>
      </c>
      <c r="Z57" s="95">
        <f t="shared" si="18"/>
        <v>1104451.5358050684</v>
      </c>
      <c r="AA57" s="95">
        <f t="shared" si="18"/>
        <v>1104451.5358050684</v>
      </c>
      <c r="AB57" s="95">
        <f t="shared" si="18"/>
        <v>1104451.5358050684</v>
      </c>
      <c r="AC57" s="95">
        <f t="shared" si="18"/>
        <v>1104451.5358050684</v>
      </c>
      <c r="AD57" s="95">
        <f t="shared" si="18"/>
        <v>1104451.5358050684</v>
      </c>
      <c r="AE57" s="95">
        <f t="shared" si="18"/>
        <v>1104451.5358050684</v>
      </c>
      <c r="AF57" s="95">
        <f t="shared" si="18"/>
        <v>1104451.5358050684</v>
      </c>
      <c r="AG57" s="95">
        <f t="shared" si="18"/>
        <v>1104451.5358050684</v>
      </c>
      <c r="AH57" s="95">
        <f t="shared" si="18"/>
        <v>1104451.5358050684</v>
      </c>
      <c r="AI57" s="95">
        <f t="shared" si="18"/>
        <v>1104451.5358050684</v>
      </c>
      <c r="AJ57" s="95">
        <f t="shared" si="18"/>
        <v>1104451.5358050684</v>
      </c>
      <c r="AK57" s="95">
        <f t="shared" si="18"/>
        <v>1104451.5358050684</v>
      </c>
      <c r="AL57" s="95">
        <f t="shared" si="18"/>
        <v>1104451.5358050684</v>
      </c>
      <c r="AM57" s="95">
        <f t="shared" si="18"/>
        <v>1104451.5358050684</v>
      </c>
      <c r="AN57" s="95">
        <f t="shared" si="18"/>
        <v>1104451.5358050684</v>
      </c>
      <c r="AO57" s="95">
        <f t="shared" si="18"/>
        <v>1104451.5358050684</v>
      </c>
      <c r="AP57" s="95">
        <f t="shared" si="18"/>
        <v>1104451.5358050684</v>
      </c>
      <c r="AQ57" s="95">
        <f t="shared" si="18"/>
        <v>1104451.5358050684</v>
      </c>
      <c r="AR57" s="95">
        <f t="shared" si="18"/>
        <v>1017561.5358050684</v>
      </c>
      <c r="AS57" s="95">
        <f t="shared" si="18"/>
        <v>60314.96</v>
      </c>
      <c r="AT57" s="95"/>
      <c r="AU57" s="97">
        <f t="shared" si="14"/>
        <v>44151486.39220275</v>
      </c>
    </row>
    <row r="58" spans="1:47" x14ac:dyDescent="0.2">
      <c r="A58" s="203">
        <f t="shared" si="11"/>
        <v>28</v>
      </c>
      <c r="B58" s="2" t="s">
        <v>69</v>
      </c>
      <c r="C58" s="2"/>
      <c r="D58" s="112"/>
      <c r="E58" s="38">
        <f>$F22*E62</f>
        <v>1655680.7396249955</v>
      </c>
      <c r="F58" s="95">
        <f t="shared" ref="F58:AS58" si="19">$F22*F62</f>
        <v>3187295.8024940914</v>
      </c>
      <c r="G58" s="95">
        <f t="shared" si="19"/>
        <v>2947994.7462602919</v>
      </c>
      <c r="H58" s="95">
        <f t="shared" si="19"/>
        <v>2727237.3143102927</v>
      </c>
      <c r="I58" s="95">
        <f t="shared" si="19"/>
        <v>2522374.417460693</v>
      </c>
      <c r="J58" s="95">
        <f t="shared" si="19"/>
        <v>2333406.0557114938</v>
      </c>
      <c r="K58" s="95">
        <f t="shared" si="19"/>
        <v>2158124.6547431941</v>
      </c>
      <c r="L58" s="95">
        <f t="shared" si="19"/>
        <v>1996530.2145557948</v>
      </c>
      <c r="M58" s="95">
        <f t="shared" si="19"/>
        <v>1970039.3227217947</v>
      </c>
      <c r="N58" s="95">
        <f t="shared" si="19"/>
        <v>1969597.8078578948</v>
      </c>
      <c r="O58" s="95">
        <f t="shared" si="19"/>
        <v>1970039.3227217947</v>
      </c>
      <c r="P58" s="95">
        <f t="shared" si="19"/>
        <v>1969597.8078578948</v>
      </c>
      <c r="Q58" s="95">
        <f t="shared" si="19"/>
        <v>1970039.3227217947</v>
      </c>
      <c r="R58" s="95">
        <f t="shared" si="19"/>
        <v>1969597.8078578948</v>
      </c>
      <c r="S58" s="95">
        <f t="shared" si="19"/>
        <v>1970039.3227217947</v>
      </c>
      <c r="T58" s="95">
        <f t="shared" si="19"/>
        <v>1969597.8078578948</v>
      </c>
      <c r="U58" s="95">
        <f t="shared" si="19"/>
        <v>1970039.3227217947</v>
      </c>
      <c r="V58" s="95">
        <f t="shared" si="19"/>
        <v>1969597.8078578948</v>
      </c>
      <c r="W58" s="95">
        <f t="shared" si="19"/>
        <v>1970039.3227217947</v>
      </c>
      <c r="X58" s="95">
        <f t="shared" si="19"/>
        <v>1969597.8078578948</v>
      </c>
      <c r="Y58" s="95">
        <f t="shared" si="19"/>
        <v>985019.66136089736</v>
      </c>
      <c r="Z58" s="95">
        <f t="shared" si="19"/>
        <v>0</v>
      </c>
      <c r="AA58" s="95">
        <f t="shared" si="19"/>
        <v>0</v>
      </c>
      <c r="AB58" s="95">
        <f t="shared" si="19"/>
        <v>0</v>
      </c>
      <c r="AC58" s="95">
        <f t="shared" si="19"/>
        <v>0</v>
      </c>
      <c r="AD58" s="95">
        <f t="shared" si="19"/>
        <v>0</v>
      </c>
      <c r="AE58" s="95">
        <f t="shared" si="19"/>
        <v>0</v>
      </c>
      <c r="AF58" s="95">
        <f t="shared" si="19"/>
        <v>0</v>
      </c>
      <c r="AG58" s="95">
        <f t="shared" si="19"/>
        <v>0</v>
      </c>
      <c r="AH58" s="95">
        <f t="shared" si="19"/>
        <v>0</v>
      </c>
      <c r="AI58" s="95">
        <f t="shared" si="19"/>
        <v>0</v>
      </c>
      <c r="AJ58" s="95">
        <f t="shared" si="19"/>
        <v>0</v>
      </c>
      <c r="AK58" s="95">
        <f t="shared" si="19"/>
        <v>0</v>
      </c>
      <c r="AL58" s="95">
        <f t="shared" si="19"/>
        <v>0</v>
      </c>
      <c r="AM58" s="95">
        <f t="shared" si="19"/>
        <v>0</v>
      </c>
      <c r="AN58" s="95">
        <f t="shared" si="19"/>
        <v>0</v>
      </c>
      <c r="AO58" s="95">
        <f t="shared" si="19"/>
        <v>0</v>
      </c>
      <c r="AP58" s="95">
        <f t="shared" si="19"/>
        <v>0</v>
      </c>
      <c r="AQ58" s="95">
        <f t="shared" si="19"/>
        <v>0</v>
      </c>
      <c r="AR58" s="95">
        <f t="shared" si="19"/>
        <v>0</v>
      </c>
      <c r="AS58" s="95">
        <f t="shared" si="19"/>
        <v>0</v>
      </c>
      <c r="AT58" s="95"/>
      <c r="AU58" s="97">
        <f t="shared" si="14"/>
        <v>44151486.389999874</v>
      </c>
    </row>
    <row r="59" spans="1:47" x14ac:dyDescent="0.2">
      <c r="A59" s="203">
        <f t="shared" si="11"/>
        <v>29</v>
      </c>
      <c r="B59" s="2" t="s">
        <v>70</v>
      </c>
      <c r="C59" s="2"/>
      <c r="D59" s="112"/>
      <c r="E59" s="38">
        <f>E58-E57</f>
        <v>551229.20381992706</v>
      </c>
      <c r="F59" s="95">
        <f>F58-F57</f>
        <v>2082844.266689023</v>
      </c>
      <c r="G59" s="95">
        <f>G58-G57</f>
        <v>1843543.2104552235</v>
      </c>
      <c r="H59" s="95">
        <f t="shared" ref="H59:AS59" si="20">H58-H57</f>
        <v>1622785.7785052243</v>
      </c>
      <c r="I59" s="95">
        <f t="shared" si="20"/>
        <v>1417922.8816556246</v>
      </c>
      <c r="J59" s="95">
        <f t="shared" si="20"/>
        <v>1228954.5199064254</v>
      </c>
      <c r="K59" s="95">
        <f t="shared" si="20"/>
        <v>1053673.1189381257</v>
      </c>
      <c r="L59" s="95">
        <f t="shared" si="20"/>
        <v>892078.67875072639</v>
      </c>
      <c r="M59" s="95">
        <f t="shared" si="20"/>
        <v>865587.78691672627</v>
      </c>
      <c r="N59" s="95">
        <f t="shared" si="20"/>
        <v>865146.27205282636</v>
      </c>
      <c r="O59" s="95">
        <f t="shared" si="20"/>
        <v>865587.78691672627</v>
      </c>
      <c r="P59" s="95">
        <f t="shared" si="20"/>
        <v>865146.27205282636</v>
      </c>
      <c r="Q59" s="95">
        <f t="shared" si="20"/>
        <v>865587.78691672627</v>
      </c>
      <c r="R59" s="95">
        <f t="shared" si="20"/>
        <v>865146.27205282636</v>
      </c>
      <c r="S59" s="95">
        <f t="shared" si="20"/>
        <v>865587.78691672627</v>
      </c>
      <c r="T59" s="95">
        <f t="shared" si="20"/>
        <v>865146.27205282636</v>
      </c>
      <c r="U59" s="95">
        <f t="shared" si="20"/>
        <v>865587.78691672627</v>
      </c>
      <c r="V59" s="95">
        <f t="shared" si="20"/>
        <v>865146.27205282636</v>
      </c>
      <c r="W59" s="95">
        <f t="shared" si="20"/>
        <v>865587.78691672627</v>
      </c>
      <c r="X59" s="95">
        <f t="shared" si="20"/>
        <v>865146.27205282636</v>
      </c>
      <c r="Y59" s="95">
        <f t="shared" si="20"/>
        <v>-119431.87444417109</v>
      </c>
      <c r="Z59" s="95">
        <f t="shared" si="20"/>
        <v>-1104451.5358050684</v>
      </c>
      <c r="AA59" s="95">
        <f t="shared" si="20"/>
        <v>-1104451.5358050684</v>
      </c>
      <c r="AB59" s="95">
        <f t="shared" si="20"/>
        <v>-1104451.5358050684</v>
      </c>
      <c r="AC59" s="95">
        <f t="shared" si="20"/>
        <v>-1104451.5358050684</v>
      </c>
      <c r="AD59" s="95">
        <f t="shared" si="20"/>
        <v>-1104451.5358050684</v>
      </c>
      <c r="AE59" s="95">
        <f t="shared" si="20"/>
        <v>-1104451.5358050684</v>
      </c>
      <c r="AF59" s="95">
        <f t="shared" si="20"/>
        <v>-1104451.5358050684</v>
      </c>
      <c r="AG59" s="95">
        <f t="shared" si="20"/>
        <v>-1104451.5358050684</v>
      </c>
      <c r="AH59" s="95">
        <f t="shared" si="20"/>
        <v>-1104451.5358050684</v>
      </c>
      <c r="AI59" s="95">
        <f t="shared" si="20"/>
        <v>-1104451.5358050684</v>
      </c>
      <c r="AJ59" s="95">
        <f t="shared" si="20"/>
        <v>-1104451.5358050684</v>
      </c>
      <c r="AK59" s="95">
        <f t="shared" si="20"/>
        <v>-1104451.5358050684</v>
      </c>
      <c r="AL59" s="95">
        <f t="shared" si="20"/>
        <v>-1104451.5358050684</v>
      </c>
      <c r="AM59" s="95">
        <f t="shared" si="20"/>
        <v>-1104451.5358050684</v>
      </c>
      <c r="AN59" s="95">
        <f t="shared" si="20"/>
        <v>-1104451.5358050684</v>
      </c>
      <c r="AO59" s="95">
        <f t="shared" si="20"/>
        <v>-1104451.5358050684</v>
      </c>
      <c r="AP59" s="95">
        <f t="shared" si="20"/>
        <v>-1104451.5358050684</v>
      </c>
      <c r="AQ59" s="95">
        <f t="shared" si="20"/>
        <v>-1104451.5358050684</v>
      </c>
      <c r="AR59" s="95">
        <f t="shared" si="20"/>
        <v>-1017561.5358050684</v>
      </c>
      <c r="AS59" s="95">
        <f t="shared" si="20"/>
        <v>-60314.96</v>
      </c>
      <c r="AT59" s="95"/>
      <c r="AU59" s="97">
        <f t="shared" si="14"/>
        <v>-2.2028657040209509E-3</v>
      </c>
    </row>
    <row r="60" spans="1:47" x14ac:dyDescent="0.2">
      <c r="A60" s="203">
        <f t="shared" si="11"/>
        <v>30</v>
      </c>
      <c r="B60" s="2" t="s">
        <v>71</v>
      </c>
      <c r="C60" s="2"/>
      <c r="D60" s="112"/>
      <c r="E60" s="38">
        <f>E59*F15</f>
        <v>115758.13280218469</v>
      </c>
      <c r="F60" s="95">
        <f t="shared" ref="F60:AS60" si="21">F59*$F$15</f>
        <v>437397.29600469483</v>
      </c>
      <c r="G60" s="95">
        <f t="shared" si="21"/>
        <v>387144.07419559691</v>
      </c>
      <c r="H60" s="95">
        <f t="shared" si="21"/>
        <v>340785.0134860971</v>
      </c>
      <c r="I60" s="95">
        <f t="shared" si="21"/>
        <v>297763.80514768115</v>
      </c>
      <c r="J60" s="95">
        <f t="shared" si="21"/>
        <v>258080.44918034933</v>
      </c>
      <c r="K60" s="95">
        <f t="shared" si="21"/>
        <v>221271.35497700638</v>
      </c>
      <c r="L60" s="95">
        <f t="shared" si="21"/>
        <v>187336.52253765255</v>
      </c>
      <c r="M60" s="95">
        <f t="shared" si="21"/>
        <v>181773.43525251251</v>
      </c>
      <c r="N60" s="95">
        <f t="shared" si="21"/>
        <v>181680.71713109352</v>
      </c>
      <c r="O60" s="95">
        <f t="shared" si="21"/>
        <v>181773.43525251251</v>
      </c>
      <c r="P60" s="95">
        <f t="shared" si="21"/>
        <v>181680.71713109352</v>
      </c>
      <c r="Q60" s="95">
        <f t="shared" si="21"/>
        <v>181773.43525251251</v>
      </c>
      <c r="R60" s="95">
        <f t="shared" si="21"/>
        <v>181680.71713109352</v>
      </c>
      <c r="S60" s="95">
        <f t="shared" si="21"/>
        <v>181773.43525251251</v>
      </c>
      <c r="T60" s="95">
        <f t="shared" si="21"/>
        <v>181680.71713109352</v>
      </c>
      <c r="U60" s="95">
        <f t="shared" si="21"/>
        <v>181773.43525251251</v>
      </c>
      <c r="V60" s="95">
        <f t="shared" si="21"/>
        <v>181680.71713109352</v>
      </c>
      <c r="W60" s="95">
        <f t="shared" si="21"/>
        <v>181773.43525251251</v>
      </c>
      <c r="X60" s="95">
        <f t="shared" si="21"/>
        <v>181680.71713109352</v>
      </c>
      <c r="Y60" s="95">
        <f t="shared" si="21"/>
        <v>-25080.693633275929</v>
      </c>
      <c r="Z60" s="95">
        <f t="shared" si="21"/>
        <v>-231934.82251906436</v>
      </c>
      <c r="AA60" s="95">
        <f t="shared" si="21"/>
        <v>-231934.82251906436</v>
      </c>
      <c r="AB60" s="95">
        <f t="shared" si="21"/>
        <v>-231934.82251906436</v>
      </c>
      <c r="AC60" s="95">
        <f t="shared" si="21"/>
        <v>-231934.82251906436</v>
      </c>
      <c r="AD60" s="95">
        <f t="shared" si="21"/>
        <v>-231934.82251906436</v>
      </c>
      <c r="AE60" s="95">
        <f t="shared" si="21"/>
        <v>-231934.82251906436</v>
      </c>
      <c r="AF60" s="95">
        <f t="shared" si="21"/>
        <v>-231934.82251906436</v>
      </c>
      <c r="AG60" s="95">
        <f t="shared" si="21"/>
        <v>-231934.82251906436</v>
      </c>
      <c r="AH60" s="95">
        <f t="shared" si="21"/>
        <v>-231934.82251906436</v>
      </c>
      <c r="AI60" s="95">
        <f t="shared" si="21"/>
        <v>-231934.82251906436</v>
      </c>
      <c r="AJ60" s="95">
        <f t="shared" si="21"/>
        <v>-231934.82251906436</v>
      </c>
      <c r="AK60" s="95">
        <f t="shared" si="21"/>
        <v>-231934.82251906436</v>
      </c>
      <c r="AL60" s="95">
        <f t="shared" si="21"/>
        <v>-231934.82251906436</v>
      </c>
      <c r="AM60" s="95">
        <f t="shared" si="21"/>
        <v>-231934.82251906436</v>
      </c>
      <c r="AN60" s="95">
        <f t="shared" si="21"/>
        <v>-231934.82251906436</v>
      </c>
      <c r="AO60" s="95">
        <f t="shared" si="21"/>
        <v>-231934.82251906436</v>
      </c>
      <c r="AP60" s="95">
        <f t="shared" si="21"/>
        <v>-231934.82251906436</v>
      </c>
      <c r="AQ60" s="95">
        <f t="shared" si="21"/>
        <v>-231934.82251906436</v>
      </c>
      <c r="AR60" s="95">
        <f t="shared" si="21"/>
        <v>-213687.92251906436</v>
      </c>
      <c r="AS60" s="95">
        <f t="shared" si="21"/>
        <v>-12666.141599999999</v>
      </c>
      <c r="AT60" s="95"/>
      <c r="AU60" s="97">
        <f t="shared" si="14"/>
        <v>-4.626018890121486E-4</v>
      </c>
    </row>
    <row r="61" spans="1:47" x14ac:dyDescent="0.2">
      <c r="A61" s="203">
        <f t="shared" si="11"/>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7" s="50" customFormat="1" x14ac:dyDescent="0.2">
      <c r="A62" s="203">
        <f t="shared" si="11"/>
        <v>32</v>
      </c>
      <c r="B62" s="2" t="str">
        <f t="shared" ref="B62" si="22">IF($F$18=1,B66,B65)</f>
        <v>MACRS Depreciation - 20</v>
      </c>
      <c r="C62" s="2"/>
      <c r="D62" s="47"/>
      <c r="E62" s="62">
        <f t="shared" ref="E62:Y62" si="23">IF($F$18=1,E66,E65)</f>
        <v>3.7499999999999999E-2</v>
      </c>
      <c r="F62" s="58">
        <f t="shared" si="23"/>
        <v>7.2190000000000004E-2</v>
      </c>
      <c r="G62" s="58">
        <f t="shared" si="23"/>
        <v>6.6769999999999996E-2</v>
      </c>
      <c r="H62" s="61">
        <f t="shared" si="23"/>
        <v>6.1769999999999999E-2</v>
      </c>
      <c r="I62" s="61">
        <f t="shared" si="23"/>
        <v>5.713E-2</v>
      </c>
      <c r="J62" s="61">
        <f t="shared" si="23"/>
        <v>5.2850000000000001E-2</v>
      </c>
      <c r="K62" s="61">
        <f t="shared" si="23"/>
        <v>4.888E-2</v>
      </c>
      <c r="L62" s="61">
        <f t="shared" si="23"/>
        <v>4.5220000000000003E-2</v>
      </c>
      <c r="M62" s="61">
        <f t="shared" si="23"/>
        <v>4.462E-2</v>
      </c>
      <c r="N62" s="61">
        <f t="shared" si="23"/>
        <v>4.4610000000000004E-2</v>
      </c>
      <c r="O62" s="61">
        <f t="shared" si="23"/>
        <v>4.462E-2</v>
      </c>
      <c r="P62" s="61">
        <f t="shared" si="23"/>
        <v>4.4610000000000004E-2</v>
      </c>
      <c r="Q62" s="61">
        <f t="shared" si="23"/>
        <v>4.462E-2</v>
      </c>
      <c r="R62" s="61">
        <f t="shared" si="23"/>
        <v>4.4610000000000004E-2</v>
      </c>
      <c r="S62" s="61">
        <f t="shared" si="23"/>
        <v>4.462E-2</v>
      </c>
      <c r="T62" s="61">
        <f t="shared" si="23"/>
        <v>4.4610000000000004E-2</v>
      </c>
      <c r="U62" s="61">
        <f t="shared" si="23"/>
        <v>4.462E-2</v>
      </c>
      <c r="V62" s="61">
        <f t="shared" si="23"/>
        <v>4.4610000000000004E-2</v>
      </c>
      <c r="W62" s="61">
        <f t="shared" si="23"/>
        <v>4.462E-2</v>
      </c>
      <c r="X62" s="61">
        <f t="shared" si="23"/>
        <v>4.4610000000000004E-2</v>
      </c>
      <c r="Y62" s="61">
        <f t="shared" si="23"/>
        <v>2.231E-2</v>
      </c>
      <c r="Z62" s="48"/>
      <c r="AA62" s="48"/>
      <c r="AB62" s="48"/>
      <c r="AC62" s="48"/>
      <c r="AD62" s="48"/>
      <c r="AE62" s="48"/>
      <c r="AF62" s="48"/>
      <c r="AG62" s="48"/>
      <c r="AH62" s="48"/>
      <c r="AI62" s="48"/>
      <c r="AJ62" s="48"/>
      <c r="AK62" s="48"/>
      <c r="AL62" s="48"/>
      <c r="AM62" s="48"/>
      <c r="AN62" s="48"/>
      <c r="AO62" s="48"/>
      <c r="AP62" s="47"/>
    </row>
    <row r="63" spans="1:47" outlineLevel="1" x14ac:dyDescent="0.25">
      <c r="A63" s="203">
        <f t="shared" si="11"/>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7" outlineLevel="1" x14ac:dyDescent="0.25">
      <c r="A64" s="203">
        <f t="shared" si="11"/>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203">
        <f t="shared" si="11"/>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03">
        <f t="shared" si="11"/>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topLeftCell="A10" zoomScale="85" zoomScaleNormal="85" workbookViewId="0">
      <selection activeCell="J26" sqref="J26"/>
    </sheetView>
  </sheetViews>
  <sheetFormatPr defaultColWidth="9.28515625" defaultRowHeight="15" x14ac:dyDescent="0.25"/>
  <cols>
    <col min="1" max="1" width="3" style="119" bestFit="1" customWidth="1"/>
    <col min="2" max="2" width="24.28515625" style="115" customWidth="1"/>
    <col min="3" max="3" width="19.5703125" style="115" bestFit="1" customWidth="1"/>
    <col min="4" max="4" width="22.140625" style="115" bestFit="1" customWidth="1"/>
    <col min="5" max="5" width="20.7109375" style="115" customWidth="1"/>
    <col min="6" max="6" width="32.28515625" style="115" customWidth="1"/>
    <col min="7" max="7" width="9.28515625" style="115"/>
    <col min="8" max="8" width="9.28515625" style="119"/>
    <col min="9" max="10" width="12.5703125" style="119" bestFit="1" customWidth="1"/>
    <col min="11" max="11" width="12.42578125" style="119" bestFit="1" customWidth="1"/>
    <col min="12" max="16384" width="9.28515625" style="119"/>
  </cols>
  <sheetData>
    <row r="2" spans="1:12" ht="15.75" x14ac:dyDescent="0.25">
      <c r="B2" s="87" t="s">
        <v>237</v>
      </c>
      <c r="C2" s="87"/>
      <c r="D2" s="87"/>
      <c r="E2" s="87"/>
      <c r="F2" s="87"/>
    </row>
    <row r="3" spans="1:12" ht="15.75" x14ac:dyDescent="0.25">
      <c r="B3" s="87"/>
      <c r="C3" s="87"/>
      <c r="D3" s="228" t="s">
        <v>238</v>
      </c>
      <c r="E3" s="228" t="s">
        <v>238</v>
      </c>
      <c r="F3" s="87"/>
    </row>
    <row r="4" spans="1:12" ht="15.75" x14ac:dyDescent="0.25">
      <c r="B4" s="87"/>
      <c r="C4" s="87"/>
      <c r="D4" s="229" t="s">
        <v>239</v>
      </c>
      <c r="E4" s="358" t="s">
        <v>240</v>
      </c>
      <c r="F4" s="358"/>
    </row>
    <row r="5" spans="1:12" s="115" customFormat="1" ht="16.5" thickBot="1" x14ac:dyDescent="0.3">
      <c r="B5" s="2" t="s">
        <v>124</v>
      </c>
      <c r="C5" s="87"/>
      <c r="D5" s="227">
        <v>4995822.3071807576</v>
      </c>
      <c r="E5" s="227">
        <v>5108313.9199999981</v>
      </c>
      <c r="F5" s="227">
        <v>117847.42473098972</v>
      </c>
      <c r="G5" s="55"/>
      <c r="I5" s="120"/>
    </row>
    <row r="6" spans="1:12" ht="16.5" thickBot="1" x14ac:dyDescent="0.3">
      <c r="A6" s="115"/>
      <c r="B6" s="2" t="s">
        <v>179</v>
      </c>
      <c r="C6" s="87"/>
      <c r="D6" s="227">
        <f>D27</f>
        <v>5075566.3630553354</v>
      </c>
      <c r="E6" s="227">
        <f>E27</f>
        <v>5080857.0252605006</v>
      </c>
      <c r="F6" s="227">
        <f>E6-D6</f>
        <v>5290.6622051652521</v>
      </c>
      <c r="I6" s="359"/>
      <c r="J6" s="205"/>
    </row>
    <row r="7" spans="1:12" ht="16.5" thickBot="1" x14ac:dyDescent="0.3">
      <c r="B7" s="361" t="s">
        <v>186</v>
      </c>
      <c r="C7" s="362"/>
      <c r="D7" s="227"/>
      <c r="E7" s="227"/>
      <c r="F7" s="227">
        <f>SUM(F5:F6)</f>
        <v>123138.08693615497</v>
      </c>
      <c r="I7" s="360"/>
      <c r="J7" s="205"/>
    </row>
    <row r="8" spans="1:12" ht="15.75" x14ac:dyDescent="0.25">
      <c r="B8" s="87"/>
      <c r="C8" s="87"/>
      <c r="F8" s="87"/>
    </row>
    <row r="9" spans="1:12" ht="15.75" thickBot="1" x14ac:dyDescent="0.3">
      <c r="A9" s="200"/>
      <c r="B9" s="13"/>
      <c r="C9" s="13"/>
      <c r="D9" s="201"/>
      <c r="E9" s="201"/>
      <c r="F9" s="201"/>
      <c r="I9"/>
      <c r="J9"/>
      <c r="K9"/>
      <c r="L9"/>
    </row>
    <row r="10" spans="1:12" ht="15.75" thickBot="1" x14ac:dyDescent="0.3">
      <c r="A10" s="200"/>
      <c r="B10" s="202" t="s">
        <v>17</v>
      </c>
      <c r="C10" s="230"/>
      <c r="D10" s="231">
        <f>'2021 CRM '!F22</f>
        <v>44118513.764677308</v>
      </c>
      <c r="E10" s="231">
        <f>'2021 + true up CAP'!F22</f>
        <v>44151486.389999881</v>
      </c>
      <c r="F10" s="231">
        <f>E10-D10</f>
        <v>32972.625322572887</v>
      </c>
      <c r="I10"/>
      <c r="J10"/>
      <c r="K10"/>
      <c r="L10"/>
    </row>
    <row r="11" spans="1:12" x14ac:dyDescent="0.25">
      <c r="A11" s="89"/>
      <c r="B11" s="2"/>
      <c r="C11" s="2"/>
      <c r="D11" s="90"/>
      <c r="I11"/>
      <c r="J11"/>
      <c r="K11"/>
      <c r="L11"/>
    </row>
    <row r="12" spans="1:12" x14ac:dyDescent="0.25">
      <c r="A12" s="91">
        <v>1</v>
      </c>
      <c r="B12" s="2" t="s">
        <v>53</v>
      </c>
      <c r="C12" s="2"/>
      <c r="D12" s="95">
        <v>1102148.2430587558</v>
      </c>
      <c r="E12" s="120">
        <f>'2021 + true up CAP'!E27</f>
        <v>1104451.5358050684</v>
      </c>
      <c r="F12" s="120">
        <f>E12-D12</f>
        <v>2303.2927463126834</v>
      </c>
      <c r="G12" s="363"/>
      <c r="H12" s="157"/>
      <c r="I12"/>
      <c r="J12"/>
      <c r="K12"/>
      <c r="L12"/>
    </row>
    <row r="13" spans="1:12" x14ac:dyDescent="0.25">
      <c r="A13" s="89"/>
      <c r="B13" s="2"/>
      <c r="C13" s="2"/>
      <c r="D13" s="232"/>
      <c r="I13"/>
      <c r="J13"/>
      <c r="K13"/>
      <c r="L13"/>
    </row>
    <row r="14" spans="1:12" x14ac:dyDescent="0.25">
      <c r="A14" s="91">
        <f>A12+1</f>
        <v>2</v>
      </c>
      <c r="B14" s="2" t="s">
        <v>54</v>
      </c>
      <c r="C14" s="2"/>
      <c r="D14" s="95">
        <v>527400.60685754579</v>
      </c>
      <c r="E14" s="120">
        <f>'2021 + true up CAP'!E29</f>
        <v>527787.68326246506</v>
      </c>
      <c r="F14" s="120">
        <f>E14-D14</f>
        <v>387.07640491926577</v>
      </c>
      <c r="I14"/>
      <c r="J14"/>
      <c r="K14"/>
      <c r="L14"/>
    </row>
    <row r="15" spans="1:12" x14ac:dyDescent="0.25">
      <c r="A15" s="89"/>
      <c r="B15" s="2"/>
      <c r="C15" s="2"/>
      <c r="D15" s="232"/>
      <c r="I15"/>
      <c r="J15"/>
      <c r="K15"/>
      <c r="L15"/>
    </row>
    <row r="16" spans="1:12" x14ac:dyDescent="0.25">
      <c r="A16" s="89"/>
      <c r="B16" s="2" t="s">
        <v>55</v>
      </c>
      <c r="C16" s="2"/>
      <c r="D16" s="232"/>
      <c r="I16"/>
      <c r="J16"/>
      <c r="K16"/>
      <c r="L16"/>
    </row>
    <row r="17" spans="1:12" x14ac:dyDescent="0.25">
      <c r="A17" s="91">
        <f>A14+1</f>
        <v>3</v>
      </c>
      <c r="B17" s="2"/>
      <c r="C17" s="2" t="s">
        <v>56</v>
      </c>
      <c r="D17" s="92">
        <v>0</v>
      </c>
      <c r="E17" s="120">
        <v>0</v>
      </c>
      <c r="F17" s="233">
        <f t="shared" ref="F17:F20" si="0">E17-D17</f>
        <v>0</v>
      </c>
      <c r="I17"/>
      <c r="J17"/>
      <c r="K17"/>
      <c r="L17"/>
    </row>
    <row r="18" spans="1:12" x14ac:dyDescent="0.25">
      <c r="A18" s="91">
        <f>A17+1</f>
        <v>4</v>
      </c>
      <c r="B18" s="2"/>
      <c r="C18" s="2" t="s">
        <v>57</v>
      </c>
      <c r="D18" s="92">
        <v>1231317.3942683951</v>
      </c>
      <c r="E18" s="120">
        <f>'2021 + true up CAP'!E33</f>
        <v>1232221.0980262039</v>
      </c>
      <c r="F18" s="233">
        <f t="shared" si="0"/>
        <v>903.70375780877657</v>
      </c>
      <c r="I18"/>
      <c r="J18"/>
      <c r="K18"/>
      <c r="L18"/>
    </row>
    <row r="19" spans="1:12" x14ac:dyDescent="0.25">
      <c r="A19" s="91">
        <f>A18+1</f>
        <v>5</v>
      </c>
      <c r="B19" s="2"/>
      <c r="C19" s="2" t="s">
        <v>9</v>
      </c>
      <c r="D19" s="93">
        <v>1984030.8543688632</v>
      </c>
      <c r="E19" s="234">
        <f>'2021 + true up CAP'!E34</f>
        <v>1985486.9989397493</v>
      </c>
      <c r="F19" s="234">
        <f t="shared" si="0"/>
        <v>1456.1445708861575</v>
      </c>
      <c r="I19"/>
      <c r="J19"/>
      <c r="K19"/>
      <c r="L19"/>
    </row>
    <row r="20" spans="1:12" x14ac:dyDescent="0.25">
      <c r="A20" s="91">
        <f>A19+1</f>
        <v>6</v>
      </c>
      <c r="B20" s="2"/>
      <c r="C20" s="2" t="s">
        <v>58</v>
      </c>
      <c r="D20" s="95">
        <f>SUM(D17:D19)</f>
        <v>3215348.2486372581</v>
      </c>
      <c r="E20" s="120">
        <f>SUM(E17:E19)</f>
        <v>3217708.0969659532</v>
      </c>
      <c r="F20" s="120">
        <f t="shared" si="0"/>
        <v>2359.8483286951669</v>
      </c>
      <c r="I20"/>
      <c r="J20"/>
      <c r="K20"/>
      <c r="L20"/>
    </row>
    <row r="21" spans="1:12" x14ac:dyDescent="0.25">
      <c r="A21" s="89"/>
      <c r="B21" s="2"/>
      <c r="C21" s="2"/>
      <c r="D21" s="232"/>
      <c r="I21"/>
      <c r="J21"/>
      <c r="K21"/>
      <c r="L21"/>
    </row>
    <row r="22" spans="1:12" x14ac:dyDescent="0.25">
      <c r="A22" s="91">
        <f>A20+1</f>
        <v>7</v>
      </c>
      <c r="B22" s="2" t="s">
        <v>59</v>
      </c>
      <c r="C22" s="2"/>
      <c r="D22" s="92">
        <v>4844897.0985535597</v>
      </c>
      <c r="E22" s="120">
        <f>'2021 + true up CAP'!E37</f>
        <v>4849947.3160334863</v>
      </c>
      <c r="F22" s="120">
        <f>E22-D22</f>
        <v>5050.217479926534</v>
      </c>
      <c r="I22"/>
      <c r="J22"/>
      <c r="K22"/>
      <c r="L22"/>
    </row>
    <row r="23" spans="1:12" x14ac:dyDescent="0.25">
      <c r="A23" s="91">
        <f>A22+1</f>
        <v>8</v>
      </c>
      <c r="B23" s="2" t="s">
        <v>60</v>
      </c>
      <c r="C23" s="2"/>
      <c r="D23" s="93">
        <v>230669.26450177561</v>
      </c>
      <c r="E23" s="234">
        <f>'2021 + true up CAP'!E38</f>
        <v>230909.70922701433</v>
      </c>
      <c r="F23" s="234">
        <f>E23-D23</f>
        <v>240.44472523871809</v>
      </c>
      <c r="I23"/>
      <c r="J23"/>
      <c r="K23"/>
      <c r="L23"/>
    </row>
    <row r="24" spans="1:12" x14ac:dyDescent="0.25">
      <c r="A24" s="91">
        <f>A23+1</f>
        <v>9</v>
      </c>
      <c r="B24" s="2"/>
      <c r="C24" s="2" t="s">
        <v>61</v>
      </c>
      <c r="D24" s="92">
        <f>SUM(D22:D23)</f>
        <v>5075566.3630553354</v>
      </c>
      <c r="E24" s="120">
        <f>SUM(E22:E23)</f>
        <v>5080857.0252605006</v>
      </c>
      <c r="F24" s="120">
        <f t="shared" ref="F24" si="1">E24-D24</f>
        <v>5290.6622051652521</v>
      </c>
      <c r="I24"/>
      <c r="J24"/>
      <c r="K24"/>
      <c r="L24"/>
    </row>
    <row r="25" spans="1:12" x14ac:dyDescent="0.25">
      <c r="A25" s="91">
        <f t="shared" ref="A25:A47" si="2">A24+1</f>
        <v>10</v>
      </c>
      <c r="B25" s="2"/>
      <c r="C25" s="2"/>
      <c r="D25" s="235"/>
      <c r="I25"/>
      <c r="J25"/>
      <c r="K25"/>
      <c r="L25"/>
    </row>
    <row r="26" spans="1:12" x14ac:dyDescent="0.25">
      <c r="A26" s="91">
        <f t="shared" si="2"/>
        <v>11</v>
      </c>
      <c r="B26" s="2"/>
      <c r="C26" s="2"/>
      <c r="D26" s="232"/>
      <c r="I26"/>
      <c r="J26"/>
      <c r="K26"/>
      <c r="L26"/>
    </row>
    <row r="27" spans="1:12" s="115" customFormat="1" x14ac:dyDescent="0.25">
      <c r="A27" s="298">
        <f t="shared" si="2"/>
        <v>12</v>
      </c>
      <c r="B27" s="2" t="s">
        <v>140</v>
      </c>
      <c r="C27" s="2"/>
      <c r="D27" s="93">
        <f>D24</f>
        <v>5075566.3630553354</v>
      </c>
      <c r="E27" s="234">
        <f>+E24</f>
        <v>5080857.0252605006</v>
      </c>
      <c r="F27" s="234">
        <f>E27-D27</f>
        <v>5290.6622051652521</v>
      </c>
      <c r="G27" s="55"/>
      <c r="I27" s="179"/>
      <c r="J27" s="179"/>
      <c r="K27" s="179"/>
      <c r="L27" s="179"/>
    </row>
    <row r="28" spans="1:12" ht="15.75" thickBot="1" x14ac:dyDescent="0.3">
      <c r="A28" s="91">
        <f t="shared" si="2"/>
        <v>13</v>
      </c>
      <c r="B28" s="127" t="s">
        <v>85</v>
      </c>
      <c r="C28" s="127"/>
      <c r="D28" s="236"/>
      <c r="E28" s="237">
        <f>+E27-D27</f>
        <v>5290.6622051652521</v>
      </c>
      <c r="F28" s="237"/>
      <c r="I28"/>
      <c r="J28"/>
      <c r="K28"/>
      <c r="L28"/>
    </row>
    <row r="29" spans="1:12" ht="15.75" thickTop="1" x14ac:dyDescent="0.25">
      <c r="A29" s="91">
        <f t="shared" si="2"/>
        <v>14</v>
      </c>
      <c r="B29" s="2"/>
      <c r="C29" s="2"/>
      <c r="D29" s="112"/>
      <c r="I29"/>
      <c r="J29"/>
      <c r="K29"/>
      <c r="L29"/>
    </row>
    <row r="30" spans="1:12" x14ac:dyDescent="0.25">
      <c r="A30" s="91">
        <f t="shared" si="2"/>
        <v>15</v>
      </c>
      <c r="B30" s="2" t="s">
        <v>63</v>
      </c>
      <c r="C30" s="112"/>
      <c r="D30" s="94">
        <v>0.11504391082001941</v>
      </c>
      <c r="E30" s="121">
        <f>'2021 + true up CAP'!E45</f>
        <v>0.11507782502224642</v>
      </c>
      <c r="F30" s="121">
        <f>E30-D30</f>
        <v>3.3914202227008916E-5</v>
      </c>
      <c r="I30"/>
      <c r="J30"/>
      <c r="K30"/>
      <c r="L30"/>
    </row>
    <row r="31" spans="1:12" x14ac:dyDescent="0.25">
      <c r="A31" s="91">
        <f t="shared" si="2"/>
        <v>16</v>
      </c>
      <c r="B31" s="2"/>
      <c r="C31" s="2"/>
      <c r="D31" s="488"/>
      <c r="I31"/>
      <c r="J31"/>
      <c r="K31"/>
      <c r="L31"/>
    </row>
    <row r="32" spans="1:12" x14ac:dyDescent="0.25">
      <c r="A32" s="91">
        <f t="shared" si="2"/>
        <v>17</v>
      </c>
      <c r="B32" s="2" t="s">
        <v>120</v>
      </c>
      <c r="C32" s="2"/>
      <c r="D32" s="94">
        <v>4.5447000000000001E-2</v>
      </c>
      <c r="E32" s="94">
        <f>'2021 + true up CAP'!F16</f>
        <v>4.5447000000000001E-2</v>
      </c>
      <c r="F32" s="120"/>
      <c r="I32"/>
      <c r="J32"/>
      <c r="K32"/>
      <c r="L32"/>
    </row>
    <row r="33" spans="1:12" x14ac:dyDescent="0.25">
      <c r="A33" s="91">
        <f t="shared" si="2"/>
        <v>18</v>
      </c>
      <c r="B33" s="2"/>
      <c r="C33" s="2"/>
      <c r="D33" s="238"/>
      <c r="E33" s="234"/>
      <c r="F33" s="234"/>
      <c r="I33"/>
      <c r="J33"/>
      <c r="K33"/>
      <c r="L33"/>
    </row>
    <row r="34" spans="1:12" x14ac:dyDescent="0.25">
      <c r="A34" s="91">
        <f t="shared" si="2"/>
        <v>19</v>
      </c>
      <c r="B34" s="46" t="s">
        <v>64</v>
      </c>
      <c r="C34" s="2"/>
      <c r="D34" s="92">
        <f>'2021 CRM '!E49</f>
        <v>43505273.43760021</v>
      </c>
      <c r="E34" s="120">
        <f>'2021 + true up CAP'!E49</f>
        <v>43541381.555696256</v>
      </c>
      <c r="F34" s="120">
        <f>E34-D34</f>
        <v>36108.11809604615</v>
      </c>
      <c r="I34"/>
      <c r="J34"/>
      <c r="K34"/>
      <c r="L34"/>
    </row>
    <row r="35" spans="1:12" x14ac:dyDescent="0.25">
      <c r="A35" s="91">
        <f t="shared" si="2"/>
        <v>20</v>
      </c>
      <c r="B35" s="2"/>
      <c r="C35" s="2"/>
      <c r="D35" s="95"/>
      <c r="I35"/>
      <c r="J35"/>
      <c r="K35"/>
      <c r="L35"/>
    </row>
    <row r="36" spans="1:12" x14ac:dyDescent="0.25">
      <c r="A36" s="91">
        <f t="shared" si="2"/>
        <v>21</v>
      </c>
      <c r="B36" s="2"/>
      <c r="C36" s="2"/>
      <c r="D36" s="95"/>
      <c r="I36"/>
      <c r="J36"/>
      <c r="K36"/>
      <c r="L36"/>
    </row>
    <row r="37" spans="1:12" x14ac:dyDescent="0.25">
      <c r="A37" s="91">
        <f t="shared" si="2"/>
        <v>22</v>
      </c>
      <c r="B37" s="2" t="s">
        <v>65</v>
      </c>
      <c r="C37" s="2"/>
      <c r="D37" s="95">
        <v>2511431.4612264088</v>
      </c>
      <c r="E37" s="120">
        <f>'2021 + true up CAP'!E52</f>
        <v>2513274.6822022144</v>
      </c>
      <c r="F37" s="120">
        <f>E37-D37</f>
        <v>1843.2209758055396</v>
      </c>
      <c r="I37"/>
      <c r="J37"/>
      <c r="K37"/>
      <c r="L37"/>
    </row>
    <row r="38" spans="1:12" x14ac:dyDescent="0.25">
      <c r="A38" s="91">
        <f t="shared" si="2"/>
        <v>23</v>
      </c>
      <c r="B38" s="2" t="s">
        <v>66</v>
      </c>
      <c r="C38" s="2"/>
      <c r="D38" s="93">
        <v>527400.60685754579</v>
      </c>
      <c r="E38" s="234">
        <f>'2021 + true up CAP'!E53</f>
        <v>527787.68326246506</v>
      </c>
      <c r="F38" s="234">
        <f>E38-D38</f>
        <v>387.07640491926577</v>
      </c>
      <c r="I38"/>
      <c r="J38"/>
      <c r="K38"/>
      <c r="L38"/>
    </row>
    <row r="39" spans="1:12" x14ac:dyDescent="0.25">
      <c r="A39" s="91">
        <f t="shared" si="2"/>
        <v>24</v>
      </c>
      <c r="B39" s="2" t="s">
        <v>67</v>
      </c>
      <c r="C39" s="2"/>
      <c r="D39" s="120">
        <f>D37-D38</f>
        <v>1984030.8543688632</v>
      </c>
      <c r="E39" s="120">
        <f>E37-E38</f>
        <v>1985486.9989397493</v>
      </c>
      <c r="F39" s="120">
        <f>E39-D39</f>
        <v>1456.1445708861575</v>
      </c>
      <c r="I39"/>
      <c r="J39"/>
      <c r="K39"/>
      <c r="L39"/>
    </row>
    <row r="40" spans="1:12" x14ac:dyDescent="0.25">
      <c r="A40" s="91">
        <f t="shared" si="2"/>
        <v>25</v>
      </c>
      <c r="B40" s="2"/>
      <c r="C40" s="2"/>
      <c r="D40" s="113"/>
      <c r="I40"/>
      <c r="J40"/>
      <c r="K40"/>
      <c r="L40"/>
    </row>
    <row r="41" spans="1:12" x14ac:dyDescent="0.25">
      <c r="A41" s="91">
        <f t="shared" si="2"/>
        <v>26</v>
      </c>
      <c r="B41" s="2"/>
      <c r="C41" s="2"/>
      <c r="D41" s="113"/>
      <c r="I41"/>
      <c r="J41"/>
      <c r="K41"/>
      <c r="L41"/>
    </row>
    <row r="42" spans="1:12" x14ac:dyDescent="0.25">
      <c r="A42" s="91">
        <f t="shared" si="2"/>
        <v>27</v>
      </c>
      <c r="B42" s="2" t="s">
        <v>68</v>
      </c>
      <c r="C42" s="2"/>
      <c r="D42" s="95">
        <v>1102148.2430587558</v>
      </c>
      <c r="E42" s="120">
        <f>'2021 + true up CAP'!E57</f>
        <v>1104451.5358050684</v>
      </c>
      <c r="F42" s="120">
        <f t="shared" ref="F42:F45" si="3">E42-D42</f>
        <v>2303.2927463126834</v>
      </c>
      <c r="I42"/>
      <c r="J42"/>
      <c r="K42"/>
      <c r="L42"/>
    </row>
    <row r="43" spans="1:12" x14ac:dyDescent="0.25">
      <c r="A43" s="91">
        <f t="shared" si="2"/>
        <v>28</v>
      </c>
      <c r="B43" s="2" t="s">
        <v>69</v>
      </c>
      <c r="C43" s="2"/>
      <c r="D43" s="95">
        <v>1654444.2661753991</v>
      </c>
      <c r="E43" s="120">
        <f>'2021 + true up CAP'!E58</f>
        <v>1655680.7396249955</v>
      </c>
      <c r="F43" s="120">
        <f t="shared" si="3"/>
        <v>1236.4734495964367</v>
      </c>
      <c r="I43"/>
      <c r="J43"/>
      <c r="K43"/>
      <c r="L43"/>
    </row>
    <row r="44" spans="1:12" x14ac:dyDescent="0.25">
      <c r="A44" s="91">
        <f t="shared" si="2"/>
        <v>29</v>
      </c>
      <c r="B44" s="2" t="s">
        <v>70</v>
      </c>
      <c r="C44" s="2"/>
      <c r="D44" s="95">
        <v>552296.02311664331</v>
      </c>
      <c r="E44" s="120">
        <f>'2021 + true up CAP'!E59</f>
        <v>551229.20381992706</v>
      </c>
      <c r="F44" s="120">
        <f t="shared" si="3"/>
        <v>-1066.8192967162468</v>
      </c>
      <c r="I44"/>
      <c r="J44"/>
      <c r="K44"/>
      <c r="L44"/>
    </row>
    <row r="45" spans="1:12" x14ac:dyDescent="0.25">
      <c r="A45" s="91">
        <f t="shared" si="2"/>
        <v>30</v>
      </c>
      <c r="B45" s="2" t="s">
        <v>71</v>
      </c>
      <c r="C45" s="2"/>
      <c r="D45" s="95">
        <v>115982.16485449509</v>
      </c>
      <c r="E45" s="120">
        <f>'2021 + true up CAP'!E60</f>
        <v>115758.13280218469</v>
      </c>
      <c r="F45" s="120">
        <f t="shared" si="3"/>
        <v>-224.03205231040192</v>
      </c>
      <c r="I45"/>
      <c r="J45"/>
      <c r="K45"/>
      <c r="L45"/>
    </row>
    <row r="46" spans="1:12" x14ac:dyDescent="0.25">
      <c r="A46" s="91">
        <f t="shared" si="2"/>
        <v>31</v>
      </c>
      <c r="B46" s="2"/>
      <c r="C46" s="2"/>
      <c r="D46" s="96"/>
      <c r="I46"/>
      <c r="J46"/>
      <c r="K46"/>
      <c r="L46"/>
    </row>
    <row r="47" spans="1:12" x14ac:dyDescent="0.25">
      <c r="A47" s="91">
        <f t="shared" si="2"/>
        <v>32</v>
      </c>
      <c r="B47" s="2" t="s">
        <v>72</v>
      </c>
      <c r="C47" s="2"/>
      <c r="D47" s="489">
        <v>0.51875000000000004</v>
      </c>
      <c r="E47" s="239">
        <f>'2021 + true up CAP'!E66</f>
        <v>0.51875000000000004</v>
      </c>
      <c r="F47" s="239">
        <f>E47-D47</f>
        <v>0</v>
      </c>
      <c r="I47"/>
      <c r="J47"/>
      <c r="K47"/>
      <c r="L47"/>
    </row>
    <row r="48" spans="1:12" x14ac:dyDescent="0.25">
      <c r="I48"/>
      <c r="J48"/>
      <c r="K48"/>
      <c r="L48"/>
    </row>
  </sheetData>
  <pageMargins left="0.45" right="0.45" top="0.75" bottom="0.75" header="0.3" footer="0.3"/>
  <pageSetup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AD66" activePane="bottomRight" state="frozen"/>
      <selection activeCell="M34" sqref="M34"/>
      <selection pane="topRight" activeCell="M34" sqref="M34"/>
      <selection pane="bottomLeft" activeCell="M34" sqref="M34"/>
      <selection pane="bottomRight" activeCell="K11" sqref="K11"/>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20.28515625" style="56"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6.5703125" style="3" customWidth="1"/>
    <col min="47" max="47" width="15" style="3" bestFit="1" customWidth="1"/>
    <col min="48" max="48" width="11.28515625" style="3" bestFit="1" customWidth="1"/>
    <col min="49" max="16384" width="10.28515625" style="3"/>
  </cols>
  <sheetData>
    <row r="1" spans="1:41" ht="17.25" customHeight="1" x14ac:dyDescent="0.25">
      <c r="A1" s="1" t="s">
        <v>0</v>
      </c>
      <c r="B1" s="2"/>
      <c r="C1" s="2"/>
      <c r="E1" s="497"/>
      <c r="F1" s="497"/>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356" t="s">
        <v>176</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3"/>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3"/>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3"/>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3"/>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3"/>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3"/>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3"/>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3"/>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3"/>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3"/>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3"/>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'2022 C&amp;OM'!G7</f>
        <v>2.52211164896535E-2</v>
      </c>
      <c r="G17" s="3"/>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3"/>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3"/>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3"/>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5.75" thickBot="1" x14ac:dyDescent="0.25">
      <c r="A21" s="12" t="s">
        <v>16</v>
      </c>
      <c r="B21" s="13"/>
      <c r="C21" s="13"/>
      <c r="D21" s="14"/>
      <c r="E21" s="14"/>
      <c r="F21" s="1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353">
        <v>44118513.764677308</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14.25"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2021</v>
      </c>
      <c r="F26" s="82">
        <v>2022</v>
      </c>
      <c r="G26" s="82">
        <v>2023</v>
      </c>
      <c r="H26" s="82">
        <v>2024</v>
      </c>
      <c r="I26" s="82">
        <v>2025</v>
      </c>
      <c r="J26" s="82">
        <v>2026</v>
      </c>
      <c r="K26" s="82">
        <v>2027</v>
      </c>
      <c r="L26" s="82">
        <v>2028</v>
      </c>
      <c r="M26" s="82">
        <v>2029</v>
      </c>
      <c r="N26" s="82">
        <v>2030</v>
      </c>
      <c r="O26" s="82">
        <v>2031</v>
      </c>
      <c r="P26" s="82">
        <v>2032</v>
      </c>
      <c r="Q26" s="82">
        <v>2033</v>
      </c>
      <c r="R26" s="82">
        <v>2034</v>
      </c>
      <c r="S26" s="82">
        <v>2035</v>
      </c>
      <c r="T26" s="82">
        <v>2036</v>
      </c>
      <c r="U26" s="82">
        <v>2037</v>
      </c>
      <c r="V26" s="82">
        <v>2038</v>
      </c>
      <c r="W26" s="82">
        <v>2039</v>
      </c>
      <c r="X26" s="82">
        <v>2040</v>
      </c>
      <c r="Y26" s="82">
        <v>2041</v>
      </c>
      <c r="Z26" s="82">
        <v>2042</v>
      </c>
      <c r="AA26" s="82">
        <v>2043</v>
      </c>
      <c r="AB26" s="82">
        <v>2044</v>
      </c>
      <c r="AC26" s="82">
        <v>2045</v>
      </c>
      <c r="AD26" s="82">
        <v>2046</v>
      </c>
      <c r="AE26" s="82">
        <v>2047</v>
      </c>
      <c r="AF26" s="82">
        <v>2048</v>
      </c>
      <c r="AG26" s="82">
        <v>2049</v>
      </c>
      <c r="AH26" s="82">
        <v>2050</v>
      </c>
      <c r="AI26" s="82">
        <v>2051</v>
      </c>
      <c r="AJ26" s="82">
        <v>2052</v>
      </c>
      <c r="AK26" s="82">
        <v>2053</v>
      </c>
      <c r="AL26" s="82">
        <v>2054</v>
      </c>
      <c r="AM26" s="82">
        <v>2055</v>
      </c>
      <c r="AN26" s="82">
        <v>2056</v>
      </c>
      <c r="AO26" s="82">
        <v>2057</v>
      </c>
      <c r="AP26" s="82">
        <v>2058</v>
      </c>
      <c r="AQ26" s="82">
        <v>2059</v>
      </c>
      <c r="AR26" s="82">
        <v>2060</v>
      </c>
      <c r="AS26" s="82">
        <v>2061</v>
      </c>
    </row>
    <row r="27" spans="1:48" x14ac:dyDescent="0.2">
      <c r="A27" s="356">
        <v>1</v>
      </c>
      <c r="B27" s="2" t="s">
        <v>123</v>
      </c>
      <c r="C27" s="2"/>
      <c r="D27" s="112"/>
      <c r="E27" s="38">
        <f>$F22*$F17</f>
        <v>1112718.1750093077</v>
      </c>
      <c r="F27" s="95">
        <f>$F22*$F17</f>
        <v>1112718.1750093077</v>
      </c>
      <c r="G27" s="95">
        <f>$F22*$F17</f>
        <v>1112718.1750093077</v>
      </c>
      <c r="H27" s="95">
        <f t="shared" ref="H27:AQ27" si="0">$F22*$F17</f>
        <v>1112718.1750093077</v>
      </c>
      <c r="I27" s="95">
        <f t="shared" si="0"/>
        <v>1112718.1750093077</v>
      </c>
      <c r="J27" s="95">
        <f t="shared" si="0"/>
        <v>1112718.1750093077</v>
      </c>
      <c r="K27" s="95">
        <f t="shared" si="0"/>
        <v>1112718.1750093077</v>
      </c>
      <c r="L27" s="95">
        <f t="shared" si="0"/>
        <v>1112718.1750093077</v>
      </c>
      <c r="M27" s="95">
        <f t="shared" si="0"/>
        <v>1112718.1750093077</v>
      </c>
      <c r="N27" s="95">
        <f t="shared" si="0"/>
        <v>1112718.1750093077</v>
      </c>
      <c r="O27" s="95">
        <f t="shared" si="0"/>
        <v>1112718.1750093077</v>
      </c>
      <c r="P27" s="95">
        <f t="shared" si="0"/>
        <v>1112718.1750093077</v>
      </c>
      <c r="Q27" s="95">
        <f t="shared" si="0"/>
        <v>1112718.1750093077</v>
      </c>
      <c r="R27" s="95">
        <f t="shared" si="0"/>
        <v>1112718.1750093077</v>
      </c>
      <c r="S27" s="95">
        <f t="shared" si="0"/>
        <v>1112718.1750093077</v>
      </c>
      <c r="T27" s="95">
        <f t="shared" si="0"/>
        <v>1112718.1750093077</v>
      </c>
      <c r="U27" s="95">
        <f t="shared" si="0"/>
        <v>1112718.1750093077</v>
      </c>
      <c r="V27" s="95">
        <f t="shared" si="0"/>
        <v>1112718.1750093077</v>
      </c>
      <c r="W27" s="95">
        <f t="shared" si="0"/>
        <v>1112718.1750093077</v>
      </c>
      <c r="X27" s="95">
        <f t="shared" si="0"/>
        <v>1112718.1750093077</v>
      </c>
      <c r="Y27" s="95">
        <f t="shared" si="0"/>
        <v>1112718.1750093077</v>
      </c>
      <c r="Z27" s="95">
        <f t="shared" si="0"/>
        <v>1112718.1750093077</v>
      </c>
      <c r="AA27" s="95">
        <f t="shared" si="0"/>
        <v>1112718.1750093077</v>
      </c>
      <c r="AB27" s="95">
        <f t="shared" si="0"/>
        <v>1112718.1750093077</v>
      </c>
      <c r="AC27" s="95">
        <f t="shared" si="0"/>
        <v>1112718.1750093077</v>
      </c>
      <c r="AD27" s="95">
        <f t="shared" si="0"/>
        <v>1112718.1750093077</v>
      </c>
      <c r="AE27" s="95">
        <f t="shared" si="0"/>
        <v>1112718.1750093077</v>
      </c>
      <c r="AF27" s="95">
        <f t="shared" si="0"/>
        <v>1112718.1750093077</v>
      </c>
      <c r="AG27" s="95">
        <f t="shared" si="0"/>
        <v>1112718.1750093077</v>
      </c>
      <c r="AH27" s="95">
        <f t="shared" si="0"/>
        <v>1112718.1750093077</v>
      </c>
      <c r="AI27" s="95">
        <f t="shared" si="0"/>
        <v>1112718.1750093077</v>
      </c>
      <c r="AJ27" s="95">
        <f t="shared" si="0"/>
        <v>1112718.1750093077</v>
      </c>
      <c r="AK27" s="95">
        <f t="shared" si="0"/>
        <v>1112718.1750093077</v>
      </c>
      <c r="AL27" s="95">
        <f t="shared" si="0"/>
        <v>1112718.1750093077</v>
      </c>
      <c r="AM27" s="95">
        <f t="shared" si="0"/>
        <v>1112718.1750093077</v>
      </c>
      <c r="AN27" s="95">
        <f t="shared" si="0"/>
        <v>1112718.1750093077</v>
      </c>
      <c r="AO27" s="95">
        <f t="shared" si="0"/>
        <v>1112718.1750093077</v>
      </c>
      <c r="AP27" s="95">
        <f t="shared" si="0"/>
        <v>1112718.1750093077</v>
      </c>
      <c r="AQ27" s="95">
        <f t="shared" si="0"/>
        <v>1112718.1750093077</v>
      </c>
      <c r="AR27" s="95">
        <f>$F22*$F17-65809</f>
        <v>1046909.1750093077</v>
      </c>
      <c r="AS27" s="95"/>
      <c r="AT27" s="97">
        <f>SUM(D27:AS27)</f>
        <v>44442918.00037232</v>
      </c>
      <c r="AU27" s="22">
        <f>F22</f>
        <v>44118513.764677308</v>
      </c>
      <c r="AV27" s="97">
        <f>+AU27-AT27</f>
        <v>-324404.23569501191</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row>
    <row r="29" spans="1:48" x14ac:dyDescent="0.2">
      <c r="A29" s="356">
        <f>A27+1</f>
        <v>2</v>
      </c>
      <c r="B29" s="2" t="s">
        <v>54</v>
      </c>
      <c r="C29" s="2"/>
      <c r="D29" s="112"/>
      <c r="E29" s="38">
        <f>E53</f>
        <v>527349.99802336656</v>
      </c>
      <c r="F29" s="95">
        <f t="shared" ref="F29:AS29" si="1">F53</f>
        <v>510535.26768275141</v>
      </c>
      <c r="G29" s="95">
        <f t="shared" si="1"/>
        <v>492076.96077270259</v>
      </c>
      <c r="H29" s="95">
        <f t="shared" si="1"/>
        <v>474203.76038310118</v>
      </c>
      <c r="I29" s="95">
        <f t="shared" si="1"/>
        <v>456871.86775329965</v>
      </c>
      <c r="J29" s="95">
        <f t="shared" si="1"/>
        <v>440040.85325808468</v>
      </c>
      <c r="K29" s="95">
        <f t="shared" si="1"/>
        <v>423673.09488510492</v>
      </c>
      <c r="L29" s="95">
        <f t="shared" si="1"/>
        <v>407733.7782348714</v>
      </c>
      <c r="M29" s="95">
        <f t="shared" si="1"/>
        <v>392033.67020048294</v>
      </c>
      <c r="N29" s="95">
        <f t="shared" si="1"/>
        <v>376367.8150430111</v>
      </c>
      <c r="O29" s="95">
        <f t="shared" si="1"/>
        <v>360701.95988553949</v>
      </c>
      <c r="P29" s="95">
        <f t="shared" si="1"/>
        <v>345036.10472806788</v>
      </c>
      <c r="Q29" s="95">
        <f t="shared" si="1"/>
        <v>329370.24957059615</v>
      </c>
      <c r="R29" s="95">
        <f t="shared" si="1"/>
        <v>313704.39441312442</v>
      </c>
      <c r="S29" s="95">
        <f t="shared" si="1"/>
        <v>298038.53925565269</v>
      </c>
      <c r="T29" s="95">
        <f t="shared" si="1"/>
        <v>282372.68409818108</v>
      </c>
      <c r="U29" s="95">
        <f t="shared" si="1"/>
        <v>266706.82894070935</v>
      </c>
      <c r="V29" s="95">
        <f t="shared" si="1"/>
        <v>251040.97378323771</v>
      </c>
      <c r="W29" s="95">
        <f t="shared" si="1"/>
        <v>235375.11862576607</v>
      </c>
      <c r="X29" s="95">
        <f t="shared" si="1"/>
        <v>219709.26346829435</v>
      </c>
      <c r="Y29" s="95">
        <f t="shared" si="1"/>
        <v>205296.16516986143</v>
      </c>
      <c r="Z29" s="95">
        <f t="shared" si="1"/>
        <v>193388.0190669336</v>
      </c>
      <c r="AA29" s="95">
        <f t="shared" si="1"/>
        <v>182732.6298230445</v>
      </c>
      <c r="AB29" s="95">
        <f t="shared" si="1"/>
        <v>172077.24057915536</v>
      </c>
      <c r="AC29" s="95">
        <f t="shared" si="1"/>
        <v>161421.85133526626</v>
      </c>
      <c r="AD29" s="95">
        <f t="shared" si="1"/>
        <v>150766.46209137715</v>
      </c>
      <c r="AE29" s="95">
        <f t="shared" si="1"/>
        <v>140111.07284748802</v>
      </c>
      <c r="AF29" s="95">
        <f t="shared" si="1"/>
        <v>129455.68360359893</v>
      </c>
      <c r="AG29" s="95">
        <f t="shared" si="1"/>
        <v>118800.29435970981</v>
      </c>
      <c r="AH29" s="95">
        <f t="shared" si="1"/>
        <v>108144.9051158207</v>
      </c>
      <c r="AI29" s="95">
        <f t="shared" si="1"/>
        <v>97489.515871931566</v>
      </c>
      <c r="AJ29" s="95">
        <f t="shared" si="1"/>
        <v>86834.126628042402</v>
      </c>
      <c r="AK29" s="95">
        <f t="shared" si="1"/>
        <v>76178.737384153254</v>
      </c>
      <c r="AL29" s="95">
        <f t="shared" si="1"/>
        <v>65523.34814026409</v>
      </c>
      <c r="AM29" s="95">
        <f t="shared" si="1"/>
        <v>54867.958896374919</v>
      </c>
      <c r="AN29" s="95">
        <f t="shared" si="1"/>
        <v>44212.569652485763</v>
      </c>
      <c r="AO29" s="95">
        <f t="shared" si="1"/>
        <v>33557.1804085966</v>
      </c>
      <c r="AP29" s="95">
        <f t="shared" si="1"/>
        <v>22901.791164707443</v>
      </c>
      <c r="AQ29" s="95">
        <f t="shared" si="1"/>
        <v>12246.401920818282</v>
      </c>
      <c r="AR29" s="95">
        <f t="shared" si="1"/>
        <v>1906.10616892912</v>
      </c>
      <c r="AS29" s="95">
        <f t="shared" si="1"/>
        <v>-3106.4949610154604</v>
      </c>
      <c r="AT29" s="97">
        <f>SUM(D29:AS29)</f>
        <v>9457748.74827349</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8"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2" spans="1:48" x14ac:dyDescent="0.2">
      <c r="A32" s="356">
        <f>A29+1</f>
        <v>3</v>
      </c>
      <c r="B32" s="2"/>
      <c r="C32" s="2"/>
      <c r="D32" s="112"/>
      <c r="E32" s="38">
        <f>E49*$F10</f>
        <v>0</v>
      </c>
      <c r="F32" s="95">
        <f t="shared" ref="F32:AS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f t="shared" si="2"/>
        <v>0</v>
      </c>
      <c r="AT32" s="97">
        <f t="shared" ref="AT32:AT42" si="3">SUM(D32:AS32)</f>
        <v>0</v>
      </c>
    </row>
    <row r="33" spans="1:46" x14ac:dyDescent="0.2">
      <c r="A33" s="356">
        <f>A32+1</f>
        <v>4</v>
      </c>
      <c r="B33" s="13"/>
      <c r="C33" s="13" t="s">
        <v>102</v>
      </c>
      <c r="D33" s="112"/>
      <c r="E33" s="38">
        <f>E49*$F11</f>
        <v>1231199.2382840859</v>
      </c>
      <c r="F33" s="95">
        <f t="shared" ref="F33:AS33" si="4">F49*$F11</f>
        <v>1191942.0404744437</v>
      </c>
      <c r="G33" s="95">
        <f t="shared" si="4"/>
        <v>1148847.5994147151</v>
      </c>
      <c r="H33" s="95">
        <f t="shared" si="4"/>
        <v>1107119.2012202374</v>
      </c>
      <c r="I33" s="95">
        <f t="shared" si="4"/>
        <v>1066654.5893233626</v>
      </c>
      <c r="J33" s="95">
        <f t="shared" si="4"/>
        <v>1027359.3730462614</v>
      </c>
      <c r="K33" s="95">
        <f t="shared" si="4"/>
        <v>989145.71661928692</v>
      </c>
      <c r="L33" s="95">
        <f t="shared" si="4"/>
        <v>951932.33918097534</v>
      </c>
      <c r="M33" s="95">
        <f t="shared" si="4"/>
        <v>915277.43991981994</v>
      </c>
      <c r="N33" s="95">
        <f t="shared" si="4"/>
        <v>878702.51053849212</v>
      </c>
      <c r="O33" s="95">
        <f t="shared" si="4"/>
        <v>842127.58115716453</v>
      </c>
      <c r="P33" s="95">
        <f t="shared" si="4"/>
        <v>805552.65177583671</v>
      </c>
      <c r="Q33" s="95">
        <f t="shared" si="4"/>
        <v>768977.72239450901</v>
      </c>
      <c r="R33" s="95">
        <f t="shared" si="4"/>
        <v>732402.79301318119</v>
      </c>
      <c r="S33" s="95">
        <f t="shared" si="4"/>
        <v>695827.86363185337</v>
      </c>
      <c r="T33" s="95">
        <f t="shared" si="4"/>
        <v>659252.93425052566</v>
      </c>
      <c r="U33" s="95">
        <f t="shared" si="4"/>
        <v>622678.00486919796</v>
      </c>
      <c r="V33" s="95">
        <f t="shared" si="4"/>
        <v>586103.07548787026</v>
      </c>
      <c r="W33" s="95">
        <f t="shared" si="4"/>
        <v>549528.14610654255</v>
      </c>
      <c r="X33" s="95">
        <f t="shared" si="4"/>
        <v>512953.21672521479</v>
      </c>
      <c r="Y33" s="95">
        <f t="shared" si="4"/>
        <v>479303.08737495739</v>
      </c>
      <c r="Z33" s="95">
        <f t="shared" si="4"/>
        <v>451501.24710520415</v>
      </c>
      <c r="AA33" s="95">
        <f t="shared" si="4"/>
        <v>426624.2068665211</v>
      </c>
      <c r="AB33" s="95">
        <f t="shared" si="4"/>
        <v>401747.16662783799</v>
      </c>
      <c r="AC33" s="95">
        <f t="shared" si="4"/>
        <v>376870.12638915493</v>
      </c>
      <c r="AD33" s="95">
        <f t="shared" si="4"/>
        <v>351993.08615047188</v>
      </c>
      <c r="AE33" s="95">
        <f t="shared" si="4"/>
        <v>327116.04591178882</v>
      </c>
      <c r="AF33" s="95">
        <f t="shared" si="4"/>
        <v>302239.00567310583</v>
      </c>
      <c r="AG33" s="95">
        <f t="shared" si="4"/>
        <v>277361.96543442272</v>
      </c>
      <c r="AH33" s="95">
        <f t="shared" si="4"/>
        <v>252484.92519573966</v>
      </c>
      <c r="AI33" s="95">
        <f t="shared" si="4"/>
        <v>227607.88495705661</v>
      </c>
      <c r="AJ33" s="95">
        <f t="shared" si="4"/>
        <v>202730.84471837344</v>
      </c>
      <c r="AK33" s="95">
        <f t="shared" si="4"/>
        <v>177853.80447969027</v>
      </c>
      <c r="AL33" s="95">
        <f t="shared" si="4"/>
        <v>152976.76424100713</v>
      </c>
      <c r="AM33" s="95">
        <f t="shared" si="4"/>
        <v>128099.72400232394</v>
      </c>
      <c r="AN33" s="95">
        <f t="shared" si="4"/>
        <v>103222.6837636408</v>
      </c>
      <c r="AO33" s="95">
        <f t="shared" si="4"/>
        <v>78345.643524957617</v>
      </c>
      <c r="AP33" s="95">
        <f t="shared" si="4"/>
        <v>53468.603286274469</v>
      </c>
      <c r="AQ33" s="95">
        <f t="shared" si="4"/>
        <v>28591.563047591302</v>
      </c>
      <c r="AR33" s="95">
        <f t="shared" si="4"/>
        <v>4450.1687154081392</v>
      </c>
      <c r="AS33" s="95">
        <f t="shared" si="4"/>
        <v>-7252.7054974334433</v>
      </c>
      <c r="AT33" s="97">
        <f t="shared" si="3"/>
        <v>22080919.87940168</v>
      </c>
    </row>
    <row r="34" spans="1:46" x14ac:dyDescent="0.2">
      <c r="A34" s="356">
        <f>A33+1</f>
        <v>5</v>
      </c>
      <c r="B34" s="2"/>
      <c r="C34" s="2" t="s">
        <v>9</v>
      </c>
      <c r="D34" s="112"/>
      <c r="E34" s="40">
        <f>E49*$F12</f>
        <v>1983840.4687545698</v>
      </c>
      <c r="F34" s="93">
        <f t="shared" ref="F34:AS34" si="5">F49*$F12</f>
        <v>1920585.054616065</v>
      </c>
      <c r="G34" s="93">
        <f t="shared" si="5"/>
        <v>1851146.6619544527</v>
      </c>
      <c r="H34" s="93">
        <f t="shared" si="5"/>
        <v>1783909.384298333</v>
      </c>
      <c r="I34" s="93">
        <f t="shared" si="5"/>
        <v>1718708.4548814606</v>
      </c>
      <c r="J34" s="93">
        <f t="shared" si="5"/>
        <v>1655391.7813042235</v>
      </c>
      <c r="K34" s="93">
        <f t="shared" si="5"/>
        <v>1593817.8331392044</v>
      </c>
      <c r="L34" s="93">
        <f t="shared" si="5"/>
        <v>1533855.6419311829</v>
      </c>
      <c r="M34" s="93">
        <f t="shared" si="5"/>
        <v>1474793.3307541977</v>
      </c>
      <c r="N34" s="93">
        <f t="shared" si="5"/>
        <v>1415859.8756379944</v>
      </c>
      <c r="O34" s="93">
        <f t="shared" si="5"/>
        <v>1356926.4205217916</v>
      </c>
      <c r="P34" s="93">
        <f t="shared" si="5"/>
        <v>1297992.9654055887</v>
      </c>
      <c r="Q34" s="93">
        <f t="shared" si="5"/>
        <v>1239059.5102893857</v>
      </c>
      <c r="R34" s="93">
        <f t="shared" si="5"/>
        <v>1180126.0551731824</v>
      </c>
      <c r="S34" s="93">
        <f t="shared" si="5"/>
        <v>1121192.6000569793</v>
      </c>
      <c r="T34" s="93">
        <f t="shared" si="5"/>
        <v>1062259.1449407765</v>
      </c>
      <c r="U34" s="93">
        <f t="shared" si="5"/>
        <v>1003325.6898245735</v>
      </c>
      <c r="V34" s="93">
        <f t="shared" si="5"/>
        <v>944392.23470837064</v>
      </c>
      <c r="W34" s="93">
        <f t="shared" si="5"/>
        <v>885458.77959216759</v>
      </c>
      <c r="X34" s="93">
        <f t="shared" si="5"/>
        <v>826525.32447596453</v>
      </c>
      <c r="Y34" s="93">
        <f t="shared" si="5"/>
        <v>772304.6213532883</v>
      </c>
      <c r="Z34" s="93">
        <f t="shared" si="5"/>
        <v>727507.30982322653</v>
      </c>
      <c r="AA34" s="93">
        <f t="shared" si="5"/>
        <v>687422.75028669124</v>
      </c>
      <c r="AB34" s="93">
        <f t="shared" si="5"/>
        <v>647338.19075015595</v>
      </c>
      <c r="AC34" s="93">
        <f t="shared" si="5"/>
        <v>607253.63121362077</v>
      </c>
      <c r="AD34" s="93">
        <f t="shared" si="5"/>
        <v>567169.07167708548</v>
      </c>
      <c r="AE34" s="93">
        <f t="shared" si="5"/>
        <v>527084.51214055018</v>
      </c>
      <c r="AF34" s="93">
        <f t="shared" si="5"/>
        <v>486999.95260401507</v>
      </c>
      <c r="AG34" s="93">
        <f t="shared" si="5"/>
        <v>446915.39306747977</v>
      </c>
      <c r="AH34" s="93">
        <f t="shared" si="5"/>
        <v>406830.83353094454</v>
      </c>
      <c r="AI34" s="93">
        <f t="shared" si="5"/>
        <v>366746.27399440925</v>
      </c>
      <c r="AJ34" s="93">
        <f t="shared" si="5"/>
        <v>326661.71445787384</v>
      </c>
      <c r="AK34" s="93">
        <f t="shared" si="5"/>
        <v>286577.15492133843</v>
      </c>
      <c r="AL34" s="93">
        <f t="shared" si="5"/>
        <v>246492.59538480302</v>
      </c>
      <c r="AM34" s="93">
        <f t="shared" si="5"/>
        <v>206408.03584826758</v>
      </c>
      <c r="AN34" s="93">
        <f t="shared" si="5"/>
        <v>166323.47631173217</v>
      </c>
      <c r="AO34" s="93">
        <f t="shared" si="5"/>
        <v>126238.91677519675</v>
      </c>
      <c r="AP34" s="93">
        <f t="shared" si="5"/>
        <v>86154.357238661338</v>
      </c>
      <c r="AQ34" s="93">
        <f t="shared" si="5"/>
        <v>46069.797702125921</v>
      </c>
      <c r="AR34" s="93">
        <f t="shared" si="5"/>
        <v>7170.5898735905002</v>
      </c>
      <c r="AS34" s="93">
        <f t="shared" si="5"/>
        <v>-11686.338186677209</v>
      </c>
      <c r="AT34" s="97">
        <f t="shared" si="3"/>
        <v>35579150.053028844</v>
      </c>
    </row>
    <row r="35" spans="1:46" x14ac:dyDescent="0.2">
      <c r="A35" s="356">
        <f>A34+1</f>
        <v>6</v>
      </c>
      <c r="B35" s="2"/>
      <c r="C35" s="2" t="s">
        <v>58</v>
      </c>
      <c r="D35" s="112"/>
      <c r="E35" s="38">
        <f>E32+E33+E34</f>
        <v>3215039.7070386559</v>
      </c>
      <c r="F35" s="95">
        <f>F32+F33+F34</f>
        <v>3112527.0950905085</v>
      </c>
      <c r="G35" s="95">
        <f>G32+G33+G34</f>
        <v>2999994.2613691678</v>
      </c>
      <c r="H35" s="95">
        <f t="shared" ref="H35:AS35" si="6">H32+H33+H34</f>
        <v>2891028.5855185706</v>
      </c>
      <c r="I35" s="95">
        <f t="shared" si="6"/>
        <v>2785363.0442048232</v>
      </c>
      <c r="J35" s="95">
        <f t="shared" si="6"/>
        <v>2682751.1543504847</v>
      </c>
      <c r="K35" s="95">
        <f t="shared" si="6"/>
        <v>2582963.5497584911</v>
      </c>
      <c r="L35" s="95">
        <f t="shared" si="6"/>
        <v>2485787.9811121584</v>
      </c>
      <c r="M35" s="95">
        <f t="shared" si="6"/>
        <v>2390070.7706740177</v>
      </c>
      <c r="N35" s="95">
        <f t="shared" si="6"/>
        <v>2294562.3861764865</v>
      </c>
      <c r="O35" s="95">
        <f t="shared" si="6"/>
        <v>2199054.0016789562</v>
      </c>
      <c r="P35" s="95">
        <f t="shared" si="6"/>
        <v>2103545.6171814254</v>
      </c>
      <c r="Q35" s="95">
        <f t="shared" si="6"/>
        <v>2008037.2326838947</v>
      </c>
      <c r="R35" s="95">
        <f t="shared" si="6"/>
        <v>1912528.8481863635</v>
      </c>
      <c r="S35" s="95">
        <f t="shared" si="6"/>
        <v>1817020.4636888327</v>
      </c>
      <c r="T35" s="95">
        <f t="shared" si="6"/>
        <v>1721512.0791913022</v>
      </c>
      <c r="U35" s="95">
        <f t="shared" si="6"/>
        <v>1626003.6946937714</v>
      </c>
      <c r="V35" s="95">
        <f t="shared" si="6"/>
        <v>1530495.3101962409</v>
      </c>
      <c r="W35" s="95">
        <f t="shared" si="6"/>
        <v>1434986.9256987101</v>
      </c>
      <c r="X35" s="95">
        <f t="shared" si="6"/>
        <v>1339478.5412011794</v>
      </c>
      <c r="Y35" s="95">
        <f t="shared" si="6"/>
        <v>1251607.7087282457</v>
      </c>
      <c r="Z35" s="95">
        <f t="shared" si="6"/>
        <v>1179008.5569284307</v>
      </c>
      <c r="AA35" s="95">
        <f t="shared" si="6"/>
        <v>1114046.9571532123</v>
      </c>
      <c r="AB35" s="95">
        <f t="shared" si="6"/>
        <v>1049085.3573779939</v>
      </c>
      <c r="AC35" s="95">
        <f t="shared" si="6"/>
        <v>984123.7576027757</v>
      </c>
      <c r="AD35" s="95">
        <f t="shared" si="6"/>
        <v>919162.1578275573</v>
      </c>
      <c r="AE35" s="95">
        <f t="shared" si="6"/>
        <v>854200.55805233901</v>
      </c>
      <c r="AF35" s="95">
        <f t="shared" si="6"/>
        <v>789238.95827712095</v>
      </c>
      <c r="AG35" s="95">
        <f t="shared" si="6"/>
        <v>724277.35850190255</v>
      </c>
      <c r="AH35" s="95">
        <f t="shared" si="6"/>
        <v>659315.75872668414</v>
      </c>
      <c r="AI35" s="95">
        <f t="shared" si="6"/>
        <v>594354.15895146586</v>
      </c>
      <c r="AJ35" s="95">
        <f t="shared" si="6"/>
        <v>529392.55917624733</v>
      </c>
      <c r="AK35" s="95">
        <f t="shared" si="6"/>
        <v>464430.9594010287</v>
      </c>
      <c r="AL35" s="95">
        <f t="shared" si="6"/>
        <v>399469.35962581018</v>
      </c>
      <c r="AM35" s="95">
        <f t="shared" si="6"/>
        <v>334507.75985059154</v>
      </c>
      <c r="AN35" s="95">
        <f t="shared" si="6"/>
        <v>269546.16007537296</v>
      </c>
      <c r="AO35" s="95">
        <f t="shared" si="6"/>
        <v>204584.56030015438</v>
      </c>
      <c r="AP35" s="95">
        <f t="shared" si="6"/>
        <v>139622.9605249358</v>
      </c>
      <c r="AQ35" s="95">
        <f t="shared" si="6"/>
        <v>74661.36074971722</v>
      </c>
      <c r="AR35" s="95">
        <f t="shared" si="6"/>
        <v>11620.75858899864</v>
      </c>
      <c r="AS35" s="95">
        <f t="shared" si="6"/>
        <v>-18939.043684110653</v>
      </c>
      <c r="AT35" s="97">
        <f t="shared" si="3"/>
        <v>57660069.932430528</v>
      </c>
    </row>
    <row r="36" spans="1:46"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7">
        <f t="shared" si="3"/>
        <v>0</v>
      </c>
    </row>
    <row r="37" spans="1:46" x14ac:dyDescent="0.2">
      <c r="A37" s="356">
        <f>A35+1</f>
        <v>7</v>
      </c>
      <c r="B37" s="2" t="s">
        <v>59</v>
      </c>
      <c r="C37" s="2"/>
      <c r="D37" s="112"/>
      <c r="E37" s="41">
        <f>E27+E29+E35</f>
        <v>4855107.8800713299</v>
      </c>
      <c r="F37" s="92">
        <f>F27+F29+F35</f>
        <v>4735780.5377825676</v>
      </c>
      <c r="G37" s="92">
        <f t="shared" ref="G37:AS37" si="7">G27+G29+G35</f>
        <v>4604789.3971511777</v>
      </c>
      <c r="H37" s="92">
        <f t="shared" si="7"/>
        <v>4477950.5209109792</v>
      </c>
      <c r="I37" s="92">
        <f t="shared" si="7"/>
        <v>4354953.086967431</v>
      </c>
      <c r="J37" s="92">
        <f t="shared" si="7"/>
        <v>4235510.1826178767</v>
      </c>
      <c r="K37" s="92">
        <f t="shared" si="7"/>
        <v>4119354.8196529038</v>
      </c>
      <c r="L37" s="92">
        <f t="shared" si="7"/>
        <v>4006239.9343563374</v>
      </c>
      <c r="M37" s="92">
        <f t="shared" si="7"/>
        <v>3894822.6158838086</v>
      </c>
      <c r="N37" s="92">
        <f t="shared" si="7"/>
        <v>3783648.3762288052</v>
      </c>
      <c r="O37" s="92">
        <f t="shared" si="7"/>
        <v>3672474.1365738036</v>
      </c>
      <c r="P37" s="92">
        <f t="shared" si="7"/>
        <v>3561299.8969188011</v>
      </c>
      <c r="Q37" s="92">
        <f t="shared" si="7"/>
        <v>3450125.6572637986</v>
      </c>
      <c r="R37" s="92">
        <f t="shared" si="7"/>
        <v>3338951.4176087957</v>
      </c>
      <c r="S37" s="92">
        <f t="shared" si="7"/>
        <v>3227777.1779537932</v>
      </c>
      <c r="T37" s="92">
        <f t="shared" si="7"/>
        <v>3116602.9382987907</v>
      </c>
      <c r="U37" s="92">
        <f t="shared" si="7"/>
        <v>3005428.6986437887</v>
      </c>
      <c r="V37" s="92">
        <f t="shared" si="7"/>
        <v>2894254.4589887862</v>
      </c>
      <c r="W37" s="92">
        <f t="shared" si="7"/>
        <v>2783080.2193337837</v>
      </c>
      <c r="X37" s="92">
        <f t="shared" si="7"/>
        <v>2671905.9796787817</v>
      </c>
      <c r="Y37" s="92">
        <f t="shared" si="7"/>
        <v>2569622.048907415</v>
      </c>
      <c r="Z37" s="92">
        <f t="shared" si="7"/>
        <v>2485114.7510046717</v>
      </c>
      <c r="AA37" s="92">
        <f t="shared" si="7"/>
        <v>2409497.7619855646</v>
      </c>
      <c r="AB37" s="92">
        <f t="shared" si="7"/>
        <v>2333880.7729664566</v>
      </c>
      <c r="AC37" s="92">
        <f t="shared" si="7"/>
        <v>2258263.7839473495</v>
      </c>
      <c r="AD37" s="92">
        <f t="shared" si="7"/>
        <v>2182646.7949282425</v>
      </c>
      <c r="AE37" s="92">
        <f t="shared" si="7"/>
        <v>2107029.8059091349</v>
      </c>
      <c r="AF37" s="92">
        <f t="shared" si="7"/>
        <v>2031412.8168900276</v>
      </c>
      <c r="AG37" s="92">
        <f t="shared" si="7"/>
        <v>1955795.8278709201</v>
      </c>
      <c r="AH37" s="92">
        <f t="shared" si="7"/>
        <v>1880178.8388518125</v>
      </c>
      <c r="AI37" s="92">
        <f t="shared" si="7"/>
        <v>1804561.8498327052</v>
      </c>
      <c r="AJ37" s="92">
        <f t="shared" si="7"/>
        <v>1728944.8608135975</v>
      </c>
      <c r="AK37" s="92">
        <f t="shared" si="7"/>
        <v>1653327.8717944897</v>
      </c>
      <c r="AL37" s="92">
        <f t="shared" si="7"/>
        <v>1577710.8827753821</v>
      </c>
      <c r="AM37" s="92">
        <f t="shared" si="7"/>
        <v>1502093.8937562741</v>
      </c>
      <c r="AN37" s="92">
        <f t="shared" si="7"/>
        <v>1426476.9047371664</v>
      </c>
      <c r="AO37" s="92">
        <f t="shared" si="7"/>
        <v>1350859.9157180586</v>
      </c>
      <c r="AP37" s="92">
        <f t="shared" si="7"/>
        <v>1275242.9266989508</v>
      </c>
      <c r="AQ37" s="92">
        <f t="shared" si="7"/>
        <v>1199625.937679843</v>
      </c>
      <c r="AR37" s="92">
        <f t="shared" si="7"/>
        <v>1060436.0397672353</v>
      </c>
      <c r="AS37" s="92">
        <f t="shared" si="7"/>
        <v>-22045.538645126115</v>
      </c>
      <c r="AT37" s="97">
        <f t="shared" si="3"/>
        <v>111560736.68107632</v>
      </c>
    </row>
    <row r="38" spans="1:46" x14ac:dyDescent="0.2">
      <c r="A38" s="356">
        <f>A37+1</f>
        <v>8</v>
      </c>
      <c r="B38" s="2" t="s">
        <v>60</v>
      </c>
      <c r="C38" s="2"/>
      <c r="D38" s="112"/>
      <c r="E38" s="40">
        <f>E37/(1-$F16)-E37</f>
        <v>231155.40763645619</v>
      </c>
      <c r="F38" s="93">
        <f t="shared" ref="F38:AS38" si="8">F37/(1-$F16)-F37</f>
        <v>225474.14140503947</v>
      </c>
      <c r="G38" s="93">
        <f t="shared" si="8"/>
        <v>219237.55279416591</v>
      </c>
      <c r="H38" s="93">
        <f t="shared" si="8"/>
        <v>213198.6566736903</v>
      </c>
      <c r="I38" s="93">
        <f t="shared" si="8"/>
        <v>207342.65456544422</v>
      </c>
      <c r="J38" s="93">
        <f t="shared" si="8"/>
        <v>201655.88633573521</v>
      </c>
      <c r="K38" s="93">
        <f t="shared" si="8"/>
        <v>196125.64047126286</v>
      </c>
      <c r="L38" s="93">
        <f t="shared" si="8"/>
        <v>190740.15407912619</v>
      </c>
      <c r="M38" s="93">
        <f t="shared" si="8"/>
        <v>185435.49014467653</v>
      </c>
      <c r="N38" s="93">
        <f t="shared" si="8"/>
        <v>180142.39937905036</v>
      </c>
      <c r="O38" s="93">
        <f t="shared" si="8"/>
        <v>174849.30861342419</v>
      </c>
      <c r="P38" s="93">
        <f t="shared" si="8"/>
        <v>169556.21784779755</v>
      </c>
      <c r="Q38" s="93">
        <f t="shared" si="8"/>
        <v>164263.12708217138</v>
      </c>
      <c r="R38" s="93">
        <f t="shared" si="8"/>
        <v>158970.03631654521</v>
      </c>
      <c r="S38" s="93">
        <f t="shared" si="8"/>
        <v>153676.94555091858</v>
      </c>
      <c r="T38" s="93">
        <f t="shared" si="8"/>
        <v>148383.85478529241</v>
      </c>
      <c r="U38" s="93">
        <f t="shared" si="8"/>
        <v>143090.76401966624</v>
      </c>
      <c r="V38" s="93">
        <f t="shared" si="8"/>
        <v>137797.6732540396</v>
      </c>
      <c r="W38" s="93">
        <f t="shared" si="8"/>
        <v>132504.58248841343</v>
      </c>
      <c r="X38" s="93">
        <f t="shared" si="8"/>
        <v>127211.49172278726</v>
      </c>
      <c r="Y38" s="93">
        <f t="shared" si="8"/>
        <v>122341.67537758034</v>
      </c>
      <c r="Z38" s="93">
        <f t="shared" si="8"/>
        <v>118318.21814913303</v>
      </c>
      <c r="AA38" s="93">
        <f t="shared" si="8"/>
        <v>114718.03534110542</v>
      </c>
      <c r="AB38" s="93">
        <f t="shared" si="8"/>
        <v>111117.85253307736</v>
      </c>
      <c r="AC38" s="93">
        <f t="shared" si="8"/>
        <v>107517.66972504975</v>
      </c>
      <c r="AD38" s="93">
        <f t="shared" si="8"/>
        <v>103917.48691702168</v>
      </c>
      <c r="AE38" s="93">
        <f t="shared" si="8"/>
        <v>100317.30410899408</v>
      </c>
      <c r="AF38" s="93">
        <f t="shared" si="8"/>
        <v>96717.121300966246</v>
      </c>
      <c r="AG38" s="93">
        <f t="shared" si="8"/>
        <v>93116.93849293841</v>
      </c>
      <c r="AH38" s="93">
        <f t="shared" si="8"/>
        <v>89516.755684910575</v>
      </c>
      <c r="AI38" s="93">
        <f t="shared" si="8"/>
        <v>85916.572876882739</v>
      </c>
      <c r="AJ38" s="93">
        <f t="shared" si="8"/>
        <v>82316.390068854904</v>
      </c>
      <c r="AK38" s="93">
        <f t="shared" si="8"/>
        <v>78716.207260827068</v>
      </c>
      <c r="AL38" s="93">
        <f t="shared" si="8"/>
        <v>75116.024452799233</v>
      </c>
      <c r="AM38" s="93">
        <f t="shared" si="8"/>
        <v>71515.841644771397</v>
      </c>
      <c r="AN38" s="93">
        <f t="shared" si="8"/>
        <v>67915.658836743562</v>
      </c>
      <c r="AO38" s="93">
        <f t="shared" si="8"/>
        <v>64315.476028715726</v>
      </c>
      <c r="AP38" s="93">
        <f t="shared" si="8"/>
        <v>60715.29322068789</v>
      </c>
      <c r="AQ38" s="93">
        <f t="shared" si="8"/>
        <v>57115.110412660055</v>
      </c>
      <c r="AR38" s="93">
        <f t="shared" si="8"/>
        <v>50488.172683236655</v>
      </c>
      <c r="AS38" s="93">
        <f t="shared" si="8"/>
        <v>-1049.6049929182009</v>
      </c>
      <c r="AT38" s="97">
        <f t="shared" si="3"/>
        <v>5311492.1852897415</v>
      </c>
    </row>
    <row r="39" spans="1:46" x14ac:dyDescent="0.2">
      <c r="A39" s="356">
        <f>A38+1</f>
        <v>9</v>
      </c>
      <c r="B39" s="2"/>
      <c r="C39" s="2" t="s">
        <v>61</v>
      </c>
      <c r="D39" s="112"/>
      <c r="E39" s="41">
        <f>SUM(E37:E38)</f>
        <v>5086263.2877077861</v>
      </c>
      <c r="F39" s="92">
        <f t="shared" ref="F39:AS39" si="9">SUM(F37:F38)</f>
        <v>4961254.679187607</v>
      </c>
      <c r="G39" s="92">
        <f t="shared" si="9"/>
        <v>4824026.9499453437</v>
      </c>
      <c r="H39" s="92">
        <f t="shared" si="9"/>
        <v>4691149.1775846696</v>
      </c>
      <c r="I39" s="92">
        <f t="shared" si="9"/>
        <v>4562295.7415328752</v>
      </c>
      <c r="J39" s="92">
        <f t="shared" si="9"/>
        <v>4437166.0689536119</v>
      </c>
      <c r="K39" s="92">
        <f t="shared" si="9"/>
        <v>4315480.4601241667</v>
      </c>
      <c r="L39" s="92">
        <f t="shared" si="9"/>
        <v>4196980.0884354636</v>
      </c>
      <c r="M39" s="92">
        <f t="shared" si="9"/>
        <v>4080258.1060284851</v>
      </c>
      <c r="N39" s="92">
        <f t="shared" si="9"/>
        <v>3963790.7756078555</v>
      </c>
      <c r="O39" s="92">
        <f t="shared" si="9"/>
        <v>3847323.4451872278</v>
      </c>
      <c r="P39" s="92">
        <f t="shared" si="9"/>
        <v>3730856.1147665987</v>
      </c>
      <c r="Q39" s="92">
        <f t="shared" si="9"/>
        <v>3614388.78434597</v>
      </c>
      <c r="R39" s="92">
        <f t="shared" si="9"/>
        <v>3497921.4539253409</v>
      </c>
      <c r="S39" s="92">
        <f t="shared" si="9"/>
        <v>3381454.1235047118</v>
      </c>
      <c r="T39" s="92">
        <f t="shared" si="9"/>
        <v>3264986.7930840831</v>
      </c>
      <c r="U39" s="92">
        <f t="shared" si="9"/>
        <v>3148519.4626634549</v>
      </c>
      <c r="V39" s="92">
        <f t="shared" si="9"/>
        <v>3032052.1322428258</v>
      </c>
      <c r="W39" s="92">
        <f t="shared" si="9"/>
        <v>2915584.8018221972</v>
      </c>
      <c r="X39" s="92">
        <f t="shared" si="9"/>
        <v>2799117.471401569</v>
      </c>
      <c r="Y39" s="92">
        <f t="shared" si="9"/>
        <v>2691963.7242849953</v>
      </c>
      <c r="Z39" s="92">
        <f t="shared" si="9"/>
        <v>2603432.9691538047</v>
      </c>
      <c r="AA39" s="92">
        <f t="shared" si="9"/>
        <v>2524215.79732667</v>
      </c>
      <c r="AB39" s="92">
        <f t="shared" si="9"/>
        <v>2444998.625499534</v>
      </c>
      <c r="AC39" s="92">
        <f t="shared" si="9"/>
        <v>2365781.4536723993</v>
      </c>
      <c r="AD39" s="92">
        <f t="shared" si="9"/>
        <v>2286564.2818452641</v>
      </c>
      <c r="AE39" s="92">
        <f t="shared" si="9"/>
        <v>2207347.110018129</v>
      </c>
      <c r="AF39" s="92">
        <f t="shared" si="9"/>
        <v>2128129.9381909939</v>
      </c>
      <c r="AG39" s="92">
        <f t="shared" si="9"/>
        <v>2048912.7663638585</v>
      </c>
      <c r="AH39" s="92">
        <f t="shared" si="9"/>
        <v>1969695.5945367231</v>
      </c>
      <c r="AI39" s="92">
        <f t="shared" si="9"/>
        <v>1890478.422709588</v>
      </c>
      <c r="AJ39" s="92">
        <f t="shared" si="9"/>
        <v>1811261.2508824524</v>
      </c>
      <c r="AK39" s="92">
        <f t="shared" si="9"/>
        <v>1732044.0790553167</v>
      </c>
      <c r="AL39" s="92">
        <f t="shared" si="9"/>
        <v>1652826.9072281814</v>
      </c>
      <c r="AM39" s="92">
        <f t="shared" si="9"/>
        <v>1573609.7354010455</v>
      </c>
      <c r="AN39" s="92">
        <f t="shared" si="9"/>
        <v>1494392.5635739099</v>
      </c>
      <c r="AO39" s="92">
        <f t="shared" si="9"/>
        <v>1415175.3917467743</v>
      </c>
      <c r="AP39" s="92">
        <f t="shared" si="9"/>
        <v>1335958.2199196387</v>
      </c>
      <c r="AQ39" s="92">
        <f t="shared" si="9"/>
        <v>1256741.0480925031</v>
      </c>
      <c r="AR39" s="92">
        <f t="shared" si="9"/>
        <v>1110924.2124504719</v>
      </c>
      <c r="AS39" s="92">
        <f t="shared" si="9"/>
        <v>-23095.143638044316</v>
      </c>
      <c r="AT39" s="97">
        <f t="shared" si="3"/>
        <v>116872228.86636603</v>
      </c>
    </row>
    <row r="40" spans="1:46" x14ac:dyDescent="0.2">
      <c r="A40" s="356">
        <f t="shared" ref="A40:A66" si="10">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7">
        <f t="shared" si="3"/>
        <v>0</v>
      </c>
    </row>
    <row r="41" spans="1:46" x14ac:dyDescent="0.2">
      <c r="A41" s="356">
        <f t="shared" si="10"/>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7">
        <f t="shared" si="3"/>
        <v>0</v>
      </c>
    </row>
    <row r="42" spans="1:46" x14ac:dyDescent="0.2">
      <c r="A42" s="356">
        <f t="shared" si="10"/>
        <v>12</v>
      </c>
      <c r="B42" s="2" t="s">
        <v>140</v>
      </c>
      <c r="C42" s="2"/>
      <c r="D42" s="112"/>
      <c r="E42" s="40">
        <f>E39</f>
        <v>5086263.2877077861</v>
      </c>
      <c r="F42" s="93">
        <f>F39</f>
        <v>4961254.679187607</v>
      </c>
      <c r="G42" s="93">
        <f t="shared" ref="G42:AS42" si="11">G39</f>
        <v>4824026.9499453437</v>
      </c>
      <c r="H42" s="93">
        <f t="shared" si="11"/>
        <v>4691149.1775846696</v>
      </c>
      <c r="I42" s="93">
        <f t="shared" si="11"/>
        <v>4562295.7415328752</v>
      </c>
      <c r="J42" s="93">
        <f t="shared" si="11"/>
        <v>4437166.0689536119</v>
      </c>
      <c r="K42" s="93">
        <f t="shared" si="11"/>
        <v>4315480.4601241667</v>
      </c>
      <c r="L42" s="93">
        <f t="shared" si="11"/>
        <v>4196980.0884354636</v>
      </c>
      <c r="M42" s="93">
        <f t="shared" si="11"/>
        <v>4080258.1060284851</v>
      </c>
      <c r="N42" s="93">
        <f t="shared" si="11"/>
        <v>3963790.7756078555</v>
      </c>
      <c r="O42" s="93">
        <f t="shared" si="11"/>
        <v>3847323.4451872278</v>
      </c>
      <c r="P42" s="93">
        <f t="shared" si="11"/>
        <v>3730856.1147665987</v>
      </c>
      <c r="Q42" s="93">
        <f t="shared" si="11"/>
        <v>3614388.78434597</v>
      </c>
      <c r="R42" s="93">
        <f t="shared" si="11"/>
        <v>3497921.4539253409</v>
      </c>
      <c r="S42" s="93">
        <f t="shared" si="11"/>
        <v>3381454.1235047118</v>
      </c>
      <c r="T42" s="93">
        <f t="shared" si="11"/>
        <v>3264986.7930840831</v>
      </c>
      <c r="U42" s="93">
        <f t="shared" si="11"/>
        <v>3148519.4626634549</v>
      </c>
      <c r="V42" s="93">
        <f t="shared" si="11"/>
        <v>3032052.1322428258</v>
      </c>
      <c r="W42" s="93">
        <f t="shared" si="11"/>
        <v>2915584.8018221972</v>
      </c>
      <c r="X42" s="93">
        <f t="shared" si="11"/>
        <v>2799117.471401569</v>
      </c>
      <c r="Y42" s="93">
        <f t="shared" si="11"/>
        <v>2691963.7242849953</v>
      </c>
      <c r="Z42" s="93">
        <f t="shared" si="11"/>
        <v>2603432.9691538047</v>
      </c>
      <c r="AA42" s="93">
        <f t="shared" si="11"/>
        <v>2524215.79732667</v>
      </c>
      <c r="AB42" s="93">
        <f t="shared" si="11"/>
        <v>2444998.625499534</v>
      </c>
      <c r="AC42" s="93">
        <f t="shared" si="11"/>
        <v>2365781.4536723993</v>
      </c>
      <c r="AD42" s="93">
        <f t="shared" si="11"/>
        <v>2286564.2818452641</v>
      </c>
      <c r="AE42" s="93">
        <f t="shared" si="11"/>
        <v>2207347.110018129</v>
      </c>
      <c r="AF42" s="93">
        <f t="shared" si="11"/>
        <v>2128129.9381909939</v>
      </c>
      <c r="AG42" s="93">
        <f t="shared" si="11"/>
        <v>2048912.7663638585</v>
      </c>
      <c r="AH42" s="93">
        <f t="shared" si="11"/>
        <v>1969695.5945367231</v>
      </c>
      <c r="AI42" s="93">
        <f t="shared" si="11"/>
        <v>1890478.422709588</v>
      </c>
      <c r="AJ42" s="93">
        <f t="shared" si="11"/>
        <v>1811261.2508824524</v>
      </c>
      <c r="AK42" s="93">
        <f t="shared" si="11"/>
        <v>1732044.0790553167</v>
      </c>
      <c r="AL42" s="93">
        <f t="shared" si="11"/>
        <v>1652826.9072281814</v>
      </c>
      <c r="AM42" s="93">
        <f t="shared" si="11"/>
        <v>1573609.7354010455</v>
      </c>
      <c r="AN42" s="93">
        <f t="shared" si="11"/>
        <v>1494392.5635739099</v>
      </c>
      <c r="AO42" s="93">
        <f t="shared" si="11"/>
        <v>1415175.3917467743</v>
      </c>
      <c r="AP42" s="93">
        <f t="shared" si="11"/>
        <v>1335958.2199196387</v>
      </c>
      <c r="AQ42" s="93">
        <f t="shared" si="11"/>
        <v>1256741.0480925031</v>
      </c>
      <c r="AR42" s="93">
        <f t="shared" si="11"/>
        <v>1110924.2124504719</v>
      </c>
      <c r="AS42" s="93">
        <f t="shared" si="11"/>
        <v>-23095.143638044316</v>
      </c>
      <c r="AT42" s="97">
        <f t="shared" si="3"/>
        <v>116872228.86636603</v>
      </c>
    </row>
    <row r="43" spans="1:46" x14ac:dyDescent="0.2">
      <c r="A43" s="356">
        <f t="shared" si="10"/>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356">
        <f t="shared" si="10"/>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356">
        <f t="shared" si="10"/>
        <v>15</v>
      </c>
      <c r="B45" s="2" t="s">
        <v>63</v>
      </c>
      <c r="C45" s="112"/>
      <c r="D45" s="112"/>
      <c r="E45" s="45">
        <f>+E42/$F$22</f>
        <v>0.11528636968228996</v>
      </c>
      <c r="F45" s="94">
        <f t="shared" ref="F45:AS45" si="12">+F42/$F$22</f>
        <v>0.11245289688701494</v>
      </c>
      <c r="G45" s="94">
        <f t="shared" si="12"/>
        <v>0.10934246279636949</v>
      </c>
      <c r="H45" s="94">
        <f t="shared" si="12"/>
        <v>0.10633062579140083</v>
      </c>
      <c r="I45" s="94">
        <f t="shared" si="12"/>
        <v>0.10341000528412167</v>
      </c>
      <c r="J45" s="94">
        <f t="shared" si="12"/>
        <v>0.10057378842408216</v>
      </c>
      <c r="K45" s="94">
        <f t="shared" si="12"/>
        <v>9.7815635475446999E-2</v>
      </c>
      <c r="L45" s="94">
        <f t="shared" si="12"/>
        <v>9.5129679816995563E-2</v>
      </c>
      <c r="M45" s="94">
        <f t="shared" si="12"/>
        <v>9.2484033523705642E-2</v>
      </c>
      <c r="N45" s="94">
        <f t="shared" si="12"/>
        <v>8.9844159228713485E-2</v>
      </c>
      <c r="O45" s="94">
        <f t="shared" si="12"/>
        <v>8.7204284933721357E-2</v>
      </c>
      <c r="P45" s="94">
        <f t="shared" si="12"/>
        <v>8.4564410638729201E-2</v>
      </c>
      <c r="Q45" s="94">
        <f t="shared" si="12"/>
        <v>8.1924536343737059E-2</v>
      </c>
      <c r="R45" s="94">
        <f t="shared" si="12"/>
        <v>7.9284662048744903E-2</v>
      </c>
      <c r="S45" s="94">
        <f t="shared" si="12"/>
        <v>7.6644787753752761E-2</v>
      </c>
      <c r="T45" s="94">
        <f t="shared" si="12"/>
        <v>7.4004913458760618E-2</v>
      </c>
      <c r="U45" s="94">
        <f t="shared" si="12"/>
        <v>7.1365039163768476E-2</v>
      </c>
      <c r="V45" s="94">
        <f t="shared" si="12"/>
        <v>6.8725164868776334E-2</v>
      </c>
      <c r="W45" s="94">
        <f t="shared" si="12"/>
        <v>6.6085290573784192E-2</v>
      </c>
      <c r="X45" s="94">
        <f t="shared" si="12"/>
        <v>6.3445416278792049E-2</v>
      </c>
      <c r="Y45" s="94">
        <f t="shared" si="12"/>
        <v>6.1016645724821933E-2</v>
      </c>
      <c r="Z45" s="94">
        <f t="shared" si="12"/>
        <v>5.9009988029972947E-2</v>
      </c>
      <c r="AA45" s="94">
        <f t="shared" si="12"/>
        <v>5.7214434076146008E-2</v>
      </c>
      <c r="AB45" s="94">
        <f t="shared" si="12"/>
        <v>5.5418880122319034E-2</v>
      </c>
      <c r="AC45" s="94">
        <f t="shared" si="12"/>
        <v>5.3623326168492094E-2</v>
      </c>
      <c r="AD45" s="94">
        <f t="shared" si="12"/>
        <v>5.1827772214665141E-2</v>
      </c>
      <c r="AE45" s="94">
        <f t="shared" si="12"/>
        <v>5.0032218260838188E-2</v>
      </c>
      <c r="AF45" s="94">
        <f t="shared" si="12"/>
        <v>4.8236664307011234E-2</v>
      </c>
      <c r="AG45" s="94">
        <f t="shared" si="12"/>
        <v>4.6441110353184281E-2</v>
      </c>
      <c r="AH45" s="94">
        <f t="shared" si="12"/>
        <v>4.4645556399357321E-2</v>
      </c>
      <c r="AI45" s="94">
        <f t="shared" si="12"/>
        <v>4.2850002445530368E-2</v>
      </c>
      <c r="AJ45" s="94">
        <f t="shared" si="12"/>
        <v>4.1054448491703407E-2</v>
      </c>
      <c r="AK45" s="94">
        <f t="shared" si="12"/>
        <v>3.9258894537876447E-2</v>
      </c>
      <c r="AL45" s="94">
        <f t="shared" si="12"/>
        <v>3.7463340584049487E-2</v>
      </c>
      <c r="AM45" s="94">
        <f t="shared" si="12"/>
        <v>3.566778663022252E-2</v>
      </c>
      <c r="AN45" s="94">
        <f t="shared" si="12"/>
        <v>3.387223267639556E-2</v>
      </c>
      <c r="AO45" s="94">
        <f t="shared" si="12"/>
        <v>3.2076678722568593E-2</v>
      </c>
      <c r="AP45" s="94">
        <f t="shared" si="12"/>
        <v>3.0281124768741632E-2</v>
      </c>
      <c r="AQ45" s="94">
        <f t="shared" si="12"/>
        <v>2.8485570814914669E-2</v>
      </c>
      <c r="AR45" s="94">
        <f t="shared" si="12"/>
        <v>2.5180454137145331E-2</v>
      </c>
      <c r="AS45" s="94">
        <f t="shared" si="12"/>
        <v>-5.2347963853068469E-4</v>
      </c>
    </row>
    <row r="46" spans="1:46" outlineLevel="1" x14ac:dyDescent="0.2">
      <c r="A46" s="356">
        <f t="shared" si="10"/>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356">
        <f t="shared" si="10"/>
        <v>17</v>
      </c>
      <c r="B47" s="2"/>
      <c r="C47" s="2"/>
      <c r="D47" s="112"/>
      <c r="E47" s="43">
        <f>+E27/2</f>
        <v>556359.08750465384</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356">
        <f t="shared" si="10"/>
        <v>18</v>
      </c>
      <c r="B48" s="2"/>
      <c r="C48" s="2"/>
      <c r="D48" s="112"/>
      <c r="E48" s="43">
        <f>+E60/2</f>
        <v>56881.23957243959</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356">
        <f t="shared" si="10"/>
        <v>19</v>
      </c>
      <c r="B49" s="46" t="s">
        <v>64</v>
      </c>
      <c r="C49" s="2"/>
      <c r="D49" s="112"/>
      <c r="E49" s="41">
        <f>F22-E27/2-E60/2</f>
        <v>43505273.43760021</v>
      </c>
      <c r="F49" s="110">
        <f>$F$22-(SUM($E$27:E27)+F27/2)-(SUM($E$60:E60)+F60/2)</f>
        <v>42118093.30298388</v>
      </c>
      <c r="G49" s="110">
        <f>$F$22-(SUM($E$27:F27)+G27/2)-(SUM($E$60:F60)+G60/2)</f>
        <v>40595321.534088872</v>
      </c>
      <c r="H49" s="110">
        <f>$F$22-(SUM($E$27:G27)+H27/2)-(SUM($E$60:G60)+H60/2)</f>
        <v>39120819.831103794</v>
      </c>
      <c r="I49" s="110">
        <f>$F$22-(SUM($E$27:H27)+I27/2)-(SUM($E$60:H60)+I60/2)</f>
        <v>37690974.887751326</v>
      </c>
      <c r="J49" s="110">
        <f>$F$22-(SUM($E$27:I27)+J27/2)-(SUM($E$60:I60)+J60/2)</f>
        <v>36302451.344390862</v>
      </c>
      <c r="K49" s="110">
        <f>$F$22-(SUM($E$27:J27)+K27/2)-(SUM($E$60:J60)+K60/2)</f>
        <v>34952145.463579044</v>
      </c>
      <c r="L49" s="110">
        <f>$F$22-(SUM($E$27:K27)+L27/2)-(SUM($E$60:K60)+L60/2)</f>
        <v>33637185.1300698</v>
      </c>
      <c r="M49" s="110">
        <f>$F$22-(SUM($E$27:L27)+M27/2)-(SUM($E$60:L60)+M60/2)</f>
        <v>32341959.007767491</v>
      </c>
      <c r="N49" s="110">
        <f>$F$22-(SUM($E$27:M27)+N27/2)-(SUM($E$60:M60)+N60/2)</f>
        <v>31049558.676271807</v>
      </c>
      <c r="O49" s="110">
        <f>$F$22-(SUM($E$27:N27)+O27/2)-(SUM($E$60:N60)+O60/2)</f>
        <v>29757158.344776131</v>
      </c>
      <c r="P49" s="110">
        <f>$F$22-(SUM($E$27:O27)+P27/2)-(SUM($E$60:O60)+P60/2)</f>
        <v>28464758.013280451</v>
      </c>
      <c r="Q49" s="110">
        <f>$F$22-(SUM($E$27:P27)+Q27/2)-(SUM($E$60:P60)+Q60/2)</f>
        <v>27172357.681784771</v>
      </c>
      <c r="R49" s="110">
        <f>$F$22-(SUM($E$27:Q27)+R27/2)-(SUM($E$60:Q60)+R60/2)</f>
        <v>25879957.350289088</v>
      </c>
      <c r="S49" s="110">
        <f>$F$22-(SUM($E$27:R27)+S27/2)-(SUM($E$60:R60)+S60/2)</f>
        <v>24587557.018793408</v>
      </c>
      <c r="T49" s="110">
        <f>$F$22-(SUM($E$27:S27)+T27/2)-(SUM($E$60:S60)+T60/2)</f>
        <v>23295156.687297728</v>
      </c>
      <c r="U49" s="110">
        <f>$F$22-(SUM($E$27:T27)+U27/2)-(SUM($E$60:T60)+U60/2)</f>
        <v>22002756.355802048</v>
      </c>
      <c r="V49" s="110">
        <f>$F$22-(SUM($E$27:U27)+V27/2)-(SUM($E$60:U60)+V60/2)</f>
        <v>20710356.024306372</v>
      </c>
      <c r="W49" s="110">
        <f>$F$22-(SUM($E$27:V27)+W27/2)-(SUM($E$60:V60)+W60/2)</f>
        <v>19417955.692810692</v>
      </c>
      <c r="X49" s="110">
        <f>$F$22-(SUM($E$27:W27)+X27/2)-(SUM($E$60:W60)+X60/2)</f>
        <v>18125555.361315012</v>
      </c>
      <c r="Y49" s="110">
        <f>$F$22-(SUM($E$27:X27)+Y27/2)-(SUM($E$60:X60)+Y60/2)</f>
        <v>16936504.854238778</v>
      </c>
      <c r="Z49" s="110">
        <f>$F$22-(SUM($E$27:Y27)+Z27/2)-(SUM($E$60:Y60)+Z60/2)</f>
        <v>15954107.671561984</v>
      </c>
      <c r="AA49" s="110">
        <f>$F$22-(SUM($E$27:Z27)+AA27/2)-(SUM($E$60:Z60)+AA60/2)</f>
        <v>15075060.313304633</v>
      </c>
      <c r="AB49" s="110">
        <f>$F$22-(SUM($E$27:AA27)+AB27/2)-(SUM($E$60:AA60)+AB60/2)</f>
        <v>14196012.95504728</v>
      </c>
      <c r="AC49" s="110">
        <f>$F$22-(SUM($E$27:AB27)+AC27/2)-(SUM($E$60:AB60)+AC60/2)</f>
        <v>13316965.596789928</v>
      </c>
      <c r="AD49" s="110">
        <f>$F$22-(SUM($E$27:AC27)+AD27/2)-(SUM($E$60:AC60)+AD60/2)</f>
        <v>12437918.238532577</v>
      </c>
      <c r="AE49" s="110">
        <f>$F$22-(SUM($E$27:AD27)+AE27/2)-(SUM($E$60:AD60)+AE60/2)</f>
        <v>11558870.880275223</v>
      </c>
      <c r="AF49" s="110">
        <f>$F$22-(SUM($E$27:AE27)+AF27/2)-(SUM($E$60:AE60)+AF60/2)</f>
        <v>10679823.522017874</v>
      </c>
      <c r="AG49" s="110">
        <f>$F$22-(SUM($E$27:AF27)+AG27/2)-(SUM($E$60:AF60)+AG60/2)</f>
        <v>9800776.1637605205</v>
      </c>
      <c r="AH49" s="110">
        <f>$F$22-(SUM($E$27:AG27)+AH27/2)-(SUM($E$60:AG60)+AH60/2)</f>
        <v>8921728.8055031691</v>
      </c>
      <c r="AI49" s="110">
        <f>$F$22-(SUM($E$27:AH27)+AI27/2)-(SUM($E$60:AH60)+AI60/2)</f>
        <v>8042681.4472458167</v>
      </c>
      <c r="AJ49" s="110">
        <f>$F$22-(SUM($E$27:AI27)+AJ27/2)-(SUM($E$60:AI60)+AJ60/2)</f>
        <v>7163634.0889884615</v>
      </c>
      <c r="AK49" s="110">
        <f>$F$22-(SUM($E$27:AJ27)+AK27/2)-(SUM($E$60:AJ60)+AK60/2)</f>
        <v>6284586.7307311054</v>
      </c>
      <c r="AL49" s="110">
        <f>$F$22-(SUM($E$27:AK27)+AL27/2)-(SUM($E$60:AK60)+AL60/2)</f>
        <v>5405539.3724737503</v>
      </c>
      <c r="AM49" s="110">
        <f>$F$22-(SUM($E$27:AL27)+AM27/2)-(SUM($E$60:AL60)+AM60/2)</f>
        <v>4526492.0142163942</v>
      </c>
      <c r="AN49" s="110">
        <f>$F$22-(SUM($E$27:AM27)+AN27/2)-(SUM($E$60:AM60)+AN60/2)</f>
        <v>3647444.655959039</v>
      </c>
      <c r="AO49" s="110">
        <f>$F$22-(SUM($E$27:AN27)+AO27/2)-(SUM($E$60:AN60)+AO60/2)</f>
        <v>2768397.2977016829</v>
      </c>
      <c r="AP49" s="110">
        <f>$F$22-(SUM($E$27:AO27)+AP27/2)-(SUM($E$60:AO60)+AP60/2)</f>
        <v>1889349.9394443275</v>
      </c>
      <c r="AQ49" s="110">
        <f>$F$22-(SUM($E$27:AP27)+AQ27/2)-(SUM($E$60:AP60)+AQ60/2)</f>
        <v>1010302.5811869719</v>
      </c>
      <c r="AR49" s="110">
        <f>$F$22-(SUM($E$27:AQ27)+AR27/2)-(SUM($E$60:AQ60)+AR60/2)</f>
        <v>157249.77792961622</v>
      </c>
      <c r="AS49" s="110">
        <f>$F$22-(SUM($E$27:AR27)+AS27/2)-(SUM($E$60:AR60)+AS60/2)</f>
        <v>-256279.34619906161</v>
      </c>
      <c r="AT49" s="97">
        <f t="shared" ref="AT49:AT60" si="13">SUM(D49:AS49)</f>
        <v>780244518.7067728</v>
      </c>
    </row>
    <row r="50" spans="1:46" x14ac:dyDescent="0.2">
      <c r="A50" s="356">
        <f t="shared" si="10"/>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7">
        <f t="shared" si="13"/>
        <v>0</v>
      </c>
    </row>
    <row r="51" spans="1:46" x14ac:dyDescent="0.2">
      <c r="A51" s="356">
        <f t="shared" si="10"/>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7">
        <f t="shared" si="13"/>
        <v>0</v>
      </c>
    </row>
    <row r="52" spans="1:46" x14ac:dyDescent="0.2">
      <c r="A52" s="356">
        <f t="shared" si="10"/>
        <v>22</v>
      </c>
      <c r="B52" s="2" t="s">
        <v>65</v>
      </c>
      <c r="C52" s="2"/>
      <c r="D52" s="112"/>
      <c r="E52" s="38">
        <f>(E34)/(1-$F$15)</f>
        <v>2511190.4667779361</v>
      </c>
      <c r="F52" s="95">
        <f t="shared" ref="F52:AS52" si="14">(F34)/(1-$F$15)</f>
        <v>2431120.3222988164</v>
      </c>
      <c r="G52" s="95">
        <f t="shared" si="14"/>
        <v>2343223.6227271552</v>
      </c>
      <c r="H52" s="95">
        <f t="shared" si="14"/>
        <v>2258113.1446814341</v>
      </c>
      <c r="I52" s="95">
        <f t="shared" si="14"/>
        <v>2175580.3226347603</v>
      </c>
      <c r="J52" s="95">
        <f t="shared" si="14"/>
        <v>2095432.6345623082</v>
      </c>
      <c r="K52" s="95">
        <f t="shared" si="14"/>
        <v>2017490.9280243092</v>
      </c>
      <c r="L52" s="95">
        <f t="shared" si="14"/>
        <v>1941589.4201660543</v>
      </c>
      <c r="M52" s="95">
        <f t="shared" si="14"/>
        <v>1866827.0009546806</v>
      </c>
      <c r="N52" s="95">
        <f t="shared" si="14"/>
        <v>1792227.6906810054</v>
      </c>
      <c r="O52" s="95">
        <f t="shared" si="14"/>
        <v>1717628.380407331</v>
      </c>
      <c r="P52" s="95">
        <f t="shared" si="14"/>
        <v>1643029.0701336565</v>
      </c>
      <c r="Q52" s="95">
        <f t="shared" si="14"/>
        <v>1568429.7598599817</v>
      </c>
      <c r="R52" s="95">
        <f t="shared" si="14"/>
        <v>1493830.4495863067</v>
      </c>
      <c r="S52" s="95">
        <f t="shared" si="14"/>
        <v>1419231.1393126319</v>
      </c>
      <c r="T52" s="95">
        <f t="shared" si="14"/>
        <v>1344631.8290389576</v>
      </c>
      <c r="U52" s="95">
        <f t="shared" si="14"/>
        <v>1270032.5187652828</v>
      </c>
      <c r="V52" s="95">
        <f t="shared" si="14"/>
        <v>1195433.2084916083</v>
      </c>
      <c r="W52" s="95">
        <f t="shared" si="14"/>
        <v>1120833.8982179337</v>
      </c>
      <c r="X52" s="95">
        <f t="shared" si="14"/>
        <v>1046234.5879442588</v>
      </c>
      <c r="Y52" s="95">
        <f t="shared" si="14"/>
        <v>977600.7865231497</v>
      </c>
      <c r="Z52" s="95">
        <f t="shared" si="14"/>
        <v>920895.32889016008</v>
      </c>
      <c r="AA52" s="95">
        <f t="shared" si="14"/>
        <v>870155.38010973576</v>
      </c>
      <c r="AB52" s="95">
        <f t="shared" si="14"/>
        <v>819415.43132931134</v>
      </c>
      <c r="AC52" s="95">
        <f t="shared" si="14"/>
        <v>768675.48254888703</v>
      </c>
      <c r="AD52" s="95">
        <f t="shared" si="14"/>
        <v>717935.5337684626</v>
      </c>
      <c r="AE52" s="95">
        <f t="shared" si="14"/>
        <v>667195.58498803817</v>
      </c>
      <c r="AF52" s="95">
        <f t="shared" si="14"/>
        <v>616455.63620761398</v>
      </c>
      <c r="AG52" s="95">
        <f t="shared" si="14"/>
        <v>565715.68742718955</v>
      </c>
      <c r="AH52" s="95">
        <f t="shared" si="14"/>
        <v>514975.73864676524</v>
      </c>
      <c r="AI52" s="95">
        <f t="shared" si="14"/>
        <v>464235.78986634081</v>
      </c>
      <c r="AJ52" s="95">
        <f t="shared" si="14"/>
        <v>413495.84108591621</v>
      </c>
      <c r="AK52" s="95">
        <f t="shared" si="14"/>
        <v>362755.89230549167</v>
      </c>
      <c r="AL52" s="95">
        <f t="shared" si="14"/>
        <v>312015.94352506712</v>
      </c>
      <c r="AM52" s="95">
        <f t="shared" si="14"/>
        <v>261275.99474464249</v>
      </c>
      <c r="AN52" s="95">
        <f t="shared" si="14"/>
        <v>210536.04596421792</v>
      </c>
      <c r="AO52" s="95">
        <f t="shared" si="14"/>
        <v>159796.09718379335</v>
      </c>
      <c r="AP52" s="95">
        <f t="shared" si="14"/>
        <v>109056.14840336877</v>
      </c>
      <c r="AQ52" s="95">
        <f t="shared" si="14"/>
        <v>58316.199622944201</v>
      </c>
      <c r="AR52" s="95">
        <f t="shared" si="14"/>
        <v>9076.6960425196194</v>
      </c>
      <c r="AS52" s="95">
        <f t="shared" si="14"/>
        <v>-14792.833147692669</v>
      </c>
      <c r="AT52" s="97">
        <f t="shared" si="13"/>
        <v>45036898.801302344</v>
      </c>
    </row>
    <row r="53" spans="1:46" x14ac:dyDescent="0.2">
      <c r="A53" s="356">
        <f t="shared" si="10"/>
        <v>23</v>
      </c>
      <c r="B53" s="2" t="s">
        <v>66</v>
      </c>
      <c r="C53" s="2"/>
      <c r="D53" s="112"/>
      <c r="E53" s="40">
        <f t="shared" ref="E53:AS53" si="15">E52*$F15</f>
        <v>527349.99802336656</v>
      </c>
      <c r="F53" s="93">
        <f t="shared" si="15"/>
        <v>510535.26768275141</v>
      </c>
      <c r="G53" s="93">
        <f t="shared" si="15"/>
        <v>492076.96077270259</v>
      </c>
      <c r="H53" s="93">
        <f t="shared" si="15"/>
        <v>474203.76038310118</v>
      </c>
      <c r="I53" s="93">
        <f t="shared" si="15"/>
        <v>456871.86775329965</v>
      </c>
      <c r="J53" s="93">
        <f t="shared" si="15"/>
        <v>440040.85325808468</v>
      </c>
      <c r="K53" s="93">
        <f t="shared" si="15"/>
        <v>423673.09488510492</v>
      </c>
      <c r="L53" s="93">
        <f t="shared" si="15"/>
        <v>407733.7782348714</v>
      </c>
      <c r="M53" s="93">
        <f t="shared" si="15"/>
        <v>392033.67020048294</v>
      </c>
      <c r="N53" s="93">
        <f t="shared" si="15"/>
        <v>376367.8150430111</v>
      </c>
      <c r="O53" s="93">
        <f t="shared" si="15"/>
        <v>360701.95988553949</v>
      </c>
      <c r="P53" s="93">
        <f t="shared" si="15"/>
        <v>345036.10472806788</v>
      </c>
      <c r="Q53" s="93">
        <f t="shared" si="15"/>
        <v>329370.24957059615</v>
      </c>
      <c r="R53" s="93">
        <f t="shared" si="15"/>
        <v>313704.39441312442</v>
      </c>
      <c r="S53" s="93">
        <f t="shared" si="15"/>
        <v>298038.53925565269</v>
      </c>
      <c r="T53" s="93">
        <f t="shared" si="15"/>
        <v>282372.68409818108</v>
      </c>
      <c r="U53" s="93">
        <f t="shared" si="15"/>
        <v>266706.82894070935</v>
      </c>
      <c r="V53" s="93">
        <f t="shared" si="15"/>
        <v>251040.97378323771</v>
      </c>
      <c r="W53" s="93">
        <f t="shared" si="15"/>
        <v>235375.11862576607</v>
      </c>
      <c r="X53" s="93">
        <f t="shared" si="15"/>
        <v>219709.26346829435</v>
      </c>
      <c r="Y53" s="93">
        <f t="shared" si="15"/>
        <v>205296.16516986143</v>
      </c>
      <c r="Z53" s="93">
        <f t="shared" si="15"/>
        <v>193388.0190669336</v>
      </c>
      <c r="AA53" s="93">
        <f t="shared" si="15"/>
        <v>182732.6298230445</v>
      </c>
      <c r="AB53" s="93">
        <f t="shared" si="15"/>
        <v>172077.24057915536</v>
      </c>
      <c r="AC53" s="93">
        <f t="shared" si="15"/>
        <v>161421.85133526626</v>
      </c>
      <c r="AD53" s="93">
        <f t="shared" si="15"/>
        <v>150766.46209137715</v>
      </c>
      <c r="AE53" s="93">
        <f t="shared" si="15"/>
        <v>140111.07284748802</v>
      </c>
      <c r="AF53" s="93">
        <f t="shared" si="15"/>
        <v>129455.68360359893</v>
      </c>
      <c r="AG53" s="93">
        <f t="shared" si="15"/>
        <v>118800.29435970981</v>
      </c>
      <c r="AH53" s="93">
        <f t="shared" si="15"/>
        <v>108144.9051158207</v>
      </c>
      <c r="AI53" s="93">
        <f t="shared" si="15"/>
        <v>97489.515871931566</v>
      </c>
      <c r="AJ53" s="93">
        <f t="shared" si="15"/>
        <v>86834.126628042402</v>
      </c>
      <c r="AK53" s="93">
        <f t="shared" si="15"/>
        <v>76178.737384153254</v>
      </c>
      <c r="AL53" s="93">
        <f t="shared" si="15"/>
        <v>65523.34814026409</v>
      </c>
      <c r="AM53" s="93">
        <f t="shared" si="15"/>
        <v>54867.958896374919</v>
      </c>
      <c r="AN53" s="93">
        <f t="shared" si="15"/>
        <v>44212.569652485763</v>
      </c>
      <c r="AO53" s="93">
        <f t="shared" si="15"/>
        <v>33557.1804085966</v>
      </c>
      <c r="AP53" s="93">
        <f t="shared" si="15"/>
        <v>22901.791164707443</v>
      </c>
      <c r="AQ53" s="93">
        <f t="shared" si="15"/>
        <v>12246.401920818282</v>
      </c>
      <c r="AR53" s="93">
        <f t="shared" si="15"/>
        <v>1906.10616892912</v>
      </c>
      <c r="AS53" s="93">
        <f t="shared" si="15"/>
        <v>-3106.4949610154604</v>
      </c>
      <c r="AT53" s="97">
        <f t="shared" si="13"/>
        <v>9457748.74827349</v>
      </c>
    </row>
    <row r="54" spans="1:46" x14ac:dyDescent="0.2">
      <c r="A54" s="356">
        <f t="shared" si="10"/>
        <v>24</v>
      </c>
      <c r="B54" s="2" t="s">
        <v>67</v>
      </c>
      <c r="C54" s="2"/>
      <c r="D54" s="112"/>
      <c r="E54" s="38">
        <f>E52-E53</f>
        <v>1983840.4687545695</v>
      </c>
      <c r="F54" s="95">
        <f t="shared" ref="F54:AS54" si="16">F52-F53</f>
        <v>1920585.054616065</v>
      </c>
      <c r="G54" s="95">
        <f t="shared" si="16"/>
        <v>1851146.6619544527</v>
      </c>
      <c r="H54" s="95">
        <f t="shared" si="16"/>
        <v>1783909.384298333</v>
      </c>
      <c r="I54" s="95">
        <f t="shared" si="16"/>
        <v>1718708.4548814606</v>
      </c>
      <c r="J54" s="95">
        <f t="shared" si="16"/>
        <v>1655391.7813042235</v>
      </c>
      <c r="K54" s="95">
        <f t="shared" si="16"/>
        <v>1593817.8331392044</v>
      </c>
      <c r="L54" s="95">
        <f t="shared" si="16"/>
        <v>1533855.6419311829</v>
      </c>
      <c r="M54" s="95">
        <f t="shared" si="16"/>
        <v>1474793.3307541977</v>
      </c>
      <c r="N54" s="95">
        <f t="shared" si="16"/>
        <v>1415859.8756379941</v>
      </c>
      <c r="O54" s="95">
        <f t="shared" si="16"/>
        <v>1356926.4205217916</v>
      </c>
      <c r="P54" s="95">
        <f t="shared" si="16"/>
        <v>1297992.9654055885</v>
      </c>
      <c r="Q54" s="95">
        <f t="shared" si="16"/>
        <v>1239059.5102893854</v>
      </c>
      <c r="R54" s="95">
        <f t="shared" si="16"/>
        <v>1180126.0551731824</v>
      </c>
      <c r="S54" s="95">
        <f t="shared" si="16"/>
        <v>1121192.6000569793</v>
      </c>
      <c r="T54" s="95">
        <f t="shared" si="16"/>
        <v>1062259.1449407765</v>
      </c>
      <c r="U54" s="95">
        <f t="shared" si="16"/>
        <v>1003325.6898245735</v>
      </c>
      <c r="V54" s="95">
        <f t="shared" si="16"/>
        <v>944392.23470837052</v>
      </c>
      <c r="W54" s="95">
        <f t="shared" si="16"/>
        <v>885458.77959216759</v>
      </c>
      <c r="X54" s="95">
        <f t="shared" si="16"/>
        <v>826525.32447596453</v>
      </c>
      <c r="Y54" s="95">
        <f t="shared" si="16"/>
        <v>772304.6213532883</v>
      </c>
      <c r="Z54" s="95">
        <f t="shared" si="16"/>
        <v>727507.30982322642</v>
      </c>
      <c r="AA54" s="95">
        <f t="shared" si="16"/>
        <v>687422.75028669124</v>
      </c>
      <c r="AB54" s="95">
        <f t="shared" si="16"/>
        <v>647338.19075015595</v>
      </c>
      <c r="AC54" s="95">
        <f t="shared" si="16"/>
        <v>607253.63121362077</v>
      </c>
      <c r="AD54" s="95">
        <f t="shared" si="16"/>
        <v>567169.07167708548</v>
      </c>
      <c r="AE54" s="95">
        <f t="shared" si="16"/>
        <v>527084.51214055018</v>
      </c>
      <c r="AF54" s="95">
        <f t="shared" si="16"/>
        <v>486999.95260401507</v>
      </c>
      <c r="AG54" s="95">
        <f t="shared" si="16"/>
        <v>446915.39306747972</v>
      </c>
      <c r="AH54" s="95">
        <f t="shared" si="16"/>
        <v>406830.83353094454</v>
      </c>
      <c r="AI54" s="95">
        <f t="shared" si="16"/>
        <v>366746.27399440925</v>
      </c>
      <c r="AJ54" s="95">
        <f t="shared" si="16"/>
        <v>326661.71445787384</v>
      </c>
      <c r="AK54" s="95">
        <f t="shared" si="16"/>
        <v>286577.15492133843</v>
      </c>
      <c r="AL54" s="95">
        <f t="shared" si="16"/>
        <v>246492.59538480302</v>
      </c>
      <c r="AM54" s="95">
        <f t="shared" si="16"/>
        <v>206408.03584826758</v>
      </c>
      <c r="AN54" s="95">
        <f t="shared" si="16"/>
        <v>166323.47631173214</v>
      </c>
      <c r="AO54" s="95">
        <f t="shared" si="16"/>
        <v>126238.91677519675</v>
      </c>
      <c r="AP54" s="95">
        <f t="shared" si="16"/>
        <v>86154.357238661323</v>
      </c>
      <c r="AQ54" s="95">
        <f t="shared" si="16"/>
        <v>46069.797702125921</v>
      </c>
      <c r="AR54" s="95">
        <f t="shared" si="16"/>
        <v>7170.5898735904993</v>
      </c>
      <c r="AS54" s="95">
        <f t="shared" si="16"/>
        <v>-11686.338186677209</v>
      </c>
      <c r="AT54" s="97">
        <f t="shared" si="13"/>
        <v>35579150.053028844</v>
      </c>
    </row>
    <row r="55" spans="1:46" x14ac:dyDescent="0.2">
      <c r="A55" s="356">
        <f t="shared" si="10"/>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97">
        <f t="shared" si="13"/>
        <v>0</v>
      </c>
    </row>
    <row r="56" spans="1:46" x14ac:dyDescent="0.2">
      <c r="A56" s="356">
        <f t="shared" si="10"/>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97">
        <f t="shared" si="13"/>
        <v>0</v>
      </c>
    </row>
    <row r="57" spans="1:46" x14ac:dyDescent="0.2">
      <c r="A57" s="356">
        <f t="shared" si="10"/>
        <v>27</v>
      </c>
      <c r="B57" s="2" t="s">
        <v>68</v>
      </c>
      <c r="C57" s="2"/>
      <c r="D57" s="112"/>
      <c r="E57" s="114">
        <f>E27+E28</f>
        <v>1112718.1750093077</v>
      </c>
      <c r="F57" s="95">
        <f>F27</f>
        <v>1112718.1750093077</v>
      </c>
      <c r="G57" s="95">
        <f>G27</f>
        <v>1112718.1750093077</v>
      </c>
      <c r="H57" s="95">
        <f t="shared" ref="H57:AS57" si="17">H27</f>
        <v>1112718.1750093077</v>
      </c>
      <c r="I57" s="95">
        <f t="shared" si="17"/>
        <v>1112718.1750093077</v>
      </c>
      <c r="J57" s="95">
        <f t="shared" si="17"/>
        <v>1112718.1750093077</v>
      </c>
      <c r="K57" s="95">
        <f t="shared" si="17"/>
        <v>1112718.1750093077</v>
      </c>
      <c r="L57" s="95">
        <f t="shared" si="17"/>
        <v>1112718.1750093077</v>
      </c>
      <c r="M57" s="95">
        <f t="shared" si="17"/>
        <v>1112718.1750093077</v>
      </c>
      <c r="N57" s="95">
        <f t="shared" si="17"/>
        <v>1112718.1750093077</v>
      </c>
      <c r="O57" s="95">
        <f t="shared" si="17"/>
        <v>1112718.1750093077</v>
      </c>
      <c r="P57" s="95">
        <f t="shared" si="17"/>
        <v>1112718.1750093077</v>
      </c>
      <c r="Q57" s="95">
        <f t="shared" si="17"/>
        <v>1112718.1750093077</v>
      </c>
      <c r="R57" s="95">
        <f t="shared" si="17"/>
        <v>1112718.1750093077</v>
      </c>
      <c r="S57" s="95">
        <f t="shared" si="17"/>
        <v>1112718.1750093077</v>
      </c>
      <c r="T57" s="95">
        <f t="shared" si="17"/>
        <v>1112718.1750093077</v>
      </c>
      <c r="U57" s="95">
        <f t="shared" si="17"/>
        <v>1112718.1750093077</v>
      </c>
      <c r="V57" s="95">
        <f t="shared" si="17"/>
        <v>1112718.1750093077</v>
      </c>
      <c r="W57" s="95">
        <f t="shared" si="17"/>
        <v>1112718.1750093077</v>
      </c>
      <c r="X57" s="95">
        <f t="shared" si="17"/>
        <v>1112718.1750093077</v>
      </c>
      <c r="Y57" s="95">
        <f t="shared" si="17"/>
        <v>1112718.1750093077</v>
      </c>
      <c r="Z57" s="95">
        <f t="shared" si="17"/>
        <v>1112718.1750093077</v>
      </c>
      <c r="AA57" s="95">
        <f t="shared" si="17"/>
        <v>1112718.1750093077</v>
      </c>
      <c r="AB57" s="95">
        <f t="shared" si="17"/>
        <v>1112718.1750093077</v>
      </c>
      <c r="AC57" s="95">
        <f t="shared" si="17"/>
        <v>1112718.1750093077</v>
      </c>
      <c r="AD57" s="95">
        <f t="shared" si="17"/>
        <v>1112718.1750093077</v>
      </c>
      <c r="AE57" s="95">
        <f t="shared" si="17"/>
        <v>1112718.1750093077</v>
      </c>
      <c r="AF57" s="95">
        <f t="shared" si="17"/>
        <v>1112718.1750093077</v>
      </c>
      <c r="AG57" s="95">
        <f t="shared" si="17"/>
        <v>1112718.1750093077</v>
      </c>
      <c r="AH57" s="95">
        <f t="shared" si="17"/>
        <v>1112718.1750093077</v>
      </c>
      <c r="AI57" s="95">
        <f t="shared" si="17"/>
        <v>1112718.1750093077</v>
      </c>
      <c r="AJ57" s="95">
        <f t="shared" si="17"/>
        <v>1112718.1750093077</v>
      </c>
      <c r="AK57" s="95">
        <f t="shared" si="17"/>
        <v>1112718.1750093077</v>
      </c>
      <c r="AL57" s="95">
        <f t="shared" si="17"/>
        <v>1112718.1750093077</v>
      </c>
      <c r="AM57" s="95">
        <f t="shared" si="17"/>
        <v>1112718.1750093077</v>
      </c>
      <c r="AN57" s="95">
        <f t="shared" si="17"/>
        <v>1112718.1750093077</v>
      </c>
      <c r="AO57" s="95">
        <f t="shared" si="17"/>
        <v>1112718.1750093077</v>
      </c>
      <c r="AP57" s="95">
        <f t="shared" si="17"/>
        <v>1112718.1750093077</v>
      </c>
      <c r="AQ57" s="95">
        <f t="shared" si="17"/>
        <v>1112718.1750093077</v>
      </c>
      <c r="AR57" s="95">
        <f t="shared" si="17"/>
        <v>1046909.1750093077</v>
      </c>
      <c r="AS57" s="95">
        <f t="shared" si="17"/>
        <v>0</v>
      </c>
      <c r="AT57" s="97">
        <f t="shared" si="13"/>
        <v>44442918.00037232</v>
      </c>
    </row>
    <row r="58" spans="1:46" x14ac:dyDescent="0.2">
      <c r="A58" s="356">
        <f t="shared" si="10"/>
        <v>28</v>
      </c>
      <c r="B58" s="2" t="s">
        <v>69</v>
      </c>
      <c r="C58" s="2"/>
      <c r="D58" s="112"/>
      <c r="E58" s="38">
        <f>$F22*E62</f>
        <v>1654444.2661753991</v>
      </c>
      <c r="F58" s="95">
        <f t="shared" ref="F58:AS58" si="18">$F22*F62</f>
        <v>3184915.5086720549</v>
      </c>
      <c r="G58" s="95">
        <f t="shared" si="18"/>
        <v>2945793.1640675035</v>
      </c>
      <c r="H58" s="95">
        <f t="shared" si="18"/>
        <v>2725200.5952441171</v>
      </c>
      <c r="I58" s="95">
        <f t="shared" si="18"/>
        <v>2520490.6913760146</v>
      </c>
      <c r="J58" s="95">
        <f t="shared" si="18"/>
        <v>2331663.4524631957</v>
      </c>
      <c r="K58" s="95">
        <f t="shared" si="18"/>
        <v>2156512.952817427</v>
      </c>
      <c r="L58" s="95">
        <f t="shared" si="18"/>
        <v>1995039.1924387079</v>
      </c>
      <c r="M58" s="95">
        <f t="shared" si="18"/>
        <v>1968568.0841799015</v>
      </c>
      <c r="N58" s="95">
        <f t="shared" si="18"/>
        <v>1968126.899042255</v>
      </c>
      <c r="O58" s="95">
        <f t="shared" si="18"/>
        <v>1968568.0841799015</v>
      </c>
      <c r="P58" s="95">
        <f t="shared" si="18"/>
        <v>1968126.899042255</v>
      </c>
      <c r="Q58" s="95">
        <f t="shared" si="18"/>
        <v>1968568.0841799015</v>
      </c>
      <c r="R58" s="95">
        <f t="shared" si="18"/>
        <v>1968126.899042255</v>
      </c>
      <c r="S58" s="95">
        <f t="shared" si="18"/>
        <v>1968568.0841799015</v>
      </c>
      <c r="T58" s="95">
        <f t="shared" si="18"/>
        <v>1968126.899042255</v>
      </c>
      <c r="U58" s="95">
        <f t="shared" si="18"/>
        <v>1968568.0841799015</v>
      </c>
      <c r="V58" s="95">
        <f t="shared" si="18"/>
        <v>1968126.899042255</v>
      </c>
      <c r="W58" s="95">
        <f t="shared" si="18"/>
        <v>1968568.0841799015</v>
      </c>
      <c r="X58" s="95">
        <f t="shared" si="18"/>
        <v>1968126.899042255</v>
      </c>
      <c r="Y58" s="95">
        <f t="shared" si="18"/>
        <v>984284.04208995076</v>
      </c>
      <c r="Z58" s="95">
        <f t="shared" si="18"/>
        <v>0</v>
      </c>
      <c r="AA58" s="95">
        <f t="shared" si="18"/>
        <v>0</v>
      </c>
      <c r="AB58" s="95">
        <f t="shared" si="18"/>
        <v>0</v>
      </c>
      <c r="AC58" s="95">
        <f t="shared" si="18"/>
        <v>0</v>
      </c>
      <c r="AD58" s="95">
        <f t="shared" si="18"/>
        <v>0</v>
      </c>
      <c r="AE58" s="95">
        <f t="shared" si="18"/>
        <v>0</v>
      </c>
      <c r="AF58" s="95">
        <f t="shared" si="18"/>
        <v>0</v>
      </c>
      <c r="AG58" s="95">
        <f t="shared" si="18"/>
        <v>0</v>
      </c>
      <c r="AH58" s="95">
        <f t="shared" si="18"/>
        <v>0</v>
      </c>
      <c r="AI58" s="95">
        <f t="shared" si="18"/>
        <v>0</v>
      </c>
      <c r="AJ58" s="95">
        <f t="shared" si="18"/>
        <v>0</v>
      </c>
      <c r="AK58" s="95">
        <f t="shared" si="18"/>
        <v>0</v>
      </c>
      <c r="AL58" s="95">
        <f t="shared" si="18"/>
        <v>0</v>
      </c>
      <c r="AM58" s="95">
        <f t="shared" si="18"/>
        <v>0</v>
      </c>
      <c r="AN58" s="95">
        <f t="shared" si="18"/>
        <v>0</v>
      </c>
      <c r="AO58" s="95">
        <f t="shared" si="18"/>
        <v>0</v>
      </c>
      <c r="AP58" s="95">
        <f t="shared" si="18"/>
        <v>0</v>
      </c>
      <c r="AQ58" s="95">
        <f t="shared" si="18"/>
        <v>0</v>
      </c>
      <c r="AR58" s="95">
        <f t="shared" si="18"/>
        <v>0</v>
      </c>
      <c r="AS58" s="95">
        <f t="shared" si="18"/>
        <v>0</v>
      </c>
      <c r="AT58" s="97">
        <f t="shared" si="13"/>
        <v>44118513.764677308</v>
      </c>
    </row>
    <row r="59" spans="1:46" x14ac:dyDescent="0.2">
      <c r="A59" s="356">
        <f t="shared" si="10"/>
        <v>29</v>
      </c>
      <c r="B59" s="2" t="s">
        <v>70</v>
      </c>
      <c r="C59" s="2"/>
      <c r="D59" s="112"/>
      <c r="E59" s="38">
        <f>E58-E57</f>
        <v>541726.09116609138</v>
      </c>
      <c r="F59" s="95">
        <f>F58-F57</f>
        <v>2072197.3336627472</v>
      </c>
      <c r="G59" s="95">
        <f>G58-G57</f>
        <v>1833074.9890581958</v>
      </c>
      <c r="H59" s="95">
        <f t="shared" ref="H59:AS59" si="19">H58-H57</f>
        <v>1612482.4202348094</v>
      </c>
      <c r="I59" s="95">
        <f t="shared" si="19"/>
        <v>1407772.5163667069</v>
      </c>
      <c r="J59" s="95">
        <f t="shared" si="19"/>
        <v>1218945.277453888</v>
      </c>
      <c r="K59" s="95">
        <f t="shared" si="19"/>
        <v>1043794.7778081193</v>
      </c>
      <c r="L59" s="95">
        <f t="shared" si="19"/>
        <v>882321.01742940024</v>
      </c>
      <c r="M59" s="95">
        <f t="shared" si="19"/>
        <v>855849.90917059383</v>
      </c>
      <c r="N59" s="95">
        <f t="shared" si="19"/>
        <v>855408.72403294733</v>
      </c>
      <c r="O59" s="95">
        <f t="shared" si="19"/>
        <v>855849.90917059383</v>
      </c>
      <c r="P59" s="95">
        <f t="shared" si="19"/>
        <v>855408.72403294733</v>
      </c>
      <c r="Q59" s="95">
        <f t="shared" si="19"/>
        <v>855849.90917059383</v>
      </c>
      <c r="R59" s="95">
        <f t="shared" si="19"/>
        <v>855408.72403294733</v>
      </c>
      <c r="S59" s="95">
        <f t="shared" si="19"/>
        <v>855849.90917059383</v>
      </c>
      <c r="T59" s="95">
        <f t="shared" si="19"/>
        <v>855408.72403294733</v>
      </c>
      <c r="U59" s="95">
        <f t="shared" si="19"/>
        <v>855849.90917059383</v>
      </c>
      <c r="V59" s="95">
        <f t="shared" si="19"/>
        <v>855408.72403294733</v>
      </c>
      <c r="W59" s="95">
        <f t="shared" si="19"/>
        <v>855849.90917059383</v>
      </c>
      <c r="X59" s="95">
        <f t="shared" si="19"/>
        <v>855408.72403294733</v>
      </c>
      <c r="Y59" s="95">
        <f t="shared" si="19"/>
        <v>-128434.13291935693</v>
      </c>
      <c r="Z59" s="95">
        <f t="shared" si="19"/>
        <v>-1112718.1750093077</v>
      </c>
      <c r="AA59" s="95">
        <f t="shared" si="19"/>
        <v>-1112718.1750093077</v>
      </c>
      <c r="AB59" s="95">
        <f t="shared" si="19"/>
        <v>-1112718.1750093077</v>
      </c>
      <c r="AC59" s="95">
        <f t="shared" si="19"/>
        <v>-1112718.1750093077</v>
      </c>
      <c r="AD59" s="95">
        <f t="shared" si="19"/>
        <v>-1112718.1750093077</v>
      </c>
      <c r="AE59" s="95">
        <f t="shared" si="19"/>
        <v>-1112718.1750093077</v>
      </c>
      <c r="AF59" s="95">
        <f t="shared" si="19"/>
        <v>-1112718.1750093077</v>
      </c>
      <c r="AG59" s="95">
        <f t="shared" si="19"/>
        <v>-1112718.1750093077</v>
      </c>
      <c r="AH59" s="95">
        <f t="shared" si="19"/>
        <v>-1112718.1750093077</v>
      </c>
      <c r="AI59" s="95">
        <f t="shared" si="19"/>
        <v>-1112718.1750093077</v>
      </c>
      <c r="AJ59" s="95">
        <f t="shared" si="19"/>
        <v>-1112718.1750093077</v>
      </c>
      <c r="AK59" s="95">
        <f t="shared" si="19"/>
        <v>-1112718.1750093077</v>
      </c>
      <c r="AL59" s="95">
        <f t="shared" si="19"/>
        <v>-1112718.1750093077</v>
      </c>
      <c r="AM59" s="95">
        <f t="shared" si="19"/>
        <v>-1112718.1750093077</v>
      </c>
      <c r="AN59" s="95">
        <f t="shared" si="19"/>
        <v>-1112718.1750093077</v>
      </c>
      <c r="AO59" s="95">
        <f t="shared" si="19"/>
        <v>-1112718.1750093077</v>
      </c>
      <c r="AP59" s="95">
        <f t="shared" si="19"/>
        <v>-1112718.1750093077</v>
      </c>
      <c r="AQ59" s="95">
        <f t="shared" si="19"/>
        <v>-1112718.1750093077</v>
      </c>
      <c r="AR59" s="95">
        <f t="shared" si="19"/>
        <v>-1046909.1750093077</v>
      </c>
      <c r="AS59" s="95">
        <f t="shared" si="19"/>
        <v>0</v>
      </c>
      <c r="AT59" s="97">
        <f t="shared" si="13"/>
        <v>-324404.23569499771</v>
      </c>
    </row>
    <row r="60" spans="1:46" x14ac:dyDescent="0.2">
      <c r="A60" s="356">
        <f t="shared" si="10"/>
        <v>30</v>
      </c>
      <c r="B60" s="2" t="s">
        <v>71</v>
      </c>
      <c r="C60" s="2"/>
      <c r="D60" s="112"/>
      <c r="E60" s="38">
        <f>E59*F15</f>
        <v>113762.47914487918</v>
      </c>
      <c r="F60" s="95">
        <f t="shared" ref="F60:AS60" si="20">F59*$F$15</f>
        <v>435161.4400691769</v>
      </c>
      <c r="G60" s="95">
        <f t="shared" si="20"/>
        <v>384945.7477022211</v>
      </c>
      <c r="H60" s="95">
        <f t="shared" si="20"/>
        <v>338621.30824930995</v>
      </c>
      <c r="I60" s="95">
        <f t="shared" si="20"/>
        <v>295632.22843700845</v>
      </c>
      <c r="J60" s="95">
        <f t="shared" si="20"/>
        <v>255978.50826531646</v>
      </c>
      <c r="K60" s="95">
        <f t="shared" si="20"/>
        <v>219196.90333970505</v>
      </c>
      <c r="L60" s="95">
        <f t="shared" si="20"/>
        <v>185287.41366017403</v>
      </c>
      <c r="M60" s="95">
        <f t="shared" si="20"/>
        <v>179728.4809258247</v>
      </c>
      <c r="N60" s="95">
        <f t="shared" si="20"/>
        <v>179635.83204691892</v>
      </c>
      <c r="O60" s="95">
        <f t="shared" si="20"/>
        <v>179728.4809258247</v>
      </c>
      <c r="P60" s="95">
        <f t="shared" si="20"/>
        <v>179635.83204691892</v>
      </c>
      <c r="Q60" s="95">
        <f t="shared" si="20"/>
        <v>179728.4809258247</v>
      </c>
      <c r="R60" s="95">
        <f t="shared" si="20"/>
        <v>179635.83204691892</v>
      </c>
      <c r="S60" s="95">
        <f t="shared" si="20"/>
        <v>179728.4809258247</v>
      </c>
      <c r="T60" s="95">
        <f t="shared" si="20"/>
        <v>179635.83204691892</v>
      </c>
      <c r="U60" s="95">
        <f t="shared" si="20"/>
        <v>179728.4809258247</v>
      </c>
      <c r="V60" s="95">
        <f t="shared" si="20"/>
        <v>179635.83204691892</v>
      </c>
      <c r="W60" s="95">
        <f t="shared" si="20"/>
        <v>179728.4809258247</v>
      </c>
      <c r="X60" s="95">
        <f t="shared" si="20"/>
        <v>179635.83204691892</v>
      </c>
      <c r="Y60" s="95">
        <f t="shared" si="20"/>
        <v>-26971.167913064954</v>
      </c>
      <c r="Z60" s="95">
        <f t="shared" si="20"/>
        <v>-233670.81675195461</v>
      </c>
      <c r="AA60" s="95">
        <f t="shared" si="20"/>
        <v>-233670.81675195461</v>
      </c>
      <c r="AB60" s="95">
        <f t="shared" si="20"/>
        <v>-233670.81675195461</v>
      </c>
      <c r="AC60" s="95">
        <f t="shared" si="20"/>
        <v>-233670.81675195461</v>
      </c>
      <c r="AD60" s="95">
        <f t="shared" si="20"/>
        <v>-233670.81675195461</v>
      </c>
      <c r="AE60" s="95">
        <f t="shared" si="20"/>
        <v>-233670.81675195461</v>
      </c>
      <c r="AF60" s="95">
        <f t="shared" si="20"/>
        <v>-233670.81675195461</v>
      </c>
      <c r="AG60" s="95">
        <f t="shared" si="20"/>
        <v>-233670.81675195461</v>
      </c>
      <c r="AH60" s="95">
        <f t="shared" si="20"/>
        <v>-233670.81675195461</v>
      </c>
      <c r="AI60" s="95">
        <f t="shared" si="20"/>
        <v>-233670.81675195461</v>
      </c>
      <c r="AJ60" s="95">
        <f t="shared" si="20"/>
        <v>-233670.81675195461</v>
      </c>
      <c r="AK60" s="95">
        <f t="shared" si="20"/>
        <v>-233670.81675195461</v>
      </c>
      <c r="AL60" s="95">
        <f t="shared" si="20"/>
        <v>-233670.81675195461</v>
      </c>
      <c r="AM60" s="95">
        <f t="shared" si="20"/>
        <v>-233670.81675195461</v>
      </c>
      <c r="AN60" s="95">
        <f t="shared" si="20"/>
        <v>-233670.81675195461</v>
      </c>
      <c r="AO60" s="95">
        <f t="shared" si="20"/>
        <v>-233670.81675195461</v>
      </c>
      <c r="AP60" s="95">
        <f t="shared" si="20"/>
        <v>-233670.81675195461</v>
      </c>
      <c r="AQ60" s="95">
        <f t="shared" si="20"/>
        <v>-233670.81675195461</v>
      </c>
      <c r="AR60" s="95">
        <f t="shared" si="20"/>
        <v>-219850.9267519546</v>
      </c>
      <c r="AS60" s="95">
        <f t="shared" si="20"/>
        <v>0</v>
      </c>
      <c r="AT60" s="97">
        <f t="shared" si="13"/>
        <v>-68124.889495950309</v>
      </c>
    </row>
    <row r="61" spans="1:46" x14ac:dyDescent="0.2">
      <c r="A61" s="356">
        <f t="shared" si="10"/>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6" s="50" customFormat="1" x14ac:dyDescent="0.2">
      <c r="A62" s="356">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6" outlineLevel="1" x14ac:dyDescent="0.25">
      <c r="A63" s="356">
        <f t="shared" si="10"/>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6" outlineLevel="1" x14ac:dyDescent="0.25">
      <c r="A64" s="356">
        <f t="shared" si="10"/>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356">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356">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ECF9D527768241AD5A0852CBFBB79D" ma:contentTypeVersion="20" ma:contentTypeDescription="" ma:contentTypeScope="" ma:versionID="a05583bde2d061d9fb8fb295b8a59b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2022-08-05T07:00:00+00:00</OpenedDate>
    <SignificantOrder xmlns="dc463f71-b30c-4ab2-9473-d307f9d35888">false</SignificantOrder>
    <Date1 xmlns="dc463f71-b30c-4ab2-9473-d307f9d35888">2022-08-05T07:00:00+00:00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220590</DocketNumber>
    <DelegatedOrder xmlns="dc463f71-b30c-4ab2-9473-d307f9d35888">false</DelegatedOrder>
  </documentManagement>
</p:properties>
</file>

<file path=customXml/itemProps1.xml><?xml version="1.0" encoding="utf-8"?>
<ds:datastoreItem xmlns:ds="http://schemas.openxmlformats.org/officeDocument/2006/customXml" ds:itemID="{2A0A9E71-F809-4FDD-A53F-DDA15F80E7AE}"/>
</file>

<file path=customXml/itemProps2.xml><?xml version="1.0" encoding="utf-8"?>
<ds:datastoreItem xmlns:ds="http://schemas.openxmlformats.org/officeDocument/2006/customXml" ds:itemID="{DE80E2B8-417A-4867-BE2A-60A57A0DA138}"/>
</file>

<file path=customXml/itemProps3.xml><?xml version="1.0" encoding="utf-8"?>
<ds:datastoreItem xmlns:ds="http://schemas.openxmlformats.org/officeDocument/2006/customXml" ds:itemID="{81F54C21-C8AD-4193-8441-DACD1287BA56}"/>
</file>

<file path=customXml/itemProps4.xml><?xml version="1.0" encoding="utf-8"?>
<ds:datastoreItem xmlns:ds="http://schemas.openxmlformats.org/officeDocument/2006/customXml" ds:itemID="{BA7AE708-97BD-437E-880E-DCB64606A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Summary</vt:lpstr>
      <vt:lpstr>Work Papers--&gt;</vt:lpstr>
      <vt:lpstr>2022 CAP CRM</vt:lpstr>
      <vt:lpstr>2022 C&amp;OM</vt:lpstr>
      <vt:lpstr>Summary 2021</vt:lpstr>
      <vt:lpstr>Prior Yr Support =&gt;</vt:lpstr>
      <vt:lpstr>2021 + true up CAP</vt:lpstr>
      <vt:lpstr>2021TrueUp</vt:lpstr>
      <vt:lpstr>2021 CRM </vt:lpstr>
      <vt:lpstr>2020 CRM</vt:lpstr>
      <vt:lpstr>2019 CRM</vt:lpstr>
      <vt:lpstr>CRM CAP Forecast(from2019filin)</vt:lpstr>
      <vt:lpstr>2017 4.01 G</vt:lpstr>
      <vt:lpstr>2019 GRC</vt:lpstr>
      <vt:lpstr>MACRS 20</vt:lpstr>
      <vt:lpstr>'2017 4.01 G'!Print_Area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Puget Sound Energy</cp:lastModifiedBy>
  <cp:lastPrinted>2019-10-14T16:46:50Z</cp:lastPrinted>
  <dcterms:created xsi:type="dcterms:W3CDTF">2017-05-26T23:01:59Z</dcterms:created>
  <dcterms:modified xsi:type="dcterms:W3CDTF">2022-08-05T17:28:09Z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0x0101006E56B4D1795A2E4DB2F0B01679ED314A008AECF9D527768241AD5A0852CBFBB79D</vt:lpwstr>
  </property>
  <property fmtid="{D5CDD505-2E9C-101B-9397-08002B2CF9AE}" pid="3" name="_docset_NoMedatataSyncRequired">
    <vt:lpwstr>False</vt:lpwstr>
  </property>
  <property fmtid="{D5CDD505-2E9C-101B-9397-08002B2CF9AE}" pid="4" name="IsEFSEC">
    <vt:bool>false</vt:bool>
  </property>
</Properties>
</file>