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publicservices-my.sharepoint.com/personal/easlema_repsrv_com/Documents/Maria Documents/``Maria Documents/``B&amp;O tax increases/"/>
    </mc:Choice>
  </mc:AlternateContent>
  <xr:revisionPtr revIDLastSave="1355" documentId="8_{7F38CED8-38FE-4DC7-9A33-309F77C2CBB0}" xr6:coauthVersionLast="47" xr6:coauthVersionMax="47" xr10:uidLastSave="{65785063-AE37-4B34-AA7F-00B17860DFEB}"/>
  <bookViews>
    <workbookView xWindow="22932" yWindow="-96" windowWidth="23256" windowHeight="12456" tabRatio="730" xr2:uid="{00000000-000D-0000-FFFF-FFFF00000000}"/>
  </bookViews>
  <sheets>
    <sheet name="References" sheetId="4" r:id="rId1"/>
    <sheet name="Rate Impact Calcs " sheetId="7" r:id="rId2"/>
    <sheet name="LG Public 2018 V5.2c (2)" sheetId="13" r:id="rId3"/>
  </sheets>
  <externalReferences>
    <externalReference r:id="rId4"/>
  </externalReferences>
  <definedNames>
    <definedName name="___COS1">#REF!</definedName>
    <definedName name="___COS2">#REF!</definedName>
    <definedName name="__COS1">#REF!</definedName>
    <definedName name="__COS2">#REF!</definedName>
    <definedName name="_Com2">#REF!</definedName>
    <definedName name="_COS1">#REF!</definedName>
    <definedName name="_COS2">#REF!</definedName>
    <definedName name="_In2">#REF!</definedName>
    <definedName name="_Ind2">#REF!</definedName>
    <definedName name="_Key1" hidden="1">#REF!</definedName>
    <definedName name="_Key2" localSheetId="2" hidden="1">#REF!</definedName>
    <definedName name="_Key2" hidden="1">#REF!</definedName>
    <definedName name="_LFL2">#REF!</definedName>
    <definedName name="_NC2">#REF!</definedName>
    <definedName name="_Order1" hidden="1">255</definedName>
    <definedName name="_Order2" hidden="1">255</definedName>
    <definedName name="_RES2">#REF!</definedName>
    <definedName name="_Sort" hidden="1">#REF!</definedName>
    <definedName name="_TS2">#REF!</definedName>
    <definedName name="adetail2" localSheetId="2">#REF!</definedName>
    <definedName name="adetail2">#REF!</definedName>
    <definedName name="adetail3" localSheetId="2">#REF!</definedName>
    <definedName name="adetail3">#REF!</definedName>
    <definedName name="Angie" hidden="1">#REF!</definedName>
    <definedName name="AprSun1" localSheetId="2">DATEVALUE("4/1/"&amp;TheYear)-WEEKDAY(DATEVALUE("4/1/"&amp;TheYear))+1</definedName>
    <definedName name="AprSun1">DATEVALUE("4/1/"&amp;TheYear)-WEEKDAY(DATEVALUE("4/1/"&amp;TheYear))+1</definedName>
    <definedName name="AugSun1" localSheetId="2">DATEVALUE("8/1/"&amp;TheYear)-WEEKDAY(DATEVALUE("8/1/"&amp;TheYear))+1</definedName>
    <definedName name="AugSun1">DATEVALUE("8/1/"&amp;TheYear)-WEEKDAY(DATEVALUE("8/1/"&amp;TheYear))+1</definedName>
    <definedName name="autemplate" localSheetId="2">#REF!</definedName>
    <definedName name="autemplate">#REF!</definedName>
    <definedName name="BudYear" localSheetId="2">#REF!</definedName>
    <definedName name="BudYear">#REF!</definedName>
    <definedName name="coa" localSheetId="2">#REF!</definedName>
    <definedName name="coa">#REF!</definedName>
    <definedName name="colist" localSheetId="2">#REF!</definedName>
    <definedName name="colist">#REF!</definedName>
    <definedName name="color">#REF!</definedName>
    <definedName name="Comm2">#REF!</definedName>
    <definedName name="Commercial">#REF!</definedName>
    <definedName name="Commercial2">#REF!</definedName>
    <definedName name="CommlStaffPriceOut">#REF!</definedName>
    <definedName name="Cons2">#REF!</definedName>
    <definedName name="Consol2">#REF!</definedName>
    <definedName name="Consolidated2">#REF!</definedName>
    <definedName name="CYYear" localSheetId="2">#REF!</definedName>
    <definedName name="CYYear">#REF!</definedName>
    <definedName name="DBxStaffPriceOut">#REF!</definedName>
    <definedName name="Debt_Rate" localSheetId="2">'LG Public 2018 V5.2c (2)'!$K$27</definedName>
    <definedName name="debtP" localSheetId="2">'LG Public 2018 V5.2c (2)'!$I$27</definedName>
    <definedName name="DecSun1" localSheetId="2">DATEVALUE("12/1/"&amp;TheYear)-WEEKDAY(DATEVALUE("12/1/"&amp;TheYear))+1</definedName>
    <definedName name="DecSun1">DATEVALUE("12/1/"&amp;TheYear)-WEEKDAY(DATEVALUE("12/1/"&amp;TheYear))+1</definedName>
    <definedName name="delete" localSheetId="2">#REF!</definedName>
    <definedName name="delete">#REF!</definedName>
    <definedName name="Division_Number">#REF!</definedName>
    <definedName name="DivName" localSheetId="2">#REF!</definedName>
    <definedName name="DivName">#REF!</definedName>
    <definedName name="DivNo" localSheetId="2">'[1]Cont Count Data'!#REF!</definedName>
    <definedName name="DivNo">#REF!</definedName>
    <definedName name="DRevAcct2" localSheetId="2">#REF!</definedName>
    <definedName name="DRevAcct2">#REF!</definedName>
    <definedName name="DRevAcct3" localSheetId="2">#REF!</definedName>
    <definedName name="DRevAcct3">#REF!</definedName>
    <definedName name="Equity_percent" localSheetId="2">'LG Public 2018 V5.2c (2)'!$S$57</definedName>
    <definedName name="equityP" localSheetId="2">'LG Public 2018 V5.2c (2)'!$I$26</definedName>
    <definedName name="errormess2" localSheetId="2">#REF!</definedName>
    <definedName name="errormess2">#REF!</definedName>
    <definedName name="errormess3" localSheetId="2">#REF!</definedName>
    <definedName name="errormess3">#REF!</definedName>
    <definedName name="expenses" localSheetId="2">'LG Public 2018 V5.2c (2)'!$I$8</definedName>
    <definedName name="EXT">#REF!</definedName>
    <definedName name="Gate_Personel___LOB">#REF!</definedName>
    <definedName name="GatePersonel">#REF!</definedName>
    <definedName name="GatePersonelLOB">#REF!</definedName>
    <definedName name="GatePersonelLOB1">#REF!</definedName>
    <definedName name="Hazardous_Stops">#REF!</definedName>
    <definedName name="helpp">#REF!,#REF!,#REF!,#REF!</definedName>
    <definedName name="IC_SubAcct_Tip_Recy">#REF!</definedName>
    <definedName name="Industrial">#REF!</definedName>
    <definedName name="Industrial2">#REF!</definedName>
    <definedName name="infopro">#REF!,#REF!,#REF!,#REF!</definedName>
    <definedName name="INPUT" localSheetId="2">'LG Public 2018 V5.2c (2)'!#REF!</definedName>
    <definedName name="INPUT">#REF!</definedName>
    <definedName name="input2" localSheetId="2">#REF!</definedName>
    <definedName name="input2">#REF!</definedName>
    <definedName name="input3" localSheetId="2">#REF!</definedName>
    <definedName name="input3">#REF!</definedName>
    <definedName name="INPUTc" localSheetId="2">#REF!</definedName>
    <definedName name="INPUTc">#REF!</definedName>
    <definedName name="Investment" localSheetId="2">'LG Public 2018 V5.2c (2)'!$J$28</definedName>
    <definedName name="JEDate" localSheetId="2">#REF!</definedName>
    <definedName name="JEDate">#REF!</definedName>
    <definedName name="JEInitials" localSheetId="2">#REF!</definedName>
    <definedName name="JEInitials">#REF!</definedName>
    <definedName name="JulSun1" localSheetId="2">DATEVALUE("7/1/"&amp;TheYear)-WEEKDAY(DATEVALUE("7/1/"&amp;TheYear))+1</definedName>
    <definedName name="JulSun1">DATEVALUE("7/1/"&amp;TheYear)-WEEKDAY(DATEVALUE("7/1/"&amp;TheYear))+1</definedName>
    <definedName name="Landfill">#REF!</definedName>
    <definedName name="Landfill2">#REF!</definedName>
    <definedName name="MATRIX">#REF!</definedName>
    <definedName name="MEDate" localSheetId="2">#REF!</definedName>
    <definedName name="MEDate">#REF!</definedName>
    <definedName name="MFStaffPriceOut">#REF!</definedName>
    <definedName name="MonthInYear">#REF!</definedName>
    <definedName name="NC">#REF!</definedName>
    <definedName name="NONC">#REF!</definedName>
    <definedName name="NONC2">#REF!</definedName>
    <definedName name="NonCore">#REF!</definedName>
    <definedName name="NonCore2">#REF!</definedName>
    <definedName name="NovSun1" localSheetId="2">DATEVALUE("11/1/"&amp;TheYear)-WEEKDAY(DATEVALUE("11/1/"&amp;TheYear))+1</definedName>
    <definedName name="NovSun1">DATEVALUE("11/1/"&amp;TheYear)-WEEKDAY(DATEVALUE("11/1/"&amp;TheYear))+1</definedName>
    <definedName name="OctSun1" localSheetId="2">DATEVALUE("10/1/"&amp;TheYear)-WEEKDAY(DATEVALUE("10/1/"&amp;TheYear))+1</definedName>
    <definedName name="OctSun1">DATEVALUE("10/1/"&amp;TheYear)-WEEKDAY(DATEVALUE("10/1/"&amp;TheYear))+1</definedName>
    <definedName name="OHD">#REF!</definedName>
    <definedName name="Operators_Payroll">#REF!</definedName>
    <definedName name="OPRD">#REF!</definedName>
    <definedName name="Overhead">#REF!</definedName>
    <definedName name="Ovhd">#REF!</definedName>
    <definedName name="Pfd_weighted" localSheetId="2">'LG Public 2018 V5.2c (2)'!$U$56</definedName>
    <definedName name="position">#REF!</definedName>
    <definedName name="position2">#REF!</definedName>
    <definedName name="_xlnm.Print_Area" localSheetId="2">'LG Public 2018 V5.2c (2)'!$F$2:$N$49</definedName>
    <definedName name="Print_Area_MI" localSheetId="2">#REF!</definedName>
    <definedName name="Print_Area_MI">#REF!</definedName>
    <definedName name="Print_Area_MIc" localSheetId="2">#REF!</definedName>
    <definedName name="Print_Area_MIc">#REF!</definedName>
    <definedName name="PYYear" localSheetId="2">#REF!</definedName>
    <definedName name="PYYear">#REF!</definedName>
    <definedName name="Rate_Increase">#REF!</definedName>
    <definedName name="Rate_Increase1">#REF!</definedName>
    <definedName name="Rate_Increase2">#REF!</definedName>
    <definedName name="RefType" localSheetId="2">#REF!</definedName>
    <definedName name="RefType">#REF!</definedName>
    <definedName name="regDebt_weighted" localSheetId="2">'LG Public 2018 V5.2c (2)'!$U$55</definedName>
    <definedName name="report">#REF!</definedName>
    <definedName name="Resi2">#REF!</definedName>
    <definedName name="Residential">#REF!</definedName>
    <definedName name="Residential2">#REF!</definedName>
    <definedName name="ReslStaffPriceOut">#REF!</definedName>
    <definedName name="Revenue" localSheetId="2">'LG Public 2018 V5.2c (2)'!$I$7</definedName>
    <definedName name="search1" hidden="1">#REF!</definedName>
    <definedName name="search2" hidden="1">#REF!</definedName>
    <definedName name="SectorNme" localSheetId="2">#REF!</definedName>
    <definedName name="SectorNme">#REF!</definedName>
    <definedName name="SepSun1" localSheetId="2">DATEVALUE("9/1/"&amp;TheYear)-WEEKDAY(DATEVALUE("9/1/"&amp;TheYear))+1</definedName>
    <definedName name="SepSun1">DATEVALUE("9/1/"&amp;TheYear)-WEEKDAY(DATEVALUE("9/1/"&amp;TheYear))+1</definedName>
    <definedName name="slope" localSheetId="2">'LG Public 2018 V5.2c (2)'!$Y$57</definedName>
    <definedName name="slope">#REF!</definedName>
    <definedName name="sort1">#REF!</definedName>
    <definedName name="SPECIAL1" hidden="1">#REF!</definedName>
    <definedName name="SPECIAL2" hidden="1">#REF!</definedName>
    <definedName name="taxrate" localSheetId="2">'LG Public 2018 V5.2c (2)'!$J$38</definedName>
    <definedName name="TRAN">#REF!</definedName>
    <definedName name="TRAN2">#REF!</definedName>
    <definedName name="Transfer_Station">#REF!</definedName>
    <definedName name="Transfer_Station2">#REF!</definedName>
    <definedName name="TS">#REF!</definedName>
    <definedName name="TSRevAcct">#REF!</definedName>
    <definedName name="TSRevAcct1" localSheetId="2">#REF!</definedName>
    <definedName name="TSRevAcct1">#REF!</definedName>
    <definedName name="tsrevtype">#REF!</definedName>
    <definedName name="tsrevtype1" localSheetId="2">#REF!</definedName>
    <definedName name="tsrevtype1">#REF!</definedName>
    <definedName name="Tukwila_Report">#REF!</definedName>
    <definedName name="Tukwila_Report1">#REF!</definedName>
    <definedName name="Version" localSheetId="2">#REF!</definedName>
    <definedName name="Version">#REF!</definedName>
    <definedName name="xYear">#REF!</definedName>
    <definedName name="XYear1">#REF!</definedName>
    <definedName name="y_inter1" localSheetId="2">'LG Public 2018 V5.2c (2)'!$X$54</definedName>
    <definedName name="y_inter1">#REF!</definedName>
    <definedName name="y_inter2" localSheetId="2">'LG Public 2018 V5.2c (2)'!$X$55</definedName>
    <definedName name="y_inter2">#REF!</definedName>
    <definedName name="y_inter3" localSheetId="2">'LG Public 2018 V5.2c (2)'!$Z$54</definedName>
    <definedName name="y_inter3">#REF!</definedName>
    <definedName name="y_inter4" localSheetId="2">'LG Public 2018 V5.2c (2)'!$Z$55</definedName>
    <definedName name="y_inter4">#REF!</definedName>
    <definedName name="Year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9" i="7" l="1"/>
  <c r="F39" i="7" l="1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235" i="7"/>
  <c r="J235" i="7" s="1"/>
  <c r="F236" i="7"/>
  <c r="F237" i="7"/>
  <c r="J237" i="7" s="1"/>
  <c r="F238" i="7"/>
  <c r="F239" i="7"/>
  <c r="J239" i="7" s="1"/>
  <c r="F240" i="7"/>
  <c r="F241" i="7"/>
  <c r="J241" i="7" s="1"/>
  <c r="F242" i="7"/>
  <c r="J242" i="7" s="1"/>
  <c r="F243" i="7"/>
  <c r="J243" i="7" s="1"/>
  <c r="F244" i="7"/>
  <c r="J244" i="7" s="1"/>
  <c r="F245" i="7"/>
  <c r="J245" i="7" s="1"/>
  <c r="F246" i="7"/>
  <c r="J246" i="7" s="1"/>
  <c r="F247" i="7"/>
  <c r="F248" i="7"/>
  <c r="F249" i="7"/>
  <c r="J249" i="7" s="1"/>
  <c r="F250" i="7"/>
  <c r="J250" i="7" s="1"/>
  <c r="F251" i="7"/>
  <c r="J251" i="7" s="1"/>
  <c r="F252" i="7"/>
  <c r="F253" i="7"/>
  <c r="J253" i="7" s="1"/>
  <c r="F254" i="7"/>
  <c r="J254" i="7" s="1"/>
  <c r="F255" i="7"/>
  <c r="F256" i="7"/>
  <c r="J256" i="7" s="1"/>
  <c r="F257" i="7"/>
  <c r="J257" i="7" s="1"/>
  <c r="F258" i="7"/>
  <c r="J258" i="7" s="1"/>
  <c r="F259" i="7"/>
  <c r="J259" i="7" s="1"/>
  <c r="F260" i="7"/>
  <c r="J260" i="7" s="1"/>
  <c r="F261" i="7"/>
  <c r="J261" i="7" s="1"/>
  <c r="F262" i="7"/>
  <c r="J262" i="7" s="1"/>
  <c r="F263" i="7"/>
  <c r="J263" i="7" s="1"/>
  <c r="F264" i="7"/>
  <c r="J264" i="7" s="1"/>
  <c r="F265" i="7"/>
  <c r="J265" i="7" s="1"/>
  <c r="F266" i="7"/>
  <c r="J266" i="7" s="1"/>
  <c r="F267" i="7"/>
  <c r="J267" i="7" s="1"/>
  <c r="F268" i="7"/>
  <c r="J268" i="7" s="1"/>
  <c r="F269" i="7"/>
  <c r="J269" i="7" s="1"/>
  <c r="F270" i="7"/>
  <c r="J270" i="7" s="1"/>
  <c r="F271" i="7"/>
  <c r="F272" i="7"/>
  <c r="J272" i="7" s="1"/>
  <c r="F273" i="7"/>
  <c r="J273" i="7" s="1"/>
  <c r="F274" i="7"/>
  <c r="J274" i="7" s="1"/>
  <c r="F234" i="7"/>
  <c r="J234" i="7" s="1"/>
  <c r="D276" i="7"/>
  <c r="G274" i="7"/>
  <c r="I274" i="7" s="1"/>
  <c r="M274" i="7" s="1"/>
  <c r="G273" i="7"/>
  <c r="I273" i="7" s="1"/>
  <c r="G272" i="7"/>
  <c r="I272" i="7" s="1"/>
  <c r="M272" i="7" s="1"/>
  <c r="G271" i="7"/>
  <c r="I271" i="7" s="1"/>
  <c r="G270" i="7"/>
  <c r="I270" i="7" s="1"/>
  <c r="M270" i="7" s="1"/>
  <c r="G269" i="7"/>
  <c r="I269" i="7" s="1"/>
  <c r="G268" i="7"/>
  <c r="I268" i="7" s="1"/>
  <c r="G267" i="7"/>
  <c r="I267" i="7" s="1"/>
  <c r="M267" i="7" s="1"/>
  <c r="G266" i="7"/>
  <c r="I266" i="7" s="1"/>
  <c r="G265" i="7"/>
  <c r="I265" i="7" s="1"/>
  <c r="G264" i="7"/>
  <c r="I264" i="7" s="1"/>
  <c r="M264" i="7" s="1"/>
  <c r="G263" i="7"/>
  <c r="I263" i="7" s="1"/>
  <c r="M263" i="7" s="1"/>
  <c r="G262" i="7"/>
  <c r="I262" i="7" s="1"/>
  <c r="G261" i="7"/>
  <c r="I261" i="7" s="1"/>
  <c r="M261" i="7" s="1"/>
  <c r="G260" i="7"/>
  <c r="I260" i="7" s="1"/>
  <c r="M260" i="7" s="1"/>
  <c r="G259" i="7"/>
  <c r="I259" i="7" s="1"/>
  <c r="G258" i="7"/>
  <c r="I258" i="7" s="1"/>
  <c r="G257" i="7"/>
  <c r="I257" i="7" s="1"/>
  <c r="M257" i="7" s="1"/>
  <c r="G256" i="7"/>
  <c r="I256" i="7" s="1"/>
  <c r="G255" i="7"/>
  <c r="I255" i="7" s="1"/>
  <c r="J255" i="7"/>
  <c r="G254" i="7"/>
  <c r="I254" i="7" s="1"/>
  <c r="M254" i="7" s="1"/>
  <c r="G253" i="7"/>
  <c r="I253" i="7" s="1"/>
  <c r="G252" i="7"/>
  <c r="I252" i="7" s="1"/>
  <c r="J252" i="7"/>
  <c r="G251" i="7"/>
  <c r="I251" i="7" s="1"/>
  <c r="M251" i="7" s="1"/>
  <c r="G250" i="7"/>
  <c r="I250" i="7" s="1"/>
  <c r="G249" i="7"/>
  <c r="I249" i="7" s="1"/>
  <c r="G248" i="7"/>
  <c r="I248" i="7" s="1"/>
  <c r="M248" i="7" s="1"/>
  <c r="G247" i="7"/>
  <c r="I247" i="7" s="1"/>
  <c r="M247" i="7" s="1"/>
  <c r="Q247" i="7" s="1"/>
  <c r="G246" i="7"/>
  <c r="I246" i="7" s="1"/>
  <c r="M246" i="7" s="1"/>
  <c r="G245" i="7"/>
  <c r="I245" i="7" s="1"/>
  <c r="M245" i="7" s="1"/>
  <c r="G244" i="7"/>
  <c r="I244" i="7" s="1"/>
  <c r="M244" i="7" s="1"/>
  <c r="Q244" i="7" s="1"/>
  <c r="G243" i="7"/>
  <c r="I243" i="7" s="1"/>
  <c r="M243" i="7" s="1"/>
  <c r="G242" i="7"/>
  <c r="I242" i="7" s="1"/>
  <c r="M242" i="7" s="1"/>
  <c r="G241" i="7"/>
  <c r="I241" i="7" s="1"/>
  <c r="M241" i="7" s="1"/>
  <c r="Q241" i="7" s="1"/>
  <c r="G240" i="7"/>
  <c r="I240" i="7" s="1"/>
  <c r="M240" i="7" s="1"/>
  <c r="G239" i="7"/>
  <c r="I239" i="7" s="1"/>
  <c r="M239" i="7" s="1"/>
  <c r="G238" i="7"/>
  <c r="I238" i="7" s="1"/>
  <c r="M238" i="7" s="1"/>
  <c r="Q238" i="7" s="1"/>
  <c r="G237" i="7"/>
  <c r="I237" i="7" s="1"/>
  <c r="M237" i="7" s="1"/>
  <c r="G236" i="7"/>
  <c r="I236" i="7" s="1"/>
  <c r="M236" i="7" s="1"/>
  <c r="G235" i="7"/>
  <c r="I235" i="7" s="1"/>
  <c r="G234" i="7"/>
  <c r="I234" i="7" s="1"/>
  <c r="M234" i="7" s="1"/>
  <c r="D231" i="7"/>
  <c r="G229" i="7"/>
  <c r="I229" i="7" s="1"/>
  <c r="M229" i="7" s="1"/>
  <c r="F229" i="7"/>
  <c r="J229" i="7" s="1"/>
  <c r="K271" i="7" l="1"/>
  <c r="N270" i="7"/>
  <c r="O270" i="7" s="1"/>
  <c r="F276" i="7"/>
  <c r="J271" i="7"/>
  <c r="L271" i="7" s="1"/>
  <c r="K268" i="7"/>
  <c r="K265" i="7"/>
  <c r="K273" i="7"/>
  <c r="L273" i="7" s="1"/>
  <c r="M273" i="7"/>
  <c r="Q273" i="7" s="1"/>
  <c r="K266" i="7"/>
  <c r="L266" i="7" s="1"/>
  <c r="K270" i="7"/>
  <c r="L270" i="7" s="1"/>
  <c r="N272" i="7"/>
  <c r="O272" i="7" s="1"/>
  <c r="Q272" i="7"/>
  <c r="Q274" i="7"/>
  <c r="N274" i="7"/>
  <c r="O274" i="7" s="1"/>
  <c r="Q270" i="7"/>
  <c r="K274" i="7"/>
  <c r="L274" i="7" s="1"/>
  <c r="M271" i="7"/>
  <c r="K272" i="7"/>
  <c r="L272" i="7" s="1"/>
  <c r="K269" i="7"/>
  <c r="L269" i="7" s="1"/>
  <c r="M269" i="7"/>
  <c r="Q269" i="7" s="1"/>
  <c r="M266" i="7"/>
  <c r="Q266" i="7" s="1"/>
  <c r="L265" i="7"/>
  <c r="L268" i="7"/>
  <c r="N267" i="7"/>
  <c r="O267" i="7" s="1"/>
  <c r="Q267" i="7"/>
  <c r="Q264" i="7"/>
  <c r="N264" i="7"/>
  <c r="O264" i="7" s="1"/>
  <c r="M265" i="7"/>
  <c r="K264" i="7"/>
  <c r="L264" i="7" s="1"/>
  <c r="K267" i="7"/>
  <c r="L267" i="7" s="1"/>
  <c r="M268" i="7"/>
  <c r="K249" i="7"/>
  <c r="L249" i="7" s="1"/>
  <c r="K250" i="7"/>
  <c r="L250" i="7" s="1"/>
  <c r="K259" i="7"/>
  <c r="L259" i="7" s="1"/>
  <c r="K262" i="7"/>
  <c r="L262" i="7" s="1"/>
  <c r="K255" i="7"/>
  <c r="L255" i="7" s="1"/>
  <c r="K258" i="7"/>
  <c r="L258" i="7" s="1"/>
  <c r="K252" i="7"/>
  <c r="L252" i="7" s="1"/>
  <c r="K256" i="7"/>
  <c r="L256" i="7" s="1"/>
  <c r="M256" i="7"/>
  <c r="Q256" i="7" s="1"/>
  <c r="K253" i="7"/>
  <c r="L253" i="7" s="1"/>
  <c r="M253" i="7"/>
  <c r="Q253" i="7" s="1"/>
  <c r="M250" i="7"/>
  <c r="N250" i="7" s="1"/>
  <c r="O250" i="7" s="1"/>
  <c r="M262" i="7"/>
  <c r="Q262" i="7" s="1"/>
  <c r="M259" i="7"/>
  <c r="N259" i="7" s="1"/>
  <c r="O259" i="7" s="1"/>
  <c r="Q254" i="7"/>
  <c r="N254" i="7"/>
  <c r="O254" i="7" s="1"/>
  <c r="Q260" i="7"/>
  <c r="N260" i="7"/>
  <c r="O260" i="7" s="1"/>
  <c r="Q261" i="7"/>
  <c r="N261" i="7"/>
  <c r="O261" i="7" s="1"/>
  <c r="Q251" i="7"/>
  <c r="N251" i="7"/>
  <c r="O251" i="7" s="1"/>
  <c r="Q263" i="7"/>
  <c r="N263" i="7"/>
  <c r="O263" i="7" s="1"/>
  <c r="Q257" i="7"/>
  <c r="N257" i="7"/>
  <c r="O257" i="7" s="1"/>
  <c r="K261" i="7"/>
  <c r="L261" i="7" s="1"/>
  <c r="M249" i="7"/>
  <c r="M252" i="7"/>
  <c r="M255" i="7"/>
  <c r="M258" i="7"/>
  <c r="K251" i="7"/>
  <c r="L251" i="7" s="1"/>
  <c r="K254" i="7"/>
  <c r="L254" i="7" s="1"/>
  <c r="K257" i="7"/>
  <c r="L257" i="7" s="1"/>
  <c r="K260" i="7"/>
  <c r="L260" i="7" s="1"/>
  <c r="K263" i="7"/>
  <c r="L263" i="7" s="1"/>
  <c r="J236" i="7"/>
  <c r="J238" i="7"/>
  <c r="M235" i="7"/>
  <c r="Q235" i="7" s="1"/>
  <c r="K235" i="7"/>
  <c r="L235" i="7" s="1"/>
  <c r="K238" i="7"/>
  <c r="J240" i="7"/>
  <c r="J247" i="7"/>
  <c r="K244" i="7"/>
  <c r="L244" i="7" s="1"/>
  <c r="K241" i="7"/>
  <c r="L241" i="7" s="1"/>
  <c r="K247" i="7"/>
  <c r="J248" i="7"/>
  <c r="Q245" i="7"/>
  <c r="N245" i="7"/>
  <c r="O245" i="7" s="1"/>
  <c r="Q237" i="7"/>
  <c r="N237" i="7"/>
  <c r="O237" i="7" s="1"/>
  <c r="Q246" i="7"/>
  <c r="N246" i="7"/>
  <c r="O246" i="7" s="1"/>
  <c r="Q234" i="7"/>
  <c r="N234" i="7"/>
  <c r="Q243" i="7"/>
  <c r="N243" i="7"/>
  <c r="O243" i="7" s="1"/>
  <c r="Q236" i="7"/>
  <c r="N236" i="7"/>
  <c r="Q242" i="7"/>
  <c r="N242" i="7"/>
  <c r="O242" i="7" s="1"/>
  <c r="Q239" i="7"/>
  <c r="N239" i="7"/>
  <c r="O239" i="7" s="1"/>
  <c r="Q248" i="7"/>
  <c r="N248" i="7"/>
  <c r="Q240" i="7"/>
  <c r="N240" i="7"/>
  <c r="N238" i="7"/>
  <c r="N241" i="7"/>
  <c r="O241" i="7" s="1"/>
  <c r="N247" i="7"/>
  <c r="K234" i="7"/>
  <c r="K237" i="7"/>
  <c r="L237" i="7" s="1"/>
  <c r="K240" i="7"/>
  <c r="K243" i="7"/>
  <c r="L243" i="7" s="1"/>
  <c r="K236" i="7"/>
  <c r="K239" i="7"/>
  <c r="L239" i="7" s="1"/>
  <c r="K242" i="7"/>
  <c r="L242" i="7" s="1"/>
  <c r="K245" i="7"/>
  <c r="L245" i="7" s="1"/>
  <c r="K248" i="7"/>
  <c r="N244" i="7"/>
  <c r="O244" i="7" s="1"/>
  <c r="K246" i="7"/>
  <c r="L246" i="7" s="1"/>
  <c r="Q229" i="7"/>
  <c r="N229" i="7"/>
  <c r="O229" i="7" s="1"/>
  <c r="K229" i="7"/>
  <c r="L229" i="7" s="1"/>
  <c r="N235" i="7" l="1"/>
  <c r="O235" i="7" s="1"/>
  <c r="N266" i="7"/>
  <c r="O266" i="7" s="1"/>
  <c r="M276" i="7"/>
  <c r="J276" i="7"/>
  <c r="L234" i="7"/>
  <c r="K276" i="7"/>
  <c r="O234" i="7"/>
  <c r="N273" i="7"/>
  <c r="O273" i="7" s="1"/>
  <c r="N269" i="7"/>
  <c r="O269" i="7" s="1"/>
  <c r="Q271" i="7"/>
  <c r="N271" i="7"/>
  <c r="O271" i="7" s="1"/>
  <c r="Q259" i="7"/>
  <c r="Q265" i="7"/>
  <c r="N265" i="7"/>
  <c r="O265" i="7" s="1"/>
  <c r="Q268" i="7"/>
  <c r="N268" i="7"/>
  <c r="O268" i="7" s="1"/>
  <c r="L236" i="7"/>
  <c r="N256" i="7"/>
  <c r="O256" i="7" s="1"/>
  <c r="N253" i="7"/>
  <c r="O253" i="7" s="1"/>
  <c r="O238" i="7"/>
  <c r="N262" i="7"/>
  <c r="O262" i="7" s="1"/>
  <c r="Q250" i="7"/>
  <c r="Q255" i="7"/>
  <c r="N255" i="7"/>
  <c r="O255" i="7" s="1"/>
  <c r="Q252" i="7"/>
  <c r="N252" i="7"/>
  <c r="O252" i="7" s="1"/>
  <c r="Q258" i="7"/>
  <c r="N258" i="7"/>
  <c r="O258" i="7" s="1"/>
  <c r="Q249" i="7"/>
  <c r="N249" i="7"/>
  <c r="O249" i="7" s="1"/>
  <c r="L238" i="7"/>
  <c r="O236" i="7"/>
  <c r="L240" i="7"/>
  <c r="O247" i="7"/>
  <c r="O240" i="7"/>
  <c r="L247" i="7"/>
  <c r="O248" i="7"/>
  <c r="L248" i="7"/>
  <c r="L276" i="7" l="1"/>
  <c r="O276" i="7"/>
  <c r="N276" i="7"/>
  <c r="G228" i="7" l="1"/>
  <c r="I228" i="7" s="1"/>
  <c r="F228" i="7"/>
  <c r="J228" i="7" s="1"/>
  <c r="K228" i="7" l="1"/>
  <c r="L228" i="7" s="1"/>
  <c r="M228" i="7"/>
  <c r="G227" i="7"/>
  <c r="I227" i="7" s="1"/>
  <c r="F227" i="7"/>
  <c r="J227" i="7" s="1"/>
  <c r="G226" i="7"/>
  <c r="I226" i="7" s="1"/>
  <c r="F226" i="7"/>
  <c r="J226" i="7" s="1"/>
  <c r="G225" i="7"/>
  <c r="I225" i="7" s="1"/>
  <c r="M225" i="7" s="1"/>
  <c r="F225" i="7"/>
  <c r="J225" i="7" s="1"/>
  <c r="G224" i="7"/>
  <c r="I224" i="7" s="1"/>
  <c r="F224" i="7"/>
  <c r="J224" i="7" s="1"/>
  <c r="G223" i="7"/>
  <c r="I223" i="7" s="1"/>
  <c r="F223" i="7"/>
  <c r="J223" i="7" s="1"/>
  <c r="G222" i="7"/>
  <c r="I222" i="7" s="1"/>
  <c r="F222" i="7"/>
  <c r="J222" i="7" s="1"/>
  <c r="G221" i="7"/>
  <c r="I221" i="7" s="1"/>
  <c r="F221" i="7"/>
  <c r="J221" i="7" s="1"/>
  <c r="G220" i="7"/>
  <c r="I220" i="7" s="1"/>
  <c r="F220" i="7"/>
  <c r="J220" i="7" s="1"/>
  <c r="G219" i="7"/>
  <c r="I219" i="7" s="1"/>
  <c r="F219" i="7"/>
  <c r="J219" i="7" s="1"/>
  <c r="G218" i="7"/>
  <c r="I218" i="7" s="1"/>
  <c r="F218" i="7"/>
  <c r="J218" i="7" s="1"/>
  <c r="G217" i="7"/>
  <c r="I217" i="7" s="1"/>
  <c r="M217" i="7" s="1"/>
  <c r="F217" i="7"/>
  <c r="J217" i="7" s="1"/>
  <c r="G216" i="7"/>
  <c r="I216" i="7" s="1"/>
  <c r="F216" i="7"/>
  <c r="J216" i="7" s="1"/>
  <c r="G212" i="7"/>
  <c r="I212" i="7" s="1"/>
  <c r="F212" i="7"/>
  <c r="J212" i="7" s="1"/>
  <c r="G211" i="7"/>
  <c r="I211" i="7" s="1"/>
  <c r="F211" i="7"/>
  <c r="G210" i="7"/>
  <c r="I210" i="7" s="1"/>
  <c r="F210" i="7"/>
  <c r="J210" i="7" s="1"/>
  <c r="G209" i="7"/>
  <c r="I209" i="7" s="1"/>
  <c r="K209" i="7" s="1"/>
  <c r="F209" i="7"/>
  <c r="G213" i="7"/>
  <c r="I213" i="7" s="1"/>
  <c r="F213" i="7"/>
  <c r="J213" i="7" s="1"/>
  <c r="G208" i="7"/>
  <c r="I208" i="7" s="1"/>
  <c r="F208" i="7"/>
  <c r="J208" i="7" s="1"/>
  <c r="G207" i="7"/>
  <c r="I207" i="7" s="1"/>
  <c r="F207" i="7"/>
  <c r="J207" i="7" s="1"/>
  <c r="G206" i="7"/>
  <c r="I206" i="7" s="1"/>
  <c r="F206" i="7"/>
  <c r="J206" i="7" s="1"/>
  <c r="G205" i="7"/>
  <c r="I205" i="7" s="1"/>
  <c r="F205" i="7"/>
  <c r="J205" i="7" s="1"/>
  <c r="G204" i="7"/>
  <c r="I204" i="7" s="1"/>
  <c r="F204" i="7"/>
  <c r="J204" i="7" s="1"/>
  <c r="G203" i="7"/>
  <c r="I203" i="7" s="1"/>
  <c r="F203" i="7"/>
  <c r="J203" i="7" s="1"/>
  <c r="G202" i="7"/>
  <c r="I202" i="7" s="1"/>
  <c r="M202" i="7" s="1"/>
  <c r="F202" i="7"/>
  <c r="J202" i="7" s="1"/>
  <c r="G201" i="7"/>
  <c r="I201" i="7" s="1"/>
  <c r="M201" i="7" s="1"/>
  <c r="F201" i="7"/>
  <c r="G200" i="7"/>
  <c r="I200" i="7" s="1"/>
  <c r="M200" i="7" s="1"/>
  <c r="F200" i="7"/>
  <c r="J200" i="7" s="1"/>
  <c r="G199" i="7"/>
  <c r="I199" i="7" s="1"/>
  <c r="M199" i="7" s="1"/>
  <c r="F199" i="7"/>
  <c r="J199" i="7" s="1"/>
  <c r="G195" i="7"/>
  <c r="I195" i="7" s="1"/>
  <c r="F195" i="7"/>
  <c r="J195" i="7" s="1"/>
  <c r="G194" i="7"/>
  <c r="I194" i="7" s="1"/>
  <c r="F194" i="7"/>
  <c r="J194" i="7" s="1"/>
  <c r="G193" i="7"/>
  <c r="I193" i="7" s="1"/>
  <c r="M193" i="7" s="1"/>
  <c r="F193" i="7"/>
  <c r="J193" i="7" s="1"/>
  <c r="F190" i="7"/>
  <c r="J190" i="7" s="1"/>
  <c r="G192" i="7"/>
  <c r="I192" i="7" s="1"/>
  <c r="F192" i="7"/>
  <c r="G191" i="7"/>
  <c r="I191" i="7" s="1"/>
  <c r="F191" i="7"/>
  <c r="J191" i="7" s="1"/>
  <c r="G190" i="7"/>
  <c r="I190" i="7" s="1"/>
  <c r="M190" i="7" s="1"/>
  <c r="G189" i="7"/>
  <c r="I189" i="7" s="1"/>
  <c r="F189" i="7"/>
  <c r="J189" i="7" s="1"/>
  <c r="G188" i="7"/>
  <c r="I188" i="7" s="1"/>
  <c r="F188" i="7"/>
  <c r="J188" i="7" s="1"/>
  <c r="G187" i="7"/>
  <c r="I187" i="7" s="1"/>
  <c r="F187" i="7"/>
  <c r="J187" i="7" s="1"/>
  <c r="G198" i="7"/>
  <c r="I198" i="7" s="1"/>
  <c r="M198" i="7" s="1"/>
  <c r="F198" i="7"/>
  <c r="J198" i="7" s="1"/>
  <c r="G197" i="7"/>
  <c r="I197" i="7" s="1"/>
  <c r="F197" i="7"/>
  <c r="J197" i="7" s="1"/>
  <c r="G196" i="7"/>
  <c r="I196" i="7" s="1"/>
  <c r="M196" i="7" s="1"/>
  <c r="F196" i="7"/>
  <c r="J196" i="7" s="1"/>
  <c r="G186" i="7"/>
  <c r="I186" i="7" s="1"/>
  <c r="F186" i="7"/>
  <c r="J186" i="7" s="1"/>
  <c r="G185" i="7"/>
  <c r="I185" i="7" s="1"/>
  <c r="M185" i="7" s="1"/>
  <c r="Q185" i="7" s="1"/>
  <c r="F185" i="7"/>
  <c r="J185" i="7" s="1"/>
  <c r="G184" i="7"/>
  <c r="I184" i="7" s="1"/>
  <c r="M184" i="7" s="1"/>
  <c r="F184" i="7"/>
  <c r="J184" i="7" s="1"/>
  <c r="G183" i="7"/>
  <c r="I183" i="7" s="1"/>
  <c r="F183" i="7"/>
  <c r="J183" i="7" s="1"/>
  <c r="G182" i="7"/>
  <c r="I182" i="7" s="1"/>
  <c r="F182" i="7"/>
  <c r="J182" i="7" s="1"/>
  <c r="G181" i="7"/>
  <c r="I181" i="7" s="1"/>
  <c r="M181" i="7" s="1"/>
  <c r="F181" i="7"/>
  <c r="G180" i="7"/>
  <c r="I180" i="7" s="1"/>
  <c r="M180" i="7" s="1"/>
  <c r="Q180" i="7" s="1"/>
  <c r="F180" i="7"/>
  <c r="J180" i="7" s="1"/>
  <c r="G179" i="7"/>
  <c r="I179" i="7" s="1"/>
  <c r="M179" i="7" s="1"/>
  <c r="F179" i="7"/>
  <c r="J179" i="7" s="1"/>
  <c r="G178" i="7"/>
  <c r="I178" i="7" s="1"/>
  <c r="M178" i="7" s="1"/>
  <c r="F178" i="7"/>
  <c r="J178" i="7" s="1"/>
  <c r="G177" i="7"/>
  <c r="I177" i="7" s="1"/>
  <c r="M177" i="7" s="1"/>
  <c r="F177" i="7"/>
  <c r="J177" i="7" s="1"/>
  <c r="G176" i="7"/>
  <c r="I176" i="7" s="1"/>
  <c r="M176" i="7" s="1"/>
  <c r="Q176" i="7" s="1"/>
  <c r="F176" i="7"/>
  <c r="J176" i="7" s="1"/>
  <c r="G175" i="7"/>
  <c r="I175" i="7" s="1"/>
  <c r="M175" i="7" s="1"/>
  <c r="Q175" i="7" s="1"/>
  <c r="F175" i="7"/>
  <c r="J175" i="7" s="1"/>
  <c r="G174" i="7"/>
  <c r="I174" i="7" s="1"/>
  <c r="F174" i="7"/>
  <c r="J174" i="7" s="1"/>
  <c r="G173" i="7"/>
  <c r="I173" i="7" s="1"/>
  <c r="F173" i="7"/>
  <c r="J173" i="7" s="1"/>
  <c r="G172" i="7"/>
  <c r="I172" i="7" s="1"/>
  <c r="F172" i="7"/>
  <c r="J172" i="7" s="1"/>
  <c r="G171" i="7"/>
  <c r="I171" i="7" s="1"/>
  <c r="F171" i="7"/>
  <c r="J171" i="7" s="1"/>
  <c r="G170" i="7"/>
  <c r="I170" i="7" s="1"/>
  <c r="F170" i="7"/>
  <c r="J170" i="7" s="1"/>
  <c r="G169" i="7"/>
  <c r="I169" i="7" s="1"/>
  <c r="F169" i="7"/>
  <c r="J169" i="7" s="1"/>
  <c r="G168" i="7"/>
  <c r="I168" i="7" s="1"/>
  <c r="F168" i="7"/>
  <c r="J168" i="7" s="1"/>
  <c r="G167" i="7"/>
  <c r="I167" i="7" s="1"/>
  <c r="F167" i="7"/>
  <c r="J167" i="7" s="1"/>
  <c r="G166" i="7"/>
  <c r="I166" i="7" s="1"/>
  <c r="F166" i="7"/>
  <c r="J166" i="7" s="1"/>
  <c r="G162" i="7"/>
  <c r="I162" i="7" s="1"/>
  <c r="F162" i="7"/>
  <c r="J162" i="7" s="1"/>
  <c r="G161" i="7"/>
  <c r="I161" i="7" s="1"/>
  <c r="F161" i="7"/>
  <c r="J161" i="7" s="1"/>
  <c r="G160" i="7"/>
  <c r="I160" i="7" s="1"/>
  <c r="F160" i="7"/>
  <c r="J160" i="7" s="1"/>
  <c r="G159" i="7"/>
  <c r="I159" i="7" s="1"/>
  <c r="M159" i="7" s="1"/>
  <c r="F159" i="7"/>
  <c r="J159" i="7" s="1"/>
  <c r="G158" i="7"/>
  <c r="I158" i="7" s="1"/>
  <c r="F158" i="7"/>
  <c r="J158" i="7" s="1"/>
  <c r="G157" i="7"/>
  <c r="I157" i="7" s="1"/>
  <c r="M157" i="7" s="1"/>
  <c r="F157" i="7"/>
  <c r="J157" i="7" s="1"/>
  <c r="G165" i="7"/>
  <c r="I165" i="7" s="1"/>
  <c r="M165" i="7" s="1"/>
  <c r="Q165" i="7" s="1"/>
  <c r="F165" i="7"/>
  <c r="J165" i="7" s="1"/>
  <c r="G164" i="7"/>
  <c r="I164" i="7" s="1"/>
  <c r="M164" i="7" s="1"/>
  <c r="Q164" i="7" s="1"/>
  <c r="F164" i="7"/>
  <c r="J164" i="7" s="1"/>
  <c r="G163" i="7"/>
  <c r="I163" i="7" s="1"/>
  <c r="M163" i="7" s="1"/>
  <c r="Q163" i="7" s="1"/>
  <c r="F163" i="7"/>
  <c r="J163" i="7" s="1"/>
  <c r="G156" i="7"/>
  <c r="I156" i="7" s="1"/>
  <c r="M156" i="7" s="1"/>
  <c r="Q156" i="7" s="1"/>
  <c r="F156" i="7"/>
  <c r="G155" i="7"/>
  <c r="I155" i="7" s="1"/>
  <c r="M155" i="7" s="1"/>
  <c r="Q155" i="7" s="1"/>
  <c r="F155" i="7"/>
  <c r="J155" i="7" s="1"/>
  <c r="G154" i="7"/>
  <c r="I154" i="7" s="1"/>
  <c r="M154" i="7" s="1"/>
  <c r="F154" i="7"/>
  <c r="J154" i="7" s="1"/>
  <c r="G153" i="7"/>
  <c r="I153" i="7" s="1"/>
  <c r="M153" i="7" s="1"/>
  <c r="Q153" i="7" s="1"/>
  <c r="F153" i="7"/>
  <c r="J153" i="7" s="1"/>
  <c r="G151" i="7"/>
  <c r="I151" i="7" s="1"/>
  <c r="M151" i="7" s="1"/>
  <c r="Q151" i="7" s="1"/>
  <c r="F151" i="7"/>
  <c r="G149" i="7"/>
  <c r="I149" i="7" s="1"/>
  <c r="M149" i="7" s="1"/>
  <c r="F149" i="7"/>
  <c r="G144" i="7"/>
  <c r="I144" i="7" s="1"/>
  <c r="J144" i="7"/>
  <c r="G143" i="7"/>
  <c r="I143" i="7" s="1"/>
  <c r="J143" i="7"/>
  <c r="G142" i="7"/>
  <c r="I142" i="7" s="1"/>
  <c r="J142" i="7"/>
  <c r="G141" i="7"/>
  <c r="I141" i="7" s="1"/>
  <c r="J141" i="7"/>
  <c r="G140" i="7"/>
  <c r="I140" i="7" s="1"/>
  <c r="J140" i="7"/>
  <c r="G137" i="7"/>
  <c r="I137" i="7" s="1"/>
  <c r="G138" i="7"/>
  <c r="I138" i="7" s="1"/>
  <c r="J138" i="7"/>
  <c r="G135" i="7"/>
  <c r="I135" i="7" s="1"/>
  <c r="J135" i="7"/>
  <c r="G134" i="7"/>
  <c r="I134" i="7" s="1"/>
  <c r="J134" i="7"/>
  <c r="G133" i="7"/>
  <c r="I133" i="7" s="1"/>
  <c r="M133" i="7" s="1"/>
  <c r="J133" i="7"/>
  <c r="G132" i="7"/>
  <c r="I132" i="7" s="1"/>
  <c r="J132" i="7"/>
  <c r="G131" i="7"/>
  <c r="I131" i="7" s="1"/>
  <c r="J131" i="7"/>
  <c r="G130" i="7"/>
  <c r="I130" i="7" s="1"/>
  <c r="J130" i="7"/>
  <c r="G129" i="7"/>
  <c r="I129" i="7" s="1"/>
  <c r="M129" i="7" s="1"/>
  <c r="J129" i="7"/>
  <c r="G128" i="7"/>
  <c r="I128" i="7" s="1"/>
  <c r="J128" i="7"/>
  <c r="G127" i="7"/>
  <c r="I127" i="7" s="1"/>
  <c r="J127" i="7"/>
  <c r="G126" i="7"/>
  <c r="I126" i="7" s="1"/>
  <c r="J126" i="7"/>
  <c r="G125" i="7"/>
  <c r="I125" i="7" s="1"/>
  <c r="M125" i="7" s="1"/>
  <c r="Q125" i="7" s="1"/>
  <c r="J125" i="7"/>
  <c r="G124" i="7"/>
  <c r="I124" i="7" s="1"/>
  <c r="J124" i="7"/>
  <c r="G123" i="7"/>
  <c r="I123" i="7" s="1"/>
  <c r="J123" i="7"/>
  <c r="G122" i="7"/>
  <c r="I122" i="7" s="1"/>
  <c r="J122" i="7"/>
  <c r="G121" i="7"/>
  <c r="I121" i="7" s="1"/>
  <c r="M121" i="7" s="1"/>
  <c r="J121" i="7"/>
  <c r="G120" i="7"/>
  <c r="I120" i="7" s="1"/>
  <c r="J120" i="7"/>
  <c r="G119" i="7"/>
  <c r="I119" i="7" s="1"/>
  <c r="M119" i="7" s="1"/>
  <c r="J119" i="7"/>
  <c r="G118" i="7"/>
  <c r="I118" i="7" s="1"/>
  <c r="J118" i="7"/>
  <c r="G117" i="7"/>
  <c r="I117" i="7" s="1"/>
  <c r="J117" i="7"/>
  <c r="G116" i="7"/>
  <c r="I116" i="7" s="1"/>
  <c r="J116" i="7"/>
  <c r="G115" i="7"/>
  <c r="I115" i="7" s="1"/>
  <c r="G112" i="7"/>
  <c r="I112" i="7" s="1"/>
  <c r="J112" i="7"/>
  <c r="G110" i="7"/>
  <c r="I110" i="7" s="1"/>
  <c r="J110" i="7"/>
  <c r="G109" i="7"/>
  <c r="I109" i="7" s="1"/>
  <c r="J109" i="7"/>
  <c r="G108" i="7"/>
  <c r="I108" i="7" s="1"/>
  <c r="J108" i="7"/>
  <c r="G106" i="7"/>
  <c r="I106" i="7" s="1"/>
  <c r="J106" i="7"/>
  <c r="G107" i="7"/>
  <c r="I107" i="7" s="1"/>
  <c r="J107" i="7"/>
  <c r="G105" i="7"/>
  <c r="I105" i="7" s="1"/>
  <c r="J105" i="7"/>
  <c r="G104" i="7"/>
  <c r="I104" i="7" s="1"/>
  <c r="J104" i="7"/>
  <c r="G103" i="7"/>
  <c r="I103" i="7" s="1"/>
  <c r="J103" i="7"/>
  <c r="G102" i="7"/>
  <c r="I102" i="7" s="1"/>
  <c r="J102" i="7"/>
  <c r="G101" i="7"/>
  <c r="I101" i="7" s="1"/>
  <c r="J101" i="7"/>
  <c r="G100" i="7"/>
  <c r="I100" i="7" s="1"/>
  <c r="J100" i="7"/>
  <c r="G99" i="7"/>
  <c r="I99" i="7" s="1"/>
  <c r="M99" i="7" s="1"/>
  <c r="J99" i="7"/>
  <c r="G98" i="7"/>
  <c r="I98" i="7" s="1"/>
  <c r="J98" i="7"/>
  <c r="G97" i="7"/>
  <c r="I97" i="7" s="1"/>
  <c r="J97" i="7"/>
  <c r="G96" i="7"/>
  <c r="I96" i="7" s="1"/>
  <c r="J96" i="7"/>
  <c r="G95" i="7"/>
  <c r="I95" i="7" s="1"/>
  <c r="J95" i="7"/>
  <c r="G94" i="7"/>
  <c r="I94" i="7" s="1"/>
  <c r="J94" i="7"/>
  <c r="G93" i="7"/>
  <c r="I93" i="7" s="1"/>
  <c r="M93" i="7" s="1"/>
  <c r="J93" i="7"/>
  <c r="G92" i="7"/>
  <c r="I92" i="7" s="1"/>
  <c r="J92" i="7"/>
  <c r="G91" i="7"/>
  <c r="I91" i="7" s="1"/>
  <c r="J91" i="7"/>
  <c r="G90" i="7"/>
  <c r="I90" i="7" s="1"/>
  <c r="J90" i="7"/>
  <c r="G89" i="7"/>
  <c r="I89" i="7" s="1"/>
  <c r="J89" i="7"/>
  <c r="G88" i="7"/>
  <c r="I88" i="7" s="1"/>
  <c r="J88" i="7"/>
  <c r="G87" i="7"/>
  <c r="I87" i="7" s="1"/>
  <c r="J87" i="7"/>
  <c r="G86" i="7"/>
  <c r="I86" i="7" s="1"/>
  <c r="J86" i="7"/>
  <c r="G85" i="7"/>
  <c r="I85" i="7" s="1"/>
  <c r="J85" i="7"/>
  <c r="G84" i="7"/>
  <c r="I84" i="7" s="1"/>
  <c r="J84" i="7"/>
  <c r="G83" i="7"/>
  <c r="I83" i="7" s="1"/>
  <c r="M83" i="7" s="1"/>
  <c r="J83" i="7"/>
  <c r="G80" i="7"/>
  <c r="I80" i="7" s="1"/>
  <c r="M80" i="7" s="1"/>
  <c r="J80" i="7"/>
  <c r="G75" i="7"/>
  <c r="I75" i="7" s="1"/>
  <c r="J75" i="7"/>
  <c r="G72" i="7"/>
  <c r="I72" i="7" s="1"/>
  <c r="J72" i="7"/>
  <c r="J69" i="7"/>
  <c r="G69" i="7"/>
  <c r="I69" i="7" s="1"/>
  <c r="M69" i="7" s="1"/>
  <c r="J70" i="7"/>
  <c r="G70" i="7"/>
  <c r="I70" i="7" s="1"/>
  <c r="G67" i="7"/>
  <c r="I67" i="7" s="1"/>
  <c r="J67" i="7"/>
  <c r="G66" i="7"/>
  <c r="I66" i="7" s="1"/>
  <c r="J66" i="7"/>
  <c r="G65" i="7"/>
  <c r="I65" i="7" s="1"/>
  <c r="J65" i="7"/>
  <c r="G64" i="7"/>
  <c r="I64" i="7" s="1"/>
  <c r="J64" i="7"/>
  <c r="G63" i="7"/>
  <c r="I63" i="7" s="1"/>
  <c r="J63" i="7"/>
  <c r="G62" i="7"/>
  <c r="I62" i="7" s="1"/>
  <c r="J62" i="7"/>
  <c r="G61" i="7"/>
  <c r="I61" i="7" s="1"/>
  <c r="J61" i="7"/>
  <c r="G55" i="7"/>
  <c r="I55" i="7" s="1"/>
  <c r="J55" i="7"/>
  <c r="J40" i="7"/>
  <c r="J41" i="7"/>
  <c r="J42" i="7"/>
  <c r="J43" i="7"/>
  <c r="J44" i="7"/>
  <c r="J46" i="7"/>
  <c r="J48" i="7"/>
  <c r="J50" i="7"/>
  <c r="J51" i="7"/>
  <c r="J52" i="7"/>
  <c r="J54" i="7"/>
  <c r="F38" i="7"/>
  <c r="G50" i="7"/>
  <c r="I50" i="7" s="1"/>
  <c r="G51" i="7"/>
  <c r="I51" i="7" s="1"/>
  <c r="G52" i="7"/>
  <c r="I52" i="7" s="1"/>
  <c r="G53" i="7"/>
  <c r="I53" i="7" s="1"/>
  <c r="M53" i="7" s="1"/>
  <c r="Q53" i="7" s="1"/>
  <c r="G54" i="7"/>
  <c r="I54" i="7" s="1"/>
  <c r="M54" i="7" s="1"/>
  <c r="G49" i="7"/>
  <c r="I49" i="7" s="1"/>
  <c r="M49" i="7" s="1"/>
  <c r="Q49" i="7" s="1"/>
  <c r="G47" i="7"/>
  <c r="I47" i="7" s="1"/>
  <c r="M47" i="7" s="1"/>
  <c r="Q47" i="7" s="1"/>
  <c r="G46" i="7"/>
  <c r="I46" i="7" s="1"/>
  <c r="J192" i="7" l="1"/>
  <c r="J149" i="7"/>
  <c r="Q149" i="7"/>
  <c r="Q228" i="7"/>
  <c r="N228" i="7"/>
  <c r="O228" i="7" s="1"/>
  <c r="K221" i="7"/>
  <c r="L221" i="7" s="1"/>
  <c r="K204" i="7"/>
  <c r="L204" i="7" s="1"/>
  <c r="M221" i="7"/>
  <c r="Q221" i="7" s="1"/>
  <c r="M222" i="7"/>
  <c r="K222" i="7"/>
  <c r="L222" i="7" s="1"/>
  <c r="M219" i="7"/>
  <c r="K219" i="7"/>
  <c r="L219" i="7" s="1"/>
  <c r="M226" i="7"/>
  <c r="K226" i="7"/>
  <c r="L226" i="7" s="1"/>
  <c r="M218" i="7"/>
  <c r="K218" i="7"/>
  <c r="L218" i="7" s="1"/>
  <c r="Q225" i="7"/>
  <c r="N225" i="7"/>
  <c r="O225" i="7" s="1"/>
  <c r="M223" i="7"/>
  <c r="K223" i="7"/>
  <c r="L223" i="7" s="1"/>
  <c r="Q217" i="7"/>
  <c r="N217" i="7"/>
  <c r="O217" i="7" s="1"/>
  <c r="M224" i="7"/>
  <c r="K224" i="7"/>
  <c r="L224" i="7" s="1"/>
  <c r="K217" i="7"/>
  <c r="L217" i="7" s="1"/>
  <c r="M220" i="7"/>
  <c r="K220" i="7"/>
  <c r="L220" i="7" s="1"/>
  <c r="K225" i="7"/>
  <c r="L225" i="7" s="1"/>
  <c r="M216" i="7"/>
  <c r="K216" i="7"/>
  <c r="L216" i="7" s="1"/>
  <c r="M227" i="7"/>
  <c r="K227" i="7"/>
  <c r="L227" i="7" s="1"/>
  <c r="K195" i="7"/>
  <c r="L195" i="7" s="1"/>
  <c r="J211" i="7"/>
  <c r="M211" i="7"/>
  <c r="Q211" i="7" s="1"/>
  <c r="K211" i="7"/>
  <c r="M209" i="7"/>
  <c r="L209" i="7"/>
  <c r="M210" i="7"/>
  <c r="K210" i="7"/>
  <c r="L210" i="7" s="1"/>
  <c r="M212" i="7"/>
  <c r="K212" i="7"/>
  <c r="L212" i="7" s="1"/>
  <c r="M213" i="7"/>
  <c r="K213" i="7"/>
  <c r="L213" i="7" s="1"/>
  <c r="K203" i="7"/>
  <c r="L203" i="7" s="1"/>
  <c r="J201" i="7"/>
  <c r="K194" i="7"/>
  <c r="L194" i="7" s="1"/>
  <c r="M194" i="7"/>
  <c r="N194" i="7" s="1"/>
  <c r="O194" i="7" s="1"/>
  <c r="K197" i="7"/>
  <c r="L197" i="7" s="1"/>
  <c r="M197" i="7"/>
  <c r="Q197" i="7" s="1"/>
  <c r="N177" i="7"/>
  <c r="O177" i="7" s="1"/>
  <c r="N200" i="7"/>
  <c r="O200" i="7" s="1"/>
  <c r="K184" i="7"/>
  <c r="L184" i="7" s="1"/>
  <c r="M207" i="7"/>
  <c r="K207" i="7"/>
  <c r="L207" i="7" s="1"/>
  <c r="K208" i="7"/>
  <c r="L208" i="7" s="1"/>
  <c r="M208" i="7"/>
  <c r="M205" i="7"/>
  <c r="K205" i="7"/>
  <c r="L205" i="7" s="1"/>
  <c r="M206" i="7"/>
  <c r="K206" i="7"/>
  <c r="L206" i="7" s="1"/>
  <c r="M203" i="7"/>
  <c r="Q203" i="7" s="1"/>
  <c r="K200" i="7"/>
  <c r="L200" i="7" s="1"/>
  <c r="N202" i="7"/>
  <c r="O202" i="7" s="1"/>
  <c r="Q202" i="7"/>
  <c r="Q201" i="7"/>
  <c r="N201" i="7"/>
  <c r="Q193" i="7"/>
  <c r="N193" i="7"/>
  <c r="O193" i="7" s="1"/>
  <c r="Q196" i="7"/>
  <c r="N196" i="7"/>
  <c r="O196" i="7" s="1"/>
  <c r="Q198" i="7"/>
  <c r="N198" i="7"/>
  <c r="O198" i="7" s="1"/>
  <c r="Q199" i="7"/>
  <c r="N199" i="7"/>
  <c r="O199" i="7" s="1"/>
  <c r="K193" i="7"/>
  <c r="L193" i="7" s="1"/>
  <c r="K196" i="7"/>
  <c r="L196" i="7" s="1"/>
  <c r="K199" i="7"/>
  <c r="L199" i="7" s="1"/>
  <c r="Q200" i="7"/>
  <c r="K198" i="7"/>
  <c r="L198" i="7" s="1"/>
  <c r="M195" i="7"/>
  <c r="M204" i="7"/>
  <c r="K202" i="7"/>
  <c r="L202" i="7" s="1"/>
  <c r="K201" i="7"/>
  <c r="N184" i="7"/>
  <c r="O184" i="7" s="1"/>
  <c r="N178" i="7"/>
  <c r="O178" i="7" s="1"/>
  <c r="K176" i="7"/>
  <c r="L176" i="7" s="1"/>
  <c r="K182" i="7"/>
  <c r="L182" i="7" s="1"/>
  <c r="K186" i="7"/>
  <c r="L186" i="7" s="1"/>
  <c r="N179" i="7"/>
  <c r="O179" i="7" s="1"/>
  <c r="K183" i="7"/>
  <c r="L183" i="7" s="1"/>
  <c r="K181" i="7"/>
  <c r="N181" i="7"/>
  <c r="Q181" i="7"/>
  <c r="J181" i="7"/>
  <c r="K177" i="7"/>
  <c r="L177" i="7" s="1"/>
  <c r="K175" i="7"/>
  <c r="L175" i="7" s="1"/>
  <c r="K178" i="7"/>
  <c r="L178" i="7" s="1"/>
  <c r="K185" i="7"/>
  <c r="L185" i="7" s="1"/>
  <c r="M182" i="7"/>
  <c r="Q182" i="7" s="1"/>
  <c r="K179" i="7"/>
  <c r="L179" i="7" s="1"/>
  <c r="N176" i="7"/>
  <c r="O176" i="7" s="1"/>
  <c r="M183" i="7"/>
  <c r="M186" i="7"/>
  <c r="Q186" i="7" s="1"/>
  <c r="K180" i="7"/>
  <c r="L180" i="7" s="1"/>
  <c r="K190" i="7"/>
  <c r="L190" i="7" s="1"/>
  <c r="N190" i="7"/>
  <c r="O190" i="7" s="1"/>
  <c r="K191" i="7"/>
  <c r="L191" i="7" s="1"/>
  <c r="M191" i="7"/>
  <c r="M192" i="7"/>
  <c r="K192" i="7"/>
  <c r="Q190" i="7"/>
  <c r="M187" i="7"/>
  <c r="K187" i="7"/>
  <c r="L187" i="7" s="1"/>
  <c r="M188" i="7"/>
  <c r="K188" i="7"/>
  <c r="L188" i="7" s="1"/>
  <c r="M189" i="7"/>
  <c r="K189" i="7"/>
  <c r="L189" i="7" s="1"/>
  <c r="N185" i="7"/>
  <c r="O185" i="7" s="1"/>
  <c r="Q178" i="7"/>
  <c r="N180" i="7"/>
  <c r="O180" i="7" s="1"/>
  <c r="N175" i="7"/>
  <c r="O175" i="7" s="1"/>
  <c r="N182" i="7"/>
  <c r="O182" i="7" s="1"/>
  <c r="Q177" i="7"/>
  <c r="Q184" i="7"/>
  <c r="Q179" i="7"/>
  <c r="M174" i="7"/>
  <c r="K174" i="7"/>
  <c r="L174" i="7" s="1"/>
  <c r="K172" i="7"/>
  <c r="L172" i="7" s="1"/>
  <c r="M172" i="7"/>
  <c r="M173" i="7"/>
  <c r="K173" i="7"/>
  <c r="L173" i="7" s="1"/>
  <c r="M168" i="7"/>
  <c r="K168" i="7"/>
  <c r="L168" i="7" s="1"/>
  <c r="M169" i="7"/>
  <c r="K169" i="7"/>
  <c r="L169" i="7" s="1"/>
  <c r="K170" i="7"/>
  <c r="L170" i="7" s="1"/>
  <c r="M170" i="7"/>
  <c r="M167" i="7"/>
  <c r="K167" i="7"/>
  <c r="L167" i="7" s="1"/>
  <c r="M171" i="7"/>
  <c r="K171" i="7"/>
  <c r="L171" i="7" s="1"/>
  <c r="M166" i="7"/>
  <c r="K166" i="7"/>
  <c r="L166" i="7" s="1"/>
  <c r="M160" i="7"/>
  <c r="K160" i="7"/>
  <c r="L160" i="7" s="1"/>
  <c r="M161" i="7"/>
  <c r="K161" i="7"/>
  <c r="L161" i="7" s="1"/>
  <c r="M162" i="7"/>
  <c r="K162" i="7"/>
  <c r="L162" i="7" s="1"/>
  <c r="K158" i="7"/>
  <c r="L158" i="7" s="1"/>
  <c r="M158" i="7"/>
  <c r="Q158" i="7" s="1"/>
  <c r="N157" i="7"/>
  <c r="O157" i="7" s="1"/>
  <c r="Q157" i="7"/>
  <c r="Q159" i="7"/>
  <c r="N159" i="7"/>
  <c r="O159" i="7" s="1"/>
  <c r="K159" i="7"/>
  <c r="L159" i="7" s="1"/>
  <c r="K157" i="7"/>
  <c r="L157" i="7" s="1"/>
  <c r="K151" i="7"/>
  <c r="K156" i="7"/>
  <c r="K163" i="7"/>
  <c r="L163" i="7" s="1"/>
  <c r="K154" i="7"/>
  <c r="L154" i="7" s="1"/>
  <c r="N154" i="7"/>
  <c r="O154" i="7" s="1"/>
  <c r="Q154" i="7"/>
  <c r="K164" i="7"/>
  <c r="L164" i="7" s="1"/>
  <c r="K155" i="7"/>
  <c r="L155" i="7" s="1"/>
  <c r="K165" i="7"/>
  <c r="L165" i="7" s="1"/>
  <c r="J156" i="7"/>
  <c r="N156" i="7"/>
  <c r="K153" i="7"/>
  <c r="L153" i="7" s="1"/>
  <c r="K149" i="7"/>
  <c r="J151" i="7"/>
  <c r="N151" i="7"/>
  <c r="N164" i="7"/>
  <c r="O164" i="7" s="1"/>
  <c r="N153" i="7"/>
  <c r="O153" i="7" s="1"/>
  <c r="N155" i="7"/>
  <c r="O155" i="7" s="1"/>
  <c r="N149" i="7"/>
  <c r="N163" i="7"/>
  <c r="O163" i="7" s="1"/>
  <c r="N165" i="7"/>
  <c r="O165" i="7" s="1"/>
  <c r="K142" i="7"/>
  <c r="L142" i="7" s="1"/>
  <c r="K143" i="7"/>
  <c r="L143" i="7" s="1"/>
  <c r="M143" i="7"/>
  <c r="M144" i="7"/>
  <c r="K144" i="7"/>
  <c r="L144" i="7" s="1"/>
  <c r="M142" i="7"/>
  <c r="K138" i="7"/>
  <c r="L138" i="7" s="1"/>
  <c r="M140" i="7"/>
  <c r="K140" i="7"/>
  <c r="L140" i="7" s="1"/>
  <c r="M141" i="7"/>
  <c r="K141" i="7"/>
  <c r="L141" i="7" s="1"/>
  <c r="J137" i="7"/>
  <c r="M138" i="7"/>
  <c r="N138" i="7" s="1"/>
  <c r="O138" i="7" s="1"/>
  <c r="M137" i="7"/>
  <c r="K137" i="7"/>
  <c r="K125" i="7"/>
  <c r="L125" i="7" s="1"/>
  <c r="M126" i="7"/>
  <c r="K126" i="7"/>
  <c r="L126" i="7" s="1"/>
  <c r="Q133" i="7"/>
  <c r="N133" i="7"/>
  <c r="O133" i="7" s="1"/>
  <c r="M134" i="7"/>
  <c r="K134" i="7"/>
  <c r="L134" i="7" s="1"/>
  <c r="Q121" i="7"/>
  <c r="N121" i="7"/>
  <c r="O121" i="7" s="1"/>
  <c r="Q129" i="7"/>
  <c r="N129" i="7"/>
  <c r="O129" i="7" s="1"/>
  <c r="M123" i="7"/>
  <c r="K123" i="7"/>
  <c r="L123" i="7" s="1"/>
  <c r="M130" i="7"/>
  <c r="K130" i="7"/>
  <c r="L130" i="7" s="1"/>
  <c r="M122" i="7"/>
  <c r="K122" i="7"/>
  <c r="L122" i="7" s="1"/>
  <c r="M132" i="7"/>
  <c r="K132" i="7"/>
  <c r="L132" i="7" s="1"/>
  <c r="M127" i="7"/>
  <c r="K127" i="7"/>
  <c r="L127" i="7" s="1"/>
  <c r="M124" i="7"/>
  <c r="K124" i="7"/>
  <c r="L124" i="7" s="1"/>
  <c r="K129" i="7"/>
  <c r="L129" i="7" s="1"/>
  <c r="M131" i="7"/>
  <c r="K131" i="7"/>
  <c r="L131" i="7" s="1"/>
  <c r="K121" i="7"/>
  <c r="L121" i="7" s="1"/>
  <c r="M128" i="7"/>
  <c r="K128" i="7"/>
  <c r="L128" i="7" s="1"/>
  <c r="N125" i="7"/>
  <c r="O125" i="7" s="1"/>
  <c r="K133" i="7"/>
  <c r="L133" i="7" s="1"/>
  <c r="M135" i="7"/>
  <c r="K135" i="7"/>
  <c r="L135" i="7" s="1"/>
  <c r="K116" i="7"/>
  <c r="L116" i="7" s="1"/>
  <c r="M116" i="7"/>
  <c r="M120" i="7"/>
  <c r="N120" i="7" s="1"/>
  <c r="O120" i="7" s="1"/>
  <c r="K120" i="7"/>
  <c r="L120" i="7" s="1"/>
  <c r="N119" i="7"/>
  <c r="O119" i="7" s="1"/>
  <c r="Q119" i="7"/>
  <c r="M117" i="7"/>
  <c r="N117" i="7" s="1"/>
  <c r="O117" i="7" s="1"/>
  <c r="K117" i="7"/>
  <c r="L117" i="7" s="1"/>
  <c r="K118" i="7"/>
  <c r="L118" i="7" s="1"/>
  <c r="M118" i="7"/>
  <c r="K119" i="7"/>
  <c r="L119" i="7" s="1"/>
  <c r="K110" i="7"/>
  <c r="L110" i="7" s="1"/>
  <c r="J115" i="7"/>
  <c r="M115" i="7"/>
  <c r="K115" i="7"/>
  <c r="M110" i="7"/>
  <c r="N110" i="7" s="1"/>
  <c r="O110" i="7" s="1"/>
  <c r="K112" i="7"/>
  <c r="L112" i="7" s="1"/>
  <c r="M112" i="7"/>
  <c r="M108" i="7"/>
  <c r="N108" i="7" s="1"/>
  <c r="O108" i="7" s="1"/>
  <c r="K108" i="7"/>
  <c r="L108" i="7" s="1"/>
  <c r="K109" i="7"/>
  <c r="L109" i="7" s="1"/>
  <c r="M109" i="7"/>
  <c r="M107" i="7"/>
  <c r="N107" i="7" s="1"/>
  <c r="O107" i="7" s="1"/>
  <c r="K107" i="7"/>
  <c r="L107" i="7" s="1"/>
  <c r="M106" i="7"/>
  <c r="N106" i="7" s="1"/>
  <c r="O106" i="7" s="1"/>
  <c r="K106" i="7"/>
  <c r="L106" i="7" s="1"/>
  <c r="K97" i="7"/>
  <c r="L97" i="7" s="1"/>
  <c r="M97" i="7"/>
  <c r="N97" i="7" s="1"/>
  <c r="O97" i="7" s="1"/>
  <c r="K103" i="7"/>
  <c r="L103" i="7" s="1"/>
  <c r="K101" i="7"/>
  <c r="L101" i="7" s="1"/>
  <c r="K93" i="7"/>
  <c r="L93" i="7" s="1"/>
  <c r="M89" i="7"/>
  <c r="Q89" i="7" s="1"/>
  <c r="K89" i="7"/>
  <c r="L89" i="7" s="1"/>
  <c r="M104" i="7"/>
  <c r="K104" i="7"/>
  <c r="L104" i="7" s="1"/>
  <c r="M105" i="7"/>
  <c r="K105" i="7"/>
  <c r="L105" i="7" s="1"/>
  <c r="K94" i="7"/>
  <c r="L94" i="7" s="1"/>
  <c r="M94" i="7"/>
  <c r="M102" i="7"/>
  <c r="Q102" i="7" s="1"/>
  <c r="K102" i="7"/>
  <c r="L102" i="7" s="1"/>
  <c r="M90" i="7"/>
  <c r="N90" i="7" s="1"/>
  <c r="O90" i="7" s="1"/>
  <c r="K90" i="7"/>
  <c r="L90" i="7" s="1"/>
  <c r="K98" i="7"/>
  <c r="L98" i="7" s="1"/>
  <c r="M98" i="7"/>
  <c r="K91" i="7"/>
  <c r="L91" i="7" s="1"/>
  <c r="M91" i="7"/>
  <c r="M95" i="7"/>
  <c r="K95" i="7"/>
  <c r="L95" i="7" s="1"/>
  <c r="K92" i="7"/>
  <c r="L92" i="7" s="1"/>
  <c r="M92" i="7"/>
  <c r="M96" i="7"/>
  <c r="N96" i="7" s="1"/>
  <c r="O96" i="7" s="1"/>
  <c r="K96" i="7"/>
  <c r="L96" i="7" s="1"/>
  <c r="K100" i="7"/>
  <c r="L100" i="7" s="1"/>
  <c r="M100" i="7"/>
  <c r="M103" i="7"/>
  <c r="M101" i="7"/>
  <c r="K99" i="7"/>
  <c r="L99" i="7" s="1"/>
  <c r="N93" i="7"/>
  <c r="O93" i="7" s="1"/>
  <c r="Q93" i="7"/>
  <c r="N99" i="7"/>
  <c r="O99" i="7" s="1"/>
  <c r="Q99" i="7"/>
  <c r="M86" i="7"/>
  <c r="N86" i="7" s="1"/>
  <c r="O86" i="7" s="1"/>
  <c r="K86" i="7"/>
  <c r="L86" i="7" s="1"/>
  <c r="K88" i="7"/>
  <c r="L88" i="7" s="1"/>
  <c r="M88" i="7"/>
  <c r="K84" i="7"/>
  <c r="L84" i="7" s="1"/>
  <c r="K85" i="7"/>
  <c r="L85" i="7" s="1"/>
  <c r="M85" i="7"/>
  <c r="K87" i="7"/>
  <c r="L87" i="7" s="1"/>
  <c r="M87" i="7"/>
  <c r="M84" i="7"/>
  <c r="Q83" i="7"/>
  <c r="N83" i="7"/>
  <c r="O83" i="7" s="1"/>
  <c r="K83" i="7"/>
  <c r="L83" i="7" s="1"/>
  <c r="Q80" i="7"/>
  <c r="N80" i="7"/>
  <c r="O80" i="7" s="1"/>
  <c r="K80" i="7"/>
  <c r="L80" i="7" s="1"/>
  <c r="M75" i="7"/>
  <c r="K75" i="7"/>
  <c r="L75" i="7" s="1"/>
  <c r="M72" i="7"/>
  <c r="K72" i="7"/>
  <c r="L72" i="7" s="1"/>
  <c r="K70" i="7"/>
  <c r="L70" i="7" s="1"/>
  <c r="M70" i="7"/>
  <c r="N69" i="7"/>
  <c r="O69" i="7" s="1"/>
  <c r="Q69" i="7"/>
  <c r="K69" i="7"/>
  <c r="L69" i="7" s="1"/>
  <c r="M62" i="7"/>
  <c r="K62" i="7"/>
  <c r="L62" i="7" s="1"/>
  <c r="M65" i="7"/>
  <c r="K65" i="7"/>
  <c r="L65" i="7" s="1"/>
  <c r="M66" i="7"/>
  <c r="K66" i="7"/>
  <c r="L66" i="7" s="1"/>
  <c r="M63" i="7"/>
  <c r="K63" i="7"/>
  <c r="L63" i="7" s="1"/>
  <c r="K64" i="7"/>
  <c r="L64" i="7" s="1"/>
  <c r="M64" i="7"/>
  <c r="M67" i="7"/>
  <c r="K67" i="7"/>
  <c r="L67" i="7" s="1"/>
  <c r="K46" i="7"/>
  <c r="L46" i="7" s="1"/>
  <c r="M61" i="7"/>
  <c r="K61" i="7"/>
  <c r="L61" i="7" s="1"/>
  <c r="K54" i="7"/>
  <c r="L54" i="7" s="1"/>
  <c r="N49" i="7"/>
  <c r="K55" i="7"/>
  <c r="L55" i="7" s="1"/>
  <c r="M55" i="7"/>
  <c r="K52" i="7"/>
  <c r="L52" i="7" s="1"/>
  <c r="M52" i="7"/>
  <c r="M51" i="7"/>
  <c r="K51" i="7"/>
  <c r="L51" i="7" s="1"/>
  <c r="K50" i="7"/>
  <c r="L50" i="7" s="1"/>
  <c r="M50" i="7"/>
  <c r="N50" i="7" s="1"/>
  <c r="O50" i="7" s="1"/>
  <c r="N54" i="7"/>
  <c r="O54" i="7" s="1"/>
  <c r="Q54" i="7"/>
  <c r="N47" i="7"/>
  <c r="N53" i="7"/>
  <c r="M46" i="7"/>
  <c r="K47" i="7"/>
  <c r="K49" i="7"/>
  <c r="J47" i="7"/>
  <c r="K53" i="7"/>
  <c r="J49" i="7"/>
  <c r="J45" i="7"/>
  <c r="J53" i="7"/>
  <c r="L192" i="7" l="1"/>
  <c r="L149" i="7"/>
  <c r="O149" i="7"/>
  <c r="N221" i="7"/>
  <c r="O221" i="7" s="1"/>
  <c r="L211" i="7"/>
  <c r="Q216" i="7"/>
  <c r="N216" i="7"/>
  <c r="O216" i="7" s="1"/>
  <c r="Q224" i="7"/>
  <c r="N224" i="7"/>
  <c r="O224" i="7" s="1"/>
  <c r="Q218" i="7"/>
  <c r="N218" i="7"/>
  <c r="O218" i="7" s="1"/>
  <c r="Q227" i="7"/>
  <c r="N227" i="7"/>
  <c r="O227" i="7" s="1"/>
  <c r="Q226" i="7"/>
  <c r="N226" i="7"/>
  <c r="O226" i="7" s="1"/>
  <c r="Q223" i="7"/>
  <c r="N223" i="7"/>
  <c r="O223" i="7" s="1"/>
  <c r="Q219" i="7"/>
  <c r="N219" i="7"/>
  <c r="O219" i="7" s="1"/>
  <c r="Q220" i="7"/>
  <c r="N220" i="7"/>
  <c r="O220" i="7" s="1"/>
  <c r="Q222" i="7"/>
  <c r="N222" i="7"/>
  <c r="O222" i="7" s="1"/>
  <c r="N203" i="7"/>
  <c r="O203" i="7" s="1"/>
  <c r="L201" i="7"/>
  <c r="N211" i="7"/>
  <c r="O211" i="7" s="1"/>
  <c r="Q213" i="7"/>
  <c r="N213" i="7"/>
  <c r="O213" i="7" s="1"/>
  <c r="Q212" i="7"/>
  <c r="N212" i="7"/>
  <c r="O212" i="7" s="1"/>
  <c r="N210" i="7"/>
  <c r="O210" i="7" s="1"/>
  <c r="Q210" i="7"/>
  <c r="Q209" i="7"/>
  <c r="N209" i="7"/>
  <c r="O209" i="7" s="1"/>
  <c r="O201" i="7"/>
  <c r="N197" i="7"/>
  <c r="O197" i="7" s="1"/>
  <c r="Q194" i="7"/>
  <c r="Q208" i="7"/>
  <c r="N208" i="7"/>
  <c r="O208" i="7" s="1"/>
  <c r="Q207" i="7"/>
  <c r="N207" i="7"/>
  <c r="O207" i="7" s="1"/>
  <c r="N206" i="7"/>
  <c r="O206" i="7" s="1"/>
  <c r="Q206" i="7"/>
  <c r="Q205" i="7"/>
  <c r="N205" i="7"/>
  <c r="O205" i="7" s="1"/>
  <c r="Q204" i="7"/>
  <c r="N204" i="7"/>
  <c r="O204" i="7" s="1"/>
  <c r="Q195" i="7"/>
  <c r="N195" i="7"/>
  <c r="O195" i="7" s="1"/>
  <c r="L181" i="7"/>
  <c r="Q183" i="7"/>
  <c r="N183" i="7"/>
  <c r="O183" i="7" s="1"/>
  <c r="O181" i="7"/>
  <c r="N186" i="7"/>
  <c r="O186" i="7" s="1"/>
  <c r="Q192" i="7"/>
  <c r="N192" i="7"/>
  <c r="Q191" i="7"/>
  <c r="N191" i="7"/>
  <c r="O191" i="7" s="1"/>
  <c r="N189" i="7"/>
  <c r="O189" i="7" s="1"/>
  <c r="Q189" i="7"/>
  <c r="Q188" i="7"/>
  <c r="N188" i="7"/>
  <c r="O188" i="7" s="1"/>
  <c r="Q187" i="7"/>
  <c r="N187" i="7"/>
  <c r="O187" i="7" s="1"/>
  <c r="Q174" i="7"/>
  <c r="N174" i="7"/>
  <c r="O174" i="7" s="1"/>
  <c r="N173" i="7"/>
  <c r="O173" i="7" s="1"/>
  <c r="Q173" i="7"/>
  <c r="Q172" i="7"/>
  <c r="N172" i="7"/>
  <c r="O172" i="7" s="1"/>
  <c r="O151" i="7"/>
  <c r="N158" i="7"/>
  <c r="O158" i="7" s="1"/>
  <c r="Q167" i="7"/>
  <c r="N167" i="7"/>
  <c r="O167" i="7" s="1"/>
  <c r="Q170" i="7"/>
  <c r="N170" i="7"/>
  <c r="O170" i="7" s="1"/>
  <c r="Q169" i="7"/>
  <c r="N169" i="7"/>
  <c r="O169" i="7" s="1"/>
  <c r="Q166" i="7"/>
  <c r="N166" i="7"/>
  <c r="O166" i="7" s="1"/>
  <c r="Q171" i="7"/>
  <c r="N171" i="7"/>
  <c r="O171" i="7" s="1"/>
  <c r="Q168" i="7"/>
  <c r="N168" i="7"/>
  <c r="O168" i="7" s="1"/>
  <c r="O156" i="7"/>
  <c r="Q162" i="7"/>
  <c r="N162" i="7"/>
  <c r="O162" i="7" s="1"/>
  <c r="Q161" i="7"/>
  <c r="N161" i="7"/>
  <c r="O161" i="7" s="1"/>
  <c r="Q160" i="7"/>
  <c r="N160" i="7"/>
  <c r="O160" i="7" s="1"/>
  <c r="L156" i="7"/>
  <c r="L151" i="7"/>
  <c r="Q138" i="7"/>
  <c r="N142" i="7"/>
  <c r="O142" i="7" s="1"/>
  <c r="Q142" i="7"/>
  <c r="N144" i="7"/>
  <c r="O144" i="7" s="1"/>
  <c r="Q144" i="7"/>
  <c r="Q143" i="7"/>
  <c r="N143" i="7"/>
  <c r="O143" i="7" s="1"/>
  <c r="L137" i="7"/>
  <c r="Q140" i="7"/>
  <c r="N140" i="7"/>
  <c r="O140" i="7" s="1"/>
  <c r="N141" i="7"/>
  <c r="O141" i="7" s="1"/>
  <c r="Q141" i="7"/>
  <c r="N137" i="7"/>
  <c r="O137" i="7" s="1"/>
  <c r="Q137" i="7"/>
  <c r="Q128" i="7"/>
  <c r="N128" i="7"/>
  <c r="O128" i="7" s="1"/>
  <c r="Q135" i="7"/>
  <c r="N135" i="7"/>
  <c r="O135" i="7" s="1"/>
  <c r="Q127" i="7"/>
  <c r="N127" i="7"/>
  <c r="O127" i="7" s="1"/>
  <c r="N132" i="7"/>
  <c r="O132" i="7" s="1"/>
  <c r="Q132" i="7"/>
  <c r="Q134" i="7"/>
  <c r="N134" i="7"/>
  <c r="O134" i="7" s="1"/>
  <c r="Q122" i="7"/>
  <c r="N122" i="7"/>
  <c r="O122" i="7" s="1"/>
  <c r="Q130" i="7"/>
  <c r="N130" i="7"/>
  <c r="O130" i="7" s="1"/>
  <c r="Q131" i="7"/>
  <c r="N131" i="7"/>
  <c r="O131" i="7" s="1"/>
  <c r="Q126" i="7"/>
  <c r="N126" i="7"/>
  <c r="O126" i="7" s="1"/>
  <c r="Q124" i="7"/>
  <c r="N124" i="7"/>
  <c r="O124" i="7" s="1"/>
  <c r="Q123" i="7"/>
  <c r="N123" i="7"/>
  <c r="O123" i="7" s="1"/>
  <c r="Q120" i="7"/>
  <c r="Q117" i="7"/>
  <c r="Q108" i="7"/>
  <c r="Q116" i="7"/>
  <c r="N116" i="7"/>
  <c r="O116" i="7" s="1"/>
  <c r="Q118" i="7"/>
  <c r="N118" i="7"/>
  <c r="O118" i="7" s="1"/>
  <c r="Q110" i="7"/>
  <c r="L115" i="7"/>
  <c r="N115" i="7"/>
  <c r="O115" i="7" s="1"/>
  <c r="Q115" i="7"/>
  <c r="Q112" i="7"/>
  <c r="N112" i="7"/>
  <c r="O112" i="7" s="1"/>
  <c r="Q106" i="7"/>
  <c r="Q107" i="7"/>
  <c r="N109" i="7"/>
  <c r="O109" i="7" s="1"/>
  <c r="Q109" i="7"/>
  <c r="Q97" i="7"/>
  <c r="N89" i="7"/>
  <c r="O89" i="7" s="1"/>
  <c r="N102" i="7"/>
  <c r="O102" i="7" s="1"/>
  <c r="Q90" i="7"/>
  <c r="Q96" i="7"/>
  <c r="Q105" i="7"/>
  <c r="N105" i="7"/>
  <c r="O105" i="7" s="1"/>
  <c r="Q104" i="7"/>
  <c r="N104" i="7"/>
  <c r="O104" i="7" s="1"/>
  <c r="Q98" i="7"/>
  <c r="N98" i="7"/>
  <c r="O98" i="7" s="1"/>
  <c r="N92" i="7"/>
  <c r="O92" i="7" s="1"/>
  <c r="Q92" i="7"/>
  <c r="N101" i="7"/>
  <c r="O101" i="7" s="1"/>
  <c r="Q101" i="7"/>
  <c r="N95" i="7"/>
  <c r="O95" i="7" s="1"/>
  <c r="Q95" i="7"/>
  <c r="Q100" i="7"/>
  <c r="N100" i="7"/>
  <c r="O100" i="7" s="1"/>
  <c r="N103" i="7"/>
  <c r="O103" i="7" s="1"/>
  <c r="Q103" i="7"/>
  <c r="N91" i="7"/>
  <c r="O91" i="7" s="1"/>
  <c r="Q91" i="7"/>
  <c r="N94" i="7"/>
  <c r="O94" i="7" s="1"/>
  <c r="Q94" i="7"/>
  <c r="Q86" i="7"/>
  <c r="Q88" i="7"/>
  <c r="N88" i="7"/>
  <c r="O88" i="7" s="1"/>
  <c r="Q85" i="7"/>
  <c r="N85" i="7"/>
  <c r="O85" i="7" s="1"/>
  <c r="Q84" i="7"/>
  <c r="N84" i="7"/>
  <c r="O84" i="7" s="1"/>
  <c r="Q87" i="7"/>
  <c r="N87" i="7"/>
  <c r="O87" i="7" s="1"/>
  <c r="Q75" i="7"/>
  <c r="N75" i="7"/>
  <c r="O75" i="7" s="1"/>
  <c r="N72" i="7"/>
  <c r="O72" i="7" s="1"/>
  <c r="Q72" i="7"/>
  <c r="Q70" i="7"/>
  <c r="N70" i="7"/>
  <c r="O70" i="7" s="1"/>
  <c r="N63" i="7"/>
  <c r="O63" i="7" s="1"/>
  <c r="Q63" i="7"/>
  <c r="Q66" i="7"/>
  <c r="N66" i="7"/>
  <c r="O66" i="7" s="1"/>
  <c r="N67" i="7"/>
  <c r="O67" i="7" s="1"/>
  <c r="Q67" i="7"/>
  <c r="Q64" i="7"/>
  <c r="N64" i="7"/>
  <c r="O64" i="7" s="1"/>
  <c r="Q65" i="7"/>
  <c r="N65" i="7"/>
  <c r="O65" i="7" s="1"/>
  <c r="Q62" i="7"/>
  <c r="N62" i="7"/>
  <c r="O62" i="7" s="1"/>
  <c r="L53" i="7"/>
  <c r="L47" i="7"/>
  <c r="Q61" i="7"/>
  <c r="N61" i="7"/>
  <c r="O61" i="7" s="1"/>
  <c r="N55" i="7"/>
  <c r="O55" i="7" s="1"/>
  <c r="Q55" i="7"/>
  <c r="N51" i="7"/>
  <c r="O51" i="7" s="1"/>
  <c r="Q51" i="7"/>
  <c r="Q50" i="7"/>
  <c r="N52" i="7"/>
  <c r="O52" i="7" s="1"/>
  <c r="Q52" i="7"/>
  <c r="N46" i="7"/>
  <c r="O46" i="7" s="1"/>
  <c r="Q46" i="7"/>
  <c r="O47" i="7"/>
  <c r="O53" i="7"/>
  <c r="L49" i="7"/>
  <c r="O49" i="7"/>
  <c r="O192" i="7" l="1"/>
  <c r="D35" i="7" l="1"/>
  <c r="J32" i="7"/>
  <c r="J33" i="7"/>
  <c r="J26" i="7"/>
  <c r="J22" i="7"/>
  <c r="J23" i="7"/>
  <c r="J24" i="7"/>
  <c r="J25" i="7"/>
  <c r="J10" i="7"/>
  <c r="J11" i="7"/>
  <c r="J12" i="7"/>
  <c r="J13" i="7"/>
  <c r="J14" i="7"/>
  <c r="J15" i="7"/>
  <c r="J16" i="7"/>
  <c r="J17" i="7"/>
  <c r="J18" i="7"/>
  <c r="J19" i="7"/>
  <c r="J20" i="7"/>
  <c r="J21" i="7"/>
  <c r="J9" i="7"/>
  <c r="J27" i="7"/>
  <c r="J28" i="7"/>
  <c r="J29" i="7"/>
  <c r="J30" i="7"/>
  <c r="J31" i="7"/>
  <c r="F31" i="7"/>
  <c r="F30" i="7"/>
  <c r="F29" i="7"/>
  <c r="F28" i="7"/>
  <c r="F27" i="7"/>
  <c r="J8" i="7"/>
  <c r="F8" i="7"/>
  <c r="J3" i="7"/>
  <c r="J4" i="7"/>
  <c r="J5" i="7"/>
  <c r="J6" i="7"/>
  <c r="J7" i="7"/>
  <c r="F7" i="7"/>
  <c r="F6" i="7"/>
  <c r="F5" i="7"/>
  <c r="F4" i="7"/>
  <c r="F3" i="7"/>
  <c r="G47" i="4"/>
  <c r="G48" i="4"/>
  <c r="S58" i="13"/>
  <c r="U56" i="13"/>
  <c r="U55" i="13"/>
  <c r="J45" i="13"/>
  <c r="J44" i="13"/>
  <c r="J43" i="13"/>
  <c r="V39" i="13"/>
  <c r="V38" i="13"/>
  <c r="J38" i="13"/>
  <c r="Y67" i="13" s="1"/>
  <c r="V37" i="13"/>
  <c r="V36" i="13"/>
  <c r="V34" i="13"/>
  <c r="V33" i="13"/>
  <c r="V32" i="13"/>
  <c r="V31" i="13"/>
  <c r="V29" i="13"/>
  <c r="V28" i="13"/>
  <c r="V27" i="13"/>
  <c r="K27" i="13"/>
  <c r="I27" i="13"/>
  <c r="AC19" i="13" s="1"/>
  <c r="V26" i="13"/>
  <c r="V24" i="13"/>
  <c r="V23" i="13"/>
  <c r="V22" i="13"/>
  <c r="V21" i="13"/>
  <c r="V19" i="13"/>
  <c r="V18" i="13"/>
  <c r="V17" i="13"/>
  <c r="V16" i="13"/>
  <c r="V14" i="13"/>
  <c r="C14" i="13"/>
  <c r="J46" i="13" s="1"/>
  <c r="V13" i="13"/>
  <c r="V12" i="13"/>
  <c r="V11" i="13"/>
  <c r="V9" i="13"/>
  <c r="F9" i="13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C9" i="13"/>
  <c r="V8" i="13"/>
  <c r="F8" i="13"/>
  <c r="C8" i="13"/>
  <c r="V7" i="13"/>
  <c r="C7" i="13"/>
  <c r="J28" i="13" s="1"/>
  <c r="Y6" i="13"/>
  <c r="Y7" i="13" s="1"/>
  <c r="Y8" i="13" s="1"/>
  <c r="Y9" i="13" s="1"/>
  <c r="Y11" i="13" s="1"/>
  <c r="Y12" i="13" s="1"/>
  <c r="Y13" i="13" s="1"/>
  <c r="Y14" i="13" s="1"/>
  <c r="Y16" i="13" s="1"/>
  <c r="Y17" i="13" s="1"/>
  <c r="Y18" i="13" s="1"/>
  <c r="Y19" i="13" s="1"/>
  <c r="Y21" i="13" s="1"/>
  <c r="Y22" i="13" s="1"/>
  <c r="Y23" i="13" s="1"/>
  <c r="Y24" i="13" s="1"/>
  <c r="Y26" i="13" s="1"/>
  <c r="Y27" i="13" s="1"/>
  <c r="Y28" i="13" s="1"/>
  <c r="Y29" i="13" s="1"/>
  <c r="Y31" i="13" s="1"/>
  <c r="Y32" i="13" s="1"/>
  <c r="Y33" i="13" s="1"/>
  <c r="Y34" i="13" s="1"/>
  <c r="Y36" i="13" s="1"/>
  <c r="Y37" i="13" s="1"/>
  <c r="Y38" i="13" s="1"/>
  <c r="Y39" i="13" s="1"/>
  <c r="V6" i="13"/>
  <c r="C6" i="13"/>
  <c r="I8" i="13" s="1"/>
  <c r="C5" i="13"/>
  <c r="I7" i="13" s="1"/>
  <c r="AC11" i="13" l="1"/>
  <c r="AC7" i="13"/>
  <c r="AC12" i="13"/>
  <c r="AC29" i="13"/>
  <c r="AC24" i="13"/>
  <c r="I26" i="13"/>
  <c r="J26" i="13" s="1"/>
  <c r="AC6" i="13"/>
  <c r="AC21" i="13"/>
  <c r="AC32" i="13"/>
  <c r="AC8" i="13"/>
  <c r="G49" i="4"/>
  <c r="AC18" i="13"/>
  <c r="AC9" i="13"/>
  <c r="I16" i="13"/>
  <c r="K8" i="13"/>
  <c r="M27" i="13"/>
  <c r="K11" i="13" s="1"/>
  <c r="I9" i="13"/>
  <c r="J47" i="13"/>
  <c r="J19" i="13"/>
  <c r="S8" i="13"/>
  <c r="S9" i="13"/>
  <c r="S6" i="13"/>
  <c r="S7" i="13"/>
  <c r="AC38" i="13"/>
  <c r="J27" i="13"/>
  <c r="K38" i="13"/>
  <c r="Z67" i="13" s="1"/>
  <c r="AC26" i="13"/>
  <c r="L27" i="13"/>
  <c r="AC27" i="13"/>
  <c r="AC28" i="13"/>
  <c r="AC34" i="13"/>
  <c r="AC17" i="13"/>
  <c r="AC23" i="13"/>
  <c r="AC36" i="13"/>
  <c r="AC37" i="13"/>
  <c r="AC33" i="13"/>
  <c r="AC13" i="13"/>
  <c r="AC14" i="13"/>
  <c r="AC16" i="13"/>
  <c r="AC22" i="13"/>
  <c r="AC39" i="13"/>
  <c r="AC31" i="13"/>
  <c r="I28" i="13" l="1"/>
  <c r="M11" i="13"/>
  <c r="I11" i="13"/>
  <c r="T6" i="13"/>
  <c r="U6" i="13" s="1"/>
  <c r="W6" i="13" s="1"/>
  <c r="X6" i="13" s="1"/>
  <c r="Z6" i="13" s="1"/>
  <c r="AA6" i="13" s="1"/>
  <c r="AB6" i="13" s="1"/>
  <c r="AD6" i="13" s="1"/>
  <c r="AE6" i="13" s="1"/>
  <c r="AF6" i="13" s="1"/>
  <c r="AG6" i="13" s="1"/>
  <c r="AH6" i="13" s="1"/>
  <c r="T7" i="13"/>
  <c r="U7" i="13" s="1"/>
  <c r="W7" i="13" s="1"/>
  <c r="X7" i="13" s="1"/>
  <c r="Z7" i="13" s="1"/>
  <c r="AA7" i="13" s="1"/>
  <c r="AB7" i="13" s="1"/>
  <c r="AD7" i="13" s="1"/>
  <c r="AE7" i="13" s="1"/>
  <c r="AF7" i="13" s="1"/>
  <c r="AG7" i="13" s="1"/>
  <c r="AH7" i="13" s="1"/>
  <c r="T8" i="13"/>
  <c r="U8" i="13" s="1"/>
  <c r="W8" i="13" s="1"/>
  <c r="X8" i="13" s="1"/>
  <c r="Z8" i="13" s="1"/>
  <c r="AA8" i="13" s="1"/>
  <c r="AB8" i="13" s="1"/>
  <c r="AD8" i="13" s="1"/>
  <c r="AE8" i="13" s="1"/>
  <c r="AF8" i="13" s="1"/>
  <c r="AG8" i="13" s="1"/>
  <c r="AH8" i="13" s="1"/>
  <c r="I12" i="13"/>
  <c r="I14" i="13" s="1"/>
  <c r="T9" i="13"/>
  <c r="U9" i="13" s="1"/>
  <c r="W9" i="13" s="1"/>
  <c r="X9" i="13" s="1"/>
  <c r="Z9" i="13" s="1"/>
  <c r="AA9" i="13" s="1"/>
  <c r="AB9" i="13" s="1"/>
  <c r="AD9" i="13" s="1"/>
  <c r="AE9" i="13" s="1"/>
  <c r="AF9" i="13" s="1"/>
  <c r="AG9" i="13" s="1"/>
  <c r="AH9" i="13" s="1"/>
  <c r="J2" i="7" l="1"/>
  <c r="J35" i="7" s="1"/>
  <c r="B50" i="4"/>
  <c r="B49" i="4" l="1"/>
  <c r="B51" i="4" s="1"/>
  <c r="F33" i="7"/>
  <c r="F22" i="7"/>
  <c r="F23" i="7"/>
  <c r="F24" i="7"/>
  <c r="F25" i="7"/>
  <c r="F9" i="7"/>
  <c r="J79" i="7" l="1"/>
  <c r="J81" i="7"/>
  <c r="J82" i="7"/>
  <c r="G50" i="4" l="1"/>
  <c r="G51" i="4" s="1"/>
  <c r="B52" i="4" l="1"/>
  <c r="G24" i="7"/>
  <c r="G42" i="7"/>
  <c r="G113" i="7"/>
  <c r="G2" i="7"/>
  <c r="G77" i="7"/>
  <c r="G23" i="7"/>
  <c r="G45" i="7"/>
  <c r="G114" i="7"/>
  <c r="G16" i="7"/>
  <c r="G39" i="7"/>
  <c r="G57" i="7"/>
  <c r="I57" i="7" s="1"/>
  <c r="G22" i="7"/>
  <c r="G58" i="7"/>
  <c r="I58" i="7" s="1"/>
  <c r="G136" i="7"/>
  <c r="G18" i="7"/>
  <c r="G17" i="7"/>
  <c r="G14" i="7"/>
  <c r="G56" i="7"/>
  <c r="I56" i="7" s="1"/>
  <c r="G21" i="7"/>
  <c r="G68" i="7"/>
  <c r="G139" i="7"/>
  <c r="G44" i="7"/>
  <c r="G214" i="7"/>
  <c r="G78" i="7"/>
  <c r="G41" i="7"/>
  <c r="G60" i="7"/>
  <c r="I60" i="7" s="1"/>
  <c r="G33" i="7"/>
  <c r="G20" i="7"/>
  <c r="G71" i="7"/>
  <c r="G38" i="7"/>
  <c r="G76" i="7"/>
  <c r="G9" i="7"/>
  <c r="G82" i="7"/>
  <c r="G59" i="7"/>
  <c r="I59" i="7" s="1"/>
  <c r="G32" i="7"/>
  <c r="G19" i="7"/>
  <c r="G215" i="7"/>
  <c r="G73" i="7"/>
  <c r="G81" i="7"/>
  <c r="G74" i="7"/>
  <c r="G13" i="7"/>
  <c r="G150" i="7"/>
  <c r="G111" i="7"/>
  <c r="G152" i="7"/>
  <c r="G11" i="7"/>
  <c r="G25" i="7"/>
  <c r="G79" i="7"/>
  <c r="G10" i="7"/>
  <c r="G12" i="7"/>
  <c r="G26" i="7"/>
  <c r="G15" i="7"/>
  <c r="J59" i="7"/>
  <c r="J60" i="7"/>
  <c r="J56" i="7"/>
  <c r="J57" i="7"/>
  <c r="J76" i="7"/>
  <c r="J139" i="7"/>
  <c r="J136" i="7"/>
  <c r="J114" i="7"/>
  <c r="M57" i="7" l="1"/>
  <c r="K57" i="7"/>
  <c r="L57" i="7" s="1"/>
  <c r="M58" i="7"/>
  <c r="K56" i="7"/>
  <c r="L56" i="7" s="1"/>
  <c r="M56" i="7"/>
  <c r="M59" i="7"/>
  <c r="K59" i="7"/>
  <c r="L59" i="7" s="1"/>
  <c r="M60" i="7"/>
  <c r="K60" i="7"/>
  <c r="L60" i="7" s="1"/>
  <c r="G48" i="7"/>
  <c r="I48" i="7" s="1"/>
  <c r="G31" i="7"/>
  <c r="I31" i="7" s="1"/>
  <c r="G27" i="7"/>
  <c r="I27" i="7" s="1"/>
  <c r="G7" i="7"/>
  <c r="I7" i="7" s="1"/>
  <c r="G3" i="7"/>
  <c r="I3" i="7" s="1"/>
  <c r="G40" i="7"/>
  <c r="I40" i="7" s="1"/>
  <c r="G30" i="7"/>
  <c r="I30" i="7" s="1"/>
  <c r="G6" i="7"/>
  <c r="I6" i="7" s="1"/>
  <c r="G43" i="7"/>
  <c r="I43" i="7" s="1"/>
  <c r="G8" i="7"/>
  <c r="I8" i="7" s="1"/>
  <c r="G28" i="7"/>
  <c r="I28" i="7" s="1"/>
  <c r="G29" i="7"/>
  <c r="I29" i="7" s="1"/>
  <c r="G5" i="7"/>
  <c r="I5" i="7" s="1"/>
  <c r="G4" i="7"/>
  <c r="I4" i="7" s="1"/>
  <c r="Q56" i="7" l="1"/>
  <c r="N56" i="7"/>
  <c r="O56" i="7" s="1"/>
  <c r="Q58" i="7"/>
  <c r="N57" i="7"/>
  <c r="O57" i="7" s="1"/>
  <c r="Q57" i="7"/>
  <c r="N59" i="7"/>
  <c r="O59" i="7" s="1"/>
  <c r="Q59" i="7"/>
  <c r="N60" i="7"/>
  <c r="O60" i="7" s="1"/>
  <c r="Q60" i="7"/>
  <c r="M43" i="7"/>
  <c r="K43" i="7"/>
  <c r="L43" i="7" s="1"/>
  <c r="M48" i="7"/>
  <c r="K48" i="7"/>
  <c r="L48" i="7" s="1"/>
  <c r="K40" i="7"/>
  <c r="L40" i="7" s="1"/>
  <c r="M40" i="7"/>
  <c r="M3" i="7"/>
  <c r="K3" i="7"/>
  <c r="L3" i="7" s="1"/>
  <c r="K27" i="7"/>
  <c r="L27" i="7" s="1"/>
  <c r="M27" i="7"/>
  <c r="M31" i="7"/>
  <c r="K31" i="7"/>
  <c r="L31" i="7" s="1"/>
  <c r="M7" i="7"/>
  <c r="K7" i="7"/>
  <c r="L7" i="7" s="1"/>
  <c r="M4" i="7"/>
  <c r="K4" i="7"/>
  <c r="L4" i="7" s="1"/>
  <c r="M5" i="7"/>
  <c r="K5" i="7"/>
  <c r="L5" i="7" s="1"/>
  <c r="M30" i="7"/>
  <c r="K30" i="7"/>
  <c r="L30" i="7" s="1"/>
  <c r="K8" i="7"/>
  <c r="L8" i="7" s="1"/>
  <c r="M8" i="7"/>
  <c r="M6" i="7"/>
  <c r="K6" i="7"/>
  <c r="L6" i="7" s="1"/>
  <c r="M29" i="7"/>
  <c r="K29" i="7"/>
  <c r="L29" i="7" s="1"/>
  <c r="M28" i="7"/>
  <c r="K28" i="7"/>
  <c r="L28" i="7" s="1"/>
  <c r="F150" i="7"/>
  <c r="J39" i="7"/>
  <c r="J150" i="7" l="1"/>
  <c r="N40" i="7"/>
  <c r="O40" i="7" s="1"/>
  <c r="Q40" i="7"/>
  <c r="Q43" i="7"/>
  <c r="N43" i="7"/>
  <c r="O43" i="7" s="1"/>
  <c r="Q48" i="7"/>
  <c r="N48" i="7"/>
  <c r="O48" i="7" s="1"/>
  <c r="N27" i="7"/>
  <c r="O27" i="7" s="1"/>
  <c r="Q27" i="7"/>
  <c r="N29" i="7"/>
  <c r="O29" i="7" s="1"/>
  <c r="Q29" i="7"/>
  <c r="Q28" i="7"/>
  <c r="N28" i="7"/>
  <c r="O28" i="7" s="1"/>
  <c r="N31" i="7"/>
  <c r="O31" i="7" s="1"/>
  <c r="Q31" i="7"/>
  <c r="N3" i="7"/>
  <c r="O3" i="7" s="1"/>
  <c r="Q3" i="7"/>
  <c r="N5" i="7"/>
  <c r="O5" i="7" s="1"/>
  <c r="Q5" i="7"/>
  <c r="N8" i="7"/>
  <c r="O8" i="7" s="1"/>
  <c r="Q8" i="7"/>
  <c r="N4" i="7"/>
  <c r="O4" i="7" s="1"/>
  <c r="Q4" i="7"/>
  <c r="N6" i="7"/>
  <c r="O6" i="7" s="1"/>
  <c r="Q6" i="7"/>
  <c r="N30" i="7"/>
  <c r="O30" i="7" s="1"/>
  <c r="Q30" i="7"/>
  <c r="Q7" i="7"/>
  <c r="N7" i="7"/>
  <c r="O7" i="7" s="1"/>
  <c r="B3" i="4" l="1"/>
  <c r="C3" i="4" s="1"/>
  <c r="J78" i="7" l="1"/>
  <c r="J77" i="7"/>
  <c r="F152" i="7" l="1"/>
  <c r="F214" i="7"/>
  <c r="F215" i="7"/>
  <c r="J71" i="7"/>
  <c r="J73" i="7"/>
  <c r="J74" i="7"/>
  <c r="F231" i="7" l="1"/>
  <c r="J152" i="7"/>
  <c r="J58" i="7"/>
  <c r="K58" i="7"/>
  <c r="N58" i="7"/>
  <c r="F32" i="7"/>
  <c r="F21" i="7"/>
  <c r="F20" i="7"/>
  <c r="F19" i="7"/>
  <c r="F18" i="7"/>
  <c r="F17" i="7"/>
  <c r="F16" i="7"/>
  <c r="F12" i="7"/>
  <c r="F11" i="7"/>
  <c r="O58" i="7" l="1"/>
  <c r="L58" i="7"/>
  <c r="J113" i="7" l="1"/>
  <c r="J111" i="7"/>
  <c r="J38" i="7" l="1"/>
  <c r="D146" i="7"/>
  <c r="D278" i="7" s="1"/>
  <c r="F146" i="7"/>
  <c r="J68" i="7" l="1"/>
  <c r="J146" i="7" l="1"/>
  <c r="B4" i="4" l="1"/>
  <c r="B5" i="4"/>
  <c r="B6" i="4"/>
  <c r="D5" i="4" l="1"/>
  <c r="C4" i="4"/>
  <c r="E4" i="4"/>
  <c r="G4" i="4"/>
  <c r="F5" i="4"/>
  <c r="C5" i="4"/>
  <c r="D4" i="4"/>
  <c r="F4" i="4"/>
  <c r="H4" i="4"/>
  <c r="C6" i="4"/>
  <c r="H6" i="4"/>
  <c r="E5" i="4"/>
  <c r="G5" i="4"/>
  <c r="H5" i="4"/>
  <c r="D3" i="4"/>
  <c r="E3" i="4"/>
  <c r="F3" i="4"/>
  <c r="G3" i="4"/>
  <c r="H3" i="4"/>
  <c r="G6" i="4" l="1"/>
  <c r="F6" i="4"/>
  <c r="E6" i="4"/>
  <c r="D6" i="4"/>
  <c r="B9" i="4" l="1"/>
  <c r="B8" i="4"/>
  <c r="B7" i="4"/>
  <c r="E14" i="7" l="1"/>
  <c r="F14" i="7" s="1"/>
  <c r="E2" i="7"/>
  <c r="E15" i="7"/>
  <c r="F15" i="7" s="1"/>
  <c r="F10" i="7"/>
  <c r="F26" i="7"/>
  <c r="E13" i="7"/>
  <c r="F13" i="7" s="1"/>
  <c r="H8" i="4"/>
  <c r="G8" i="4"/>
  <c r="F8" i="4"/>
  <c r="E8" i="4"/>
  <c r="D8" i="4"/>
  <c r="C8" i="4"/>
  <c r="H7" i="4"/>
  <c r="C7" i="4"/>
  <c r="G7" i="4"/>
  <c r="F7" i="4"/>
  <c r="E7" i="4"/>
  <c r="D7" i="4"/>
  <c r="H9" i="4"/>
  <c r="G9" i="4"/>
  <c r="F9" i="4"/>
  <c r="E9" i="4"/>
  <c r="D9" i="4"/>
  <c r="C9" i="4"/>
  <c r="F2" i="7" l="1"/>
  <c r="J214" i="7"/>
  <c r="J215" i="7"/>
  <c r="J231" i="7" s="1"/>
  <c r="J278" i="7" s="1"/>
  <c r="F35" i="7" l="1"/>
  <c r="F278" i="7" s="1"/>
  <c r="I33" i="7" l="1"/>
  <c r="M33" i="7" l="1"/>
  <c r="K33" i="7"/>
  <c r="L33" i="7" s="1"/>
  <c r="I14" i="7"/>
  <c r="I111" i="7"/>
  <c r="M111" i="7" s="1"/>
  <c r="I18" i="7"/>
  <c r="I32" i="7"/>
  <c r="I215" i="7"/>
  <c r="M215" i="7" s="1"/>
  <c r="I71" i="7"/>
  <c r="K71" i="7" s="1"/>
  <c r="L71" i="7" s="1"/>
  <c r="I13" i="7"/>
  <c r="I11" i="7"/>
  <c r="I12" i="7"/>
  <c r="I77" i="7"/>
  <c r="I82" i="7"/>
  <c r="I68" i="7"/>
  <c r="M68" i="7" s="1"/>
  <c r="I45" i="7"/>
  <c r="I10" i="7"/>
  <c r="I15" i="7"/>
  <c r="I78" i="7"/>
  <c r="I42" i="7"/>
  <c r="I73" i="7"/>
  <c r="M73" i="7" s="1"/>
  <c r="I26" i="7"/>
  <c r="I74" i="7"/>
  <c r="M74" i="7" s="1"/>
  <c r="I17" i="7"/>
  <c r="I19" i="7"/>
  <c r="I16" i="7"/>
  <c r="I39" i="7"/>
  <c r="K39" i="7" s="1"/>
  <c r="L39" i="7" s="1"/>
  <c r="I76" i="7"/>
  <c r="I24" i="7"/>
  <c r="I23" i="7"/>
  <c r="I22" i="7"/>
  <c r="I25" i="7"/>
  <c r="I20" i="7"/>
  <c r="I114" i="7"/>
  <c r="M114" i="7" s="1"/>
  <c r="I9" i="7"/>
  <c r="I44" i="7"/>
  <c r="I136" i="7"/>
  <c r="K136" i="7" s="1"/>
  <c r="L136" i="7" s="1"/>
  <c r="I139" i="7"/>
  <c r="M139" i="7" s="1"/>
  <c r="I79" i="7"/>
  <c r="I81" i="7"/>
  <c r="I150" i="7"/>
  <c r="M150" i="7" s="1"/>
  <c r="I214" i="7"/>
  <c r="M214" i="7" s="1"/>
  <c r="I41" i="7"/>
  <c r="I21" i="7"/>
  <c r="I113" i="7"/>
  <c r="M113" i="7" s="1"/>
  <c r="I152" i="7"/>
  <c r="M152" i="7" l="1"/>
  <c r="M231" i="7" s="1"/>
  <c r="M278" i="7" s="1"/>
  <c r="K152" i="7"/>
  <c r="L152" i="7" s="1"/>
  <c r="M77" i="7"/>
  <c r="K77" i="7"/>
  <c r="L77" i="7" s="1"/>
  <c r="K76" i="7"/>
  <c r="L76" i="7" s="1"/>
  <c r="M76" i="7"/>
  <c r="K82" i="7"/>
  <c r="L82" i="7" s="1"/>
  <c r="M82" i="7"/>
  <c r="K79" i="7"/>
  <c r="L79" i="7" s="1"/>
  <c r="M79" i="7"/>
  <c r="M78" i="7"/>
  <c r="K78" i="7"/>
  <c r="L78" i="7" s="1"/>
  <c r="K81" i="7"/>
  <c r="L81" i="7" s="1"/>
  <c r="M81" i="7"/>
  <c r="M44" i="7"/>
  <c r="K44" i="7"/>
  <c r="L44" i="7" s="1"/>
  <c r="M42" i="7"/>
  <c r="K42" i="7"/>
  <c r="L42" i="7" s="1"/>
  <c r="M41" i="7"/>
  <c r="K41" i="7"/>
  <c r="L41" i="7" s="1"/>
  <c r="M45" i="7"/>
  <c r="K45" i="7"/>
  <c r="L45" i="7" s="1"/>
  <c r="K26" i="7"/>
  <c r="L26" i="7" s="1"/>
  <c r="M26" i="7"/>
  <c r="K32" i="7"/>
  <c r="L32" i="7" s="1"/>
  <c r="M32" i="7"/>
  <c r="Q33" i="7"/>
  <c r="N33" i="7"/>
  <c r="O33" i="7" s="1"/>
  <c r="K12" i="7"/>
  <c r="L12" i="7" s="1"/>
  <c r="M12" i="7"/>
  <c r="K23" i="7"/>
  <c r="L23" i="7" s="1"/>
  <c r="M23" i="7"/>
  <c r="K18" i="7"/>
  <c r="L18" i="7" s="1"/>
  <c r="M18" i="7"/>
  <c r="M10" i="7"/>
  <c r="K10" i="7"/>
  <c r="L10" i="7" s="1"/>
  <c r="M24" i="7"/>
  <c r="K24" i="7"/>
  <c r="L24" i="7" s="1"/>
  <c r="M25" i="7"/>
  <c r="K25" i="7"/>
  <c r="L25" i="7" s="1"/>
  <c r="K13" i="7"/>
  <c r="L13" i="7" s="1"/>
  <c r="M13" i="7"/>
  <c r="K20" i="7"/>
  <c r="L20" i="7" s="1"/>
  <c r="M20" i="7"/>
  <c r="K22" i="7"/>
  <c r="L22" i="7" s="1"/>
  <c r="M22" i="7"/>
  <c r="M14" i="7"/>
  <c r="K14" i="7"/>
  <c r="L14" i="7" s="1"/>
  <c r="M9" i="7"/>
  <c r="K9" i="7"/>
  <c r="L9" i="7" s="1"/>
  <c r="M16" i="7"/>
  <c r="K16" i="7"/>
  <c r="L16" i="7" s="1"/>
  <c r="K21" i="7"/>
  <c r="L21" i="7" s="1"/>
  <c r="M21" i="7"/>
  <c r="K11" i="7"/>
  <c r="L11" i="7" s="1"/>
  <c r="M11" i="7"/>
  <c r="M19" i="7"/>
  <c r="K19" i="7"/>
  <c r="L19" i="7" s="1"/>
  <c r="K17" i="7"/>
  <c r="L17" i="7" s="1"/>
  <c r="M17" i="7"/>
  <c r="K15" i="7"/>
  <c r="L15" i="7" s="1"/>
  <c r="M15" i="7"/>
  <c r="I2" i="7"/>
  <c r="K2" i="7" s="1"/>
  <c r="N68" i="7"/>
  <c r="O68" i="7" s="1"/>
  <c r="Q68" i="7"/>
  <c r="N150" i="7"/>
  <c r="Q150" i="7"/>
  <c r="N114" i="7"/>
  <c r="O114" i="7" s="1"/>
  <c r="Q114" i="7"/>
  <c r="N214" i="7"/>
  <c r="Q214" i="7"/>
  <c r="N111" i="7"/>
  <c r="O111" i="7" s="1"/>
  <c r="Q111" i="7"/>
  <c r="N113" i="7"/>
  <c r="O113" i="7" s="1"/>
  <c r="Q113" i="7"/>
  <c r="N139" i="7"/>
  <c r="O139" i="7" s="1"/>
  <c r="Q139" i="7"/>
  <c r="N74" i="7"/>
  <c r="O74" i="7" s="1"/>
  <c r="Q74" i="7"/>
  <c r="N215" i="7"/>
  <c r="O215" i="7" s="1"/>
  <c r="Q215" i="7"/>
  <c r="N73" i="7"/>
  <c r="O73" i="7" s="1"/>
  <c r="Q73" i="7"/>
  <c r="K150" i="7"/>
  <c r="K114" i="7"/>
  <c r="L114" i="7" s="1"/>
  <c r="M39" i="7"/>
  <c r="K139" i="7"/>
  <c r="L139" i="7" s="1"/>
  <c r="M136" i="7"/>
  <c r="K74" i="7"/>
  <c r="L74" i="7" s="1"/>
  <c r="K73" i="7"/>
  <c r="L73" i="7" s="1"/>
  <c r="K215" i="7"/>
  <c r="L215" i="7" s="1"/>
  <c r="K113" i="7"/>
  <c r="L113" i="7" s="1"/>
  <c r="K111" i="7"/>
  <c r="L111" i="7" s="1"/>
  <c r="M71" i="7"/>
  <c r="K68" i="7"/>
  <c r="L68" i="7" s="1"/>
  <c r="I38" i="7"/>
  <c r="M38" i="7" s="1"/>
  <c r="K214" i="7"/>
  <c r="L214" i="7" l="1"/>
  <c r="O214" i="7"/>
  <c r="K231" i="7"/>
  <c r="L150" i="7"/>
  <c r="O150" i="7"/>
  <c r="Q152" i="7"/>
  <c r="N152" i="7"/>
  <c r="O152" i="7" s="1"/>
  <c r="Q82" i="7"/>
  <c r="N82" i="7"/>
  <c r="O82" i="7" s="1"/>
  <c r="Q79" i="7"/>
  <c r="N79" i="7"/>
  <c r="O79" i="7" s="1"/>
  <c r="Q81" i="7"/>
  <c r="N81" i="7"/>
  <c r="O81" i="7" s="1"/>
  <c r="N76" i="7"/>
  <c r="O76" i="7" s="1"/>
  <c r="Q76" i="7"/>
  <c r="N78" i="7"/>
  <c r="O78" i="7" s="1"/>
  <c r="Q78" i="7"/>
  <c r="N77" i="7"/>
  <c r="O77" i="7" s="1"/>
  <c r="Q77" i="7"/>
  <c r="N41" i="7"/>
  <c r="O41" i="7" s="1"/>
  <c r="Q41" i="7"/>
  <c r="N42" i="7"/>
  <c r="O42" i="7" s="1"/>
  <c r="Q42" i="7"/>
  <c r="Q44" i="7"/>
  <c r="N44" i="7"/>
  <c r="O44" i="7" s="1"/>
  <c r="Q45" i="7"/>
  <c r="N45" i="7"/>
  <c r="O45" i="7" s="1"/>
  <c r="N32" i="7"/>
  <c r="O32" i="7" s="1"/>
  <c r="Q32" i="7"/>
  <c r="N26" i="7"/>
  <c r="O26" i="7" s="1"/>
  <c r="Q26" i="7"/>
  <c r="Q11" i="7"/>
  <c r="N11" i="7"/>
  <c r="O11" i="7" s="1"/>
  <c r="Q14" i="7"/>
  <c r="N14" i="7"/>
  <c r="O14" i="7" s="1"/>
  <c r="N19" i="7"/>
  <c r="O19" i="7" s="1"/>
  <c r="Q19" i="7"/>
  <c r="Q23" i="7"/>
  <c r="N23" i="7"/>
  <c r="O23" i="7" s="1"/>
  <c r="N24" i="7"/>
  <c r="O24" i="7" s="1"/>
  <c r="Q24" i="7"/>
  <c r="N15" i="7"/>
  <c r="O15" i="7" s="1"/>
  <c r="Q15" i="7"/>
  <c r="Q12" i="7"/>
  <c r="N12" i="7"/>
  <c r="O12" i="7" s="1"/>
  <c r="N10" i="7"/>
  <c r="O10" i="7" s="1"/>
  <c r="Q10" i="7"/>
  <c r="N21" i="7"/>
  <c r="O21" i="7" s="1"/>
  <c r="Q21" i="7"/>
  <c r="N9" i="7"/>
  <c r="O9" i="7" s="1"/>
  <c r="Q9" i="7"/>
  <c r="N22" i="7"/>
  <c r="O22" i="7" s="1"/>
  <c r="Q22" i="7"/>
  <c r="N18" i="7"/>
  <c r="O18" i="7" s="1"/>
  <c r="Q18" i="7"/>
  <c r="Q20" i="7"/>
  <c r="N20" i="7"/>
  <c r="O20" i="7" s="1"/>
  <c r="N17" i="7"/>
  <c r="O17" i="7" s="1"/>
  <c r="Q17" i="7"/>
  <c r="Q13" i="7"/>
  <c r="N13" i="7"/>
  <c r="O13" i="7" s="1"/>
  <c r="Q16" i="7"/>
  <c r="N16" i="7"/>
  <c r="O16" i="7" s="1"/>
  <c r="N25" i="7"/>
  <c r="O25" i="7" s="1"/>
  <c r="Q25" i="7"/>
  <c r="L2" i="7"/>
  <c r="L35" i="7" s="1"/>
  <c r="K35" i="7"/>
  <c r="N136" i="7"/>
  <c r="O136" i="7" s="1"/>
  <c r="Q136" i="7"/>
  <c r="N38" i="7"/>
  <c r="O38" i="7" s="1"/>
  <c r="Q38" i="7"/>
  <c r="N71" i="7"/>
  <c r="O71" i="7" s="1"/>
  <c r="Q71" i="7"/>
  <c r="N39" i="7"/>
  <c r="O39" i="7" s="1"/>
  <c r="Q39" i="7"/>
  <c r="M2" i="7"/>
  <c r="K38" i="7"/>
  <c r="L38" i="7" s="1"/>
  <c r="L231" i="7" l="1"/>
  <c r="O231" i="7"/>
  <c r="N231" i="7"/>
  <c r="O146" i="7"/>
  <c r="N146" i="7"/>
  <c r="N2" i="7"/>
  <c r="N35" i="7" s="1"/>
  <c r="Q2" i="7"/>
  <c r="K146" i="7"/>
  <c r="K278" i="7" s="1"/>
  <c r="N278" i="7" l="1"/>
  <c r="O2" i="7"/>
  <c r="O35" i="7" s="1"/>
  <c r="O278" i="7" s="1"/>
  <c r="O279" i="7" l="1"/>
  <c r="B55" i="4"/>
  <c r="L146" i="7"/>
  <c r="L278" i="7" s="1"/>
  <c r="AI6" i="13" l="1"/>
  <c r="AJ6" i="13"/>
  <c r="AK6" i="13"/>
  <c r="J7" i="13"/>
  <c r="K7" i="13"/>
  <c r="L7" i="13"/>
  <c r="M7" i="13"/>
  <c r="AI7" i="13"/>
  <c r="AJ7" i="13"/>
  <c r="AK7" i="13"/>
  <c r="L8" i="13"/>
  <c r="M8" i="13"/>
  <c r="AI8" i="13"/>
  <c r="AJ8" i="13"/>
  <c r="AK8" i="13"/>
  <c r="K9" i="13"/>
  <c r="M9" i="13"/>
  <c r="AI9" i="13"/>
  <c r="AJ9" i="13"/>
  <c r="AK9" i="13"/>
  <c r="S11" i="13"/>
  <c r="T11" i="13"/>
  <c r="U11" i="13"/>
  <c r="W11" i="13"/>
  <c r="X11" i="13"/>
  <c r="Z11" i="13"/>
  <c r="AA11" i="13"/>
  <c r="AB11" i="13"/>
  <c r="AD11" i="13"/>
  <c r="AE11" i="13"/>
  <c r="AF11" i="13"/>
  <c r="AG11" i="13"/>
  <c r="AH11" i="13"/>
  <c r="AI11" i="13"/>
  <c r="AJ11" i="13"/>
  <c r="AK11" i="13"/>
  <c r="J12" i="13"/>
  <c r="K12" i="13"/>
  <c r="M12" i="13"/>
  <c r="S12" i="13"/>
  <c r="T12" i="13"/>
  <c r="U12" i="13"/>
  <c r="W12" i="13"/>
  <c r="X12" i="13"/>
  <c r="Z12" i="13"/>
  <c r="AA12" i="13"/>
  <c r="AB12" i="13"/>
  <c r="AD12" i="13"/>
  <c r="AE12" i="13"/>
  <c r="AF12" i="13"/>
  <c r="AG12" i="13"/>
  <c r="AH12" i="13"/>
  <c r="AI12" i="13"/>
  <c r="AJ12" i="13"/>
  <c r="AK12" i="13"/>
  <c r="S13" i="13"/>
  <c r="T13" i="13"/>
  <c r="U13" i="13"/>
  <c r="W13" i="13"/>
  <c r="X13" i="13"/>
  <c r="Z13" i="13"/>
  <c r="AA13" i="13"/>
  <c r="AB13" i="13"/>
  <c r="AD13" i="13"/>
  <c r="AE13" i="13"/>
  <c r="AF13" i="13"/>
  <c r="AG13" i="13"/>
  <c r="AH13" i="13"/>
  <c r="AI13" i="13"/>
  <c r="AJ13" i="13"/>
  <c r="AK13" i="13"/>
  <c r="K14" i="13"/>
  <c r="M14" i="13"/>
  <c r="S14" i="13"/>
  <c r="T14" i="13"/>
  <c r="U14" i="13"/>
  <c r="W14" i="13"/>
  <c r="X14" i="13"/>
  <c r="Z14" i="13"/>
  <c r="AA14" i="13"/>
  <c r="AB14" i="13"/>
  <c r="AD14" i="13"/>
  <c r="AE14" i="13"/>
  <c r="AF14" i="13"/>
  <c r="AG14" i="13"/>
  <c r="AH14" i="13"/>
  <c r="AI14" i="13"/>
  <c r="AJ14" i="13"/>
  <c r="AK14" i="13"/>
  <c r="K16" i="13"/>
  <c r="M16" i="13"/>
  <c r="S16" i="13"/>
  <c r="T16" i="13"/>
  <c r="U16" i="13"/>
  <c r="W16" i="13"/>
  <c r="X16" i="13"/>
  <c r="Z16" i="13"/>
  <c r="AA16" i="13"/>
  <c r="AB16" i="13"/>
  <c r="AD16" i="13"/>
  <c r="AE16" i="13"/>
  <c r="AF16" i="13"/>
  <c r="AG16" i="13"/>
  <c r="AH16" i="13"/>
  <c r="AI16" i="13"/>
  <c r="AJ16" i="13"/>
  <c r="AK16" i="13"/>
  <c r="S17" i="13"/>
  <c r="T17" i="13"/>
  <c r="U17" i="13"/>
  <c r="W17" i="13"/>
  <c r="X17" i="13"/>
  <c r="Z17" i="13"/>
  <c r="AA17" i="13"/>
  <c r="AB17" i="13"/>
  <c r="AD17" i="13"/>
  <c r="AE17" i="13"/>
  <c r="AF17" i="13"/>
  <c r="AG17" i="13"/>
  <c r="AH17" i="13"/>
  <c r="AI17" i="13"/>
  <c r="AJ17" i="13"/>
  <c r="AK17" i="13"/>
  <c r="S18" i="13"/>
  <c r="T18" i="13"/>
  <c r="U18" i="13"/>
  <c r="W18" i="13"/>
  <c r="X18" i="13"/>
  <c r="Z18" i="13"/>
  <c r="AA18" i="13"/>
  <c r="AB18" i="13"/>
  <c r="AD18" i="13"/>
  <c r="AE18" i="13"/>
  <c r="AF18" i="13"/>
  <c r="AG18" i="13"/>
  <c r="AH18" i="13"/>
  <c r="AI18" i="13"/>
  <c r="AJ18" i="13"/>
  <c r="AK18" i="13"/>
  <c r="M19" i="13"/>
  <c r="S19" i="13"/>
  <c r="T19" i="13"/>
  <c r="U19" i="13"/>
  <c r="W19" i="13"/>
  <c r="X19" i="13"/>
  <c r="Z19" i="13"/>
  <c r="AA19" i="13"/>
  <c r="AB19" i="13"/>
  <c r="AD19" i="13"/>
  <c r="AE19" i="13"/>
  <c r="AF19" i="13"/>
  <c r="AG19" i="13"/>
  <c r="AH19" i="13"/>
  <c r="AI19" i="13"/>
  <c r="AJ19" i="13"/>
  <c r="AK19" i="13"/>
  <c r="J20" i="13"/>
  <c r="M20" i="13"/>
  <c r="J21" i="13"/>
  <c r="M21" i="13"/>
  <c r="S21" i="13"/>
  <c r="T21" i="13"/>
  <c r="U21" i="13"/>
  <c r="W21" i="13"/>
  <c r="X21" i="13"/>
  <c r="Z21" i="13"/>
  <c r="AA21" i="13"/>
  <c r="AB21" i="13"/>
  <c r="AD21" i="13"/>
  <c r="AE21" i="13"/>
  <c r="AF21" i="13"/>
  <c r="AG21" i="13"/>
  <c r="AH21" i="13"/>
  <c r="AI21" i="13"/>
  <c r="AJ21" i="13"/>
  <c r="AK21" i="13"/>
  <c r="K22" i="13"/>
  <c r="S22" i="13"/>
  <c r="T22" i="13"/>
  <c r="U22" i="13"/>
  <c r="W22" i="13"/>
  <c r="X22" i="13"/>
  <c r="Z22" i="13"/>
  <c r="AA22" i="13"/>
  <c r="AB22" i="13"/>
  <c r="AD22" i="13"/>
  <c r="AE22" i="13"/>
  <c r="AF22" i="13"/>
  <c r="AG22" i="13"/>
  <c r="AH22" i="13"/>
  <c r="AI22" i="13"/>
  <c r="AJ22" i="13"/>
  <c r="AK22" i="13"/>
  <c r="S23" i="13"/>
  <c r="T23" i="13"/>
  <c r="U23" i="13"/>
  <c r="W23" i="13"/>
  <c r="X23" i="13"/>
  <c r="Z23" i="13"/>
  <c r="AA23" i="13"/>
  <c r="AB23" i="13"/>
  <c r="AD23" i="13"/>
  <c r="AE23" i="13"/>
  <c r="AF23" i="13"/>
  <c r="AG23" i="13"/>
  <c r="AH23" i="13"/>
  <c r="AI23" i="13"/>
  <c r="AJ23" i="13"/>
  <c r="AK23" i="13"/>
  <c r="S24" i="13"/>
  <c r="T24" i="13"/>
  <c r="U24" i="13"/>
  <c r="W24" i="13"/>
  <c r="X24" i="13"/>
  <c r="Z24" i="13"/>
  <c r="AA24" i="13"/>
  <c r="AB24" i="13"/>
  <c r="AD24" i="13"/>
  <c r="AE24" i="13"/>
  <c r="AF24" i="13"/>
  <c r="AG24" i="13"/>
  <c r="AH24" i="13"/>
  <c r="AI24" i="13"/>
  <c r="AJ24" i="13"/>
  <c r="AK24" i="13"/>
  <c r="K26" i="13"/>
  <c r="L26" i="13"/>
  <c r="M26" i="13"/>
  <c r="S26" i="13"/>
  <c r="T26" i="13"/>
  <c r="U26" i="13"/>
  <c r="W26" i="13"/>
  <c r="X26" i="13"/>
  <c r="Z26" i="13"/>
  <c r="AA26" i="13"/>
  <c r="AB26" i="13"/>
  <c r="AD26" i="13"/>
  <c r="AE26" i="13"/>
  <c r="AF26" i="13"/>
  <c r="AG26" i="13"/>
  <c r="AH26" i="13"/>
  <c r="AI26" i="13"/>
  <c r="AJ26" i="13"/>
  <c r="AK26" i="13"/>
  <c r="S27" i="13"/>
  <c r="T27" i="13"/>
  <c r="U27" i="13"/>
  <c r="W27" i="13"/>
  <c r="X27" i="13"/>
  <c r="Z27" i="13"/>
  <c r="AA27" i="13"/>
  <c r="AB27" i="13"/>
  <c r="AD27" i="13"/>
  <c r="AE27" i="13"/>
  <c r="AF27" i="13"/>
  <c r="AG27" i="13"/>
  <c r="AH27" i="13"/>
  <c r="AI27" i="13"/>
  <c r="AJ27" i="13"/>
  <c r="AK27" i="13"/>
  <c r="L28" i="13"/>
  <c r="M28" i="13"/>
  <c r="S28" i="13"/>
  <c r="T28" i="13"/>
  <c r="U28" i="13"/>
  <c r="W28" i="13"/>
  <c r="X28" i="13"/>
  <c r="Z28" i="13"/>
  <c r="AA28" i="13"/>
  <c r="AB28" i="13"/>
  <c r="AD28" i="13"/>
  <c r="AE28" i="13"/>
  <c r="AF28" i="13"/>
  <c r="AG28" i="13"/>
  <c r="AH28" i="13"/>
  <c r="AI28" i="13"/>
  <c r="AJ28" i="13"/>
  <c r="AK28" i="13"/>
  <c r="S29" i="13"/>
  <c r="T29" i="13"/>
  <c r="U29" i="13"/>
  <c r="W29" i="13"/>
  <c r="X29" i="13"/>
  <c r="Z29" i="13"/>
  <c r="AA29" i="13"/>
  <c r="AB29" i="13"/>
  <c r="AD29" i="13"/>
  <c r="AE29" i="13"/>
  <c r="AF29" i="13"/>
  <c r="AG29" i="13"/>
  <c r="AH29" i="13"/>
  <c r="AI29" i="13"/>
  <c r="AJ29" i="13"/>
  <c r="AK29" i="13"/>
  <c r="C31" i="13"/>
  <c r="S31" i="13"/>
  <c r="T31" i="13"/>
  <c r="U31" i="13"/>
  <c r="W31" i="13"/>
  <c r="X31" i="13"/>
  <c r="Z31" i="13"/>
  <c r="AA31" i="13"/>
  <c r="AB31" i="13"/>
  <c r="AD31" i="13"/>
  <c r="AE31" i="13"/>
  <c r="AF31" i="13"/>
  <c r="AG31" i="13"/>
  <c r="AH31" i="13"/>
  <c r="AI31" i="13"/>
  <c r="AJ31" i="13"/>
  <c r="AK31" i="13"/>
  <c r="C32" i="13"/>
  <c r="S32" i="13"/>
  <c r="T32" i="13"/>
  <c r="U32" i="13"/>
  <c r="W32" i="13"/>
  <c r="X32" i="13"/>
  <c r="Z32" i="13"/>
  <c r="AA32" i="13"/>
  <c r="AB32" i="13"/>
  <c r="AD32" i="13"/>
  <c r="AE32" i="13"/>
  <c r="AF32" i="13"/>
  <c r="AG32" i="13"/>
  <c r="AH32" i="13"/>
  <c r="AI32" i="13"/>
  <c r="AJ32" i="13"/>
  <c r="AK32" i="13"/>
  <c r="C33" i="13"/>
  <c r="J33" i="13"/>
  <c r="K33" i="13"/>
  <c r="S33" i="13"/>
  <c r="T33" i="13"/>
  <c r="U33" i="13"/>
  <c r="W33" i="13"/>
  <c r="X33" i="13"/>
  <c r="Z33" i="13"/>
  <c r="AA33" i="13"/>
  <c r="AB33" i="13"/>
  <c r="AD33" i="13"/>
  <c r="AE33" i="13"/>
  <c r="AF33" i="13"/>
  <c r="AG33" i="13"/>
  <c r="AH33" i="13"/>
  <c r="AI33" i="13"/>
  <c r="AJ33" i="13"/>
  <c r="AK33" i="13"/>
  <c r="J34" i="13"/>
  <c r="K34" i="13"/>
  <c r="S34" i="13"/>
  <c r="T34" i="13"/>
  <c r="U34" i="13"/>
  <c r="W34" i="13"/>
  <c r="X34" i="13"/>
  <c r="Z34" i="13"/>
  <c r="AA34" i="13"/>
  <c r="AB34" i="13"/>
  <c r="AD34" i="13"/>
  <c r="AE34" i="13"/>
  <c r="AF34" i="13"/>
  <c r="AG34" i="13"/>
  <c r="AH34" i="13"/>
  <c r="AI34" i="13"/>
  <c r="AJ34" i="13"/>
  <c r="AK34" i="13"/>
  <c r="J35" i="13"/>
  <c r="K35" i="13"/>
  <c r="J36" i="13"/>
  <c r="K36" i="13"/>
  <c r="S36" i="13"/>
  <c r="T36" i="13"/>
  <c r="U36" i="13"/>
  <c r="W36" i="13"/>
  <c r="X36" i="13"/>
  <c r="Z36" i="13"/>
  <c r="AA36" i="13"/>
  <c r="AB36" i="13"/>
  <c r="AD36" i="13"/>
  <c r="AE36" i="13"/>
  <c r="AF36" i="13"/>
  <c r="AG36" i="13"/>
  <c r="AH36" i="13"/>
  <c r="AI36" i="13"/>
  <c r="AJ36" i="13"/>
  <c r="AK36" i="13"/>
  <c r="J37" i="13"/>
  <c r="K37" i="13"/>
  <c r="S37" i="13"/>
  <c r="T37" i="13"/>
  <c r="U37" i="13"/>
  <c r="W37" i="13"/>
  <c r="X37" i="13"/>
  <c r="Z37" i="13"/>
  <c r="AA37" i="13"/>
  <c r="AB37" i="13"/>
  <c r="AD37" i="13"/>
  <c r="AE37" i="13"/>
  <c r="AF37" i="13"/>
  <c r="AG37" i="13"/>
  <c r="AH37" i="13"/>
  <c r="AI37" i="13"/>
  <c r="AJ37" i="13"/>
  <c r="AK37" i="13"/>
  <c r="S38" i="13"/>
  <c r="T38" i="13"/>
  <c r="U38" i="13"/>
  <c r="W38" i="13"/>
  <c r="X38" i="13"/>
  <c r="Z38" i="13"/>
  <c r="AA38" i="13"/>
  <c r="AB38" i="13"/>
  <c r="AD38" i="13"/>
  <c r="AE38" i="13"/>
  <c r="AF38" i="13"/>
  <c r="AG38" i="13"/>
  <c r="AH38" i="13"/>
  <c r="AI38" i="13"/>
  <c r="AJ38" i="13"/>
  <c r="AK38" i="13"/>
  <c r="S39" i="13"/>
  <c r="T39" i="13"/>
  <c r="U39" i="13"/>
  <c r="W39" i="13"/>
  <c r="X39" i="13"/>
  <c r="Z39" i="13"/>
  <c r="AA39" i="13"/>
  <c r="AB39" i="13"/>
  <c r="AD39" i="13"/>
  <c r="AE39" i="13"/>
  <c r="AF39" i="13"/>
  <c r="AG39" i="13"/>
  <c r="AH39" i="13"/>
  <c r="AI39" i="13"/>
  <c r="AJ39" i="13"/>
  <c r="AK39" i="13"/>
  <c r="K43" i="13"/>
  <c r="V43" i="13"/>
  <c r="K44" i="13"/>
  <c r="V44" i="13"/>
  <c r="K45" i="13"/>
  <c r="V45" i="13"/>
  <c r="K46" i="13"/>
  <c r="K47" i="13"/>
  <c r="R47" i="13"/>
  <c r="R48" i="13"/>
  <c r="J49" i="13"/>
  <c r="R50" i="13"/>
  <c r="Y62" i="13"/>
  <c r="Z62" i="13"/>
  <c r="Y63" i="13"/>
  <c r="Z63" i="13"/>
  <c r="Y64" i="13"/>
  <c r="Z64" i="13"/>
  <c r="Y65" i="13"/>
  <c r="Z65" i="13"/>
  <c r="Y66" i="13"/>
  <c r="Z66" i="13"/>
  <c r="B53" i="4"/>
  <c r="B54" i="4"/>
  <c r="B56" i="4"/>
</calcChain>
</file>

<file path=xl/sharedStrings.xml><?xml version="1.0" encoding="utf-8"?>
<sst xmlns="http://schemas.openxmlformats.org/spreadsheetml/2006/main" count="804" uniqueCount="376">
  <si>
    <t>Monthly Frequency</t>
  </si>
  <si>
    <t>Annual PU's</t>
  </si>
  <si>
    <t>Totals</t>
  </si>
  <si>
    <t xml:space="preserve">Current Rate </t>
  </si>
  <si>
    <t>Increase</t>
  </si>
  <si>
    <t>Meeks Weights</t>
  </si>
  <si>
    <t>Residential</t>
  </si>
  <si>
    <t>Commercial</t>
  </si>
  <si>
    <t>Tariff Page</t>
  </si>
  <si>
    <t>Total</t>
  </si>
  <si>
    <t>Scheduled Service</t>
  </si>
  <si>
    <t>Monthly Factor</t>
  </si>
  <si>
    <t>Lbs. per ton</t>
  </si>
  <si>
    <t>Weekly Pickup (WG)</t>
  </si>
  <si>
    <t>Monthly (MG)</t>
  </si>
  <si>
    <t>Every Other Week (EOWG)</t>
  </si>
  <si>
    <t>Gross Up Factors</t>
  </si>
  <si>
    <t>WUTC fees</t>
  </si>
  <si>
    <t>Factor</t>
  </si>
  <si>
    <t>Extras</t>
  </si>
  <si>
    <t>Company Proposed Tariff</t>
  </si>
  <si>
    <t>Company Current Tariff</t>
  </si>
  <si>
    <t>Company Current Revenue</t>
  </si>
  <si>
    <t>Monthly Customers</t>
  </si>
  <si>
    <t xml:space="preserve"> Company Over/(Under) collecting</t>
  </si>
  <si>
    <t>Tariff Rate Increase</t>
  </si>
  <si>
    <t>Revised Tariff Rate</t>
  </si>
  <si>
    <t>Revised Revenue Increase</t>
  </si>
  <si>
    <t>Revised Revenue</t>
  </si>
  <si>
    <t>1 unit</t>
  </si>
  <si>
    <t>2 units</t>
  </si>
  <si>
    <t>3 units</t>
  </si>
  <si>
    <t>4 units</t>
  </si>
  <si>
    <t>5 units</t>
  </si>
  <si>
    <t>6 units</t>
  </si>
  <si>
    <t>Bad Debts</t>
  </si>
  <si>
    <t>Res'l</t>
  </si>
  <si>
    <t>7 unit</t>
  </si>
  <si>
    <t>5 Times per Week</t>
  </si>
  <si>
    <t>3 Times per Week</t>
  </si>
  <si>
    <t>2 Times per Week</t>
  </si>
  <si>
    <t>Pickups:</t>
  </si>
  <si>
    <t>1 can</t>
  </si>
  <si>
    <t>2 cans</t>
  </si>
  <si>
    <t>3 cans</t>
  </si>
  <si>
    <t>4 cans</t>
  </si>
  <si>
    <t>5 cans</t>
  </si>
  <si>
    <t>6 cans</t>
  </si>
  <si>
    <t>Supercan 60</t>
  </si>
  <si>
    <t>Supercan 90</t>
  </si>
  <si>
    <t>Once a month</t>
  </si>
  <si>
    <t>Com'l</t>
  </si>
  <si>
    <t>Cans</t>
  </si>
  <si>
    <t>1 yd container</t>
  </si>
  <si>
    <t>1.5 yd container</t>
  </si>
  <si>
    <t>2 yd container</t>
  </si>
  <si>
    <t>3 yd container</t>
  </si>
  <si>
    <t>4 yd container</t>
  </si>
  <si>
    <t>6 yd container</t>
  </si>
  <si>
    <t>8 yd container</t>
  </si>
  <si>
    <t>3 yd packer/compactor</t>
  </si>
  <si>
    <t>2 yd packer/compactor</t>
  </si>
  <si>
    <t>4 yd packer/compactor</t>
  </si>
  <si>
    <t>5 yd packer/compactor</t>
  </si>
  <si>
    <t>6 yd packer/compactor</t>
  </si>
  <si>
    <t>Yards</t>
  </si>
  <si>
    <t>Pounds per Pickup</t>
  </si>
  <si>
    <t>20 gal minican</t>
  </si>
  <si>
    <t>*</t>
  </si>
  <si>
    <t>4 Times per Week</t>
  </si>
  <si>
    <t>1 yd packer/compactor</t>
  </si>
  <si>
    <t>1.5 yd packer/compactor</t>
  </si>
  <si>
    <t>8 yd packer/compactor</t>
  </si>
  <si>
    <t>35 gallon Can</t>
  </si>
  <si>
    <t>1 Can Monthly</t>
  </si>
  <si>
    <t>* not on meeks - calculated by staff in previous cases</t>
  </si>
  <si>
    <t>1 Can</t>
  </si>
  <si>
    <t>2 Can</t>
  </si>
  <si>
    <t>3 Can</t>
  </si>
  <si>
    <t>4 Can</t>
  </si>
  <si>
    <t>32 Gallon First Pickup</t>
  </si>
  <si>
    <t>2 Yard Special Pickup</t>
  </si>
  <si>
    <t>3 Yard Special Pickup</t>
  </si>
  <si>
    <t>32 Gallon Special Pickup</t>
  </si>
  <si>
    <t>1.5 Yard Special Pickup</t>
  </si>
  <si>
    <t>Monthly Pickups</t>
  </si>
  <si>
    <t>Company Calculated Revenue</t>
  </si>
  <si>
    <t>Annual Frequency</t>
  </si>
  <si>
    <t>5 Can</t>
  </si>
  <si>
    <t>Multi-Family</t>
  </si>
  <si>
    <t>City Tax</t>
  </si>
  <si>
    <t>Item 100, pg 21 Goldendale</t>
  </si>
  <si>
    <t>6 Can</t>
  </si>
  <si>
    <t>35 Gal Toter</t>
  </si>
  <si>
    <t>35 Gal Monthly</t>
  </si>
  <si>
    <t>65 Gal Toter</t>
  </si>
  <si>
    <t>95 Gal Toter</t>
  </si>
  <si>
    <t>65 Gal Monthly</t>
  </si>
  <si>
    <t>95 Gal Monthly</t>
  </si>
  <si>
    <t>35 Gal Toter x2</t>
  </si>
  <si>
    <t>65 Gal Toter x2</t>
  </si>
  <si>
    <t>95 Gal Toter x2</t>
  </si>
  <si>
    <t>35 Gal Toter x3</t>
  </si>
  <si>
    <t>65 Gal Toter x3</t>
  </si>
  <si>
    <t>95 Gal Toter x3</t>
  </si>
  <si>
    <t>Item 100, pg 22c Appendix A</t>
  </si>
  <si>
    <t>Item 100, pg 22a White Salmon</t>
  </si>
  <si>
    <t>Item 105, pg 25 Goldendale</t>
  </si>
  <si>
    <t>Item 105, pg 25b Appendix A</t>
  </si>
  <si>
    <t>1.5 Yard First Pickup (Perm)</t>
  </si>
  <si>
    <t>3 Yard First Pickup (Perm)</t>
  </si>
  <si>
    <t>32 Gallon First Pickup (Perm)</t>
  </si>
  <si>
    <t>2 Yard First Pickup (Perm)</t>
  </si>
  <si>
    <t>32 Gallon Special Pickup (Perm)</t>
  </si>
  <si>
    <t>1.5 Yard Special Pickup (Perm)</t>
  </si>
  <si>
    <t>2 Yard Special Pickup (Perm)</t>
  </si>
  <si>
    <t>3 Yard Special Pickup (Perm)</t>
  </si>
  <si>
    <t>1.5 Yard Pickup (Temp)</t>
  </si>
  <si>
    <t>2 Yard Pickup (Temp)</t>
  </si>
  <si>
    <t>3 Yard Pickup (Temp)</t>
  </si>
  <si>
    <t>Item 105, pg 25a White Salmon</t>
  </si>
  <si>
    <t>35 Gallon First Pickup (Perm)</t>
  </si>
  <si>
    <t>65 Gallon First Pickup (Perm)</t>
  </si>
  <si>
    <t>95 Gallon First Pickup (Perm)</t>
  </si>
  <si>
    <t>1.5 Yard First Pickup (Temp)</t>
  </si>
  <si>
    <t>2 Yard First Pickup (Temp)</t>
  </si>
  <si>
    <t>3 Yard First Pickup (Temp)</t>
  </si>
  <si>
    <t>35 Gallon Special Pickup</t>
  </si>
  <si>
    <t>65 Gallon Special Pickup</t>
  </si>
  <si>
    <t>95 Gallon Special Pickup</t>
  </si>
  <si>
    <t xml:space="preserve">Item 150, pg 27 </t>
  </si>
  <si>
    <t>Loose &amp; Bulky Material</t>
  </si>
  <si>
    <t>Item 240, pg 34 Goldendale</t>
  </si>
  <si>
    <t>Item 240, pg 34a White Salmon</t>
  </si>
  <si>
    <t>35 Gallon Special Pickup (Perm)</t>
  </si>
  <si>
    <t>65 Gallon Special Pickup (Perm)</t>
  </si>
  <si>
    <t>95 Gallon Special Pickup (Perm)</t>
  </si>
  <si>
    <t>32-gal can, bag or unit</t>
  </si>
  <si>
    <t>35-gallon toter</t>
  </si>
  <si>
    <t>Item 240, pg 34b Appendix A</t>
  </si>
  <si>
    <t>Item 245, pg 36 Appendix A</t>
  </si>
  <si>
    <t>Item 245, pg 36a White Salmon</t>
  </si>
  <si>
    <t>Item 100, pg 22 Goldendale</t>
  </si>
  <si>
    <t>Item 100, pg 22b White Salmon</t>
  </si>
  <si>
    <t>60-gallon toter</t>
  </si>
  <si>
    <t>90-gallon toter</t>
  </si>
  <si>
    <t>Bag</t>
  </si>
  <si>
    <t>Item 100, pg 22d Appendix A</t>
  </si>
  <si>
    <t>New Rate</t>
  </si>
  <si>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</si>
  <si>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</si>
  <si>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</si>
  <si>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</si>
  <si>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</si>
  <si>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</si>
  <si>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</si>
  <si>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</si>
  <si>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</si>
  <si>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</si>
  <si>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</si>
  <si>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>Revenue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</si>
  <si>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</si>
  <si>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</si>
  <si>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</si>
  <si>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</si>
  <si>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</si>
  <si>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</si>
  <si>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</si>
  <si>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</si>
  <si>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</si>
  <si>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</si>
  <si>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</si>
  <si>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</si>
  <si>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</si>
  <si>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</si>
  <si>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</si>
  <si>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</si>
  <si>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</si>
  <si>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 xml:space="preserve">Total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</si>
  <si>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</si>
  <si>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</si>
  <si>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</si>
  <si>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</si>
  <si>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</si>
  <si>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</si>
  <si>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</si>
  <si>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</si>
  <si>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</si>
  <si>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</si>
  <si>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</si>
  <si>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</si>
  <si>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</si>
  <si>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</si>
  <si>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</si>
  <si>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</si>
  <si>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</si>
  <si>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</si>
  <si>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</si>
  <si>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</si>
  <si>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</si>
  <si>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</si>
  <si>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</si>
  <si>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</si>
  <si>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</si>
  <si>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</si>
  <si>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</si>
  <si>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</si>
  <si>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</si>
  <si>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</si>
  <si>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</si>
  <si>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</si>
  <si>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</si>
  <si>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</si>
  <si>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</si>
  <si>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</si>
  <si>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</si>
  <si>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</si>
  <si>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</si>
  <si>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</si>
  <si>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Revenue Requirement</t>
  </si>
  <si>
    <t>For Intial input: Uncheck Checkbox Until Completed</t>
  </si>
  <si>
    <t>Historical Revenue</t>
  </si>
  <si>
    <t>Revenue Increase before taxes</t>
  </si>
  <si>
    <t>Rate Increase</t>
  </si>
  <si>
    <t>Rev Sensitive Taxes</t>
  </si>
  <si>
    <t>4th Iteration</t>
  </si>
  <si>
    <t>Percent Increase</t>
  </si>
  <si>
    <t>2018 Version Update Changes</t>
  </si>
  <si>
    <t>● Allows Income Tax Rate Changes,</t>
  </si>
  <si>
    <t>Capital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</si>
  <si>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</si>
  <si>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</si>
  <si>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</si>
  <si>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</si>
  <si>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</si>
  <si>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</si>
  <si>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</si>
  <si>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</si>
  <si>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</si>
  <si>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</si>
  <si>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Company Reference</t>
  </si>
  <si>
    <t>Before</t>
  </si>
  <si>
    <t>After</t>
  </si>
  <si>
    <t>6th Iteration</t>
  </si>
  <si>
    <t>Annual Price Increase (PI) $</t>
  </si>
  <si>
    <t>Operating Statistics</t>
  </si>
  <si>
    <t>Income Tax</t>
  </si>
  <si>
    <t>Monthly PI $</t>
  </si>
  <si>
    <t>Percentage PI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</si>
  <si>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</si>
  <si>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</si>
  <si>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</si>
  <si>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</si>
  <si>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</si>
  <si>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</si>
  <si>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</si>
  <si>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</si>
  <si>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</si>
  <si>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</si>
  <si>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</si>
  <si>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</si>
  <si>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</si>
  <si>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</si>
  <si>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</si>
  <si>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</si>
  <si>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</si>
  <si>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</si>
  <si>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</si>
  <si>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</si>
  <si>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</si>
  <si>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</si>
  <si>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</si>
  <si>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</si>
  <si>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</si>
  <si>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</si>
  <si>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</si>
  <si>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</si>
  <si>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</si>
  <si>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</si>
  <si>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</si>
  <si>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</si>
  <si>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</si>
  <si>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Gross Up Factor</t>
  </si>
  <si>
    <t>Gross up B&amp;O increase percentage</t>
  </si>
  <si>
    <t>Grossed Up with revenue sensitive fees</t>
  </si>
  <si>
    <t>Industrial</t>
  </si>
  <si>
    <t>1.5 Yard Bear Special Pickup (Perm)</t>
  </si>
  <si>
    <t>1.5 Yard Bear First Pickup (Perm)</t>
  </si>
  <si>
    <t>3 Yard Bear First Pickup (Perm)</t>
  </si>
  <si>
    <t>3 Yard Bear Special Pickup (Perm)</t>
  </si>
  <si>
    <t>1.5 Yard Monthly Rent</t>
  </si>
  <si>
    <t>2 Yard Monthly Rent</t>
  </si>
  <si>
    <t>3 Yard Monthly Rent</t>
  </si>
  <si>
    <t>1.5 Yard Bear Monthly Rent</t>
  </si>
  <si>
    <t>3 Yard Bear Monthly Rent</t>
  </si>
  <si>
    <t>1.5 Yard Rent/Calendar Day (Temp)</t>
  </si>
  <si>
    <t>2 Yard Rent/Calendar Day (Temp)</t>
  </si>
  <si>
    <t>3 Yard Rent/Calendar Day (Temp)</t>
  </si>
  <si>
    <t>1.5 Yard Delivery (Temp)</t>
  </si>
  <si>
    <t>2 Yard Delivery (Temp)</t>
  </si>
  <si>
    <t>3 Yard Delivery (Temp)</t>
  </si>
  <si>
    <t>1.5 Yard Rent / Month (Temp)</t>
  </si>
  <si>
    <t>2 Yard Rent / Month (Temp)</t>
  </si>
  <si>
    <t>3 Yard Rent / Month (Temp)</t>
  </si>
  <si>
    <t>Unlocking/relocking fee</t>
  </si>
  <si>
    <t>Replace broken Lock</t>
  </si>
  <si>
    <t>Gate Charge</t>
  </si>
  <si>
    <t>1.5 Yard Monthly Rent (Perm)</t>
  </si>
  <si>
    <t>1.5 Yard Bear Monthly Rent (Perm)</t>
  </si>
  <si>
    <t>2 Yard Monthly Rent (Perm)</t>
  </si>
  <si>
    <t>3 Yard Monthly Rent (Perm)</t>
  </si>
  <si>
    <t>3 Yard Bear Monthly Rent (Perm)</t>
  </si>
  <si>
    <t>Item 240, pg 34b White Salmon</t>
  </si>
  <si>
    <t>32 Gallon Additional Pickup</t>
  </si>
  <si>
    <t>35 Gallon First/Additional Pickup</t>
  </si>
  <si>
    <t>95 Gallon First/Additional Pickup</t>
  </si>
  <si>
    <t>65 Gallon First/Additional Pickup</t>
  </si>
  <si>
    <t>32 Gallon First/Additional Pickup (Perm)</t>
  </si>
  <si>
    <t>1.5 Yard First/Additional Pickup (Perm)</t>
  </si>
  <si>
    <t>2 Yard First/Additional Pickup (Perm)</t>
  </si>
  <si>
    <t>3 Yard First/Additional Pickup (Perm)</t>
  </si>
  <si>
    <t>1.5 Yard Rental</t>
  </si>
  <si>
    <t>2 Yard Rental</t>
  </si>
  <si>
    <t>3 Yard Rental</t>
  </si>
  <si>
    <t>1.5 Yard Rental (Perm)</t>
  </si>
  <si>
    <t>2 Yard Rental (Perm)</t>
  </si>
  <si>
    <t>3 Yard Rental (Perm)</t>
  </si>
  <si>
    <t>35 gallon can - extra</t>
  </si>
  <si>
    <t>65 gallon can - extra</t>
  </si>
  <si>
    <t>95 gallon can - extra</t>
  </si>
  <si>
    <t>1.5 Yard Initial Delivery</t>
  </si>
  <si>
    <t>2 Yard Initial Delivery</t>
  </si>
  <si>
    <t>3 Yard Initial Delivery</t>
  </si>
  <si>
    <t>Carry Charge (per 5 ft)</t>
  </si>
  <si>
    <t>Item 260, pg 37 Appendix A</t>
  </si>
  <si>
    <t>10 Yard Monthly Rent</t>
  </si>
  <si>
    <t>13 Yard Monthly Rent</t>
  </si>
  <si>
    <t>20 Yard Monthly Rent</t>
  </si>
  <si>
    <t>40 Yard Monthly Rent</t>
  </si>
  <si>
    <t>50 Yard Monthly Rent</t>
  </si>
  <si>
    <t>10 Yard First/AdditionalSpecial Pickup (Perm)</t>
  </si>
  <si>
    <t>13 Yard First/Additional/Special Pickup (Perm)</t>
  </si>
  <si>
    <t>20 Yard First/Additional/Special Pickup (Perm)</t>
  </si>
  <si>
    <t>40 Yard First/Additional/Special Pickup (Perm)</t>
  </si>
  <si>
    <t>50 Yard First/Additional/Special Pickup (Perm)</t>
  </si>
  <si>
    <t>10 Yard Delivery (Temp)</t>
  </si>
  <si>
    <t>13 Yard Delivery (Temp)</t>
  </si>
  <si>
    <t>20 Yard Delivery (Temp)</t>
  </si>
  <si>
    <t>40 Yard Delivery (Temp)</t>
  </si>
  <si>
    <t>50 Yard Delivery (Temp)</t>
  </si>
  <si>
    <t>10 Yard Pickup</t>
  </si>
  <si>
    <t>13 Yard Pickup</t>
  </si>
  <si>
    <t>20 Yard Pickup</t>
  </si>
  <si>
    <t>40 Yard Pickup</t>
  </si>
  <si>
    <t>50 Yard Pickup</t>
  </si>
  <si>
    <t>10 Yard Rent/Calendar Day</t>
  </si>
  <si>
    <t>13 Yard Rent/Calendar Day</t>
  </si>
  <si>
    <t>20 Yard Rent/Calendar Day</t>
  </si>
  <si>
    <t>40 Yard Rent/Calendar Day</t>
  </si>
  <si>
    <t>50 Yard Rent/Calendar Day</t>
  </si>
  <si>
    <t>Unlocking and Relocking Fee</t>
  </si>
  <si>
    <t>Replace Broken Lock</t>
  </si>
  <si>
    <t>Dry Run fee</t>
  </si>
  <si>
    <t>Item 275, pg 38 Appendix A</t>
  </si>
  <si>
    <t>10 Yard First/Additional Pickup (3.5x)</t>
  </si>
  <si>
    <t>15 Yard First/Additional Pickup (3.5x)</t>
  </si>
  <si>
    <t>20 Yard First/Additional Pickup (3.5x)</t>
  </si>
  <si>
    <t>25 Yard First/Additional Pickup (3.5x)</t>
  </si>
  <si>
    <t>30 Yard First/Additional Pickup (3.5x)</t>
  </si>
  <si>
    <t>35 Yard First/Additional Pickup (3.5x)</t>
  </si>
  <si>
    <t>40 Yard First/Additional Pickup (3.5x)</t>
  </si>
  <si>
    <t>Miles</t>
  </si>
  <si>
    <t>Annual volume</t>
  </si>
  <si>
    <t>B&amp;O Tax</t>
  </si>
  <si>
    <t>B&amp;O Increase - estimated</t>
  </si>
  <si>
    <t>Rate Increase impact to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</si>
</sst>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_(* #,##0.000000_);_(* \(#,##0.000000\);_(* &quot;-&quot;??_);_(@_)"/>
    <numFmt numFmtId="168" formatCode="0.0000%"/>
    <numFmt numFmtId="169" formatCode="_(&quot;$&quot;* #,##0.000000_);_(&quot;$&quot;* \(#,##0.000000\);_(&quot;$&quot;* &quot;-&quot;??_);_(@_)"/>
    <numFmt numFmtId="170" formatCode="0.000000"/>
    <numFmt numFmtId="171" formatCode="0.0%"/>
    <numFmt numFmtId="172" formatCode="_(&quot;$&quot;* #,##0.0000_);_(&quot;$&quot;* \(#,##0.0000\);_(&quot;$&quot;* &quot;-&quot;??_);_(@_)"/>
    <numFmt numFmtId="173" formatCode="General_)"/>
    <numFmt numFmtId="174" formatCode="0.000%"/>
    <numFmt numFmtId="175" formatCode="#,##0.0000_);\(#,##0.0000\)"/>
    <numFmt numFmtId="176" formatCode="#,##0.000_);\(#,##0.000\)"/>
    <numFmt numFmtId="177" formatCode="#,##0.00000_);\(#,##0.00000\)"/>
    <numFmt numFmtId="178" formatCode="0.0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color indexed="56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1"/>
      <name val="Calibri"/>
      <family val="2"/>
    </font>
    <font>
      <sz val="12"/>
      <name val="Courier"/>
      <family val="3"/>
    </font>
    <font>
      <sz val="9"/>
      <color indexed="8"/>
      <name val="Arial"/>
      <family val="2"/>
    </font>
    <font>
      <b/>
      <sz val="10"/>
      <color indexed="12"/>
      <name val="Arial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i/>
      <sz val="10"/>
      <color indexed="10"/>
      <name val="Arial"/>
      <family val="2"/>
    </font>
    <font>
      <b/>
      <sz val="18"/>
      <color indexed="61"/>
      <name val="Cambria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52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 MT"/>
    </font>
    <font>
      <b/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SWISS"/>
    </font>
    <font>
      <sz val="12"/>
      <color indexed="12"/>
      <name val="SWISS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8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3"/>
      </patternFill>
    </fill>
    <fill>
      <patternFill patternType="solid">
        <fgColor indexed="45"/>
        <bgColor indexed="64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30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5" fillId="0" borderId="0" applyNumberFormat="0" applyFont="0" applyFill="0" applyBorder="0">
      <alignment horizontal="left" indent="4"/>
      <protection locked="0"/>
    </xf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2">
      <alignment horizontal="center"/>
    </xf>
    <xf numFmtId="3" fontId="6" fillId="0" borderId="0" applyFont="0" applyFill="0" applyBorder="0" applyAlignment="0" applyProtection="0"/>
    <xf numFmtId="0" fontId="6" fillId="3" borderId="0" applyNumberFormat="0" applyFont="0" applyBorder="0" applyAlignment="0" applyProtection="0"/>
    <xf numFmtId="166" fontId="4" fillId="4" borderId="0" applyFont="0" applyFill="0" applyBorder="0" applyAlignment="0" applyProtection="0">
      <alignment wrapText="1"/>
    </xf>
    <xf numFmtId="0" fontId="13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41" fontId="2" fillId="0" borderId="0"/>
    <xf numFmtId="41" fontId="2" fillId="0" borderId="0"/>
    <xf numFmtId="41" fontId="2" fillId="0" borderId="0"/>
    <xf numFmtId="41" fontId="2" fillId="0" borderId="0"/>
    <xf numFmtId="0" fontId="15" fillId="22" borderId="0" applyNumberFormat="0" applyBorder="0" applyAlignment="0" applyProtection="0"/>
    <xf numFmtId="0" fontId="15" fillId="13" borderId="0" applyNumberFormat="0" applyBorder="0" applyAlignment="0" applyProtection="0"/>
    <xf numFmtId="3" fontId="2" fillId="0" borderId="0"/>
    <xf numFmtId="3" fontId="2" fillId="0" borderId="0"/>
    <xf numFmtId="3" fontId="2" fillId="0" borderId="0"/>
    <xf numFmtId="3" fontId="2" fillId="0" borderId="0"/>
    <xf numFmtId="0" fontId="16" fillId="23" borderId="4" applyNumberFormat="0" applyAlignment="0" applyProtection="0"/>
    <xf numFmtId="0" fontId="32" fillId="23" borderId="4" applyNumberFormat="0" applyAlignment="0" applyProtection="0"/>
    <xf numFmtId="0" fontId="17" fillId="24" borderId="5" applyNumberFormat="0" applyAlignment="0" applyProtection="0"/>
    <xf numFmtId="0" fontId="17" fillId="25" borderId="6" applyNumberFormat="0" applyAlignment="0" applyProtection="0"/>
    <xf numFmtId="0" fontId="2" fillId="26" borderId="0">
      <alignment horizontal="center"/>
    </xf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8" fillId="0" borderId="0"/>
    <xf numFmtId="0" fontId="33" fillId="0" borderId="0"/>
    <xf numFmtId="0" fontId="33" fillId="0" borderId="0"/>
    <xf numFmtId="0" fontId="34" fillId="27" borderId="1" applyAlignment="0">
      <alignment horizontal="right"/>
      <protection locked="0"/>
    </xf>
    <xf numFmtId="44" fontId="1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5" fillId="28" borderId="0">
      <alignment horizontal="right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35" fillId="28" borderId="0">
      <alignment horizontal="right"/>
      <protection locked="0"/>
    </xf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2" fillId="0" borderId="7" applyNumberFormat="0" applyFill="0" applyAlignment="0" applyProtection="0"/>
    <xf numFmtId="0" fontId="36" fillId="0" borderId="8" applyNumberFormat="0" applyFill="0" applyAlignment="0" applyProtection="0"/>
    <xf numFmtId="0" fontId="23" fillId="0" borderId="9" applyNumberFormat="0" applyFill="0" applyAlignment="0" applyProtection="0"/>
    <xf numFmtId="0" fontId="37" fillId="0" borderId="10" applyNumberFormat="0" applyFill="0" applyAlignment="0" applyProtection="0"/>
    <xf numFmtId="0" fontId="24" fillId="0" borderId="11" applyNumberFormat="0" applyFill="0" applyAlignment="0" applyProtection="0"/>
    <xf numFmtId="0" fontId="38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5" fillId="12" borderId="4" applyNumberFormat="0" applyAlignment="0" applyProtection="0"/>
    <xf numFmtId="0" fontId="41" fillId="12" borderId="4" applyNumberFormat="0" applyAlignment="0" applyProtection="0"/>
    <xf numFmtId="3" fontId="10" fillId="30" borderId="0">
      <protection locked="0"/>
    </xf>
    <xf numFmtId="4" fontId="10" fillId="30" borderId="0">
      <protection locked="0"/>
    </xf>
    <xf numFmtId="0" fontId="26" fillId="0" borderId="13" applyNumberFormat="0" applyFill="0" applyAlignment="0" applyProtection="0"/>
    <xf numFmtId="0" fontId="42" fillId="0" borderId="14" applyNumberFormat="0" applyFill="0" applyAlignment="0" applyProtection="0"/>
    <xf numFmtId="0" fontId="27" fillId="12" borderId="0" applyNumberFormat="0" applyBorder="0" applyAlignment="0" applyProtection="0"/>
    <xf numFmtId="0" fontId="43" fillId="12" borderId="0" applyNumberFormat="0" applyBorder="0" applyAlignment="0" applyProtection="0"/>
    <xf numFmtId="43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" fillId="0" borderId="0"/>
    <xf numFmtId="0" fontId="28" fillId="9" borderId="15" applyNumberFormat="0" applyFont="0" applyAlignment="0" applyProtection="0"/>
    <xf numFmtId="0" fontId="18" fillId="9" borderId="15" applyNumberFormat="0" applyFont="0" applyAlignment="0" applyProtection="0"/>
    <xf numFmtId="171" fontId="44" fillId="0" borderId="0" applyNumberFormat="0"/>
    <xf numFmtId="0" fontId="29" fillId="23" borderId="16" applyNumberFormat="0" applyAlignment="0" applyProtection="0"/>
    <xf numFmtId="0" fontId="24" fillId="23" borderId="17" applyNumberFormat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 applyNumberFormat="0" applyBorder="0" applyAlignment="0"/>
    <xf numFmtId="0" fontId="3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1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8" fillId="11" borderId="0" applyNumberFormat="0" applyBorder="0" applyAlignment="0" applyProtection="0"/>
    <xf numFmtId="0" fontId="8" fillId="31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15" borderId="0" applyNumberFormat="0" applyBorder="0" applyAlignment="0" applyProtection="0"/>
    <xf numFmtId="0" fontId="48" fillId="23" borderId="4" applyNumberFormat="0" applyAlignment="0" applyProtection="0"/>
    <xf numFmtId="0" fontId="48" fillId="11" borderId="4" applyNumberFormat="0" applyAlignment="0" applyProtection="0"/>
    <xf numFmtId="43" fontId="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8" fillId="0" borderId="0" applyFont="0" applyFill="0" applyBorder="0" applyAlignment="0" applyProtection="0"/>
    <xf numFmtId="14" fontId="2" fillId="0" borderId="0"/>
    <xf numFmtId="1" fontId="2" fillId="0" borderId="0">
      <alignment horizontal="center"/>
    </xf>
    <xf numFmtId="0" fontId="22" fillId="0" borderId="20" applyNumberFormat="0" applyFill="0" applyAlignment="0" applyProtection="0"/>
    <xf numFmtId="0" fontId="50" fillId="0" borderId="21" applyNumberFormat="0" applyFill="0" applyAlignment="0" applyProtection="0"/>
    <xf numFmtId="0" fontId="23" fillId="0" borderId="10" applyNumberFormat="0" applyFill="0" applyAlignment="0" applyProtection="0"/>
    <xf numFmtId="0" fontId="51" fillId="0" borderId="10" applyNumberFormat="0" applyFill="0" applyAlignment="0" applyProtection="0"/>
    <xf numFmtId="0" fontId="24" fillId="0" borderId="22" applyNumberFormat="0" applyFill="0" applyAlignment="0" applyProtection="0"/>
    <xf numFmtId="0" fontId="52" fillId="0" borderId="23" applyNumberFormat="0" applyFill="0" applyAlignment="0" applyProtection="0"/>
    <xf numFmtId="0" fontId="53" fillId="0" borderId="24" applyNumberFormat="0" applyFill="0" applyAlignment="0" applyProtection="0"/>
    <xf numFmtId="0" fontId="54" fillId="12" borderId="0" applyNumberFormat="0" applyBorder="0" applyAlignment="0" applyProtection="0"/>
    <xf numFmtId="0" fontId="8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9" borderId="15" applyNumberFormat="0" applyFont="0" applyAlignment="0" applyProtection="0"/>
    <xf numFmtId="0" fontId="49" fillId="9" borderId="15" applyNumberFormat="0" applyFont="0" applyAlignment="0" applyProtection="0"/>
    <xf numFmtId="9" fontId="4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37" fontId="56" fillId="0" borderId="0"/>
    <xf numFmtId="0" fontId="31" fillId="0" borderId="25" applyNumberFormat="0" applyFill="0" applyAlignment="0" applyProtection="0"/>
    <xf numFmtId="0" fontId="31" fillId="0" borderId="26" applyNumberFormat="0" applyFill="0" applyAlignment="0" applyProtection="0"/>
    <xf numFmtId="0" fontId="57" fillId="0" borderId="0"/>
    <xf numFmtId="43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8" fillId="0" borderId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7" borderId="0" applyNumberFormat="0" applyBorder="0" applyAlignment="0" applyProtection="0"/>
    <xf numFmtId="0" fontId="8" fillId="33" borderId="0" applyNumberFormat="0" applyBorder="0" applyAlignment="0" applyProtection="0"/>
    <xf numFmtId="0" fontId="14" fillId="21" borderId="0" applyNumberFormat="0" applyBorder="0" applyAlignment="0" applyProtection="0"/>
    <xf numFmtId="0" fontId="14" fillId="34" borderId="0" applyNumberFormat="0" applyBorder="0" applyAlignment="0" applyProtection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5" fillId="7" borderId="4" applyNumberFormat="0" applyAlignment="0" applyProtection="0"/>
    <xf numFmtId="0" fontId="58" fillId="9" borderId="15" applyNumberFormat="0" applyFont="0" applyAlignment="0" applyProtection="0"/>
    <xf numFmtId="0" fontId="29" fillId="11" borderId="16" applyNumberFormat="0" applyAlignment="0" applyProtection="0"/>
    <xf numFmtId="9" fontId="58" fillId="0" borderId="0" applyFont="0" applyFill="0" applyBorder="0" applyAlignment="0" applyProtection="0"/>
    <xf numFmtId="37" fontId="59" fillId="0" borderId="0"/>
    <xf numFmtId="0" fontId="1" fillId="38" borderId="30" applyNumberFormat="0" applyFont="0" applyAlignment="0" applyProtection="0"/>
    <xf numFmtId="0" fontId="2" fillId="0" borderId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38" borderId="30" applyNumberFormat="0" applyFont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73" fontId="28" fillId="0" borderId="0"/>
    <xf numFmtId="43" fontId="28" fillId="0" borderId="0" applyFont="0" applyFill="0" applyBorder="0" applyAlignment="0" applyProtection="0"/>
    <xf numFmtId="0" fontId="62" fillId="23" borderId="0"/>
    <xf numFmtId="0" fontId="61" fillId="39" borderId="0" applyNumberFormat="0" applyBorder="0" applyAlignment="0" applyProtection="0"/>
    <xf numFmtId="41" fontId="19" fillId="43" borderId="0">
      <alignment horizontal="left"/>
    </xf>
    <xf numFmtId="10" fontId="19" fillId="43" borderId="0"/>
    <xf numFmtId="0" fontId="2" fillId="0" borderId="0"/>
  </cellStyleXfs>
  <cellXfs count="320">
    <xf numFmtId="0" fontId="0" fillId="0" borderId="0" xfId="0"/>
    <xf numFmtId="43" fontId="0" fillId="0" borderId="0" xfId="1" applyFont="1"/>
    <xf numFmtId="0" fontId="3" fillId="0" borderId="0" xfId="0" applyFont="1"/>
    <xf numFmtId="166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8" fontId="0" fillId="0" borderId="0" xfId="0" applyNumberFormat="1"/>
    <xf numFmtId="44" fontId="0" fillId="0" borderId="0" xfId="0" applyNumberFormat="1"/>
    <xf numFmtId="170" fontId="0" fillId="0" borderId="0" xfId="0" applyNumberFormat="1"/>
    <xf numFmtId="0" fontId="0" fillId="5" borderId="1" xfId="0" applyFill="1" applyBorder="1" applyAlignment="1">
      <alignment horizontal="center"/>
    </xf>
    <xf numFmtId="0" fontId="3" fillId="5" borderId="1" xfId="0" applyFont="1" applyFill="1" applyBorder="1"/>
    <xf numFmtId="43" fontId="0" fillId="0" borderId="0" xfId="1" applyFont="1" applyAlignment="1">
      <alignment horizontal="center"/>
    </xf>
    <xf numFmtId="164" fontId="0" fillId="0" borderId="0" xfId="2" applyNumberFormat="1" applyFont="1" applyBorder="1"/>
    <xf numFmtId="43" fontId="0" fillId="0" borderId="0" xfId="1" applyFont="1" applyFill="1" applyBorder="1"/>
    <xf numFmtId="43" fontId="0" fillId="0" borderId="0" xfId="1" applyFont="1" applyBorder="1"/>
    <xf numFmtId="165" fontId="0" fillId="0" borderId="0" xfId="2" applyNumberFormat="1" applyFont="1" applyBorder="1"/>
    <xf numFmtId="44" fontId="0" fillId="0" borderId="0" xfId="2" applyFont="1" applyBorder="1" applyAlignment="1">
      <alignment horizontal="right"/>
    </xf>
    <xf numFmtId="10" fontId="0" fillId="0" borderId="0" xfId="3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 textRotation="90"/>
    </xf>
    <xf numFmtId="0" fontId="12" fillId="5" borderId="1" xfId="4" applyFont="1" applyFill="1" applyBorder="1" applyAlignment="1">
      <alignment horizontal="left"/>
    </xf>
    <xf numFmtId="3" fontId="3" fillId="5" borderId="1" xfId="0" applyNumberFormat="1" applyFont="1" applyFill="1" applyBorder="1" applyAlignment="1">
      <alignment horizontal="right"/>
    </xf>
    <xf numFmtId="43" fontId="0" fillId="5" borderId="1" xfId="1" applyFont="1" applyFill="1" applyBorder="1"/>
    <xf numFmtId="166" fontId="0" fillId="0" borderId="0" xfId="1" applyNumberFormat="1" applyFont="1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textRotation="90"/>
    </xf>
    <xf numFmtId="0" fontId="12" fillId="0" borderId="0" xfId="4" applyFont="1" applyAlignment="1">
      <alignment horizontal="left"/>
    </xf>
    <xf numFmtId="166" fontId="3" fillId="0" borderId="0" xfId="1" applyNumberFormat="1" applyFont="1" applyBorder="1" applyAlignment="1">
      <alignment horizontal="right"/>
    </xf>
    <xf numFmtId="44" fontId="0" fillId="0" borderId="0" xfId="2" applyFont="1" applyFill="1" applyBorder="1"/>
    <xf numFmtId="166" fontId="0" fillId="0" borderId="0" xfId="1" applyNumberFormat="1" applyFont="1" applyFill="1" applyBorder="1"/>
    <xf numFmtId="44" fontId="0" fillId="2" borderId="0" xfId="2" applyFont="1" applyFill="1" applyBorder="1"/>
    <xf numFmtId="44" fontId="3" fillId="5" borderId="1" xfId="2" applyFont="1" applyFill="1" applyBorder="1"/>
    <xf numFmtId="44" fontId="0" fillId="5" borderId="1" xfId="2" applyFont="1" applyFill="1" applyBorder="1"/>
    <xf numFmtId="44" fontId="3" fillId="0" borderId="0" xfId="2" applyFont="1" applyBorder="1" applyAlignment="1">
      <alignment horizontal="right"/>
    </xf>
    <xf numFmtId="0" fontId="3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3" fillId="5" borderId="0" xfId="0" applyFont="1" applyFill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 indent="1"/>
    </xf>
    <xf numFmtId="0" fontId="0" fillId="0" borderId="0" xfId="0" applyAlignment="1">
      <alignment vertical="center"/>
    </xf>
    <xf numFmtId="166" fontId="11" fillId="0" borderId="0" xfId="373" applyNumberFormat="1" applyFont="1"/>
    <xf numFmtId="37" fontId="11" fillId="0" borderId="0" xfId="4" applyNumberFormat="1" applyFont="1" applyAlignment="1">
      <alignment horizontal="right"/>
    </xf>
    <xf numFmtId="44" fontId="11" fillId="0" borderId="0" xfId="10" applyFont="1"/>
    <xf numFmtId="0" fontId="11" fillId="0" borderId="0" xfId="4" applyFont="1" applyAlignment="1">
      <alignment horizontal="left"/>
    </xf>
    <xf numFmtId="166" fontId="11" fillId="0" borderId="0" xfId="1" applyNumberFormat="1" applyFont="1"/>
    <xf numFmtId="44" fontId="3" fillId="5" borderId="1" xfId="2" applyFont="1" applyFill="1" applyBorder="1" applyAlignment="1">
      <alignment horizontal="right"/>
    </xf>
    <xf numFmtId="0" fontId="11" fillId="0" borderId="0" xfId="0" applyFont="1"/>
    <xf numFmtId="0" fontId="0" fillId="0" borderId="0" xfId="0" applyAlignment="1">
      <alignment horizontal="center" vertical="center" textRotation="90"/>
    </xf>
    <xf numFmtId="0" fontId="0" fillId="0" borderId="27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165" fontId="0" fillId="0" borderId="0" xfId="2" applyNumberFormat="1" applyFont="1" applyFill="1"/>
    <xf numFmtId="169" fontId="0" fillId="0" borderId="0" xfId="2" applyNumberFormat="1" applyFont="1" applyFill="1"/>
    <xf numFmtId="166" fontId="11" fillId="37" borderId="0" xfId="373" applyNumberFormat="1" applyFont="1" applyFill="1"/>
    <xf numFmtId="167" fontId="0" fillId="37" borderId="0" xfId="1" applyNumberFormat="1" applyFont="1" applyFill="1" applyBorder="1"/>
    <xf numFmtId="167" fontId="0" fillId="37" borderId="1" xfId="1" applyNumberFormat="1" applyFont="1" applyFill="1" applyBorder="1"/>
    <xf numFmtId="0" fontId="0" fillId="5" borderId="0" xfId="0" applyFill="1" applyAlignment="1">
      <alignment vertical="center" textRotation="90"/>
    </xf>
    <xf numFmtId="0" fontId="0" fillId="5" borderId="0" xfId="0" applyFill="1" applyAlignment="1">
      <alignment horizontal="center" vertical="center"/>
    </xf>
    <xf numFmtId="0" fontId="12" fillId="5" borderId="0" xfId="4" applyFont="1" applyFill="1" applyAlignment="1">
      <alignment horizontal="left"/>
    </xf>
    <xf numFmtId="3" fontId="3" fillId="5" borderId="0" xfId="0" applyNumberFormat="1" applyFont="1" applyFill="1" applyAlignment="1">
      <alignment horizontal="right"/>
    </xf>
    <xf numFmtId="44" fontId="0" fillId="5" borderId="0" xfId="2" applyFont="1" applyFill="1" applyBorder="1"/>
    <xf numFmtId="44" fontId="3" fillId="5" borderId="0" xfId="2" applyFont="1" applyFill="1" applyBorder="1" applyAlignment="1">
      <alignment horizontal="right"/>
    </xf>
    <xf numFmtId="43" fontId="3" fillId="5" borderId="0" xfId="1" applyFont="1" applyFill="1" applyBorder="1" applyAlignment="1">
      <alignment horizontal="center" wrapText="1"/>
    </xf>
    <xf numFmtId="3" fontId="3" fillId="5" borderId="0" xfId="0" applyNumberFormat="1" applyFont="1" applyFill="1" applyAlignment="1">
      <alignment horizontal="center"/>
    </xf>
    <xf numFmtId="172" fontId="0" fillId="0" borderId="0" xfId="0" applyNumberFormat="1"/>
    <xf numFmtId="164" fontId="3" fillId="0" borderId="0" xfId="0" applyNumberFormat="1" applyFont="1"/>
    <xf numFmtId="166" fontId="0" fillId="0" borderId="0" xfId="1" applyNumberFormat="1" applyFont="1" applyBorder="1" applyAlignment="1">
      <alignment horizontal="center"/>
    </xf>
    <xf numFmtId="44" fontId="11" fillId="0" borderId="0" xfId="2" applyFont="1" applyFill="1" applyBorder="1"/>
    <xf numFmtId="0" fontId="3" fillId="5" borderId="1" xfId="0" applyFont="1" applyFill="1" applyBorder="1" applyAlignment="1">
      <alignment horizontal="center"/>
    </xf>
    <xf numFmtId="10" fontId="0" fillId="37" borderId="0" xfId="3" applyNumberFormat="1" applyFont="1" applyFill="1"/>
    <xf numFmtId="10" fontId="0" fillId="37" borderId="1" xfId="3" applyNumberFormat="1" applyFont="1" applyFill="1" applyBorder="1"/>
    <xf numFmtId="10" fontId="0" fillId="0" borderId="0" xfId="2" applyNumberFormat="1" applyFont="1" applyFill="1"/>
    <xf numFmtId="10" fontId="0" fillId="0" borderId="0" xfId="0" applyNumberFormat="1"/>
    <xf numFmtId="0" fontId="62" fillId="40" borderId="0" xfId="420" applyFill="1"/>
    <xf numFmtId="0" fontId="63" fillId="40" borderId="0" xfId="420" applyFont="1" applyFill="1"/>
    <xf numFmtId="0" fontId="63" fillId="40" borderId="2" xfId="420" applyFont="1" applyFill="1" applyBorder="1"/>
    <xf numFmtId="0" fontId="63" fillId="0" borderId="27" xfId="420" applyFont="1" applyFill="1" applyBorder="1"/>
    <xf numFmtId="0" fontId="63" fillId="0" borderId="0" xfId="420" applyFont="1" applyFill="1" applyAlignment="1">
      <alignment horizontal="center"/>
    </xf>
    <xf numFmtId="0" fontId="63" fillId="0" borderId="0" xfId="420" applyFont="1" applyFill="1"/>
    <xf numFmtId="0" fontId="65" fillId="39" borderId="31" xfId="421" applyNumberFormat="1" applyFont="1" applyBorder="1" applyAlignment="1">
      <alignment horizontal="centerContinuous"/>
    </xf>
    <xf numFmtId="0" fontId="66" fillId="39" borderId="32" xfId="421" applyNumberFormat="1" applyFont="1" applyBorder="1" applyAlignment="1">
      <alignment horizontal="centerContinuous"/>
    </xf>
    <xf numFmtId="0" fontId="66" fillId="39" borderId="32" xfId="421" applyNumberFormat="1" applyFont="1" applyBorder="1" applyAlignment="1">
      <alignment horizontal="left"/>
    </xf>
    <xf numFmtId="0" fontId="67" fillId="39" borderId="33" xfId="421" applyNumberFormat="1" applyFont="1" applyBorder="1" applyAlignment="1">
      <alignment horizontal="centerContinuous"/>
    </xf>
    <xf numFmtId="0" fontId="62" fillId="23" borderId="0" xfId="420"/>
    <xf numFmtId="0" fontId="62" fillId="23" borderId="27" xfId="420" applyBorder="1"/>
    <xf numFmtId="0" fontId="68" fillId="23" borderId="28" xfId="420" applyFont="1" applyBorder="1" applyAlignment="1">
      <alignment horizontal="centerContinuous"/>
    </xf>
    <xf numFmtId="0" fontId="68" fillId="23" borderId="34" xfId="420" applyFont="1" applyBorder="1" applyAlignment="1">
      <alignment horizontal="centerContinuous"/>
    </xf>
    <xf numFmtId="0" fontId="62" fillId="23" borderId="34" xfId="420" applyBorder="1" applyAlignment="1">
      <alignment horizontal="centerContinuous"/>
    </xf>
    <xf numFmtId="0" fontId="69" fillId="23" borderId="35" xfId="420" applyFont="1" applyBorder="1"/>
    <xf numFmtId="0" fontId="69" fillId="23" borderId="0" xfId="420" applyFont="1"/>
    <xf numFmtId="0" fontId="70" fillId="41" borderId="0" xfId="420" applyFont="1" applyFill="1" applyAlignment="1">
      <alignment horizontal="center"/>
    </xf>
    <xf numFmtId="0" fontId="71" fillId="41" borderId="0" xfId="420" applyFont="1" applyFill="1" applyAlignment="1">
      <alignment horizontal="center"/>
    </xf>
    <xf numFmtId="0" fontId="62" fillId="23" borderId="0" xfId="420" applyAlignment="1">
      <alignment horizontal="center"/>
    </xf>
    <xf numFmtId="0" fontId="66" fillId="39" borderId="36" xfId="421" applyNumberFormat="1" applyFont="1" applyBorder="1" applyAlignment="1">
      <alignment horizontal="left"/>
    </xf>
    <xf numFmtId="0" fontId="62" fillId="42" borderId="0" xfId="420" applyFill="1"/>
    <xf numFmtId="0" fontId="69" fillId="23" borderId="27" xfId="420" applyFont="1" applyBorder="1"/>
    <xf numFmtId="0" fontId="72" fillId="40" borderId="0" xfId="420" applyFont="1" applyFill="1"/>
    <xf numFmtId="0" fontId="73" fillId="23" borderId="37" xfId="420" applyFont="1" applyBorder="1" applyAlignment="1">
      <alignment horizontal="right"/>
    </xf>
    <xf numFmtId="41" fontId="69" fillId="0" borderId="38" xfId="422" applyFont="1" applyFill="1" applyBorder="1">
      <alignment horizontal="left"/>
    </xf>
    <xf numFmtId="0" fontId="73" fillId="23" borderId="27" xfId="420" applyFont="1" applyBorder="1"/>
    <xf numFmtId="0" fontId="73" fillId="23" borderId="0" xfId="420" applyFont="1"/>
    <xf numFmtId="0" fontId="74" fillId="41" borderId="0" xfId="420" applyFont="1" applyFill="1" applyAlignment="1">
      <alignment horizontal="center"/>
    </xf>
    <xf numFmtId="0" fontId="74" fillId="41" borderId="0" xfId="418" applyNumberFormat="1" applyFont="1" applyFill="1" applyAlignment="1">
      <alignment horizontal="center"/>
    </xf>
    <xf numFmtId="41" fontId="62" fillId="40" borderId="0" xfId="420" applyNumberFormat="1" applyFill="1"/>
    <xf numFmtId="0" fontId="19" fillId="23" borderId="0" xfId="420" applyFont="1"/>
    <xf numFmtId="0" fontId="73" fillId="23" borderId="29" xfId="420" applyFont="1" applyBorder="1"/>
    <xf numFmtId="0" fontId="70" fillId="41" borderId="1" xfId="420" applyFont="1" applyFill="1" applyBorder="1"/>
    <xf numFmtId="0" fontId="74" fillId="41" borderId="1" xfId="420" applyFont="1" applyFill="1" applyBorder="1" applyAlignment="1">
      <alignment horizontal="center"/>
    </xf>
    <xf numFmtId="0" fontId="74" fillId="41" borderId="1" xfId="420" applyFont="1" applyFill="1" applyBorder="1"/>
    <xf numFmtId="0" fontId="62" fillId="23" borderId="39" xfId="420" applyBorder="1" applyAlignment="1">
      <alignment horizontal="center"/>
    </xf>
    <xf numFmtId="2" fontId="62" fillId="23" borderId="39" xfId="420" applyNumberFormat="1" applyBorder="1" applyAlignment="1">
      <alignment horizontal="center"/>
    </xf>
    <xf numFmtId="175" fontId="62" fillId="23" borderId="40" xfId="420" applyNumberFormat="1" applyBorder="1"/>
    <xf numFmtId="10" fontId="75" fillId="23" borderId="40" xfId="420" applyNumberFormat="1" applyFont="1" applyBorder="1"/>
    <xf numFmtId="41" fontId="62" fillId="23" borderId="41" xfId="420" applyNumberFormat="1" applyBorder="1"/>
    <xf numFmtId="41" fontId="62" fillId="23" borderId="39" xfId="420" applyNumberFormat="1" applyBorder="1"/>
    <xf numFmtId="41" fontId="62" fillId="23" borderId="40" xfId="420" applyNumberFormat="1" applyBorder="1"/>
    <xf numFmtId="0" fontId="73" fillId="23" borderId="42" xfId="420" applyFont="1" applyBorder="1" applyAlignment="1">
      <alignment horizontal="center"/>
    </xf>
    <xf numFmtId="0" fontId="73" fillId="23" borderId="0" xfId="420" applyFont="1" applyAlignment="1">
      <alignment horizontal="right"/>
    </xf>
    <xf numFmtId="41" fontId="73" fillId="23" borderId="0" xfId="420" applyNumberFormat="1" applyFont="1"/>
    <xf numFmtId="0" fontId="76" fillId="23" borderId="27" xfId="420" applyFont="1" applyBorder="1" applyAlignment="1">
      <alignment horizontal="center"/>
    </xf>
    <xf numFmtId="2" fontId="62" fillId="23" borderId="27" xfId="420" applyNumberFormat="1" applyBorder="1" applyAlignment="1">
      <alignment horizontal="center"/>
    </xf>
    <xf numFmtId="175" fontId="62" fillId="23" borderId="0" xfId="420" applyNumberFormat="1"/>
    <xf numFmtId="10" fontId="75" fillId="23" borderId="0" xfId="420" applyNumberFormat="1" applyFont="1"/>
    <xf numFmtId="41" fontId="62" fillId="23" borderId="43" xfId="420" applyNumberFormat="1" applyBorder="1"/>
    <xf numFmtId="41" fontId="62" fillId="23" borderId="27" xfId="420" applyNumberFormat="1" applyBorder="1"/>
    <xf numFmtId="41" fontId="62" fillId="23" borderId="0" xfId="420" applyNumberFormat="1"/>
    <xf numFmtId="10" fontId="69" fillId="0" borderId="34" xfId="423" applyFont="1" applyFill="1" applyBorder="1"/>
    <xf numFmtId="0" fontId="73" fillId="23" borderId="37" xfId="420" applyFont="1" applyBorder="1" applyAlignment="1">
      <alignment horizontal="center"/>
    </xf>
    <xf numFmtId="0" fontId="62" fillId="23" borderId="27" xfId="420" applyBorder="1" applyAlignment="1">
      <alignment horizontal="center"/>
    </xf>
    <xf numFmtId="41" fontId="73" fillId="23" borderId="44" xfId="420" applyNumberFormat="1" applyFont="1" applyBorder="1"/>
    <xf numFmtId="5" fontId="73" fillId="23" borderId="44" xfId="420" applyNumberFormat="1" applyFont="1" applyBorder="1"/>
    <xf numFmtId="0" fontId="62" fillId="23" borderId="29" xfId="420" applyBorder="1" applyAlignment="1">
      <alignment horizontal="center"/>
    </xf>
    <xf numFmtId="0" fontId="74" fillId="23" borderId="37" xfId="420" applyFont="1" applyBorder="1" applyAlignment="1">
      <alignment horizontal="right"/>
    </xf>
    <xf numFmtId="174" fontId="69" fillId="0" borderId="34" xfId="423" applyNumberFormat="1" applyFont="1" applyFill="1" applyBorder="1"/>
    <xf numFmtId="175" fontId="76" fillId="23" borderId="0" xfId="420" applyNumberFormat="1" applyFont="1"/>
    <xf numFmtId="0" fontId="73" fillId="23" borderId="45" xfId="420" applyFont="1" applyBorder="1" applyAlignment="1">
      <alignment horizontal="right"/>
    </xf>
    <xf numFmtId="175" fontId="62" fillId="23" borderId="1" xfId="420" applyNumberFormat="1" applyBorder="1"/>
    <xf numFmtId="41" fontId="69" fillId="23" borderId="0" xfId="420" applyNumberFormat="1" applyFont="1"/>
    <xf numFmtId="10" fontId="73" fillId="23" borderId="0" xfId="420" applyNumberFormat="1" applyFont="1" applyAlignment="1">
      <alignment horizontal="right"/>
    </xf>
    <xf numFmtId="41" fontId="69" fillId="43" borderId="0" xfId="422" applyFont="1" applyAlignment="1">
      <alignment horizontal="right"/>
    </xf>
    <xf numFmtId="0" fontId="62" fillId="23" borderId="0" xfId="420" applyAlignment="1">
      <alignment horizontal="right"/>
    </xf>
    <xf numFmtId="0" fontId="69" fillId="40" borderId="0" xfId="420" applyFont="1" applyFill="1"/>
    <xf numFmtId="0" fontId="77" fillId="23" borderId="0" xfId="420" applyFont="1" applyAlignment="1">
      <alignment horizontal="left"/>
    </xf>
    <xf numFmtId="41" fontId="73" fillId="23" borderId="43" xfId="420" applyNumberFormat="1" applyFont="1" applyBorder="1"/>
    <xf numFmtId="10" fontId="77" fillId="23" borderId="0" xfId="412" applyNumberFormat="1" applyFont="1" applyFill="1" applyBorder="1" applyAlignment="1">
      <alignment horizontal="left"/>
    </xf>
    <xf numFmtId="0" fontId="74" fillId="23" borderId="0" xfId="420" applyFont="1" applyAlignment="1">
      <alignment horizontal="right"/>
    </xf>
    <xf numFmtId="41" fontId="74" fillId="23" borderId="46" xfId="420" applyNumberFormat="1" applyFont="1" applyBorder="1"/>
    <xf numFmtId="41" fontId="74" fillId="23" borderId="47" xfId="420" applyNumberFormat="1" applyFont="1" applyBorder="1"/>
    <xf numFmtId="0" fontId="62" fillId="23" borderId="29" xfId="420" applyBorder="1"/>
    <xf numFmtId="0" fontId="62" fillId="23" borderId="1" xfId="420" applyBorder="1"/>
    <xf numFmtId="0" fontId="73" fillId="23" borderId="1" xfId="420" applyFont="1" applyBorder="1" applyAlignment="1">
      <alignment horizontal="right" vertical="center"/>
    </xf>
    <xf numFmtId="10" fontId="74" fillId="23" borderId="1" xfId="420" applyNumberFormat="1" applyFont="1" applyBorder="1" applyAlignment="1">
      <alignment horizontal="center" vertical="center"/>
    </xf>
    <xf numFmtId="0" fontId="62" fillId="23" borderId="38" xfId="420" applyBorder="1"/>
    <xf numFmtId="0" fontId="78" fillId="40" borderId="0" xfId="418" applyNumberFormat="1" applyFont="1" applyFill="1"/>
    <xf numFmtId="0" fontId="28" fillId="40" borderId="0" xfId="418" applyNumberFormat="1" applyFill="1"/>
    <xf numFmtId="0" fontId="69" fillId="40" borderId="0" xfId="418" applyNumberFormat="1" applyFont="1" applyFill="1"/>
    <xf numFmtId="0" fontId="70" fillId="41" borderId="0" xfId="420" applyFont="1" applyFill="1" applyAlignment="1">
      <alignment horizontal="left"/>
    </xf>
    <xf numFmtId="0" fontId="70" fillId="43" borderId="0" xfId="420" applyFont="1" applyFill="1" applyAlignment="1">
      <alignment horizontal="centerContinuous"/>
    </xf>
    <xf numFmtId="0" fontId="79" fillId="23" borderId="0" xfId="420" applyFont="1" applyAlignment="1">
      <alignment horizontal="right"/>
    </xf>
    <xf numFmtId="41" fontId="79" fillId="23" borderId="0" xfId="420" applyNumberFormat="1" applyFont="1" applyAlignment="1">
      <alignment horizontal="center"/>
    </xf>
    <xf numFmtId="0" fontId="79" fillId="23" borderId="0" xfId="420" applyFont="1" applyAlignment="1">
      <alignment horizontal="center"/>
    </xf>
    <xf numFmtId="37" fontId="62" fillId="23" borderId="0" xfId="420" applyNumberFormat="1"/>
    <xf numFmtId="39" fontId="62" fillId="23" borderId="0" xfId="420" applyNumberFormat="1"/>
    <xf numFmtId="10" fontId="73" fillId="23" borderId="0" xfId="420" applyNumberFormat="1" applyFont="1" applyAlignment="1">
      <alignment horizontal="center"/>
    </xf>
    <xf numFmtId="41" fontId="73" fillId="23" borderId="0" xfId="420" applyNumberFormat="1" applyFont="1" applyProtection="1">
      <protection locked="0"/>
    </xf>
    <xf numFmtId="41" fontId="73" fillId="23" borderId="1" xfId="420" applyNumberFormat="1" applyFont="1" applyBorder="1" applyProtection="1">
      <protection locked="0"/>
    </xf>
    <xf numFmtId="41" fontId="73" fillId="23" borderId="48" xfId="420" applyNumberFormat="1" applyFont="1" applyBorder="1"/>
    <xf numFmtId="0" fontId="69" fillId="23" borderId="0" xfId="420" applyFont="1" applyAlignment="1">
      <alignment horizontal="right"/>
    </xf>
    <xf numFmtId="10" fontId="73" fillId="23" borderId="48" xfId="420" applyNumberFormat="1" applyFont="1" applyBorder="1" applyAlignment="1">
      <alignment horizontal="center"/>
    </xf>
    <xf numFmtId="0" fontId="62" fillId="40" borderId="1" xfId="420" applyFill="1" applyBorder="1"/>
    <xf numFmtId="5" fontId="62" fillId="40" borderId="0" xfId="420" applyNumberFormat="1" applyFill="1"/>
    <xf numFmtId="0" fontId="74" fillId="23" borderId="0" xfId="420" applyFont="1" applyAlignment="1">
      <alignment horizontal="center"/>
    </xf>
    <xf numFmtId="164" fontId="62" fillId="40" borderId="0" xfId="417" applyNumberFormat="1" applyFont="1" applyFill="1"/>
    <xf numFmtId="0" fontId="80" fillId="23" borderId="0" xfId="420" applyFont="1"/>
    <xf numFmtId="0" fontId="74" fillId="23" borderId="0" xfId="420" applyFont="1"/>
    <xf numFmtId="0" fontId="80" fillId="23" borderId="0" xfId="420" applyFont="1" applyAlignment="1">
      <alignment horizontal="right"/>
    </xf>
    <xf numFmtId="10" fontId="62" fillId="40" borderId="0" xfId="412" applyNumberFormat="1" applyFont="1" applyFill="1"/>
    <xf numFmtId="10" fontId="73" fillId="23" borderId="0" xfId="420" applyNumberFormat="1" applyFont="1"/>
    <xf numFmtId="10" fontId="62" fillId="40" borderId="0" xfId="420" applyNumberFormat="1" applyFill="1"/>
    <xf numFmtId="0" fontId="73" fillId="23" borderId="0" xfId="420" quotePrefix="1" applyFont="1" applyAlignment="1">
      <alignment horizontal="left"/>
    </xf>
    <xf numFmtId="176" fontId="62" fillId="23" borderId="0" xfId="420" applyNumberFormat="1"/>
    <xf numFmtId="0" fontId="81" fillId="23" borderId="0" xfId="420" applyFont="1"/>
    <xf numFmtId="39" fontId="73" fillId="23" borderId="0" xfId="420" applyNumberFormat="1" applyFont="1"/>
    <xf numFmtId="0" fontId="62" fillId="23" borderId="37" xfId="420" applyBorder="1"/>
    <xf numFmtId="0" fontId="82" fillId="23" borderId="0" xfId="420" applyFont="1"/>
    <xf numFmtId="10" fontId="19" fillId="43" borderId="0" xfId="423"/>
    <xf numFmtId="0" fontId="74" fillId="23" borderId="1" xfId="420" applyFont="1" applyBorder="1" applyAlignment="1">
      <alignment horizontal="right"/>
    </xf>
    <xf numFmtId="0" fontId="74" fillId="23" borderId="1" xfId="420" applyFont="1" applyBorder="1" applyAlignment="1">
      <alignment horizontal="center"/>
    </xf>
    <xf numFmtId="0" fontId="62" fillId="23" borderId="27" xfId="420" applyBorder="1" applyAlignment="1">
      <alignment horizontal="centerContinuous"/>
    </xf>
    <xf numFmtId="0" fontId="62" fillId="23" borderId="43" xfId="420" applyBorder="1" applyAlignment="1">
      <alignment horizontal="centerContinuous"/>
    </xf>
    <xf numFmtId="0" fontId="62" fillId="23" borderId="43" xfId="420" applyBorder="1"/>
    <xf numFmtId="0" fontId="83" fillId="23" borderId="0" xfId="420" applyFont="1"/>
    <xf numFmtId="174" fontId="73" fillId="23" borderId="0" xfId="420" applyNumberFormat="1" applyFont="1"/>
    <xf numFmtId="166" fontId="73" fillId="23" borderId="0" xfId="420" applyNumberFormat="1" applyFont="1" applyProtection="1">
      <protection locked="0"/>
    </xf>
    <xf numFmtId="0" fontId="62" fillId="23" borderId="43" xfId="420" applyBorder="1" applyAlignment="1">
      <alignment horizontal="center"/>
    </xf>
    <xf numFmtId="0" fontId="62" fillId="23" borderId="0" xfId="420" quotePrefix="1" applyAlignment="1">
      <alignment horizontal="right"/>
    </xf>
    <xf numFmtId="10" fontId="62" fillId="23" borderId="43" xfId="420" applyNumberFormat="1" applyBorder="1"/>
    <xf numFmtId="10" fontId="62" fillId="23" borderId="0" xfId="420" applyNumberFormat="1" applyAlignment="1">
      <alignment horizontal="center"/>
    </xf>
    <xf numFmtId="10" fontId="62" fillId="23" borderId="43" xfId="412" applyNumberFormat="1" applyFont="1" applyFill="1" applyBorder="1"/>
    <xf numFmtId="0" fontId="62" fillId="23" borderId="38" xfId="420" applyBorder="1" applyAlignment="1">
      <alignment horizontal="center"/>
    </xf>
    <xf numFmtId="174" fontId="73" fillId="23" borderId="48" xfId="420" applyNumberFormat="1" applyFont="1" applyBorder="1"/>
    <xf numFmtId="174" fontId="69" fillId="23" borderId="0" xfId="420" applyNumberFormat="1" applyFont="1"/>
    <xf numFmtId="0" fontId="62" fillId="23" borderId="0" xfId="420" quotePrefix="1" applyAlignment="1">
      <alignment horizontal="left"/>
    </xf>
    <xf numFmtId="0" fontId="84" fillId="40" borderId="0" xfId="420" applyFont="1" applyFill="1"/>
    <xf numFmtId="2" fontId="84" fillId="40" borderId="0" xfId="420" applyNumberFormat="1" applyFont="1" applyFill="1"/>
    <xf numFmtId="10" fontId="62" fillId="23" borderId="29" xfId="420" applyNumberFormat="1" applyBorder="1" applyAlignment="1">
      <alignment horizontal="center"/>
    </xf>
    <xf numFmtId="0" fontId="62" fillId="23" borderId="1" xfId="420" quotePrefix="1" applyBorder="1" applyAlignment="1">
      <alignment horizontal="left"/>
    </xf>
    <xf numFmtId="0" fontId="85" fillId="23" borderId="38" xfId="420" applyFont="1" applyBorder="1"/>
    <xf numFmtId="0" fontId="85" fillId="40" borderId="0" xfId="420" applyFont="1" applyFill="1"/>
    <xf numFmtId="177" fontId="62" fillId="23" borderId="0" xfId="420" applyNumberFormat="1"/>
    <xf numFmtId="0" fontId="64" fillId="23" borderId="0" xfId="420" applyFont="1" applyAlignment="1">
      <alignment horizontal="centerContinuous"/>
    </xf>
    <xf numFmtId="0" fontId="62" fillId="23" borderId="0" xfId="420" applyAlignment="1">
      <alignment horizontal="centerContinuous"/>
    </xf>
    <xf numFmtId="0" fontId="62" fillId="40" borderId="0" xfId="420" applyFill="1" applyAlignment="1">
      <alignment horizontal="right"/>
    </xf>
    <xf numFmtId="10" fontId="62" fillId="23" borderId="43" xfId="420" applyNumberFormat="1" applyBorder="1" applyAlignment="1">
      <alignment horizontal="center"/>
    </xf>
    <xf numFmtId="0" fontId="62" fillId="23" borderId="27" xfId="420" applyBorder="1" applyAlignment="1">
      <alignment horizontal="left"/>
    </xf>
    <xf numFmtId="178" fontId="87" fillId="23" borderId="0" xfId="420" applyNumberFormat="1" applyFont="1" applyAlignment="1">
      <alignment horizontal="center"/>
    </xf>
    <xf numFmtId="0" fontId="62" fillId="23" borderId="0" xfId="420" applyAlignment="1">
      <alignment horizontal="left"/>
    </xf>
    <xf numFmtId="178" fontId="87" fillId="23" borderId="43" xfId="420" applyNumberFormat="1" applyFont="1" applyBorder="1" applyAlignment="1">
      <alignment horizontal="center"/>
    </xf>
    <xf numFmtId="0" fontId="88" fillId="23" borderId="0" xfId="420" applyFont="1" applyAlignment="1">
      <alignment horizontal="centerContinuous"/>
    </xf>
    <xf numFmtId="178" fontId="62" fillId="23" borderId="43" xfId="420" applyNumberFormat="1" applyBorder="1" applyAlignment="1">
      <alignment horizontal="center"/>
    </xf>
    <xf numFmtId="0" fontId="85" fillId="40" borderId="0" xfId="420" applyFont="1" applyFill="1" applyAlignment="1">
      <alignment horizontal="fill"/>
    </xf>
    <xf numFmtId="10" fontId="62" fillId="23" borderId="1" xfId="420" applyNumberFormat="1" applyBorder="1" applyAlignment="1">
      <alignment horizontal="center"/>
    </xf>
    <xf numFmtId="10" fontId="89" fillId="43" borderId="0" xfId="423" applyFont="1"/>
    <xf numFmtId="174" fontId="89" fillId="43" borderId="43" xfId="423" applyNumberFormat="1" applyFont="1" applyBorder="1"/>
    <xf numFmtId="0" fontId="62" fillId="23" borderId="1" xfId="420" applyBorder="1" applyAlignment="1">
      <alignment horizontal="right"/>
    </xf>
    <xf numFmtId="178" fontId="87" fillId="23" borderId="1" xfId="420" applyNumberFormat="1" applyFont="1" applyBorder="1" applyAlignment="1">
      <alignment horizontal="left"/>
    </xf>
    <xf numFmtId="178" fontId="62" fillId="23" borderId="38" xfId="420" applyNumberFormat="1" applyBorder="1" applyAlignment="1">
      <alignment horizontal="center"/>
    </xf>
    <xf numFmtId="10" fontId="89" fillId="43" borderId="1" xfId="423" applyFont="1" applyBorder="1"/>
    <xf numFmtId="10" fontId="89" fillId="43" borderId="38" xfId="423" applyFont="1" applyBorder="1"/>
    <xf numFmtId="178" fontId="62" fillId="23" borderId="0" xfId="420" applyNumberFormat="1"/>
    <xf numFmtId="0" fontId="90" fillId="23" borderId="0" xfId="420" applyFont="1"/>
    <xf numFmtId="0" fontId="91" fillId="23" borderId="0" xfId="420" applyFont="1"/>
    <xf numFmtId="0" fontId="91" fillId="23" borderId="43" xfId="420" applyFont="1" applyBorder="1"/>
    <xf numFmtId="0" fontId="62" fillId="43" borderId="0" xfId="420" applyFill="1"/>
    <xf numFmtId="0" fontId="62" fillId="23" borderId="1" xfId="420" quotePrefix="1" applyBorder="1" applyAlignment="1">
      <alignment horizontal="right"/>
    </xf>
    <xf numFmtId="10" fontId="62" fillId="23" borderId="38" xfId="420" applyNumberFormat="1" applyBorder="1"/>
    <xf numFmtId="10" fontId="0" fillId="0" borderId="0" xfId="3" applyNumberFormat="1" applyFont="1"/>
    <xf numFmtId="0" fontId="11" fillId="0" borderId="0" xfId="424" applyFont="1"/>
    <xf numFmtId="165" fontId="0" fillId="0" borderId="0" xfId="2" applyNumberFormat="1" applyFont="1" applyFill="1" applyBorder="1"/>
    <xf numFmtId="44" fontId="0" fillId="0" borderId="0" xfId="2" applyFont="1"/>
    <xf numFmtId="168" fontId="0" fillId="0" borderId="0" xfId="3" applyNumberFormat="1" applyFont="1"/>
    <xf numFmtId="0" fontId="60" fillId="0" borderId="0" xfId="0" applyFont="1"/>
    <xf numFmtId="174" fontId="11" fillId="0" borderId="0" xfId="424" applyNumberFormat="1" applyFont="1"/>
    <xf numFmtId="168" fontId="11" fillId="0" borderId="0" xfId="412" applyNumberFormat="1" applyFont="1" applyFill="1" applyBorder="1"/>
    <xf numFmtId="168" fontId="0" fillId="0" borderId="1" xfId="0" applyNumberFormat="1" applyBorder="1"/>
    <xf numFmtId="168" fontId="0" fillId="0" borderId="0" xfId="3" applyNumberFormat="1" applyFont="1" applyFill="1" applyBorder="1"/>
    <xf numFmtId="168" fontId="0" fillId="0" borderId="0" xfId="3" applyNumberFormat="1" applyFont="1" applyBorder="1"/>
    <xf numFmtId="44" fontId="3" fillId="0" borderId="0" xfId="2" applyFont="1" applyFill="1" applyBorder="1"/>
    <xf numFmtId="44" fontId="3" fillId="0" borderId="0" xfId="2" applyFont="1" applyFill="1" applyBorder="1" applyAlignment="1">
      <alignment horizontal="right"/>
    </xf>
    <xf numFmtId="44" fontId="60" fillId="37" borderId="0" xfId="10" applyFont="1" applyFill="1" applyBorder="1"/>
    <xf numFmtId="0" fontId="62" fillId="40" borderId="0" xfId="420" applyFill="1" applyAlignment="1">
      <alignment horizontal="center" wrapText="1"/>
    </xf>
    <xf numFmtId="41" fontId="73" fillId="23" borderId="49" xfId="420" applyNumberFormat="1" applyFont="1" applyBorder="1"/>
    <xf numFmtId="10" fontId="69" fillId="0" borderId="50" xfId="423" applyFont="1" applyFill="1" applyBorder="1"/>
    <xf numFmtId="0" fontId="62" fillId="23" borderId="51" xfId="420" applyBorder="1" applyAlignment="1">
      <alignment horizontal="center"/>
    </xf>
    <xf numFmtId="2" fontId="62" fillId="23" borderId="51" xfId="420" applyNumberFormat="1" applyBorder="1" applyAlignment="1">
      <alignment horizontal="center"/>
    </xf>
    <xf numFmtId="175" fontId="62" fillId="23" borderId="52" xfId="420" applyNumberFormat="1" applyBorder="1"/>
    <xf numFmtId="10" fontId="75" fillId="23" borderId="52" xfId="420" applyNumberFormat="1" applyFont="1" applyBorder="1"/>
    <xf numFmtId="41" fontId="62" fillId="23" borderId="53" xfId="420" applyNumberFormat="1" applyBorder="1"/>
    <xf numFmtId="41" fontId="62" fillId="23" borderId="51" xfId="420" applyNumberFormat="1" applyBorder="1"/>
    <xf numFmtId="41" fontId="62" fillId="23" borderId="52" xfId="420" applyNumberFormat="1" applyBorder="1"/>
    <xf numFmtId="0" fontId="73" fillId="23" borderId="54" xfId="420" applyFont="1" applyBorder="1" applyAlignment="1">
      <alignment horizontal="right"/>
    </xf>
    <xf numFmtId="0" fontId="70" fillId="41" borderId="51" xfId="420" applyFont="1" applyFill="1" applyBorder="1" applyAlignment="1">
      <alignment horizontal="left"/>
    </xf>
    <xf numFmtId="0" fontId="62" fillId="23" borderId="52" xfId="420" applyBorder="1"/>
    <xf numFmtId="0" fontId="62" fillId="23" borderId="53" xfId="420" applyBorder="1"/>
    <xf numFmtId="0" fontId="62" fillId="23" borderId="51" xfId="420" applyBorder="1" applyAlignment="1">
      <alignment horizontal="centerContinuous"/>
    </xf>
    <xf numFmtId="0" fontId="62" fillId="23" borderId="53" xfId="420" applyBorder="1" applyAlignment="1">
      <alignment horizontal="centerContinuous"/>
    </xf>
    <xf numFmtId="0" fontId="62" fillId="23" borderId="52" xfId="420" quotePrefix="1" applyBorder="1" applyAlignment="1">
      <alignment horizontal="left"/>
    </xf>
    <xf numFmtId="0" fontId="62" fillId="23" borderId="51" xfId="420" applyBorder="1"/>
    <xf numFmtId="0" fontId="86" fillId="23" borderId="52" xfId="420" applyFont="1" applyBorder="1" applyAlignment="1">
      <alignment horizontal="center"/>
    </xf>
    <xf numFmtId="0" fontId="86" fillId="23" borderId="53" xfId="420" applyFont="1" applyBorder="1" applyAlignment="1">
      <alignment horizontal="center"/>
    </xf>
    <xf numFmtId="0" fontId="62" fillId="23" borderId="51" xfId="420" applyBorder="1" applyAlignment="1">
      <alignment horizontal="left"/>
    </xf>
    <xf numFmtId="178" fontId="87" fillId="23" borderId="52" xfId="420" applyNumberFormat="1" applyFont="1" applyBorder="1" applyAlignment="1">
      <alignment horizontal="center"/>
    </xf>
    <xf numFmtId="0" fontId="62" fillId="23" borderId="52" xfId="420" applyBorder="1" applyAlignment="1">
      <alignment horizontal="left"/>
    </xf>
    <xf numFmtId="178" fontId="87" fillId="23" borderId="53" xfId="420" applyNumberFormat="1" applyFont="1" applyBorder="1" applyAlignment="1">
      <alignment horizontal="center"/>
    </xf>
    <xf numFmtId="0" fontId="62" fillId="23" borderId="52" xfId="420" quotePrefix="1" applyBorder="1" applyAlignment="1">
      <alignment horizontal="right"/>
    </xf>
    <xf numFmtId="0" fontId="62" fillId="23" borderId="53" xfId="420" quotePrefix="1" applyBorder="1" applyAlignment="1">
      <alignment horizontal="right"/>
    </xf>
    <xf numFmtId="166" fontId="60" fillId="37" borderId="0" xfId="373" applyNumberFormat="1" applyFont="1" applyFill="1"/>
    <xf numFmtId="44" fontId="60" fillId="37" borderId="0" xfId="2" applyFont="1" applyFill="1" applyBorder="1"/>
    <xf numFmtId="0" fontId="0" fillId="5" borderId="0" xfId="0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64" fillId="40" borderId="0" xfId="418" applyNumberFormat="1" applyFont="1" applyFill="1" applyAlignment="1">
      <alignment horizontal="center"/>
    </xf>
    <xf numFmtId="0" fontId="62" fillId="23" borderId="31" xfId="420" applyBorder="1" applyAlignment="1">
      <alignment horizontal="center"/>
    </xf>
    <xf numFmtId="0" fontId="62" fillId="23" borderId="32" xfId="420" applyBorder="1" applyAlignment="1">
      <alignment horizontal="center"/>
    </xf>
    <xf numFmtId="0" fontId="62" fillId="23" borderId="33" xfId="420" applyBorder="1" applyAlignment="1">
      <alignment horizontal="center"/>
    </xf>
    <xf numFmtId="0" fontId="69" fillId="40" borderId="0" xfId="418" applyNumberFormat="1" applyFont="1" applyFill="1" applyAlignment="1">
      <alignment horizontal="center"/>
    </xf>
    <xf numFmtId="0" fontId="69" fillId="40" borderId="55" xfId="418" applyNumberFormat="1" applyFont="1" applyFill="1" applyBorder="1" applyAlignment="1">
      <alignment horizontal="center"/>
    </xf>
    <xf numFmtId="0" fontId="80" fillId="23" borderId="0" xfId="420" applyFont="1" applyAlignment="1">
      <alignment horizontal="center"/>
    </xf>
    <xf numFmtId="0" fontId="0" fillId="5" borderId="0" xfId="0" applyFill="1" applyBorder="1" applyAlignment="1">
      <alignment vertical="center" textRotation="90"/>
    </xf>
    <xf numFmtId="0" fontId="0" fillId="5" borderId="0" xfId="0" applyFill="1" applyBorder="1" applyAlignment="1">
      <alignment horizontal="center" vertical="center"/>
    </xf>
    <xf numFmtId="0" fontId="12" fillId="5" borderId="0" xfId="4" applyFont="1" applyFill="1" applyBorder="1" applyAlignment="1">
      <alignment horizontal="left"/>
    </xf>
    <xf numFmtId="3" fontId="3" fillId="5" borderId="0" xfId="0" applyNumberFormat="1" applyFont="1" applyFill="1" applyBorder="1" applyAlignment="1">
      <alignment horizontal="right"/>
    </xf>
    <xf numFmtId="166" fontId="11" fillId="0" borderId="0" xfId="373" applyNumberFormat="1" applyFont="1" applyFill="1"/>
    <xf numFmtId="37" fontId="11" fillId="0" borderId="0" xfId="4" applyNumberFormat="1" applyFont="1" applyFill="1" applyAlignment="1">
      <alignment horizontal="right"/>
    </xf>
    <xf numFmtId="44" fontId="60" fillId="0" borderId="0" xfId="10" applyFont="1" applyFill="1" applyBorder="1"/>
    <xf numFmtId="0" fontId="0" fillId="5" borderId="0" xfId="0" applyFill="1" applyBorder="1" applyAlignment="1">
      <alignment horizontal="center"/>
    </xf>
    <xf numFmtId="44" fontId="3" fillId="5" borderId="0" xfId="2" applyFont="1" applyFill="1" applyBorder="1"/>
    <xf numFmtId="0" fontId="0" fillId="0" borderId="0" xfId="0" applyFill="1" applyBorder="1" applyAlignment="1">
      <alignment vertical="center" textRotation="90"/>
    </xf>
    <xf numFmtId="0" fontId="0" fillId="0" borderId="0" xfId="0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0" fillId="0" borderId="0" xfId="0" applyFill="1"/>
    <xf numFmtId="3" fontId="3" fillId="5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3" applyFont="1"/>
    <xf numFmtId="164" fontId="3" fillId="0" borderId="0" xfId="2" applyNumberFormat="1" applyFont="1"/>
    <xf numFmtId="164" fontId="3" fillId="5" borderId="1" xfId="2" applyNumberFormat="1" applyFont="1" applyFill="1" applyBorder="1" applyAlignment="1">
      <alignment horizontal="right"/>
    </xf>
    <xf numFmtId="44" fontId="60" fillId="0" borderId="0" xfId="2" applyFont="1" applyFill="1" applyBorder="1"/>
  </cellXfs>
  <cellStyles count="425">
    <cellStyle name="20% - Accent1 2" xfId="40" xr:uid="{00000000-0005-0000-0000-000000000000}"/>
    <cellStyle name="20% - Accent1 2 2" xfId="299" xr:uid="{00000000-0005-0000-0000-000001000000}"/>
    <cellStyle name="20% - Accent1 3" xfId="39" xr:uid="{00000000-0005-0000-0000-000002000000}"/>
    <cellStyle name="20% - Accent1 3 2" xfId="300" xr:uid="{00000000-0005-0000-0000-000003000000}"/>
    <cellStyle name="20% - Accent2 2" xfId="42" xr:uid="{00000000-0005-0000-0000-000004000000}"/>
    <cellStyle name="20% - Accent2 3" xfId="41" xr:uid="{00000000-0005-0000-0000-000005000000}"/>
    <cellStyle name="20% - Accent2 4" xfId="395" xr:uid="{00000000-0005-0000-0000-000006000000}"/>
    <cellStyle name="20% - Accent3 2" xfId="44" xr:uid="{00000000-0005-0000-0000-000007000000}"/>
    <cellStyle name="20% - Accent3 3" xfId="43" xr:uid="{00000000-0005-0000-0000-000008000000}"/>
    <cellStyle name="20% - Accent3 4" xfId="396" xr:uid="{00000000-0005-0000-0000-000009000000}"/>
    <cellStyle name="20% - Accent4 2" xfId="46" xr:uid="{00000000-0005-0000-0000-00000A000000}"/>
    <cellStyle name="20% - Accent4 2 2" xfId="301" xr:uid="{00000000-0005-0000-0000-00000B000000}"/>
    <cellStyle name="20% - Accent4 3" xfId="45" xr:uid="{00000000-0005-0000-0000-00000C000000}"/>
    <cellStyle name="20% - Accent4 3 2" xfId="302" xr:uid="{00000000-0005-0000-0000-00000D000000}"/>
    <cellStyle name="20% - Accent5 2" xfId="48" xr:uid="{00000000-0005-0000-0000-00000E000000}"/>
    <cellStyle name="20% - Accent5 3" xfId="47" xr:uid="{00000000-0005-0000-0000-00000F000000}"/>
    <cellStyle name="20% - Accent6 2" xfId="50" xr:uid="{00000000-0005-0000-0000-000010000000}"/>
    <cellStyle name="20% - Accent6 3" xfId="49" xr:uid="{00000000-0005-0000-0000-000011000000}"/>
    <cellStyle name="20% - Accent6 4" xfId="397" xr:uid="{00000000-0005-0000-0000-000012000000}"/>
    <cellStyle name="40% - Accent1 2" xfId="52" xr:uid="{00000000-0005-0000-0000-000013000000}"/>
    <cellStyle name="40% - Accent1 3" xfId="51" xr:uid="{00000000-0005-0000-0000-000014000000}"/>
    <cellStyle name="40% - Accent1 3 2" xfId="303" xr:uid="{00000000-0005-0000-0000-000015000000}"/>
    <cellStyle name="40% - Accent2 2" xfId="54" xr:uid="{00000000-0005-0000-0000-000016000000}"/>
    <cellStyle name="40% - Accent2 3" xfId="53" xr:uid="{00000000-0005-0000-0000-000017000000}"/>
    <cellStyle name="40% - Accent3 2" xfId="56" xr:uid="{00000000-0005-0000-0000-000018000000}"/>
    <cellStyle name="40% - Accent3 3" xfId="55" xr:uid="{00000000-0005-0000-0000-000019000000}"/>
    <cellStyle name="40% - Accent3 4" xfId="398" xr:uid="{00000000-0005-0000-0000-00001A000000}"/>
    <cellStyle name="40% - Accent4 2" xfId="58" xr:uid="{00000000-0005-0000-0000-00001B000000}"/>
    <cellStyle name="40% - Accent4 3" xfId="57" xr:uid="{00000000-0005-0000-0000-00001C000000}"/>
    <cellStyle name="40% - Accent4 3 2" xfId="304" xr:uid="{00000000-0005-0000-0000-00001D000000}"/>
    <cellStyle name="40% - Accent5 2" xfId="60" xr:uid="{00000000-0005-0000-0000-00001E000000}"/>
    <cellStyle name="40% - Accent5 3" xfId="59" xr:uid="{00000000-0005-0000-0000-00001F000000}"/>
    <cellStyle name="40% - Accent6 2" xfId="62" xr:uid="{00000000-0005-0000-0000-000020000000}"/>
    <cellStyle name="40% - Accent6 3" xfId="61" xr:uid="{00000000-0005-0000-0000-000021000000}"/>
    <cellStyle name="40% - Accent6 3 2" xfId="305" xr:uid="{00000000-0005-0000-0000-000022000000}"/>
    <cellStyle name="60% - Accent1 2" xfId="64" xr:uid="{00000000-0005-0000-0000-000023000000}"/>
    <cellStyle name="60% - Accent1 2 2" xfId="306" xr:uid="{00000000-0005-0000-0000-000024000000}"/>
    <cellStyle name="60% - Accent1 3" xfId="63" xr:uid="{00000000-0005-0000-0000-000025000000}"/>
    <cellStyle name="60% - Accent1 3 2" xfId="307" xr:uid="{00000000-0005-0000-0000-000026000000}"/>
    <cellStyle name="60% - Accent2 2" xfId="66" xr:uid="{00000000-0005-0000-0000-000027000000}"/>
    <cellStyle name="60% - Accent2 3" xfId="65" xr:uid="{00000000-0005-0000-0000-000028000000}"/>
    <cellStyle name="60% - Accent3 2" xfId="68" xr:uid="{00000000-0005-0000-0000-000029000000}"/>
    <cellStyle name="60% - Accent3 3" xfId="67" xr:uid="{00000000-0005-0000-0000-00002A000000}"/>
    <cellStyle name="60% - Accent3 3 2" xfId="308" xr:uid="{00000000-0005-0000-0000-00002B000000}"/>
    <cellStyle name="60% - Accent4 2" xfId="70" xr:uid="{00000000-0005-0000-0000-00002C000000}"/>
    <cellStyle name="60% - Accent4 3" xfId="69" xr:uid="{00000000-0005-0000-0000-00002D000000}"/>
    <cellStyle name="60% - Accent4 3 2" xfId="309" xr:uid="{00000000-0005-0000-0000-00002E000000}"/>
    <cellStyle name="60% - Accent5 2" xfId="72" xr:uid="{00000000-0005-0000-0000-00002F000000}"/>
    <cellStyle name="60% - Accent5 2 2" xfId="310" xr:uid="{00000000-0005-0000-0000-000030000000}"/>
    <cellStyle name="60% - Accent5 3" xfId="71" xr:uid="{00000000-0005-0000-0000-000031000000}"/>
    <cellStyle name="60% - Accent6 2" xfId="74" xr:uid="{00000000-0005-0000-0000-000032000000}"/>
    <cellStyle name="60% - Accent6 3" xfId="73" xr:uid="{00000000-0005-0000-0000-000033000000}"/>
    <cellStyle name="60% - Accent6 4" xfId="399" xr:uid="{00000000-0005-0000-0000-000034000000}"/>
    <cellStyle name="Accent1 2" xfId="76" xr:uid="{00000000-0005-0000-0000-000035000000}"/>
    <cellStyle name="Accent1 2 2" xfId="311" xr:uid="{00000000-0005-0000-0000-000036000000}"/>
    <cellStyle name="Accent1 3" xfId="75" xr:uid="{00000000-0005-0000-0000-000037000000}"/>
    <cellStyle name="Accent1 3 2" xfId="312" xr:uid="{00000000-0005-0000-0000-000038000000}"/>
    <cellStyle name="Accent2 2" xfId="78" xr:uid="{00000000-0005-0000-0000-000039000000}"/>
    <cellStyle name="Accent2 3" xfId="77" xr:uid="{00000000-0005-0000-0000-00003A000000}"/>
    <cellStyle name="Accent3 2" xfId="80" xr:uid="{00000000-0005-0000-0000-00003B000000}"/>
    <cellStyle name="Accent3 2 2" xfId="313" xr:uid="{00000000-0005-0000-0000-00003C000000}"/>
    <cellStyle name="Accent3 3" xfId="79" xr:uid="{00000000-0005-0000-0000-00003D000000}"/>
    <cellStyle name="Accent4 2" xfId="82" xr:uid="{00000000-0005-0000-0000-00003E000000}"/>
    <cellStyle name="Accent4 3" xfId="81" xr:uid="{00000000-0005-0000-0000-00003F000000}"/>
    <cellStyle name="Accent4 4" xfId="400" xr:uid="{00000000-0005-0000-0000-000040000000}"/>
    <cellStyle name="Accent5 2" xfId="84" xr:uid="{00000000-0005-0000-0000-000041000000}"/>
    <cellStyle name="Accent5 2 3" xfId="421" xr:uid="{6022E486-DF12-4243-9E92-05692E5BB0D4}"/>
    <cellStyle name="Accent5 3" xfId="83" xr:uid="{00000000-0005-0000-0000-000042000000}"/>
    <cellStyle name="Accent6 2" xfId="86" xr:uid="{00000000-0005-0000-0000-000043000000}"/>
    <cellStyle name="Accent6 2 2" xfId="314" xr:uid="{00000000-0005-0000-0000-000044000000}"/>
    <cellStyle name="Accent6 3" xfId="85" xr:uid="{00000000-0005-0000-0000-000045000000}"/>
    <cellStyle name="Accounting" xfId="87" xr:uid="{00000000-0005-0000-0000-000046000000}"/>
    <cellStyle name="Accounting 2" xfId="88" xr:uid="{00000000-0005-0000-0000-000047000000}"/>
    <cellStyle name="Accounting 3" xfId="89" xr:uid="{00000000-0005-0000-0000-000048000000}"/>
    <cellStyle name="Accounting_2011-11" xfId="90" xr:uid="{00000000-0005-0000-0000-000049000000}"/>
    <cellStyle name="Bad 2" xfId="92" xr:uid="{00000000-0005-0000-0000-00004A000000}"/>
    <cellStyle name="Bad 3" xfId="91" xr:uid="{00000000-0005-0000-0000-00004B000000}"/>
    <cellStyle name="Budget" xfId="93" xr:uid="{00000000-0005-0000-0000-00004C000000}"/>
    <cellStyle name="Budget 2" xfId="94" xr:uid="{00000000-0005-0000-0000-00004D000000}"/>
    <cellStyle name="Budget 3" xfId="95" xr:uid="{00000000-0005-0000-0000-00004E000000}"/>
    <cellStyle name="Budget_2011-11" xfId="96" xr:uid="{00000000-0005-0000-0000-00004F000000}"/>
    <cellStyle name="Calculation 2" xfId="98" xr:uid="{00000000-0005-0000-0000-000050000000}"/>
    <cellStyle name="Calculation 2 2" xfId="315" xr:uid="{00000000-0005-0000-0000-000051000000}"/>
    <cellStyle name="Calculation 3" xfId="97" xr:uid="{00000000-0005-0000-0000-000052000000}"/>
    <cellStyle name="Calculation 3 2" xfId="316" xr:uid="{00000000-0005-0000-0000-000053000000}"/>
    <cellStyle name="Check Cell 2" xfId="100" xr:uid="{00000000-0005-0000-0000-000054000000}"/>
    <cellStyle name="Check Cell 3" xfId="99" xr:uid="{00000000-0005-0000-0000-000055000000}"/>
    <cellStyle name="combo" xfId="101" xr:uid="{00000000-0005-0000-0000-000056000000}"/>
    <cellStyle name="Comma" xfId="1" builtinId="3"/>
    <cellStyle name="Comma 10" xfId="103" xr:uid="{00000000-0005-0000-0000-000058000000}"/>
    <cellStyle name="Comma 11" xfId="104" xr:uid="{00000000-0005-0000-0000-000059000000}"/>
    <cellStyle name="Comma 12" xfId="102" xr:uid="{00000000-0005-0000-0000-00005A000000}"/>
    <cellStyle name="Comma 12 2" xfId="277" xr:uid="{00000000-0005-0000-0000-00005B000000}"/>
    <cellStyle name="Comma 12 3" xfId="282" xr:uid="{00000000-0005-0000-0000-00005C000000}"/>
    <cellStyle name="Comma 13" xfId="283" xr:uid="{00000000-0005-0000-0000-00005D000000}"/>
    <cellStyle name="Comma 14" xfId="284" xr:uid="{00000000-0005-0000-0000-00005E000000}"/>
    <cellStyle name="Comma 15" xfId="285" xr:uid="{00000000-0005-0000-0000-00005F000000}"/>
    <cellStyle name="Comma 16" xfId="286" xr:uid="{00000000-0005-0000-0000-000060000000}"/>
    <cellStyle name="Comma 17" xfId="317" xr:uid="{00000000-0005-0000-0000-000061000000}"/>
    <cellStyle name="Comma 18" xfId="318" xr:uid="{00000000-0005-0000-0000-000062000000}"/>
    <cellStyle name="Comma 19" xfId="319" xr:uid="{00000000-0005-0000-0000-000063000000}"/>
    <cellStyle name="Comma 2" xfId="5" xr:uid="{00000000-0005-0000-0000-000064000000}"/>
    <cellStyle name="Comma 2 2" xfId="6" xr:uid="{00000000-0005-0000-0000-000065000000}"/>
    <cellStyle name="Comma 2 2 2" xfId="320" xr:uid="{00000000-0005-0000-0000-000066000000}"/>
    <cellStyle name="Comma 2 3" xfId="105" xr:uid="{00000000-0005-0000-0000-000067000000}"/>
    <cellStyle name="Comma 2 4" xfId="321" xr:uid="{00000000-0005-0000-0000-000068000000}"/>
    <cellStyle name="Comma 2 6" xfId="7" xr:uid="{00000000-0005-0000-0000-000069000000}"/>
    <cellStyle name="Comma 2 6 2" xfId="8" xr:uid="{00000000-0005-0000-0000-00006A000000}"/>
    <cellStyle name="Comma 2 7" xfId="422" xr:uid="{D7203CBC-89E5-4F26-8B76-5F56BF2A98D7}"/>
    <cellStyle name="Comma 20" xfId="370" xr:uid="{00000000-0005-0000-0000-00006B000000}"/>
    <cellStyle name="Comma 20 2" xfId="390" xr:uid="{00000000-0005-0000-0000-00006C000000}"/>
    <cellStyle name="Comma 21" xfId="401" xr:uid="{00000000-0005-0000-0000-00006D000000}"/>
    <cellStyle name="Comma 22" xfId="419" xr:uid="{51A2AEAA-CE1E-41B6-B111-DFF896D96D47}"/>
    <cellStyle name="Comma 3" xfId="9" xr:uid="{00000000-0005-0000-0000-00006E000000}"/>
    <cellStyle name="Comma 3 2" xfId="106" xr:uid="{00000000-0005-0000-0000-00006F000000}"/>
    <cellStyle name="Comma 3 2 2" xfId="107" xr:uid="{00000000-0005-0000-0000-000070000000}"/>
    <cellStyle name="Comma 3 3" xfId="287" xr:uid="{00000000-0005-0000-0000-000071000000}"/>
    <cellStyle name="Comma 3 4" xfId="322" xr:uid="{00000000-0005-0000-0000-000072000000}"/>
    <cellStyle name="Comma 4" xfId="108" xr:uid="{00000000-0005-0000-0000-000073000000}"/>
    <cellStyle name="Comma 4 2" xfId="109" xr:uid="{00000000-0005-0000-0000-000074000000}"/>
    <cellStyle name="Comma 4 2 2" xfId="288" xr:uid="{00000000-0005-0000-0000-000075000000}"/>
    <cellStyle name="Comma 4 3" xfId="110" xr:uid="{00000000-0005-0000-0000-000076000000}"/>
    <cellStyle name="Comma 4 3 2" xfId="289" xr:uid="{00000000-0005-0000-0000-000077000000}"/>
    <cellStyle name="Comma 4 4" xfId="290" xr:uid="{00000000-0005-0000-0000-000078000000}"/>
    <cellStyle name="Comma 4 5" xfId="111" xr:uid="{00000000-0005-0000-0000-000079000000}"/>
    <cellStyle name="Comma 4 6" xfId="280" xr:uid="{00000000-0005-0000-0000-00007A000000}"/>
    <cellStyle name="Comma 5" xfId="112" xr:uid="{00000000-0005-0000-0000-00007B000000}"/>
    <cellStyle name="Comma 6" xfId="113" xr:uid="{00000000-0005-0000-0000-00007C000000}"/>
    <cellStyle name="Comma 6 2" xfId="323" xr:uid="{00000000-0005-0000-0000-00007D000000}"/>
    <cellStyle name="Comma 7" xfId="114" xr:uid="{00000000-0005-0000-0000-00007E000000}"/>
    <cellStyle name="Comma 7 2" xfId="411" xr:uid="{817E0F44-1B8B-4110-897F-DB4FB43287F2}"/>
    <cellStyle name="Comma 8" xfId="115" xr:uid="{00000000-0005-0000-0000-00007F000000}"/>
    <cellStyle name="Comma 9" xfId="116" xr:uid="{00000000-0005-0000-0000-000080000000}"/>
    <cellStyle name="Comma(2)" xfId="117" xr:uid="{00000000-0005-0000-0000-000081000000}"/>
    <cellStyle name="Comma0 - Style2" xfId="118" xr:uid="{00000000-0005-0000-0000-000082000000}"/>
    <cellStyle name="Comma1 - Style1" xfId="119" xr:uid="{00000000-0005-0000-0000-000083000000}"/>
    <cellStyle name="Comments" xfId="120" xr:uid="{00000000-0005-0000-0000-000084000000}"/>
    <cellStyle name="Currency" xfId="2" builtinId="4"/>
    <cellStyle name="Currency 10" xfId="324" xr:uid="{00000000-0005-0000-0000-000086000000}"/>
    <cellStyle name="Currency 11" xfId="371" xr:uid="{00000000-0005-0000-0000-000087000000}"/>
    <cellStyle name="Currency 11 2" xfId="391" xr:uid="{00000000-0005-0000-0000-000088000000}"/>
    <cellStyle name="Currency 12" xfId="402" xr:uid="{00000000-0005-0000-0000-000089000000}"/>
    <cellStyle name="Currency 13" xfId="417" xr:uid="{176F644F-6A7D-403D-8931-2129587EE7A4}"/>
    <cellStyle name="Currency 2" xfId="10" xr:uid="{00000000-0005-0000-0000-00008A000000}"/>
    <cellStyle name="Currency 2 2" xfId="11" xr:uid="{00000000-0005-0000-0000-00008B000000}"/>
    <cellStyle name="Currency 2 2 2" xfId="123" xr:uid="{00000000-0005-0000-0000-00008C000000}"/>
    <cellStyle name="Currency 2 3" xfId="122" xr:uid="{00000000-0005-0000-0000-00008D000000}"/>
    <cellStyle name="Currency 2 3 2" xfId="325" xr:uid="{00000000-0005-0000-0000-00008E000000}"/>
    <cellStyle name="Currency 2 6" xfId="12" xr:uid="{00000000-0005-0000-0000-00008F000000}"/>
    <cellStyle name="Currency 2 6 2" xfId="13" xr:uid="{00000000-0005-0000-0000-000090000000}"/>
    <cellStyle name="Currency 3" xfId="14" xr:uid="{00000000-0005-0000-0000-000091000000}"/>
    <cellStyle name="Currency 3 2" xfId="125" xr:uid="{00000000-0005-0000-0000-000092000000}"/>
    <cellStyle name="Currency 3 3" xfId="124" xr:uid="{00000000-0005-0000-0000-000093000000}"/>
    <cellStyle name="Currency 3 4" xfId="291" xr:uid="{00000000-0005-0000-0000-000094000000}"/>
    <cellStyle name="Currency 4" xfId="15" xr:uid="{00000000-0005-0000-0000-000095000000}"/>
    <cellStyle name="Currency 4 2" xfId="16" xr:uid="{00000000-0005-0000-0000-000096000000}"/>
    <cellStyle name="Currency 5" xfId="121" xr:uid="{00000000-0005-0000-0000-000097000000}"/>
    <cellStyle name="Currency 5 2" xfId="276" xr:uid="{00000000-0005-0000-0000-000098000000}"/>
    <cellStyle name="Currency 5 3" xfId="292" xr:uid="{00000000-0005-0000-0000-000099000000}"/>
    <cellStyle name="Currency 6" xfId="293" xr:uid="{00000000-0005-0000-0000-00009A000000}"/>
    <cellStyle name="Currency 7" xfId="294" xr:uid="{00000000-0005-0000-0000-00009B000000}"/>
    <cellStyle name="Currency 7 2" xfId="416" xr:uid="{5A156F1A-1010-4570-95D1-9E17A3F63F9A}"/>
    <cellStyle name="Currency 8" xfId="326" xr:uid="{00000000-0005-0000-0000-00009C000000}"/>
    <cellStyle name="Currency 9" xfId="327" xr:uid="{00000000-0005-0000-0000-00009D000000}"/>
    <cellStyle name="Data Enter" xfId="126" xr:uid="{00000000-0005-0000-0000-00009E000000}"/>
    <cellStyle name="date" xfId="328" xr:uid="{00000000-0005-0000-0000-00009F000000}"/>
    <cellStyle name="Explanatory Text 2" xfId="128" xr:uid="{00000000-0005-0000-0000-0000A0000000}"/>
    <cellStyle name="Explanatory Text 3" xfId="127" xr:uid="{00000000-0005-0000-0000-0000A1000000}"/>
    <cellStyle name="FactSheet" xfId="129" xr:uid="{00000000-0005-0000-0000-0000A2000000}"/>
    <cellStyle name="fish" xfId="329" xr:uid="{00000000-0005-0000-0000-0000A3000000}"/>
    <cellStyle name="Good 2" xfId="131" xr:uid="{00000000-0005-0000-0000-0000A4000000}"/>
    <cellStyle name="Good 3" xfId="130" xr:uid="{00000000-0005-0000-0000-0000A5000000}"/>
    <cellStyle name="Heading 1 2" xfId="133" xr:uid="{00000000-0005-0000-0000-0000A6000000}"/>
    <cellStyle name="Heading 1 2 2" xfId="330" xr:uid="{00000000-0005-0000-0000-0000A7000000}"/>
    <cellStyle name="Heading 1 3" xfId="132" xr:uid="{00000000-0005-0000-0000-0000A8000000}"/>
    <cellStyle name="Heading 1 3 2" xfId="331" xr:uid="{00000000-0005-0000-0000-0000A9000000}"/>
    <cellStyle name="Heading 2 2" xfId="135" xr:uid="{00000000-0005-0000-0000-0000AA000000}"/>
    <cellStyle name="Heading 2 2 2" xfId="332" xr:uid="{00000000-0005-0000-0000-0000AB000000}"/>
    <cellStyle name="Heading 2 3" xfId="134" xr:uid="{00000000-0005-0000-0000-0000AC000000}"/>
    <cellStyle name="Heading 2 3 2" xfId="333" xr:uid="{00000000-0005-0000-0000-0000AD000000}"/>
    <cellStyle name="Heading 3 2" xfId="137" xr:uid="{00000000-0005-0000-0000-0000AE000000}"/>
    <cellStyle name="Heading 3 2 2" xfId="334" xr:uid="{00000000-0005-0000-0000-0000AF000000}"/>
    <cellStyle name="Heading 3 3" xfId="136" xr:uid="{00000000-0005-0000-0000-0000B0000000}"/>
    <cellStyle name="Heading 3 3 2" xfId="335" xr:uid="{00000000-0005-0000-0000-0000B1000000}"/>
    <cellStyle name="Heading 4 2" xfId="139" xr:uid="{00000000-0005-0000-0000-0000B2000000}"/>
    <cellStyle name="Heading 4 3" xfId="138" xr:uid="{00000000-0005-0000-0000-0000B3000000}"/>
    <cellStyle name="Heading 4 4" xfId="403" xr:uid="{00000000-0005-0000-0000-0000B4000000}"/>
    <cellStyle name="Hyperlink 2" xfId="140" xr:uid="{00000000-0005-0000-0000-0000B5000000}"/>
    <cellStyle name="Hyperlink 3" xfId="141" xr:uid="{00000000-0005-0000-0000-0000B6000000}"/>
    <cellStyle name="Hyperlink 3 2" xfId="295" xr:uid="{00000000-0005-0000-0000-0000B7000000}"/>
    <cellStyle name="Input 2" xfId="143" xr:uid="{00000000-0005-0000-0000-0000B8000000}"/>
    <cellStyle name="Input 3" xfId="142" xr:uid="{00000000-0005-0000-0000-0000B9000000}"/>
    <cellStyle name="Input 4" xfId="404" xr:uid="{00000000-0005-0000-0000-0000BA000000}"/>
    <cellStyle name="input(0)" xfId="144" xr:uid="{00000000-0005-0000-0000-0000BB000000}"/>
    <cellStyle name="Input(2)" xfId="145" xr:uid="{00000000-0005-0000-0000-0000BC000000}"/>
    <cellStyle name="Linked Cell 2" xfId="147" xr:uid="{00000000-0005-0000-0000-0000BD000000}"/>
    <cellStyle name="Linked Cell 2 2" xfId="336" xr:uid="{00000000-0005-0000-0000-0000BE000000}"/>
    <cellStyle name="Linked Cell 3" xfId="146" xr:uid="{00000000-0005-0000-0000-0000BF000000}"/>
    <cellStyle name="Neutral 2" xfId="149" xr:uid="{00000000-0005-0000-0000-0000C0000000}"/>
    <cellStyle name="Neutral 2 2" xfId="337" xr:uid="{00000000-0005-0000-0000-0000C1000000}"/>
    <cellStyle name="Neutral 3" xfId="148" xr:uid="{00000000-0005-0000-0000-0000C2000000}"/>
    <cellStyle name="New_normal" xfId="150" xr:uid="{00000000-0005-0000-0000-0000C3000000}"/>
    <cellStyle name="Normal" xfId="0" builtinId="0"/>
    <cellStyle name="Normal - Style1" xfId="151" xr:uid="{00000000-0005-0000-0000-0000C5000000}"/>
    <cellStyle name="Normal - Style2" xfId="152" xr:uid="{00000000-0005-0000-0000-0000C6000000}"/>
    <cellStyle name="Normal - Style3" xfId="153" xr:uid="{00000000-0005-0000-0000-0000C7000000}"/>
    <cellStyle name="Normal - Style4" xfId="154" xr:uid="{00000000-0005-0000-0000-0000C8000000}"/>
    <cellStyle name="Normal - Style5" xfId="155" xr:uid="{00000000-0005-0000-0000-0000C9000000}"/>
    <cellStyle name="Normal 10" xfId="156" xr:uid="{00000000-0005-0000-0000-0000CA000000}"/>
    <cellStyle name="Normal 10 2" xfId="17" xr:uid="{00000000-0005-0000-0000-0000CB000000}"/>
    <cellStyle name="Normal 10 2 2" xfId="339" xr:uid="{00000000-0005-0000-0000-0000CC000000}"/>
    <cellStyle name="Normal 10 2 3" xfId="338" xr:uid="{00000000-0005-0000-0000-0000CD000000}"/>
    <cellStyle name="Normal 10 4 3 2" xfId="415" xr:uid="{E9B53672-33F1-4A2F-9B98-A332F31B04D2}"/>
    <cellStyle name="Normal 10_2112 DF Schedule" xfId="340" xr:uid="{00000000-0005-0000-0000-0000CE000000}"/>
    <cellStyle name="Normal 100" xfId="380" xr:uid="{00000000-0005-0000-0000-0000CF000000}"/>
    <cellStyle name="Normal 101" xfId="382" xr:uid="{00000000-0005-0000-0000-0000D0000000}"/>
    <cellStyle name="Normal 102" xfId="383" xr:uid="{00000000-0005-0000-0000-0000D1000000}"/>
    <cellStyle name="Normal 103" xfId="384" xr:uid="{00000000-0005-0000-0000-0000D2000000}"/>
    <cellStyle name="Normal 104" xfId="385" xr:uid="{00000000-0005-0000-0000-0000D3000000}"/>
    <cellStyle name="Normal 105" xfId="381" xr:uid="{00000000-0005-0000-0000-0000D4000000}"/>
    <cellStyle name="Normal 106" xfId="386" xr:uid="{00000000-0005-0000-0000-0000D5000000}"/>
    <cellStyle name="Normal 107" xfId="387" xr:uid="{00000000-0005-0000-0000-0000D6000000}"/>
    <cellStyle name="Normal 108" xfId="388" xr:uid="{00000000-0005-0000-0000-0000D7000000}"/>
    <cellStyle name="Normal 109" xfId="394" xr:uid="{00000000-0005-0000-0000-0000D8000000}"/>
    <cellStyle name="Normal 11" xfId="157" xr:uid="{00000000-0005-0000-0000-0000D9000000}"/>
    <cellStyle name="Normal 110" xfId="418" xr:uid="{FAFAE991-67EA-42B6-A8DC-F10518412182}"/>
    <cellStyle name="Normal 12" xfId="158" xr:uid="{00000000-0005-0000-0000-0000DA000000}"/>
    <cellStyle name="Normal 12 2" xfId="341" xr:uid="{00000000-0005-0000-0000-0000DB000000}"/>
    <cellStyle name="Normal 13" xfId="159" xr:uid="{00000000-0005-0000-0000-0000DC000000}"/>
    <cellStyle name="Normal 13 2" xfId="342" xr:uid="{00000000-0005-0000-0000-0000DD000000}"/>
    <cellStyle name="Normal 14" xfId="160" xr:uid="{00000000-0005-0000-0000-0000DE000000}"/>
    <cellStyle name="Normal 14 2" xfId="343" xr:uid="{00000000-0005-0000-0000-0000DF000000}"/>
    <cellStyle name="Normal 15" xfId="161" xr:uid="{00000000-0005-0000-0000-0000E0000000}"/>
    <cellStyle name="Normal 15 2" xfId="344" xr:uid="{00000000-0005-0000-0000-0000E1000000}"/>
    <cellStyle name="Normal 16" xfId="162" xr:uid="{00000000-0005-0000-0000-0000E2000000}"/>
    <cellStyle name="Normal 16 2" xfId="345" xr:uid="{00000000-0005-0000-0000-0000E3000000}"/>
    <cellStyle name="Normal 163" xfId="410" xr:uid="{E5B31473-AD8F-45E5-9B78-A571B1090DE3}"/>
    <cellStyle name="Normal 17" xfId="163" xr:uid="{00000000-0005-0000-0000-0000E4000000}"/>
    <cellStyle name="Normal 17 2" xfId="346" xr:uid="{00000000-0005-0000-0000-0000E5000000}"/>
    <cellStyle name="Normal 18" xfId="164" xr:uid="{00000000-0005-0000-0000-0000E6000000}"/>
    <cellStyle name="Normal 18 2" xfId="347" xr:uid="{00000000-0005-0000-0000-0000E7000000}"/>
    <cellStyle name="Normal 19" xfId="165" xr:uid="{00000000-0005-0000-0000-0000E8000000}"/>
    <cellStyle name="Normal 19 2" xfId="348" xr:uid="{00000000-0005-0000-0000-0000E9000000}"/>
    <cellStyle name="Normal 2" xfId="18" xr:uid="{00000000-0005-0000-0000-0000EA000000}"/>
    <cellStyle name="Normal 2 2" xfId="19" xr:uid="{00000000-0005-0000-0000-0000EB000000}"/>
    <cellStyle name="Normal 2 2 2" xfId="167" xr:uid="{00000000-0005-0000-0000-0000EC000000}"/>
    <cellStyle name="Normal 2 2 3" xfId="166" xr:uid="{00000000-0005-0000-0000-0000ED000000}"/>
    <cellStyle name="Normal 2 2_Actual_Fuel" xfId="168" xr:uid="{00000000-0005-0000-0000-0000EE000000}"/>
    <cellStyle name="Normal 2 3" xfId="169" xr:uid="{00000000-0005-0000-0000-0000EF000000}"/>
    <cellStyle name="Normal 2 3 2" xfId="170" xr:uid="{00000000-0005-0000-0000-0000F0000000}"/>
    <cellStyle name="Normal 2 3 3" xfId="296" xr:uid="{00000000-0005-0000-0000-0000F1000000}"/>
    <cellStyle name="Normal 2 4" xfId="297" xr:uid="{00000000-0005-0000-0000-0000F2000000}"/>
    <cellStyle name="Normal 2 5" xfId="298" xr:uid="{00000000-0005-0000-0000-0000F3000000}"/>
    <cellStyle name="Normal 2 6" xfId="420" xr:uid="{944E9BA4-8F86-459B-B34C-CE02E6B1F808}"/>
    <cellStyle name="Normal 2_2012-10" xfId="171" xr:uid="{00000000-0005-0000-0000-0000F4000000}"/>
    <cellStyle name="Normal 20" xfId="172" xr:uid="{00000000-0005-0000-0000-0000F5000000}"/>
    <cellStyle name="Normal 21" xfId="173" xr:uid="{00000000-0005-0000-0000-0000F6000000}"/>
    <cellStyle name="Normal 22" xfId="174" xr:uid="{00000000-0005-0000-0000-0000F7000000}"/>
    <cellStyle name="Normal 23" xfId="175" xr:uid="{00000000-0005-0000-0000-0000F8000000}"/>
    <cellStyle name="Normal 24" xfId="176" xr:uid="{00000000-0005-0000-0000-0000F9000000}"/>
    <cellStyle name="Normal 25" xfId="177" xr:uid="{00000000-0005-0000-0000-0000FA000000}"/>
    <cellStyle name="Normal 26" xfId="178" xr:uid="{00000000-0005-0000-0000-0000FB000000}"/>
    <cellStyle name="Normal 27" xfId="179" xr:uid="{00000000-0005-0000-0000-0000FC000000}"/>
    <cellStyle name="Normal 28" xfId="180" xr:uid="{00000000-0005-0000-0000-0000FD000000}"/>
    <cellStyle name="Normal 29" xfId="181" xr:uid="{00000000-0005-0000-0000-0000FE000000}"/>
    <cellStyle name="Normal 3" xfId="20" xr:uid="{00000000-0005-0000-0000-0000FF000000}"/>
    <cellStyle name="Normal 3 2" xfId="183" xr:uid="{00000000-0005-0000-0000-000000010000}"/>
    <cellStyle name="Normal 3 3" xfId="182" xr:uid="{00000000-0005-0000-0000-000001010000}"/>
    <cellStyle name="Normal 3 4" xfId="281" xr:uid="{00000000-0005-0000-0000-000002010000}"/>
    <cellStyle name="Normal 3_2012 PR" xfId="184" xr:uid="{00000000-0005-0000-0000-000003010000}"/>
    <cellStyle name="Normal 30" xfId="185" xr:uid="{00000000-0005-0000-0000-000004010000}"/>
    <cellStyle name="Normal 31" xfId="186" xr:uid="{00000000-0005-0000-0000-000005010000}"/>
    <cellStyle name="Normal 32" xfId="187" xr:uid="{00000000-0005-0000-0000-000006010000}"/>
    <cellStyle name="Normal 33" xfId="188" xr:uid="{00000000-0005-0000-0000-000007010000}"/>
    <cellStyle name="Normal 34" xfId="189" xr:uid="{00000000-0005-0000-0000-000008010000}"/>
    <cellStyle name="Normal 35" xfId="190" xr:uid="{00000000-0005-0000-0000-000009010000}"/>
    <cellStyle name="Normal 36" xfId="191" xr:uid="{00000000-0005-0000-0000-00000A010000}"/>
    <cellStyle name="Normal 37" xfId="192" xr:uid="{00000000-0005-0000-0000-00000B010000}"/>
    <cellStyle name="Normal 38" xfId="193" xr:uid="{00000000-0005-0000-0000-00000C010000}"/>
    <cellStyle name="Normal 39" xfId="194" xr:uid="{00000000-0005-0000-0000-00000D010000}"/>
    <cellStyle name="Normal 4" xfId="21" xr:uid="{00000000-0005-0000-0000-00000E010000}"/>
    <cellStyle name="Normal 4 2" xfId="195" xr:uid="{00000000-0005-0000-0000-00000F010000}"/>
    <cellStyle name="Normal 40" xfId="196" xr:uid="{00000000-0005-0000-0000-000010010000}"/>
    <cellStyle name="Normal 41" xfId="197" xr:uid="{00000000-0005-0000-0000-000011010000}"/>
    <cellStyle name="Normal 42" xfId="198" xr:uid="{00000000-0005-0000-0000-000012010000}"/>
    <cellStyle name="Normal 43" xfId="199" xr:uid="{00000000-0005-0000-0000-000013010000}"/>
    <cellStyle name="Normal 44" xfId="200" xr:uid="{00000000-0005-0000-0000-000014010000}"/>
    <cellStyle name="Normal 45" xfId="201" xr:uid="{00000000-0005-0000-0000-000015010000}"/>
    <cellStyle name="Normal 46" xfId="202" xr:uid="{00000000-0005-0000-0000-000016010000}"/>
    <cellStyle name="Normal 47" xfId="203" xr:uid="{00000000-0005-0000-0000-000017010000}"/>
    <cellStyle name="Normal 48" xfId="204" xr:uid="{00000000-0005-0000-0000-000018010000}"/>
    <cellStyle name="Normal 49" xfId="205" xr:uid="{00000000-0005-0000-0000-000019010000}"/>
    <cellStyle name="Normal 5" xfId="22" xr:uid="{00000000-0005-0000-0000-00001A010000}"/>
    <cellStyle name="Normal 5 2" xfId="206" xr:uid="{00000000-0005-0000-0000-00001B010000}"/>
    <cellStyle name="Normal 5_2112 DF Schedule" xfId="349" xr:uid="{00000000-0005-0000-0000-00001C010000}"/>
    <cellStyle name="Normal 50" xfId="207" xr:uid="{00000000-0005-0000-0000-00001D010000}"/>
    <cellStyle name="Normal 51" xfId="208" xr:uid="{00000000-0005-0000-0000-00001E010000}"/>
    <cellStyle name="Normal 52" xfId="209" xr:uid="{00000000-0005-0000-0000-00001F010000}"/>
    <cellStyle name="Normal 53" xfId="210" xr:uid="{00000000-0005-0000-0000-000020010000}"/>
    <cellStyle name="Normal 54" xfId="211" xr:uid="{00000000-0005-0000-0000-000021010000}"/>
    <cellStyle name="Normal 55" xfId="212" xr:uid="{00000000-0005-0000-0000-000022010000}"/>
    <cellStyle name="Normal 56" xfId="213" xr:uid="{00000000-0005-0000-0000-000023010000}"/>
    <cellStyle name="Normal 57" xfId="214" xr:uid="{00000000-0005-0000-0000-000024010000}"/>
    <cellStyle name="Normal 58" xfId="215" xr:uid="{00000000-0005-0000-0000-000025010000}"/>
    <cellStyle name="Normal 59" xfId="216" xr:uid="{00000000-0005-0000-0000-000026010000}"/>
    <cellStyle name="Normal 6" xfId="23" xr:uid="{00000000-0005-0000-0000-000027010000}"/>
    <cellStyle name="Normal 6 2" xfId="217" xr:uid="{00000000-0005-0000-0000-000028010000}"/>
    <cellStyle name="Normal 60" xfId="218" xr:uid="{00000000-0005-0000-0000-000029010000}"/>
    <cellStyle name="Normal 61" xfId="219" xr:uid="{00000000-0005-0000-0000-00002A010000}"/>
    <cellStyle name="Normal 62" xfId="220" xr:uid="{00000000-0005-0000-0000-00002B010000}"/>
    <cellStyle name="Normal 63" xfId="221" xr:uid="{00000000-0005-0000-0000-00002C010000}"/>
    <cellStyle name="Normal 64" xfId="222" xr:uid="{00000000-0005-0000-0000-00002D010000}"/>
    <cellStyle name="Normal 65" xfId="223" xr:uid="{00000000-0005-0000-0000-00002E010000}"/>
    <cellStyle name="Normal 66" xfId="224" xr:uid="{00000000-0005-0000-0000-00002F010000}"/>
    <cellStyle name="Normal 67" xfId="225" xr:uid="{00000000-0005-0000-0000-000030010000}"/>
    <cellStyle name="Normal 68" xfId="226" xr:uid="{00000000-0005-0000-0000-000031010000}"/>
    <cellStyle name="Normal 69" xfId="227" xr:uid="{00000000-0005-0000-0000-000032010000}"/>
    <cellStyle name="Normal 7" xfId="228" xr:uid="{00000000-0005-0000-0000-000033010000}"/>
    <cellStyle name="Normal 70" xfId="229" xr:uid="{00000000-0005-0000-0000-000034010000}"/>
    <cellStyle name="Normal 71" xfId="230" xr:uid="{00000000-0005-0000-0000-000035010000}"/>
    <cellStyle name="Normal 72" xfId="231" xr:uid="{00000000-0005-0000-0000-000036010000}"/>
    <cellStyle name="Normal 73" xfId="232" xr:uid="{00000000-0005-0000-0000-000037010000}"/>
    <cellStyle name="Normal 74" xfId="233" xr:uid="{00000000-0005-0000-0000-000038010000}"/>
    <cellStyle name="Normal 75" xfId="234" xr:uid="{00000000-0005-0000-0000-000039010000}"/>
    <cellStyle name="Normal 76" xfId="235" xr:uid="{00000000-0005-0000-0000-00003A010000}"/>
    <cellStyle name="Normal 77" xfId="236" xr:uid="{00000000-0005-0000-0000-00003B010000}"/>
    <cellStyle name="Normal 78" xfId="237" xr:uid="{00000000-0005-0000-0000-00003C010000}"/>
    <cellStyle name="Normal 79" xfId="238" xr:uid="{00000000-0005-0000-0000-00003D010000}"/>
    <cellStyle name="Normal 8" xfId="239" xr:uid="{00000000-0005-0000-0000-00003E010000}"/>
    <cellStyle name="Normal 80" xfId="240" xr:uid="{00000000-0005-0000-0000-00003F010000}"/>
    <cellStyle name="Normal 81" xfId="241" xr:uid="{00000000-0005-0000-0000-000040010000}"/>
    <cellStyle name="Normal 82" xfId="242" xr:uid="{00000000-0005-0000-0000-000041010000}"/>
    <cellStyle name="Normal 83" xfId="243" xr:uid="{00000000-0005-0000-0000-000042010000}"/>
    <cellStyle name="Normal 84" xfId="38" xr:uid="{00000000-0005-0000-0000-000043010000}"/>
    <cellStyle name="Normal 84 2" xfId="278" xr:uid="{00000000-0005-0000-0000-000044010000}"/>
    <cellStyle name="Normal 84 3" xfId="350" xr:uid="{00000000-0005-0000-0000-000045010000}"/>
    <cellStyle name="Normal 85" xfId="252" xr:uid="{00000000-0005-0000-0000-000046010000}"/>
    <cellStyle name="Normal 86" xfId="270" xr:uid="{00000000-0005-0000-0000-000047010000}"/>
    <cellStyle name="Normal 87" xfId="271" xr:uid="{00000000-0005-0000-0000-000048010000}"/>
    <cellStyle name="Normal 88" xfId="272" xr:uid="{00000000-0005-0000-0000-000049010000}"/>
    <cellStyle name="Normal 89" xfId="273" xr:uid="{00000000-0005-0000-0000-00004A010000}"/>
    <cellStyle name="Normal 9" xfId="244" xr:uid="{00000000-0005-0000-0000-00004B010000}"/>
    <cellStyle name="Normal 90" xfId="274" xr:uid="{00000000-0005-0000-0000-00004C010000}"/>
    <cellStyle name="Normal 91" xfId="279" xr:uid="{00000000-0005-0000-0000-00004D010000}"/>
    <cellStyle name="Normal 92" xfId="369" xr:uid="{00000000-0005-0000-0000-00004E010000}"/>
    <cellStyle name="Normal 92 2" xfId="389" xr:uid="{00000000-0005-0000-0000-00004F010000}"/>
    <cellStyle name="Normal 93" xfId="373" xr:uid="{00000000-0005-0000-0000-000050010000}"/>
    <cellStyle name="Normal 93 2" xfId="393" xr:uid="{00000000-0005-0000-0000-000051010000}"/>
    <cellStyle name="Normal 94" xfId="374" xr:uid="{00000000-0005-0000-0000-000052010000}"/>
    <cellStyle name="Normal 95" xfId="375" xr:uid="{00000000-0005-0000-0000-000053010000}"/>
    <cellStyle name="Normal 96" xfId="376" xr:uid="{00000000-0005-0000-0000-000054010000}"/>
    <cellStyle name="Normal 97" xfId="377" xr:uid="{00000000-0005-0000-0000-000055010000}"/>
    <cellStyle name="Normal 98" xfId="378" xr:uid="{00000000-0005-0000-0000-000056010000}"/>
    <cellStyle name="Normal 99" xfId="379" xr:uid="{00000000-0005-0000-0000-000057010000}"/>
    <cellStyle name="Normal_M-A DF Calculation 3-1-2013-Final" xfId="424" xr:uid="{2F9F422F-38C3-4CDF-A1FD-D064AECF8C64}"/>
    <cellStyle name="Normal_Price out" xfId="4" xr:uid="{00000000-0005-0000-0000-00005A010000}"/>
    <cellStyle name="Note 2" xfId="246" xr:uid="{00000000-0005-0000-0000-00005C010000}"/>
    <cellStyle name="Note 2 2" xfId="351" xr:uid="{00000000-0005-0000-0000-00005D010000}"/>
    <cellStyle name="Note 3" xfId="245" xr:uid="{00000000-0005-0000-0000-00005E010000}"/>
    <cellStyle name="Note 3 2" xfId="352" xr:uid="{00000000-0005-0000-0000-00005F010000}"/>
    <cellStyle name="Note 4" xfId="405" xr:uid="{00000000-0005-0000-0000-000060010000}"/>
    <cellStyle name="Note 5" xfId="413" xr:uid="{BFD9A9E8-E532-4D38-918B-940E915D7A76}"/>
    <cellStyle name="Note 6" xfId="409" xr:uid="{51138B6F-8003-4D7B-9D20-7978408F6184}"/>
    <cellStyle name="Notes" xfId="247" xr:uid="{00000000-0005-0000-0000-000061010000}"/>
    <cellStyle name="Output 2" xfId="249" xr:uid="{00000000-0005-0000-0000-000062010000}"/>
    <cellStyle name="Output 3" xfId="248" xr:uid="{00000000-0005-0000-0000-000063010000}"/>
    <cellStyle name="Output 4" xfId="406" xr:uid="{00000000-0005-0000-0000-000064010000}"/>
    <cellStyle name="Percent" xfId="3" builtinId="5"/>
    <cellStyle name="Percent 10" xfId="407" xr:uid="{00000000-0005-0000-0000-000066010000}"/>
    <cellStyle name="Percent 11" xfId="412" xr:uid="{4C2FF831-E660-46BC-922F-6A7907F82937}"/>
    <cellStyle name="Percent 2" xfId="24" xr:uid="{00000000-0005-0000-0000-000067010000}"/>
    <cellStyle name="Percent 2 2" xfId="25" xr:uid="{00000000-0005-0000-0000-000068010000}"/>
    <cellStyle name="Percent 2 2 2" xfId="251" xr:uid="{00000000-0005-0000-0000-000069010000}"/>
    <cellStyle name="Percent 2 3" xfId="353" xr:uid="{00000000-0005-0000-0000-00006A010000}"/>
    <cellStyle name="Percent 2 5" xfId="423" xr:uid="{6FB6EDF6-9EF7-4105-A114-2DE5FFE593E7}"/>
    <cellStyle name="Percent 2 6" xfId="26" xr:uid="{00000000-0005-0000-0000-00006B010000}"/>
    <cellStyle name="Percent 3" xfId="27" xr:uid="{00000000-0005-0000-0000-00006C010000}"/>
    <cellStyle name="Percent 3 2" xfId="28" xr:uid="{00000000-0005-0000-0000-00006D010000}"/>
    <cellStyle name="Percent 4" xfId="29" xr:uid="{00000000-0005-0000-0000-00006E010000}"/>
    <cellStyle name="Percent 4 2" xfId="355" xr:uid="{00000000-0005-0000-0000-00006F010000}"/>
    <cellStyle name="Percent 4 3" xfId="354" xr:uid="{00000000-0005-0000-0000-000070010000}"/>
    <cellStyle name="Percent 5" xfId="253" xr:uid="{00000000-0005-0000-0000-000071010000}"/>
    <cellStyle name="Percent 5 2" xfId="414" xr:uid="{2C5FCC71-CBAD-4533-AE44-6DD166E63E8F}"/>
    <cellStyle name="Percent 6" xfId="254" xr:uid="{00000000-0005-0000-0000-000072010000}"/>
    <cellStyle name="Percent 7" xfId="250" xr:uid="{00000000-0005-0000-0000-000073010000}"/>
    <cellStyle name="Percent 7 2" xfId="275" xr:uid="{00000000-0005-0000-0000-000074010000}"/>
    <cellStyle name="Percent 7 3" xfId="356" xr:uid="{00000000-0005-0000-0000-000075010000}"/>
    <cellStyle name="Percent 8" xfId="357" xr:uid="{00000000-0005-0000-0000-000076010000}"/>
    <cellStyle name="Percent 9" xfId="372" xr:uid="{00000000-0005-0000-0000-000077010000}"/>
    <cellStyle name="Percent 9 2" xfId="392" xr:uid="{00000000-0005-0000-0000-000078010000}"/>
    <cellStyle name="Percent(1)" xfId="255" xr:uid="{00000000-0005-0000-0000-000079010000}"/>
    <cellStyle name="Percent(2)" xfId="256" xr:uid="{00000000-0005-0000-0000-00007A010000}"/>
    <cellStyle name="PRM" xfId="257" xr:uid="{00000000-0005-0000-0000-00007B010000}"/>
    <cellStyle name="PRM 2" xfId="258" xr:uid="{00000000-0005-0000-0000-00007C010000}"/>
    <cellStyle name="PRM 3" xfId="259" xr:uid="{00000000-0005-0000-0000-00007D010000}"/>
    <cellStyle name="PRM_2011-11" xfId="260" xr:uid="{00000000-0005-0000-0000-00007E010000}"/>
    <cellStyle name="PS_Comma" xfId="30" xr:uid="{00000000-0005-0000-0000-00007F010000}"/>
    <cellStyle name="PSChar" xfId="31" xr:uid="{00000000-0005-0000-0000-000080010000}"/>
    <cellStyle name="PSDate" xfId="32" xr:uid="{00000000-0005-0000-0000-000081010000}"/>
    <cellStyle name="PSDec" xfId="33" xr:uid="{00000000-0005-0000-0000-000082010000}"/>
    <cellStyle name="PSHeading" xfId="34" xr:uid="{00000000-0005-0000-0000-000083010000}"/>
    <cellStyle name="PSInt" xfId="35" xr:uid="{00000000-0005-0000-0000-000084010000}"/>
    <cellStyle name="PSSpacer" xfId="36" xr:uid="{00000000-0005-0000-0000-000085010000}"/>
    <cellStyle name="STYL0 - Style1" xfId="358" xr:uid="{00000000-0005-0000-0000-000086010000}"/>
    <cellStyle name="STYL1 - Style2" xfId="359" xr:uid="{00000000-0005-0000-0000-000087010000}"/>
    <cellStyle name="STYL2 - Style3" xfId="360" xr:uid="{00000000-0005-0000-0000-000088010000}"/>
    <cellStyle name="STYL3 - Style4" xfId="361" xr:uid="{00000000-0005-0000-0000-000089010000}"/>
    <cellStyle name="STYL4 - Style5" xfId="362" xr:uid="{00000000-0005-0000-0000-00008A010000}"/>
    <cellStyle name="STYL5 - Style6" xfId="363" xr:uid="{00000000-0005-0000-0000-00008B010000}"/>
    <cellStyle name="STYL6 - Style7" xfId="364" xr:uid="{00000000-0005-0000-0000-00008C010000}"/>
    <cellStyle name="STYL7 - Style8" xfId="365" xr:uid="{00000000-0005-0000-0000-00008D010000}"/>
    <cellStyle name="Style 1" xfId="261" xr:uid="{00000000-0005-0000-0000-00008E010000}"/>
    <cellStyle name="Style 1 2" xfId="262" xr:uid="{00000000-0005-0000-0000-00008F010000}"/>
    <cellStyle name="STYLE1" xfId="263" xr:uid="{00000000-0005-0000-0000-000090010000}"/>
    <cellStyle name="sub heading" xfId="366" xr:uid="{00000000-0005-0000-0000-000091010000}"/>
    <cellStyle name="Title 2" xfId="265" xr:uid="{00000000-0005-0000-0000-000092010000}"/>
    <cellStyle name="Title 3" xfId="264" xr:uid="{00000000-0005-0000-0000-000093010000}"/>
    <cellStyle name="title 4" xfId="408" xr:uid="{00000000-0005-0000-0000-000094010000}"/>
    <cellStyle name="Total 2" xfId="267" xr:uid="{00000000-0005-0000-0000-000095010000}"/>
    <cellStyle name="Total 2 2" xfId="367" xr:uid="{00000000-0005-0000-0000-000096010000}"/>
    <cellStyle name="Total 3" xfId="266" xr:uid="{00000000-0005-0000-0000-000097010000}"/>
    <cellStyle name="Total 3 2" xfId="368" xr:uid="{00000000-0005-0000-0000-000098010000}"/>
    <cellStyle name="Warning Text 2" xfId="269" xr:uid="{00000000-0005-0000-0000-000099010000}"/>
    <cellStyle name="Warning Text 3" xfId="268" xr:uid="{00000000-0005-0000-0000-00009A010000}"/>
    <cellStyle name="WM_STANDARD" xfId="37" xr:uid="{00000000-0005-0000-0000-00009B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17</xdr:row>
      <xdr:rowOff>15240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7392D65-E16F-4590-B65D-232B96FB70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182880</xdr:rowOff>
    </xdr:from>
    <xdr:to>
      <xdr:col>2</xdr:col>
      <xdr:colOff>342900</xdr:colOff>
      <xdr:row>17</xdr:row>
      <xdr:rowOff>15240</xdr:rowOff>
    </xdr:to>
    <xdr:pic>
      <xdr:nvPicPr>
        <xdr:cNvPr id="5121" name="DataCompleted">
          <a:extLst>
            <a:ext uri="{FF2B5EF4-FFF2-40B4-BE49-F238E27FC236}">
              <a16:creationId xmlns:a16="http://schemas.microsoft.com/office/drawing/2014/main" id="{ED383E33-CAE9-1841-67D9-BCB65B3290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920" y="3710940"/>
          <a:ext cx="228600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ision\Accounting\WUTC\2024%20General%20Rate%20Cases\4487\TG-250342%20-%20RABANCO%20Tri-County%20-%20Staff%20Workbook%20final.xlsx" TargetMode="External"/><Relationship Id="rId1" Type="http://schemas.openxmlformats.org/officeDocument/2006/relationships/externalLinkPath" Target="file:///Y:\Division\Accounting\WUTC\2024%20General%20Rate%20Cases\4487\TG-250342%20-%20RABANCO%20Tri-County%20-%20Staff%20Workbook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Non-Regulated Operations"/>
      <sheetName val="G Cert Financial"/>
      <sheetName val="RS Cap Struct."/>
      <sheetName val="LG Public 2018 V5.2c"/>
      <sheetName val="LG Public 2018 V5.2c MSW"/>
      <sheetName val="LG Public 2018 V5.2c RCY"/>
      <sheetName val="LG Public 2018 V5.2c YW"/>
      <sheetName val="LG Public 2018 V5.2c MF RCY"/>
      <sheetName val="Alloc Summary"/>
      <sheetName val="Proforma"/>
      <sheetName val="PF Restate"/>
      <sheetName val="PF Adj"/>
      <sheetName val="Staff Adj"/>
      <sheetName val="Staff Analysis Repair Shop"/>
      <sheetName val="Staff Comparison"/>
      <sheetName val="Staff Payroll Calc"/>
      <sheetName val="Staff Rent Lease"/>
      <sheetName val="Lease Increase"/>
      <sheetName val="PR Narrative"/>
      <sheetName val="Summary &amp; PF"/>
      <sheetName val="PR vs GL"/>
      <sheetName val="Summary Calc &amp; Lookup"/>
      <sheetName val="Alloc Impact"/>
      <sheetName val="PA340"/>
      <sheetName val="Summary PR Data"/>
      <sheetName val="Lookup Data &gt;"/>
      <sheetName val="Union Wage &amp; Pension"/>
      <sheetName val="L&amp;I"/>
      <sheetName val="Rev Narrative &amp; Instructions"/>
      <sheetName val="Revenue Lookup"/>
      <sheetName val="SQL Revenue Analysis"/>
      <sheetName val="OTH Rev Sumry"/>
      <sheetName val="Rev Ref Tables"/>
      <sheetName val="Price Out Summ"/>
      <sheetName val="Resi Price Out"/>
      <sheetName val="Comm (+MF) Price Out"/>
      <sheetName val="IND (+MF) Price Out"/>
      <sheetName val="RES Counts"/>
      <sheetName val="Resi Charge Codes"/>
      <sheetName val="Comm Charge Codes"/>
      <sheetName val="IR Revenue"/>
      <sheetName val="RO Revenue"/>
      <sheetName val="Truck Hrs Sum"/>
      <sheetName val="Resi Comm Hours Summary"/>
      <sheetName val="Pivot Ops 2024"/>
      <sheetName val="Detail"/>
      <sheetName val="Operation"/>
      <sheetName val="Resi Update"/>
      <sheetName val="Com Rte Split"/>
      <sheetName val="IND Hrs Sum"/>
      <sheetName val="IND Hrs Data"/>
      <sheetName val="IND Sum Confirm"/>
      <sheetName val="Route Analysis"/>
      <sheetName val="Contract Ref Table"/>
      <sheetName val="Fuel Calc"/>
      <sheetName val="Disposal Summary (with IC)"/>
      <sheetName val="IC Disposal (2024)"/>
      <sheetName val="IC Rev (2024)"/>
      <sheetName val="Summary Disposal Data"/>
      <sheetName val="Disposal Ref Tables"/>
      <sheetName val="Avg Invest Summary"/>
      <sheetName val="4487 New Assets Confirmed"/>
      <sheetName val="4487 Asset Listing"/>
      <sheetName val="4487 Asset Register data"/>
      <sheetName val="Asset Type Tables"/>
      <sheetName val="Container Counts"/>
      <sheetName val="Cont Count Data"/>
      <sheetName val="Cont Ref Tables"/>
      <sheetName val="Tons Master Report &gt;"/>
      <sheetName val="CoS"/>
      <sheetName val="Meeks"/>
      <sheetName val="Essbase Instructions"/>
      <sheetName val="Essbase P&amp;L"/>
      <sheetName val="4487 Balance Sheet"/>
      <sheetName val="Essbase Stats"/>
      <sheetName val="4584 P&amp;L - Aff. Co. MRF"/>
      <sheetName val="4584 BS - Aff. Co. MRF"/>
      <sheetName val="G-12 FS (Smartview)"/>
      <sheetName val="ALGL prior years history"/>
      <sheetName val="WRRA Dues"/>
      <sheetName val="City Taxes"/>
    </sheetNames>
    <sheetDataSet>
      <sheetData sheetId="0"/>
      <sheetData sheetId="1"/>
      <sheetData sheetId="2"/>
      <sheetData sheetId="3">
        <row r="40">
          <cell r="B40">
            <v>0.52650542532924705</v>
          </cell>
        </row>
        <row r="51">
          <cell r="B51">
            <v>2.4777786517737748E-2</v>
          </cell>
        </row>
      </sheetData>
      <sheetData sheetId="4"/>
      <sheetData sheetId="5">
        <row r="5">
          <cell r="C5">
            <v>3203825.4899999998</v>
          </cell>
        </row>
        <row r="6">
          <cell r="C6">
            <v>3058283.394037507</v>
          </cell>
        </row>
        <row r="7">
          <cell r="C7">
            <v>1784401.9373686516</v>
          </cell>
        </row>
      </sheetData>
      <sheetData sheetId="6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</sheetData>
      <sheetData sheetId="7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</sheetData>
      <sheetData sheetId="8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</sheetData>
      <sheetData sheetId="9"/>
      <sheetData sheetId="10">
        <row r="373">
          <cell r="O373">
            <v>4.3430347869147408E-3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topLeftCell="A46" zoomScaleNormal="100" workbookViewId="0">
      <selection activeCell="B55" sqref="B55"/>
    </sheetView>
  </sheetViews>
  <sheetFormatPr defaultColWidth="9.21875" defaultRowHeight="14.4"/>
  <cols>
    <col min="1" max="1" width="36.21875" bestFit="1" customWidth="1"/>
    <col min="2" max="2" width="22.21875" bestFit="1" customWidth="1"/>
    <col min="3" max="3" width="19.5546875" customWidth="1"/>
    <col min="4" max="4" width="10.5546875" bestFit="1" customWidth="1"/>
    <col min="5" max="5" width="8.77734375" customWidth="1"/>
    <col min="6" max="6" width="11.44140625" customWidth="1"/>
    <col min="7" max="7" width="11" bestFit="1" customWidth="1"/>
    <col min="8" max="8" width="8" bestFit="1" customWidth="1"/>
    <col min="9" max="9" width="15.77734375" bestFit="1" customWidth="1"/>
    <col min="10" max="10" width="12" bestFit="1" customWidth="1"/>
    <col min="14" max="14" width="14.21875" bestFit="1" customWidth="1"/>
    <col min="15" max="15" width="11.5546875" bestFit="1" customWidth="1"/>
  </cols>
  <sheetData>
    <row r="1" spans="1:8" hidden="1">
      <c r="A1" s="289" t="s">
        <v>11</v>
      </c>
      <c r="B1" s="289"/>
      <c r="C1" s="289"/>
      <c r="D1" s="289"/>
      <c r="E1" s="289"/>
      <c r="F1" s="289"/>
      <c r="G1" s="289"/>
      <c r="H1" s="289"/>
    </row>
    <row r="2" spans="1:8" hidden="1">
      <c r="A2" t="s">
        <v>41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  <c r="H2" s="6" t="s">
        <v>37</v>
      </c>
    </row>
    <row r="3" spans="1:8" hidden="1">
      <c r="A3" t="s">
        <v>38</v>
      </c>
      <c r="B3" s="1">
        <f>52*5/12</f>
        <v>21.666666666666668</v>
      </c>
      <c r="C3" s="7">
        <f>$B$3*2</f>
        <v>43.333333333333336</v>
      </c>
      <c r="D3" s="7">
        <f>$B$3*3</f>
        <v>65</v>
      </c>
      <c r="E3" s="7">
        <f>$B$3*4</f>
        <v>86.666666666666671</v>
      </c>
      <c r="F3" s="7">
        <f>$B$3*5</f>
        <v>108.33333333333334</v>
      </c>
      <c r="G3" s="7">
        <f>$B$3*6</f>
        <v>130</v>
      </c>
      <c r="H3" s="7">
        <f>$B$3*7</f>
        <v>151.66666666666669</v>
      </c>
    </row>
    <row r="4" spans="1:8" hidden="1">
      <c r="A4" t="s">
        <v>69</v>
      </c>
      <c r="B4" s="1">
        <f>52*4/12</f>
        <v>17.333333333333332</v>
      </c>
      <c r="C4" s="7">
        <f>$B$4*2</f>
        <v>34.666666666666664</v>
      </c>
      <c r="D4" s="7">
        <f>$B$4*3</f>
        <v>52</v>
      </c>
      <c r="E4" s="7">
        <f>$B$4*4</f>
        <v>69.333333333333329</v>
      </c>
      <c r="F4" s="7">
        <f>$B$4*5</f>
        <v>86.666666666666657</v>
      </c>
      <c r="G4" s="7">
        <f>$B$4*6</f>
        <v>104</v>
      </c>
      <c r="H4" s="7">
        <f>$B$4*7</f>
        <v>121.33333333333333</v>
      </c>
    </row>
    <row r="5" spans="1:8" hidden="1">
      <c r="A5" t="s">
        <v>39</v>
      </c>
      <c r="B5" s="1">
        <f>52*3/12</f>
        <v>13</v>
      </c>
      <c r="C5" s="7">
        <f>$B$5*2</f>
        <v>26</v>
      </c>
      <c r="D5" s="7">
        <f>$B$5*3</f>
        <v>39</v>
      </c>
      <c r="E5" s="7">
        <f>$B$5*4</f>
        <v>52</v>
      </c>
      <c r="F5" s="7">
        <f>$B$5*5</f>
        <v>65</v>
      </c>
      <c r="G5" s="7">
        <f>$B$5*6</f>
        <v>78</v>
      </c>
      <c r="H5" s="7">
        <f>$B$5*7</f>
        <v>91</v>
      </c>
    </row>
    <row r="6" spans="1:8" hidden="1">
      <c r="A6" t="s">
        <v>40</v>
      </c>
      <c r="B6" s="1">
        <f>52*2/12</f>
        <v>8.6666666666666661</v>
      </c>
      <c r="C6" s="8">
        <f>$B$6*2</f>
        <v>17.333333333333332</v>
      </c>
      <c r="D6" s="8">
        <f>$B$6*3</f>
        <v>26</v>
      </c>
      <c r="E6" s="8">
        <f>$B$6*4</f>
        <v>34.666666666666664</v>
      </c>
      <c r="F6" s="8">
        <f>$B$6*5</f>
        <v>43.333333333333329</v>
      </c>
      <c r="G6" s="8">
        <f>$B$6*6</f>
        <v>52</v>
      </c>
      <c r="H6" s="8">
        <f>$B$6*7</f>
        <v>60.666666666666664</v>
      </c>
    </row>
    <row r="7" spans="1:8" hidden="1">
      <c r="A7" t="s">
        <v>13</v>
      </c>
      <c r="B7" s="1">
        <f>52/12</f>
        <v>4.333333333333333</v>
      </c>
      <c r="C7" s="8">
        <f>$B$7*2</f>
        <v>8.6666666666666661</v>
      </c>
      <c r="D7" s="8">
        <f>$B$7*3</f>
        <v>13</v>
      </c>
      <c r="E7" s="8">
        <f>$B$7*4</f>
        <v>17.333333333333332</v>
      </c>
      <c r="F7" s="8">
        <f>$B$7*5</f>
        <v>21.666666666666664</v>
      </c>
      <c r="G7" s="8">
        <f>$B$7*6</f>
        <v>26</v>
      </c>
      <c r="H7" s="8">
        <f>$B$7*7</f>
        <v>30.333333333333332</v>
      </c>
    </row>
    <row r="8" spans="1:8" hidden="1">
      <c r="A8" t="s">
        <v>15</v>
      </c>
      <c r="B8" s="1">
        <f>26/12</f>
        <v>2.1666666666666665</v>
      </c>
      <c r="C8" s="8">
        <f>$B$8*2</f>
        <v>4.333333333333333</v>
      </c>
      <c r="D8" s="8">
        <f>$B$8*3</f>
        <v>6.5</v>
      </c>
      <c r="E8" s="8">
        <f>$B$8*4</f>
        <v>8.6666666666666661</v>
      </c>
      <c r="F8" s="8">
        <f>$B$8*5</f>
        <v>10.833333333333332</v>
      </c>
      <c r="G8" s="8">
        <f>$B$8*6</f>
        <v>13</v>
      </c>
      <c r="H8" s="8">
        <f>$B$8*7</f>
        <v>15.166666666666666</v>
      </c>
    </row>
    <row r="9" spans="1:8" hidden="1">
      <c r="A9" t="s">
        <v>14</v>
      </c>
      <c r="B9" s="1">
        <f>12/12</f>
        <v>1</v>
      </c>
      <c r="C9" s="8">
        <f>$B$9*2</f>
        <v>2</v>
      </c>
      <c r="D9" s="8">
        <f>$B$9*3</f>
        <v>3</v>
      </c>
      <c r="E9" s="8">
        <f>$B$9*4</f>
        <v>4</v>
      </c>
      <c r="F9" s="8">
        <f>$B$9*5</f>
        <v>5</v>
      </c>
      <c r="G9" s="8">
        <f>$B$9*6</f>
        <v>6</v>
      </c>
      <c r="H9" s="8">
        <f>$B$9*7</f>
        <v>7</v>
      </c>
    </row>
    <row r="10" spans="1:8" hidden="1">
      <c r="B10" s="1"/>
      <c r="C10" s="8"/>
      <c r="D10" s="8"/>
      <c r="E10" s="8"/>
      <c r="F10" s="8"/>
      <c r="G10" s="8"/>
      <c r="H10" s="8"/>
    </row>
    <row r="11" spans="1:8" hidden="1">
      <c r="A11" s="289" t="s">
        <v>5</v>
      </c>
      <c r="B11" s="289"/>
      <c r="C11" s="8"/>
      <c r="D11" s="8"/>
      <c r="E11" s="8"/>
      <c r="F11" s="8"/>
      <c r="G11" s="8"/>
      <c r="H11" s="8"/>
    </row>
    <row r="12" spans="1:8" hidden="1">
      <c r="A12" s="2" t="s">
        <v>36</v>
      </c>
      <c r="B12" s="16" t="s">
        <v>66</v>
      </c>
      <c r="C12" s="8"/>
      <c r="D12" s="8"/>
      <c r="E12" s="8"/>
      <c r="F12" s="8"/>
      <c r="G12" s="8"/>
      <c r="H12" s="8"/>
    </row>
    <row r="13" spans="1:8" hidden="1">
      <c r="A13" s="9" t="s">
        <v>67</v>
      </c>
      <c r="B13" s="3">
        <v>20</v>
      </c>
      <c r="C13" s="8"/>
      <c r="D13" s="8"/>
      <c r="E13" s="8"/>
      <c r="F13" s="8"/>
      <c r="G13" s="8"/>
      <c r="H13" s="8"/>
    </row>
    <row r="14" spans="1:8" hidden="1">
      <c r="A14" s="9" t="s">
        <v>42</v>
      </c>
      <c r="B14" s="3">
        <v>34</v>
      </c>
      <c r="C14" s="8"/>
      <c r="D14" s="8"/>
      <c r="E14" s="8"/>
      <c r="F14" s="8"/>
      <c r="G14" s="8"/>
      <c r="H14" s="8"/>
    </row>
    <row r="15" spans="1:8" hidden="1">
      <c r="A15" s="9" t="s">
        <v>43</v>
      </c>
      <c r="B15" s="3">
        <v>51</v>
      </c>
      <c r="C15" s="8"/>
      <c r="D15" s="8"/>
      <c r="E15" s="8"/>
      <c r="F15" s="8"/>
      <c r="G15" s="8"/>
      <c r="H15" s="8"/>
    </row>
    <row r="16" spans="1:8" hidden="1">
      <c r="A16" s="9" t="s">
        <v>44</v>
      </c>
      <c r="B16" s="3">
        <v>77</v>
      </c>
      <c r="C16" s="8"/>
      <c r="D16" s="8"/>
      <c r="E16" s="8"/>
      <c r="F16" t="s">
        <v>12</v>
      </c>
      <c r="G16" s="3">
        <v>2000</v>
      </c>
      <c r="H16" s="8"/>
    </row>
    <row r="17" spans="1:8" hidden="1">
      <c r="A17" s="9" t="s">
        <v>45</v>
      </c>
      <c r="B17" s="3">
        <v>97</v>
      </c>
      <c r="C17" s="8"/>
      <c r="D17" s="8"/>
      <c r="E17" s="8"/>
      <c r="G17" s="35"/>
      <c r="H17" s="8"/>
    </row>
    <row r="18" spans="1:8" hidden="1">
      <c r="A18" s="9" t="s">
        <v>46</v>
      </c>
      <c r="B18" s="3">
        <v>117</v>
      </c>
      <c r="C18" s="8"/>
      <c r="D18" s="8"/>
      <c r="E18" s="8"/>
      <c r="H18" s="8"/>
    </row>
    <row r="19" spans="1:8" hidden="1">
      <c r="A19" s="9" t="s">
        <v>47</v>
      </c>
      <c r="B19" s="3">
        <v>157</v>
      </c>
      <c r="C19" s="8"/>
      <c r="D19" s="8"/>
      <c r="E19" s="8"/>
      <c r="F19" s="4"/>
      <c r="G19" s="5"/>
      <c r="H19" s="8"/>
    </row>
    <row r="20" spans="1:8" hidden="1">
      <c r="A20" s="9" t="s">
        <v>73</v>
      </c>
      <c r="B20" s="3">
        <v>37</v>
      </c>
      <c r="C20" s="8" t="s">
        <v>68</v>
      </c>
      <c r="D20" s="8"/>
      <c r="E20" s="8"/>
      <c r="F20" s="4"/>
      <c r="G20" s="5"/>
      <c r="H20" s="8"/>
    </row>
    <row r="21" spans="1:8" hidden="1">
      <c r="A21" s="9" t="s">
        <v>48</v>
      </c>
      <c r="B21" s="3">
        <v>47</v>
      </c>
      <c r="C21" s="8"/>
      <c r="D21" s="8"/>
      <c r="E21" s="8"/>
      <c r="F21" s="8"/>
      <c r="G21" s="8"/>
      <c r="H21" s="8"/>
    </row>
    <row r="22" spans="1:8" hidden="1">
      <c r="A22" s="9" t="s">
        <v>49</v>
      </c>
      <c r="B22" s="3">
        <v>68</v>
      </c>
      <c r="C22" s="8"/>
      <c r="D22" s="8"/>
      <c r="E22" s="8"/>
      <c r="F22" s="8"/>
      <c r="G22" s="8"/>
      <c r="H22" s="8"/>
    </row>
    <row r="23" spans="1:8" hidden="1">
      <c r="A23" s="9" t="s">
        <v>50</v>
      </c>
      <c r="B23" s="3">
        <v>34</v>
      </c>
      <c r="C23" s="8"/>
      <c r="D23" s="8"/>
      <c r="E23" s="8"/>
      <c r="F23" s="8"/>
      <c r="G23" s="8"/>
      <c r="H23" s="8"/>
    </row>
    <row r="24" spans="1:8" hidden="1">
      <c r="A24" s="9" t="s">
        <v>19</v>
      </c>
      <c r="B24" s="3">
        <v>34</v>
      </c>
      <c r="C24" s="8"/>
      <c r="D24" s="8"/>
      <c r="E24" s="8"/>
      <c r="F24" s="8"/>
      <c r="G24" s="8"/>
      <c r="H24" s="8"/>
    </row>
    <row r="25" spans="1:8" hidden="1">
      <c r="A25" s="2" t="s">
        <v>51</v>
      </c>
      <c r="B25" s="3"/>
      <c r="C25" s="8"/>
      <c r="D25" s="8"/>
      <c r="E25" s="8"/>
      <c r="F25" s="8"/>
      <c r="G25" s="8"/>
      <c r="H25" s="8"/>
    </row>
    <row r="26" spans="1:8" hidden="1">
      <c r="A26" s="9" t="s">
        <v>52</v>
      </c>
      <c r="B26" s="3">
        <v>29</v>
      </c>
      <c r="C26" s="8"/>
      <c r="D26" s="8"/>
      <c r="E26" s="8"/>
      <c r="F26" s="8"/>
      <c r="G26" s="8"/>
      <c r="H26" s="8"/>
    </row>
    <row r="27" spans="1:8" hidden="1">
      <c r="A27" s="9" t="s">
        <v>53</v>
      </c>
      <c r="B27" s="3">
        <v>175</v>
      </c>
      <c r="C27" s="8"/>
      <c r="D27" s="8"/>
      <c r="E27" s="8"/>
      <c r="F27" s="8"/>
      <c r="G27" s="8"/>
      <c r="H27" s="8"/>
    </row>
    <row r="28" spans="1:8" hidden="1">
      <c r="A28" s="9" t="s">
        <v>54</v>
      </c>
      <c r="B28" s="3">
        <v>250</v>
      </c>
      <c r="C28" s="8"/>
      <c r="D28" s="8"/>
      <c r="E28" s="8"/>
      <c r="F28" s="8"/>
      <c r="G28" s="8"/>
      <c r="H28" s="8"/>
    </row>
    <row r="29" spans="1:8" hidden="1">
      <c r="A29" s="9" t="s">
        <v>55</v>
      </c>
      <c r="B29" s="3">
        <v>324</v>
      </c>
      <c r="C29" s="8"/>
      <c r="D29" s="8"/>
      <c r="E29" s="8"/>
      <c r="F29" s="8"/>
      <c r="G29" s="8"/>
      <c r="H29" s="8"/>
    </row>
    <row r="30" spans="1:8" hidden="1">
      <c r="A30" s="9" t="s">
        <v>56</v>
      </c>
      <c r="B30" s="3">
        <v>473</v>
      </c>
      <c r="C30" s="8"/>
      <c r="D30" s="8"/>
      <c r="E30" s="8"/>
      <c r="F30" s="8"/>
      <c r="G30" s="8"/>
      <c r="H30" s="8"/>
    </row>
    <row r="31" spans="1:8" hidden="1">
      <c r="A31" s="9" t="s">
        <v>57</v>
      </c>
      <c r="B31" s="3">
        <v>613</v>
      </c>
      <c r="C31" s="8"/>
      <c r="D31" s="8"/>
      <c r="E31" s="8"/>
      <c r="F31" s="8"/>
      <c r="G31" s="8"/>
      <c r="H31" s="8"/>
    </row>
    <row r="32" spans="1:8" hidden="1">
      <c r="A32" s="9" t="s">
        <v>58</v>
      </c>
      <c r="B32" s="3">
        <v>840</v>
      </c>
      <c r="C32" s="8"/>
      <c r="D32" s="8"/>
      <c r="E32" s="8"/>
      <c r="F32" s="8"/>
      <c r="G32" s="8"/>
      <c r="H32" s="8"/>
    </row>
    <row r="33" spans="1:15" hidden="1">
      <c r="A33" s="9" t="s">
        <v>59</v>
      </c>
      <c r="B33" s="3">
        <v>980</v>
      </c>
      <c r="C33" s="8"/>
      <c r="D33" s="8"/>
      <c r="E33" s="8"/>
      <c r="F33" s="8"/>
      <c r="G33" s="8"/>
      <c r="H33" s="8"/>
    </row>
    <row r="34" spans="1:15" hidden="1">
      <c r="A34" s="9" t="s">
        <v>70</v>
      </c>
      <c r="B34" s="3">
        <v>482</v>
      </c>
      <c r="C34" s="8" t="s">
        <v>68</v>
      </c>
      <c r="D34" s="8"/>
      <c r="E34" s="8"/>
      <c r="F34" s="8"/>
      <c r="G34" s="8"/>
      <c r="H34" s="8"/>
    </row>
    <row r="35" spans="1:15" hidden="1">
      <c r="A35" s="9" t="s">
        <v>71</v>
      </c>
      <c r="B35" s="3">
        <v>689</v>
      </c>
      <c r="C35" s="8" t="s">
        <v>68</v>
      </c>
      <c r="D35" s="8"/>
      <c r="E35" s="8"/>
      <c r="F35" s="8"/>
      <c r="G35" s="8"/>
      <c r="H35" s="8"/>
    </row>
    <row r="36" spans="1:15" hidden="1">
      <c r="A36" s="9" t="s">
        <v>61</v>
      </c>
      <c r="B36" s="3">
        <v>892</v>
      </c>
      <c r="C36" s="8" t="s">
        <v>68</v>
      </c>
      <c r="D36" s="8"/>
      <c r="E36" s="8"/>
      <c r="F36" s="8"/>
      <c r="G36" s="8"/>
      <c r="H36" s="8"/>
    </row>
    <row r="37" spans="1:15" hidden="1">
      <c r="A37" s="9" t="s">
        <v>60</v>
      </c>
      <c r="B37" s="3">
        <v>1301</v>
      </c>
      <c r="C37" s="8"/>
      <c r="D37" s="8"/>
      <c r="E37" s="8"/>
      <c r="F37" s="8"/>
      <c r="G37" s="8"/>
      <c r="H37" s="8"/>
    </row>
    <row r="38" spans="1:15" hidden="1">
      <c r="A38" s="9" t="s">
        <v>62</v>
      </c>
      <c r="B38" s="3">
        <v>1686</v>
      </c>
      <c r="C38" s="8"/>
      <c r="D38" s="8"/>
      <c r="E38" s="8"/>
      <c r="F38" s="8"/>
      <c r="G38" s="8"/>
      <c r="H38" s="8"/>
    </row>
    <row r="39" spans="1:15" hidden="1">
      <c r="A39" s="9" t="s">
        <v>63</v>
      </c>
      <c r="B39" s="3">
        <v>2046</v>
      </c>
      <c r="C39" s="8"/>
      <c r="D39" s="8"/>
      <c r="E39" s="8"/>
      <c r="F39" s="8"/>
      <c r="G39" s="8"/>
      <c r="H39" s="8"/>
    </row>
    <row r="40" spans="1:15" hidden="1">
      <c r="A40" s="9" t="s">
        <v>64</v>
      </c>
      <c r="B40" s="3">
        <v>2310</v>
      </c>
      <c r="C40" s="8"/>
      <c r="D40" s="8"/>
      <c r="E40" s="8"/>
      <c r="F40" s="8"/>
      <c r="G40" s="8"/>
      <c r="H40" s="8"/>
    </row>
    <row r="41" spans="1:15" hidden="1">
      <c r="A41" s="9" t="s">
        <v>72</v>
      </c>
      <c r="B41" s="3">
        <v>2800</v>
      </c>
      <c r="C41" s="8" t="s">
        <v>68</v>
      </c>
      <c r="D41" s="8"/>
      <c r="E41" s="8"/>
      <c r="F41" s="8"/>
      <c r="G41" s="8"/>
      <c r="H41" s="8"/>
    </row>
    <row r="42" spans="1:15" hidden="1">
      <c r="A42" s="9" t="s">
        <v>65</v>
      </c>
      <c r="B42" s="3">
        <v>125</v>
      </c>
      <c r="C42" s="8"/>
      <c r="D42" s="8"/>
      <c r="E42" s="8"/>
      <c r="F42" s="8"/>
      <c r="G42" s="8"/>
      <c r="H42" s="8"/>
    </row>
    <row r="43" spans="1:15" hidden="1">
      <c r="B43" t="s">
        <v>75</v>
      </c>
    </row>
    <row r="44" spans="1:15" hidden="1"/>
    <row r="45" spans="1:15" hidden="1"/>
    <row r="46" spans="1:15">
      <c r="A46" s="15" t="s">
        <v>373</v>
      </c>
      <c r="B46" s="14"/>
      <c r="C46" s="14"/>
      <c r="F46" s="290" t="s">
        <v>16</v>
      </c>
      <c r="G46" s="290"/>
      <c r="I46" s="83"/>
      <c r="J46" s="248"/>
    </row>
    <row r="47" spans="1:15">
      <c r="A47" s="10" t="s">
        <v>3</v>
      </c>
      <c r="B47" s="80">
        <v>1.7500000000000002E-2</v>
      </c>
      <c r="C47" s="62"/>
      <c r="F47" t="s">
        <v>17</v>
      </c>
      <c r="G47" s="65">
        <f>'LG Public 2018 V5.2c (2)'!C12</f>
        <v>5.1000000000000004E-3</v>
      </c>
    </row>
    <row r="48" spans="1:15">
      <c r="A48" s="10" t="s">
        <v>148</v>
      </c>
      <c r="B48" s="81">
        <v>2.1000000000000001E-2</v>
      </c>
      <c r="C48" s="249"/>
      <c r="F48" t="s">
        <v>90</v>
      </c>
      <c r="G48" s="65">
        <f>'LG Public 2018 V5.2c (2)'!C13</f>
        <v>6.3799999999999996E-2</v>
      </c>
      <c r="I48" s="11"/>
      <c r="J48" s="248"/>
      <c r="N48" s="12"/>
      <c r="O48" s="12"/>
    </row>
    <row r="49" spans="1:7">
      <c r="A49" s="9" t="s">
        <v>4</v>
      </c>
      <c r="B49" s="82">
        <f>B48-B47</f>
        <v>3.4999999999999996E-3</v>
      </c>
      <c r="C49" s="63"/>
      <c r="D49" s="75"/>
      <c r="F49" t="s">
        <v>35</v>
      </c>
      <c r="G49" s="66">
        <f>'LG Public 2018 V5.2c (2)'!C14</f>
        <v>4.3430347869147408E-3</v>
      </c>
    </row>
    <row r="50" spans="1:7">
      <c r="A50" s="248" t="s">
        <v>282</v>
      </c>
      <c r="B50" s="247">
        <f>1-0.35%</f>
        <v>0.99650000000000005</v>
      </c>
      <c r="F50" t="s">
        <v>9</v>
      </c>
      <c r="G50" s="11">
        <f>SUM(G47:G49)</f>
        <v>7.3243034786914726E-2</v>
      </c>
    </row>
    <row r="51" spans="1:7">
      <c r="A51" t="s">
        <v>283</v>
      </c>
      <c r="B51" s="251">
        <f>B49/B50</f>
        <v>3.5122930255895631E-3</v>
      </c>
      <c r="F51" t="s">
        <v>18</v>
      </c>
      <c r="G51" s="13">
        <f>1-G50</f>
        <v>0.92675696521308526</v>
      </c>
    </row>
    <row r="52" spans="1:7">
      <c r="A52" t="s">
        <v>284</v>
      </c>
      <c r="B52" s="255">
        <f>B51/G51</f>
        <v>3.789874969843897E-3</v>
      </c>
    </row>
    <row r="53" spans="1:7">
      <c r="A53" s="2" t="s">
        <v>374</v>
      </c>
      <c r="B53" s="76">
        <f ca="1">B52*'LG Public 2018 V5.2c (2)'!M7</f>
        <v>12590.149154192184</v>
      </c>
    </row>
    <row r="54" spans="1:7">
      <c r="B54" s="247">
        <f ca="1">B53/'LG Public 2018 V5.2c (2)'!M7</f>
        <v>3.7898749698438965E-3</v>
      </c>
    </row>
    <row r="55" spans="1:7">
      <c r="A55" s="2" t="s">
        <v>375</v>
      </c>
      <c r="B55" s="317">
        <f>'Rate Impact Calcs '!O278</f>
        <v>10909.973774451992</v>
      </c>
    </row>
    <row r="56" spans="1:7">
      <c r="B56" s="247">
        <f ca="1">B55/'LG Public 2018 V5.2c (2)'!M7</f>
        <v>3.2841101422282476E-3</v>
      </c>
    </row>
    <row r="57" spans="1:7">
      <c r="A57" s="12"/>
      <c r="B57" s="316"/>
      <c r="D57" s="12"/>
    </row>
    <row r="62" spans="1:7">
      <c r="A62" s="12"/>
    </row>
    <row r="63" spans="1:7">
      <c r="A63" s="2"/>
      <c r="B63" s="4"/>
    </row>
    <row r="64" spans="1:7">
      <c r="A64" s="250"/>
    </row>
    <row r="65" spans="1:6">
      <c r="A65" s="251"/>
    </row>
    <row r="66" spans="1:6">
      <c r="A66" s="75"/>
    </row>
    <row r="67" spans="1:6">
      <c r="A67" s="75"/>
    </row>
    <row r="69" spans="1:6">
      <c r="B69" s="252"/>
    </row>
    <row r="70" spans="1:6">
      <c r="A70" s="250"/>
      <c r="E70" s="253"/>
      <c r="F70" s="248"/>
    </row>
    <row r="71" spans="1:6">
      <c r="A71" s="251"/>
      <c r="E71" s="253"/>
      <c r="F71" s="248"/>
    </row>
    <row r="72" spans="1:6">
      <c r="A72" s="75"/>
      <c r="E72" s="254"/>
      <c r="F72" s="248"/>
    </row>
    <row r="73" spans="1:6">
      <c r="A73" s="75"/>
    </row>
  </sheetData>
  <mergeCells count="3">
    <mergeCell ref="A1:H1"/>
    <mergeCell ref="F46:G46"/>
    <mergeCell ref="A11:B11"/>
  </mergeCells>
  <pageMargins left="0.28000000000000003" right="0.52" top="0.75" bottom="0.75" header="0.3" footer="0.3"/>
  <pageSetup scale="72" orientation="portrait" r:id="rId1"/>
  <headerFooter>
    <oddHeader>&amp;C&amp;12
Disposal Fee Reference</oddHeader>
    <oddFooter>&amp;L&amp;8&amp;F - &amp;A&amp;C&amp;D&amp;R&amp;P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1"/>
  <sheetViews>
    <sheetView zoomScale="85" zoomScaleNormal="85" workbookViewId="0">
      <pane xSplit="3" ySplit="1" topLeftCell="M2" activePane="bottomRight" state="frozen"/>
      <selection pane="topRight" activeCell="D1" sqref="D1"/>
      <selection pane="bottomLeft" activeCell="A6" sqref="A6"/>
      <selection pane="bottomRight" activeCell="I272" sqref="I272"/>
    </sheetView>
  </sheetViews>
  <sheetFormatPr defaultColWidth="8.77734375" defaultRowHeight="14.4"/>
  <cols>
    <col min="1" max="1" width="5.44140625" bestFit="1" customWidth="1"/>
    <col min="2" max="2" width="27.77734375" style="35" bestFit="1" customWidth="1"/>
    <col min="3" max="3" width="46.5546875" customWidth="1"/>
    <col min="4" max="4" width="23.77734375" style="33" customWidth="1"/>
    <col min="5" max="5" width="13.77734375" customWidth="1"/>
    <col min="6" max="6" width="16" customWidth="1"/>
    <col min="7" max="7" width="13.77734375" customWidth="1"/>
    <col min="8" max="8" width="21.77734375" customWidth="1"/>
    <col min="9" max="9" width="26.21875" bestFit="1" customWidth="1"/>
    <col min="10" max="10" width="32.77734375" bestFit="1" customWidth="1"/>
    <col min="11" max="11" width="31.21875" bestFit="1" customWidth="1"/>
    <col min="12" max="12" width="29" bestFit="1" customWidth="1"/>
    <col min="13" max="13" width="18.21875" bestFit="1" customWidth="1"/>
    <col min="14" max="15" width="21.5546875" bestFit="1" customWidth="1"/>
    <col min="17" max="17" width="10.21875" bestFit="1" customWidth="1"/>
  </cols>
  <sheetData>
    <row r="1" spans="1:17" ht="28.8">
      <c r="A1" s="15"/>
      <c r="B1" s="47" t="s">
        <v>8</v>
      </c>
      <c r="C1" s="79" t="s">
        <v>10</v>
      </c>
      <c r="D1" s="45" t="s">
        <v>23</v>
      </c>
      <c r="E1" s="47" t="s">
        <v>0</v>
      </c>
      <c r="F1" s="15" t="s">
        <v>1</v>
      </c>
      <c r="G1" s="47" t="s">
        <v>25</v>
      </c>
      <c r="H1" s="45" t="s">
        <v>21</v>
      </c>
      <c r="I1" s="47" t="s">
        <v>20</v>
      </c>
      <c r="J1" s="47" t="s">
        <v>22</v>
      </c>
      <c r="K1" s="47" t="s">
        <v>86</v>
      </c>
      <c r="L1" s="47" t="s">
        <v>24</v>
      </c>
      <c r="M1" s="47" t="s">
        <v>26</v>
      </c>
      <c r="N1" s="47" t="s">
        <v>28</v>
      </c>
      <c r="O1" s="47" t="s">
        <v>27</v>
      </c>
    </row>
    <row r="2" spans="1:17" ht="14.55" customHeight="1">
      <c r="A2" s="292" t="s">
        <v>6</v>
      </c>
      <c r="B2" s="60" t="s">
        <v>91</v>
      </c>
      <c r="C2" s="61" t="s">
        <v>76</v>
      </c>
      <c r="D2" s="287">
        <v>479</v>
      </c>
      <c r="E2" s="18">
        <f>References!$B$7</f>
        <v>4.333333333333333</v>
      </c>
      <c r="F2" s="52">
        <f>D2*E2*12</f>
        <v>24908</v>
      </c>
      <c r="G2" s="39">
        <f>H2*(References!$B$52)</f>
        <v>7.6943991240634946E-2</v>
      </c>
      <c r="H2" s="260">
        <v>20.302514424058753</v>
      </c>
      <c r="I2" s="319">
        <f>G2+H2</f>
        <v>20.379458415299389</v>
      </c>
      <c r="J2" s="39">
        <f>H2*D2*12</f>
        <v>116698.85290948971</v>
      </c>
      <c r="K2" s="39">
        <f>I2*D2*12</f>
        <v>117141.12697114088</v>
      </c>
      <c r="L2" s="39">
        <f>J2-K2</f>
        <v>-442.27406165117281</v>
      </c>
      <c r="M2" s="41">
        <f t="shared" ref="M2" si="0">I2</f>
        <v>20.379458415299389</v>
      </c>
      <c r="N2" s="41">
        <f>M2*D2*12</f>
        <v>117141.12697114088</v>
      </c>
      <c r="O2" s="41">
        <f t="shared" ref="O2" si="1">N2-J2</f>
        <v>442.27406165117281</v>
      </c>
      <c r="Q2" s="256">
        <f>M2/H2</f>
        <v>1.003789874969844</v>
      </c>
    </row>
    <row r="3" spans="1:17">
      <c r="A3" s="291"/>
      <c r="B3" s="60" t="s">
        <v>91</v>
      </c>
      <c r="C3" s="61" t="s">
        <v>77</v>
      </c>
      <c r="D3" s="287">
        <v>221</v>
      </c>
      <c r="E3" s="18">
        <v>4.33</v>
      </c>
      <c r="F3" s="52">
        <f>D3*E3*12</f>
        <v>11483.16</v>
      </c>
      <c r="G3" s="39">
        <f>H3*(References!$B$52)</f>
        <v>0.10445205756772609</v>
      </c>
      <c r="H3" s="260">
        <v>27.560818865754936</v>
      </c>
      <c r="I3" s="319">
        <f>G3+H3</f>
        <v>27.665270923322662</v>
      </c>
      <c r="J3" s="39">
        <f>H3*D3*12</f>
        <v>73091.291631982094</v>
      </c>
      <c r="K3" s="39">
        <f>I3*D3*12</f>
        <v>73368.298488651693</v>
      </c>
      <c r="L3" s="39">
        <f t="shared" ref="L3:L7" si="2">J3-K3</f>
        <v>-277.00685666959907</v>
      </c>
      <c r="M3" s="41">
        <f t="shared" ref="M3:M7" si="3">I3</f>
        <v>27.665270923322662</v>
      </c>
      <c r="N3" s="41">
        <f>M3*D3*12</f>
        <v>73368.298488651693</v>
      </c>
      <c r="O3" s="41">
        <f t="shared" ref="O3:O7" si="4">N3-J3</f>
        <v>277.00685666959907</v>
      </c>
      <c r="Q3" s="256">
        <f t="shared" ref="Q3:Q7" si="5">M3/H3</f>
        <v>1.003789874969844</v>
      </c>
    </row>
    <row r="4" spans="1:17">
      <c r="A4" s="291"/>
      <c r="B4" s="60" t="s">
        <v>91</v>
      </c>
      <c r="C4" s="61" t="s">
        <v>78</v>
      </c>
      <c r="D4" s="287">
        <v>24</v>
      </c>
      <c r="E4" s="18">
        <v>4.33</v>
      </c>
      <c r="F4" s="52">
        <f>D4*E4*12</f>
        <v>1247.04</v>
      </c>
      <c r="G4" s="39">
        <f>H4*(References!$B$52)</f>
        <v>0.13050612610324244</v>
      </c>
      <c r="H4" s="260">
        <v>34.435470072675756</v>
      </c>
      <c r="I4" s="319">
        <f t="shared" ref="I4:I7" si="6">G4+H4</f>
        <v>34.565976198778998</v>
      </c>
      <c r="J4" s="39">
        <f>H4*D4*12</f>
        <v>9917.4153809306172</v>
      </c>
      <c r="K4" s="39">
        <f>I4*D4*12</f>
        <v>9955.0011452483523</v>
      </c>
      <c r="L4" s="39">
        <f t="shared" si="2"/>
        <v>-37.585764317735084</v>
      </c>
      <c r="M4" s="41">
        <f t="shared" si="3"/>
        <v>34.565976198778998</v>
      </c>
      <c r="N4" s="41">
        <f>M4*D4*12</f>
        <v>9955.0011452483523</v>
      </c>
      <c r="O4" s="41">
        <f t="shared" si="4"/>
        <v>37.585764317735084</v>
      </c>
      <c r="Q4" s="256">
        <f t="shared" si="5"/>
        <v>1.003789874969844</v>
      </c>
    </row>
    <row r="5" spans="1:17">
      <c r="A5" s="291"/>
      <c r="B5" s="60" t="s">
        <v>91</v>
      </c>
      <c r="C5" s="61" t="s">
        <v>79</v>
      </c>
      <c r="D5" s="287">
        <v>10</v>
      </c>
      <c r="E5" s="18">
        <v>4.33</v>
      </c>
      <c r="F5" s="52">
        <f t="shared" ref="F5:F7" si="7">D5*E5*12</f>
        <v>519.59999999999991</v>
      </c>
      <c r="G5" s="39">
        <f>H5*(References!$B$52)</f>
        <v>0.15695316701486006</v>
      </c>
      <c r="H5" s="260">
        <v>41.413811343049368</v>
      </c>
      <c r="I5" s="319">
        <f t="shared" si="6"/>
        <v>41.57076451006423</v>
      </c>
      <c r="J5" s="39">
        <f>H5*D5*12</f>
        <v>4969.6573611659242</v>
      </c>
      <c r="K5" s="39">
        <f>I5*D5*12</f>
        <v>4988.4917412077075</v>
      </c>
      <c r="L5" s="39">
        <f t="shared" si="2"/>
        <v>-18.834380041783334</v>
      </c>
      <c r="M5" s="41">
        <f t="shared" si="3"/>
        <v>41.57076451006423</v>
      </c>
      <c r="N5" s="41">
        <f>M5*D5*12</f>
        <v>4988.4917412077075</v>
      </c>
      <c r="O5" s="41">
        <f t="shared" si="4"/>
        <v>18.834380041783334</v>
      </c>
      <c r="Q5" s="256">
        <f t="shared" si="5"/>
        <v>1.003789874969844</v>
      </c>
    </row>
    <row r="6" spans="1:17">
      <c r="A6" s="291"/>
      <c r="B6" s="60" t="s">
        <v>91</v>
      </c>
      <c r="C6" s="61" t="s">
        <v>88</v>
      </c>
      <c r="D6" s="287">
        <v>2</v>
      </c>
      <c r="E6" s="18">
        <v>4.33</v>
      </c>
      <c r="F6" s="52">
        <f t="shared" si="7"/>
        <v>103.92</v>
      </c>
      <c r="G6" s="39">
        <f>H6*(References!$B$52)</f>
        <v>0.18996284660736945</v>
      </c>
      <c r="H6" s="260">
        <v>50.123776673084791</v>
      </c>
      <c r="I6" s="319">
        <f t="shared" si="6"/>
        <v>50.313739519692163</v>
      </c>
      <c r="J6" s="39">
        <f>H6*D6*12</f>
        <v>1202.970640154035</v>
      </c>
      <c r="K6" s="39">
        <f>I6*D6*12</f>
        <v>1207.529748472612</v>
      </c>
      <c r="L6" s="39">
        <f t="shared" si="2"/>
        <v>-4.5591083185770458</v>
      </c>
      <c r="M6" s="41">
        <f t="shared" si="3"/>
        <v>50.313739519692163</v>
      </c>
      <c r="N6" s="41">
        <f>M6*D6*12</f>
        <v>1207.529748472612</v>
      </c>
      <c r="O6" s="41">
        <f t="shared" si="4"/>
        <v>4.5591083185770458</v>
      </c>
      <c r="Q6" s="256">
        <f t="shared" si="5"/>
        <v>1.003789874969844</v>
      </c>
    </row>
    <row r="7" spans="1:17">
      <c r="A7" s="291"/>
      <c r="B7" s="60" t="s">
        <v>91</v>
      </c>
      <c r="C7" s="61" t="s">
        <v>92</v>
      </c>
      <c r="D7" s="287">
        <v>1</v>
      </c>
      <c r="E7" s="18">
        <v>4.33</v>
      </c>
      <c r="F7" s="52">
        <f t="shared" si="7"/>
        <v>51.96</v>
      </c>
      <c r="G7" s="39">
        <f>H7*(References!$B$52)</f>
        <v>0.22536965769409678</v>
      </c>
      <c r="H7" s="260">
        <v>59.466251390182308</v>
      </c>
      <c r="I7" s="319">
        <f t="shared" si="6"/>
        <v>59.691621047876403</v>
      </c>
      <c r="J7" s="39">
        <f>H7*D7*12</f>
        <v>713.59501668218763</v>
      </c>
      <c r="K7" s="39">
        <f>I7*D7*12</f>
        <v>716.29945257451686</v>
      </c>
      <c r="L7" s="39">
        <f t="shared" si="2"/>
        <v>-2.7044358923292293</v>
      </c>
      <c r="M7" s="41">
        <f t="shared" si="3"/>
        <v>59.691621047876403</v>
      </c>
      <c r="N7" s="41">
        <f>M7*D7*12</f>
        <v>716.29945257451686</v>
      </c>
      <c r="O7" s="41">
        <f t="shared" si="4"/>
        <v>2.7044358923292293</v>
      </c>
      <c r="Q7" s="256">
        <f t="shared" si="5"/>
        <v>1.003789874969844</v>
      </c>
    </row>
    <row r="8" spans="1:17">
      <c r="A8" s="291"/>
      <c r="B8" s="60" t="s">
        <v>91</v>
      </c>
      <c r="C8" s="61" t="s">
        <v>74</v>
      </c>
      <c r="D8" s="287">
        <v>35</v>
      </c>
      <c r="E8" s="18">
        <v>1</v>
      </c>
      <c r="F8" s="52">
        <f>D8*E8*12</f>
        <v>420</v>
      </c>
      <c r="G8" s="39">
        <f>H8*(References!$B$52)</f>
        <v>3.5681891749998237E-2</v>
      </c>
      <c r="H8" s="260">
        <v>9.415057761514479</v>
      </c>
      <c r="I8" s="319">
        <f t="shared" ref="I8" si="8">G8+H8</f>
        <v>9.4507396532644776</v>
      </c>
      <c r="J8" s="39">
        <f>H8*D8*12</f>
        <v>3954.3242598360812</v>
      </c>
      <c r="K8" s="39">
        <f>I8*D8*12</f>
        <v>3969.310654371081</v>
      </c>
      <c r="L8" s="39">
        <f t="shared" ref="L8" si="9">J8-K8</f>
        <v>-14.986394534999818</v>
      </c>
      <c r="M8" s="41">
        <f t="shared" ref="M8" si="10">I8</f>
        <v>9.4507396532644776</v>
      </c>
      <c r="N8" s="41">
        <f>M8*D8*12</f>
        <v>3969.310654371081</v>
      </c>
      <c r="O8" s="41">
        <f t="shared" ref="O8" si="11">N8-J8</f>
        <v>14.986394534999818</v>
      </c>
      <c r="Q8" s="256">
        <f t="shared" ref="Q8" si="12">M8/H8</f>
        <v>1.003789874969844</v>
      </c>
    </row>
    <row r="9" spans="1:17">
      <c r="A9" s="291"/>
      <c r="B9" s="60" t="s">
        <v>142</v>
      </c>
      <c r="C9" s="57" t="s">
        <v>137</v>
      </c>
      <c r="D9" s="287">
        <v>0</v>
      </c>
      <c r="E9" s="18">
        <v>1</v>
      </c>
      <c r="F9" s="52">
        <f t="shared" ref="F9" si="13">D9*E9*12</f>
        <v>0</v>
      </c>
      <c r="G9" s="39">
        <f>H9*(References!$B$52)</f>
        <v>1.6713348617011587E-2</v>
      </c>
      <c r="H9" s="260">
        <v>4.41</v>
      </c>
      <c r="I9" s="319">
        <f t="shared" ref="I9" si="14">G9+H9</f>
        <v>4.426713348617012</v>
      </c>
      <c r="J9" s="39">
        <f>H9*D9*12</f>
        <v>0</v>
      </c>
      <c r="K9" s="39">
        <f>I9*D9*12</f>
        <v>0</v>
      </c>
      <c r="L9" s="39">
        <f t="shared" ref="L9" si="15">J9-K9</f>
        <v>0</v>
      </c>
      <c r="M9" s="41">
        <f t="shared" ref="M9" si="16">I9</f>
        <v>4.426713348617012</v>
      </c>
      <c r="N9" s="41">
        <f>M9*D9*12</f>
        <v>0</v>
      </c>
      <c r="O9" s="41">
        <f t="shared" ref="O9" si="17">N9-J9</f>
        <v>0</v>
      </c>
      <c r="Q9" s="256">
        <f t="shared" ref="Q9" si="18">M9/H9</f>
        <v>1.003789874969844</v>
      </c>
    </row>
    <row r="10" spans="1:17">
      <c r="A10" s="291"/>
      <c r="B10" s="60" t="s">
        <v>106</v>
      </c>
      <c r="C10" s="54" t="s">
        <v>94</v>
      </c>
      <c r="D10" s="287">
        <v>13</v>
      </c>
      <c r="E10" s="18">
        <v>1</v>
      </c>
      <c r="F10" s="52">
        <f t="shared" ref="F10:F21" si="19">D10*E10*12</f>
        <v>156</v>
      </c>
      <c r="G10" s="39">
        <f>H10*(References!$B$52)</f>
        <v>3.5776419715326385E-2</v>
      </c>
      <c r="H10" s="260">
        <v>9.44</v>
      </c>
      <c r="I10" s="319">
        <f t="shared" ref="I10:I21" si="20">G10+H10</f>
        <v>9.4757764197153254</v>
      </c>
      <c r="J10" s="39">
        <f>H10*D10*12</f>
        <v>1472.6399999999999</v>
      </c>
      <c r="K10" s="39">
        <f>I10*D10*12</f>
        <v>1478.2211214755907</v>
      </c>
      <c r="L10" s="39">
        <f t="shared" ref="L10:L21" si="21">J10-K10</f>
        <v>-5.5811214755908622</v>
      </c>
      <c r="M10" s="41">
        <f t="shared" ref="M10:M21" si="22">I10</f>
        <v>9.4757764197153254</v>
      </c>
      <c r="N10" s="41">
        <f>M10*D10*12</f>
        <v>1478.2211214755907</v>
      </c>
      <c r="O10" s="41">
        <f t="shared" ref="O10:O21" si="23">N10-J10</f>
        <v>5.5811214755908622</v>
      </c>
      <c r="Q10" s="256">
        <f t="shared" ref="Q10:Q21" si="24">M10/H10</f>
        <v>1.0037898749698437</v>
      </c>
    </row>
    <row r="11" spans="1:17">
      <c r="A11" s="291"/>
      <c r="B11" s="60" t="s">
        <v>106</v>
      </c>
      <c r="C11" s="61" t="s">
        <v>97</v>
      </c>
      <c r="D11" s="64">
        <v>0</v>
      </c>
      <c r="E11" s="18">
        <v>1</v>
      </c>
      <c r="F11" s="52">
        <f t="shared" si="19"/>
        <v>0</v>
      </c>
      <c r="G11" s="39">
        <f>H11*(References!$B$52)</f>
        <v>5.002634960193944E-2</v>
      </c>
      <c r="H11" s="260">
        <v>13.2</v>
      </c>
      <c r="I11" s="319">
        <f t="shared" si="20"/>
        <v>13.250026349601939</v>
      </c>
      <c r="J11" s="39">
        <f>H11*D11*12</f>
        <v>0</v>
      </c>
      <c r="K11" s="39">
        <f>I11*D11*12</f>
        <v>0</v>
      </c>
      <c r="L11" s="39">
        <f t="shared" si="21"/>
        <v>0</v>
      </c>
      <c r="M11" s="41">
        <f t="shared" si="22"/>
        <v>13.250026349601939</v>
      </c>
      <c r="N11" s="41">
        <f>M11*D11*12</f>
        <v>0</v>
      </c>
      <c r="O11" s="41">
        <f t="shared" si="23"/>
        <v>0</v>
      </c>
      <c r="Q11" s="256">
        <f t="shared" si="24"/>
        <v>1.003789874969844</v>
      </c>
    </row>
    <row r="12" spans="1:17">
      <c r="A12" s="291"/>
      <c r="B12" s="60" t="s">
        <v>106</v>
      </c>
      <c r="C12" s="61" t="s">
        <v>98</v>
      </c>
      <c r="D12" s="64">
        <v>0</v>
      </c>
      <c r="E12" s="18">
        <v>1</v>
      </c>
      <c r="F12" s="52">
        <f t="shared" si="19"/>
        <v>0</v>
      </c>
      <c r="G12" s="39">
        <f>H12*(References!$B$52)</f>
        <v>7.2538206922812196E-2</v>
      </c>
      <c r="H12" s="260">
        <v>19.14</v>
      </c>
      <c r="I12" s="319">
        <f t="shared" si="20"/>
        <v>19.212538206922812</v>
      </c>
      <c r="J12" s="39">
        <f>H12*D12*12</f>
        <v>0</v>
      </c>
      <c r="K12" s="39">
        <f>I12*D12*12</f>
        <v>0</v>
      </c>
      <c r="L12" s="39">
        <f t="shared" si="21"/>
        <v>0</v>
      </c>
      <c r="M12" s="41">
        <f t="shared" si="22"/>
        <v>19.212538206922812</v>
      </c>
      <c r="N12" s="41">
        <f>M12*D12*12</f>
        <v>0</v>
      </c>
      <c r="O12" s="41">
        <f t="shared" si="23"/>
        <v>0</v>
      </c>
      <c r="Q12" s="256">
        <f t="shared" si="24"/>
        <v>1.0037898749698437</v>
      </c>
    </row>
    <row r="13" spans="1:17">
      <c r="A13" s="291"/>
      <c r="B13" s="60" t="s">
        <v>106</v>
      </c>
      <c r="C13" s="54" t="s">
        <v>93</v>
      </c>
      <c r="D13" s="287">
        <v>682</v>
      </c>
      <c r="E13" s="18">
        <f>References!$B$7</f>
        <v>4.333333333333333</v>
      </c>
      <c r="F13" s="52">
        <f t="shared" si="19"/>
        <v>35464</v>
      </c>
      <c r="G13" s="39">
        <f>H13*(References!$B$52)</f>
        <v>7.8488310625467114E-2</v>
      </c>
      <c r="H13" s="260">
        <v>20.71</v>
      </c>
      <c r="I13" s="319">
        <f t="shared" si="20"/>
        <v>20.788488310625468</v>
      </c>
      <c r="J13" s="39">
        <f>H13*D13*12</f>
        <v>169490.64</v>
      </c>
      <c r="K13" s="39">
        <f>I13*D13*12</f>
        <v>170132.98833415881</v>
      </c>
      <c r="L13" s="39">
        <f t="shared" si="21"/>
        <v>-642.34833415879984</v>
      </c>
      <c r="M13" s="41">
        <f t="shared" si="22"/>
        <v>20.788488310625468</v>
      </c>
      <c r="N13" s="41">
        <f>M13*D13*12</f>
        <v>170132.98833415881</v>
      </c>
      <c r="O13" s="41">
        <f t="shared" si="23"/>
        <v>642.34833415879984</v>
      </c>
      <c r="Q13" s="256">
        <f t="shared" si="24"/>
        <v>1.003789874969844</v>
      </c>
    </row>
    <row r="14" spans="1:17">
      <c r="A14" s="291"/>
      <c r="B14" s="60" t="s">
        <v>106</v>
      </c>
      <c r="C14" s="54" t="s">
        <v>95</v>
      </c>
      <c r="D14" s="287">
        <v>176</v>
      </c>
      <c r="E14" s="18">
        <f>References!$B$7</f>
        <v>4.333333333333333</v>
      </c>
      <c r="F14" s="52">
        <f t="shared" si="19"/>
        <v>9152</v>
      </c>
      <c r="G14" s="39">
        <f>H14*(References!$B$52)</f>
        <v>0.10937579162969487</v>
      </c>
      <c r="H14" s="260">
        <v>28.86</v>
      </c>
      <c r="I14" s="319">
        <f t="shared" si="20"/>
        <v>28.969375791629695</v>
      </c>
      <c r="J14" s="39">
        <f>H14*D14*12</f>
        <v>60952.319999999992</v>
      </c>
      <c r="K14" s="39">
        <f>I14*D14*12</f>
        <v>61183.32167192192</v>
      </c>
      <c r="L14" s="39">
        <f t="shared" si="21"/>
        <v>-231.00167192192748</v>
      </c>
      <c r="M14" s="41">
        <f t="shared" si="22"/>
        <v>28.969375791629695</v>
      </c>
      <c r="N14" s="41">
        <f>M14*D14*12</f>
        <v>61183.32167192192</v>
      </c>
      <c r="O14" s="41">
        <f t="shared" si="23"/>
        <v>231.00167192192748</v>
      </c>
      <c r="Q14" s="256">
        <f t="shared" si="24"/>
        <v>1.003789874969844</v>
      </c>
    </row>
    <row r="15" spans="1:17">
      <c r="A15" s="291"/>
      <c r="B15" s="60" t="s">
        <v>106</v>
      </c>
      <c r="C15" s="54" t="s">
        <v>96</v>
      </c>
      <c r="D15" s="287">
        <v>30</v>
      </c>
      <c r="E15" s="18">
        <f>References!$B$7</f>
        <v>4.333333333333333</v>
      </c>
      <c r="F15" s="52">
        <f t="shared" si="19"/>
        <v>1560</v>
      </c>
      <c r="G15" s="39">
        <f>H15*(References!$B$52)</f>
        <v>0.15849257123887178</v>
      </c>
      <c r="H15" s="260">
        <v>41.82</v>
      </c>
      <c r="I15" s="319">
        <f t="shared" si="20"/>
        <v>41.978492571238874</v>
      </c>
      <c r="J15" s="39">
        <f>H15*D15*12</f>
        <v>15055.199999999999</v>
      </c>
      <c r="K15" s="39">
        <f>I15*D15*12</f>
        <v>15112.257325645995</v>
      </c>
      <c r="L15" s="39">
        <f t="shared" si="21"/>
        <v>-57.057325645995661</v>
      </c>
      <c r="M15" s="41">
        <f t="shared" si="22"/>
        <v>41.978492571238874</v>
      </c>
      <c r="N15" s="41">
        <f>M15*D15*12</f>
        <v>15112.257325645995</v>
      </c>
      <c r="O15" s="41">
        <f t="shared" si="23"/>
        <v>57.057325645995661</v>
      </c>
      <c r="Q15" s="256">
        <f t="shared" si="24"/>
        <v>1.003789874969844</v>
      </c>
    </row>
    <row r="16" spans="1:17">
      <c r="A16" s="291"/>
      <c r="B16" s="60" t="s">
        <v>106</v>
      </c>
      <c r="C16" s="54" t="s">
        <v>99</v>
      </c>
      <c r="D16" s="64">
        <v>0</v>
      </c>
      <c r="E16" s="18">
        <v>4.33</v>
      </c>
      <c r="F16" s="52">
        <f t="shared" si="19"/>
        <v>0</v>
      </c>
      <c r="G16" s="39">
        <f>H16*(References!$B$52)</f>
        <v>0.10717805075273534</v>
      </c>
      <c r="H16" s="260">
        <v>28.28010201010667</v>
      </c>
      <c r="I16" s="319">
        <f t="shared" si="20"/>
        <v>28.387280060859407</v>
      </c>
      <c r="J16" s="39">
        <f>H16*D16*12</f>
        <v>0</v>
      </c>
      <c r="K16" s="39">
        <f>I16*D16*12</f>
        <v>0</v>
      </c>
      <c r="L16" s="39">
        <f t="shared" si="21"/>
        <v>0</v>
      </c>
      <c r="M16" s="41">
        <f t="shared" si="22"/>
        <v>28.387280060859407</v>
      </c>
      <c r="N16" s="41">
        <f>M16*D16*12</f>
        <v>0</v>
      </c>
      <c r="O16" s="41">
        <f t="shared" si="23"/>
        <v>0</v>
      </c>
      <c r="Q16" s="256">
        <f t="shared" si="24"/>
        <v>1.003789874969844</v>
      </c>
    </row>
    <row r="17" spans="1:17">
      <c r="A17" s="291"/>
      <c r="B17" s="60" t="s">
        <v>106</v>
      </c>
      <c r="C17" s="54" t="s">
        <v>100</v>
      </c>
      <c r="D17" s="64">
        <v>0</v>
      </c>
      <c r="E17" s="18">
        <v>4.33</v>
      </c>
      <c r="F17" s="52">
        <f t="shared" si="19"/>
        <v>0</v>
      </c>
      <c r="G17" s="39">
        <f>H17*(References!$B$52)</f>
        <v>0.14084164243487993</v>
      </c>
      <c r="H17" s="260">
        <v>37.162609203617372</v>
      </c>
      <c r="I17" s="319">
        <f t="shared" si="20"/>
        <v>37.30345084605225</v>
      </c>
      <c r="J17" s="39">
        <f>H17*D17*12</f>
        <v>0</v>
      </c>
      <c r="K17" s="39">
        <f>I17*D17*12</f>
        <v>0</v>
      </c>
      <c r="L17" s="39">
        <f t="shared" si="21"/>
        <v>0</v>
      </c>
      <c r="M17" s="41">
        <f t="shared" si="22"/>
        <v>37.30345084605225</v>
      </c>
      <c r="N17" s="41">
        <f>M17*D17*12</f>
        <v>0</v>
      </c>
      <c r="O17" s="41">
        <f t="shared" si="23"/>
        <v>0</v>
      </c>
      <c r="Q17" s="256">
        <f t="shared" si="24"/>
        <v>1.003789874969844</v>
      </c>
    </row>
    <row r="18" spans="1:17">
      <c r="A18" s="291"/>
      <c r="B18" s="60" t="s">
        <v>106</v>
      </c>
      <c r="C18" s="54" t="s">
        <v>101</v>
      </c>
      <c r="D18" s="64">
        <v>0</v>
      </c>
      <c r="E18" s="18">
        <v>4.33</v>
      </c>
      <c r="F18" s="52">
        <f t="shared" si="19"/>
        <v>0</v>
      </c>
      <c r="G18" s="39">
        <f>H18*(References!$B$52)</f>
        <v>0.20420232042933323</v>
      </c>
      <c r="H18" s="260">
        <v>53.881017725960554</v>
      </c>
      <c r="I18" s="319">
        <f t="shared" si="20"/>
        <v>54.085220046389885</v>
      </c>
      <c r="J18" s="39">
        <f>H18*D18*12</f>
        <v>0</v>
      </c>
      <c r="K18" s="39">
        <f>I18*D18*12</f>
        <v>0</v>
      </c>
      <c r="L18" s="39">
        <f t="shared" si="21"/>
        <v>0</v>
      </c>
      <c r="M18" s="41">
        <f t="shared" si="22"/>
        <v>54.085220046389885</v>
      </c>
      <c r="N18" s="41">
        <f>M18*D18*12</f>
        <v>0</v>
      </c>
      <c r="O18" s="41">
        <f t="shared" si="23"/>
        <v>0</v>
      </c>
      <c r="Q18" s="256">
        <f t="shared" si="24"/>
        <v>1.003789874969844</v>
      </c>
    </row>
    <row r="19" spans="1:17">
      <c r="A19" s="291"/>
      <c r="B19" s="60" t="s">
        <v>106</v>
      </c>
      <c r="C19" s="54" t="s">
        <v>102</v>
      </c>
      <c r="D19" s="64">
        <v>0</v>
      </c>
      <c r="E19" s="18">
        <v>4.33</v>
      </c>
      <c r="F19" s="52">
        <f t="shared" si="19"/>
        <v>0</v>
      </c>
      <c r="G19" s="39">
        <f>H19*(References!$B$52)</f>
        <v>0.13457546726195121</v>
      </c>
      <c r="H19" s="260">
        <v>35.509210286030708</v>
      </c>
      <c r="I19" s="319">
        <f t="shared" si="20"/>
        <v>35.643785753292661</v>
      </c>
      <c r="J19" s="39">
        <f>H19*D19*12</f>
        <v>0</v>
      </c>
      <c r="K19" s="39">
        <f>I19*D19*12</f>
        <v>0</v>
      </c>
      <c r="L19" s="39">
        <f t="shared" si="21"/>
        <v>0</v>
      </c>
      <c r="M19" s="41">
        <f t="shared" si="22"/>
        <v>35.643785753292661</v>
      </c>
      <c r="N19" s="41">
        <f>M19*D19*12</f>
        <v>0</v>
      </c>
      <c r="O19" s="41">
        <f t="shared" si="23"/>
        <v>0</v>
      </c>
      <c r="Q19" s="256">
        <f t="shared" si="24"/>
        <v>1.003789874969844</v>
      </c>
    </row>
    <row r="20" spans="1:17">
      <c r="A20" s="291"/>
      <c r="B20" s="60" t="s">
        <v>106</v>
      </c>
      <c r="C20" s="54" t="s">
        <v>103</v>
      </c>
      <c r="D20" s="64">
        <v>0</v>
      </c>
      <c r="E20" s="18">
        <v>4.33</v>
      </c>
      <c r="F20" s="52">
        <f t="shared" si="19"/>
        <v>0</v>
      </c>
      <c r="G20" s="39">
        <f>H20*(References!$B$52)</f>
        <v>0.1788618912427675</v>
      </c>
      <c r="H20" s="260">
        <v>47.194668073742477</v>
      </c>
      <c r="I20" s="319">
        <f t="shared" si="20"/>
        <v>47.373529964985245</v>
      </c>
      <c r="J20" s="39">
        <f>H20*D20*12</f>
        <v>0</v>
      </c>
      <c r="K20" s="39">
        <f>I20*D20*12</f>
        <v>0</v>
      </c>
      <c r="L20" s="39">
        <f t="shared" si="21"/>
        <v>0</v>
      </c>
      <c r="M20" s="41">
        <f t="shared" si="22"/>
        <v>47.373529964985245</v>
      </c>
      <c r="N20" s="41">
        <f>M20*D20*12</f>
        <v>0</v>
      </c>
      <c r="O20" s="41">
        <f t="shared" si="23"/>
        <v>0</v>
      </c>
      <c r="Q20" s="256">
        <f t="shared" si="24"/>
        <v>1.003789874969844</v>
      </c>
    </row>
    <row r="21" spans="1:17">
      <c r="A21" s="291"/>
      <c r="B21" s="60" t="s">
        <v>106</v>
      </c>
      <c r="C21" s="54" t="s">
        <v>104</v>
      </c>
      <c r="D21" s="64">
        <v>0</v>
      </c>
      <c r="E21" s="18">
        <v>4.33</v>
      </c>
      <c r="F21" s="52">
        <f t="shared" si="19"/>
        <v>0</v>
      </c>
      <c r="G21" s="39">
        <f>H21*(References!$B$52)</f>
        <v>0.25934328169989423</v>
      </c>
      <c r="H21" s="260">
        <v>68.430564006330911</v>
      </c>
      <c r="I21" s="319">
        <f t="shared" si="20"/>
        <v>68.68990728803081</v>
      </c>
      <c r="J21" s="39">
        <f>H21*D21*12</f>
        <v>0</v>
      </c>
      <c r="K21" s="39">
        <f>I21*D21*12</f>
        <v>0</v>
      </c>
      <c r="L21" s="39">
        <f t="shared" si="21"/>
        <v>0</v>
      </c>
      <c r="M21" s="41">
        <f t="shared" si="22"/>
        <v>68.68990728803081</v>
      </c>
      <c r="N21" s="41">
        <f>M21*D21*12</f>
        <v>0</v>
      </c>
      <c r="O21" s="41">
        <f t="shared" si="23"/>
        <v>0</v>
      </c>
      <c r="Q21" s="256">
        <f t="shared" si="24"/>
        <v>1.003789874969844</v>
      </c>
    </row>
    <row r="22" spans="1:17">
      <c r="A22" s="291"/>
      <c r="B22" s="60" t="s">
        <v>143</v>
      </c>
      <c r="C22" s="54" t="s">
        <v>138</v>
      </c>
      <c r="D22" s="64">
        <v>0</v>
      </c>
      <c r="E22" s="18">
        <v>4.33</v>
      </c>
      <c r="F22" s="52">
        <f t="shared" ref="F22:F25" si="25">D22*E22*12</f>
        <v>0</v>
      </c>
      <c r="G22" s="39">
        <f>H22*(References!$B$52)</f>
        <v>2.0166724788951922E-2</v>
      </c>
      <c r="H22" s="260">
        <v>5.32121110839247</v>
      </c>
      <c r="I22" s="319">
        <f t="shared" ref="I22:I25" si="26">G22+H22</f>
        <v>5.3413778331814221</v>
      </c>
      <c r="J22" s="39">
        <f>H22*D22*12</f>
        <v>0</v>
      </c>
      <c r="K22" s="39">
        <f>I22*D22*12</f>
        <v>0</v>
      </c>
      <c r="L22" s="39">
        <f t="shared" ref="L22:L25" si="27">J22-K22</f>
        <v>0</v>
      </c>
      <c r="M22" s="41">
        <f t="shared" ref="M22:M25" si="28">I22</f>
        <v>5.3413778331814221</v>
      </c>
      <c r="N22" s="41">
        <f>M22*D22*12</f>
        <v>0</v>
      </c>
      <c r="O22" s="41">
        <f t="shared" ref="O22:O25" si="29">N22-J22</f>
        <v>0</v>
      </c>
      <c r="Q22" s="256">
        <f t="shared" ref="Q22:Q25" si="30">M22/H22</f>
        <v>1.003789874969844</v>
      </c>
    </row>
    <row r="23" spans="1:17">
      <c r="A23" s="291"/>
      <c r="B23" s="60" t="s">
        <v>143</v>
      </c>
      <c r="C23" s="54" t="s">
        <v>144</v>
      </c>
      <c r="D23" s="64">
        <v>0</v>
      </c>
      <c r="E23" s="18">
        <v>4.33</v>
      </c>
      <c r="F23" s="52">
        <f t="shared" si="25"/>
        <v>0</v>
      </c>
      <c r="G23" s="39">
        <f>H23*(References!$B$52)</f>
        <v>2.9649937196929859E-2</v>
      </c>
      <c r="H23" s="260">
        <v>7.8234605185804122</v>
      </c>
      <c r="I23" s="319">
        <f t="shared" si="26"/>
        <v>7.8531104557773421</v>
      </c>
      <c r="J23" s="39">
        <f>H23*D23*12</f>
        <v>0</v>
      </c>
      <c r="K23" s="39">
        <f>I23*D23*12</f>
        <v>0</v>
      </c>
      <c r="L23" s="39">
        <f t="shared" si="27"/>
        <v>0</v>
      </c>
      <c r="M23" s="41">
        <f t="shared" si="28"/>
        <v>7.8531104557773421</v>
      </c>
      <c r="N23" s="41">
        <f>M23*D23*12</f>
        <v>0</v>
      </c>
      <c r="O23" s="41">
        <f t="shared" si="29"/>
        <v>0</v>
      </c>
      <c r="Q23" s="256">
        <f t="shared" si="30"/>
        <v>1.003789874969844</v>
      </c>
    </row>
    <row r="24" spans="1:17">
      <c r="A24" s="291"/>
      <c r="B24" s="60" t="s">
        <v>143</v>
      </c>
      <c r="C24" s="54" t="s">
        <v>145</v>
      </c>
      <c r="D24" s="64">
        <v>0</v>
      </c>
      <c r="E24" s="18">
        <v>4.33</v>
      </c>
      <c r="F24" s="52">
        <f t="shared" si="25"/>
        <v>0</v>
      </c>
      <c r="G24" s="39">
        <f>H24*(References!$B$52)</f>
        <v>4.2801628660980112E-2</v>
      </c>
      <c r="H24" s="260">
        <v>11.293678287952357</v>
      </c>
      <c r="I24" s="319">
        <f t="shared" si="26"/>
        <v>11.336479916613337</v>
      </c>
      <c r="J24" s="39">
        <f>H24*D24*12</f>
        <v>0</v>
      </c>
      <c r="K24" s="39">
        <f>I24*D24*12</f>
        <v>0</v>
      </c>
      <c r="L24" s="39">
        <f t="shared" si="27"/>
        <v>0</v>
      </c>
      <c r="M24" s="41">
        <f t="shared" si="28"/>
        <v>11.336479916613337</v>
      </c>
      <c r="N24" s="41">
        <f>M24*D24*12</f>
        <v>0</v>
      </c>
      <c r="O24" s="41">
        <f t="shared" si="29"/>
        <v>0</v>
      </c>
      <c r="Q24" s="256">
        <f t="shared" si="30"/>
        <v>1.003789874969844</v>
      </c>
    </row>
    <row r="25" spans="1:17">
      <c r="A25" s="291"/>
      <c r="B25" s="60" t="s">
        <v>143</v>
      </c>
      <c r="C25" s="54" t="s">
        <v>146</v>
      </c>
      <c r="D25" s="64">
        <v>0</v>
      </c>
      <c r="E25" s="18">
        <v>4.33</v>
      </c>
      <c r="F25" s="52">
        <f t="shared" si="25"/>
        <v>0</v>
      </c>
      <c r="G25" s="39">
        <f>H25*(References!$B$52)</f>
        <v>2.0166724788951922E-2</v>
      </c>
      <c r="H25" s="260">
        <v>5.32121110839247</v>
      </c>
      <c r="I25" s="319">
        <f t="shared" si="26"/>
        <v>5.3413778331814221</v>
      </c>
      <c r="J25" s="39">
        <f>H25*D25*12</f>
        <v>0</v>
      </c>
      <c r="K25" s="39">
        <f>I25*D25*12</f>
        <v>0</v>
      </c>
      <c r="L25" s="39">
        <f t="shared" si="27"/>
        <v>0</v>
      </c>
      <c r="M25" s="41">
        <f t="shared" si="28"/>
        <v>5.3413778331814221</v>
      </c>
      <c r="N25" s="41">
        <f>M25*D25*12</f>
        <v>0</v>
      </c>
      <c r="O25" s="41">
        <f t="shared" si="29"/>
        <v>0</v>
      </c>
      <c r="Q25" s="256">
        <f t="shared" si="30"/>
        <v>1.003789874969844</v>
      </c>
    </row>
    <row r="26" spans="1:17">
      <c r="A26" s="291"/>
      <c r="B26" s="60" t="s">
        <v>105</v>
      </c>
      <c r="C26" s="61" t="s">
        <v>76</v>
      </c>
      <c r="D26" s="287">
        <v>2036</v>
      </c>
      <c r="E26" s="18">
        <v>4.33</v>
      </c>
      <c r="F26" s="52">
        <f t="shared" ref="F26:F31" si="31">D26*E26*12</f>
        <v>105790.56000000001</v>
      </c>
      <c r="G26" s="39">
        <f>H26*(References!$B$52)</f>
        <v>7.693446188783111E-2</v>
      </c>
      <c r="H26" s="260">
        <v>20.3</v>
      </c>
      <c r="I26" s="319">
        <f t="shared" ref="I26:I31" si="32">G26+H26</f>
        <v>20.376934461887831</v>
      </c>
      <c r="J26" s="39">
        <f>H26*D26*12</f>
        <v>495969.60000000003</v>
      </c>
      <c r="K26" s="39">
        <f>I26*D26*12</f>
        <v>497849.26277284347</v>
      </c>
      <c r="L26" s="39">
        <f t="shared" ref="L26" si="33">J26-K26</f>
        <v>-1879.6627728434396</v>
      </c>
      <c r="M26" s="41">
        <f t="shared" ref="M26" si="34">I26</f>
        <v>20.376934461887831</v>
      </c>
      <c r="N26" s="41">
        <f>M26*D26*12</f>
        <v>497849.26277284347</v>
      </c>
      <c r="O26" s="41">
        <f t="shared" ref="O26" si="35">N26-J26</f>
        <v>1879.6627728434396</v>
      </c>
      <c r="Q26" s="256">
        <f t="shared" ref="Q26" si="36">M26/H26</f>
        <v>1.003789874969844</v>
      </c>
    </row>
    <row r="27" spans="1:17">
      <c r="A27" s="291"/>
      <c r="B27" s="60" t="s">
        <v>105</v>
      </c>
      <c r="C27" s="54" t="s">
        <v>77</v>
      </c>
      <c r="D27" s="287">
        <v>644</v>
      </c>
      <c r="E27" s="18">
        <v>4.33</v>
      </c>
      <c r="F27" s="52">
        <f t="shared" si="31"/>
        <v>33462.239999999998</v>
      </c>
      <c r="G27" s="39">
        <f>H27*(References!$B$52)</f>
        <v>0.12814836754416747</v>
      </c>
      <c r="H27" s="288">
        <v>33.813349665581669</v>
      </c>
      <c r="I27" s="319">
        <f t="shared" si="32"/>
        <v>33.941498033125839</v>
      </c>
      <c r="J27" s="39">
        <f>H27*D27*12</f>
        <v>261309.56621561514</v>
      </c>
      <c r="K27" s="39">
        <f>I27*D27*12</f>
        <v>262299.8967999965</v>
      </c>
      <c r="L27" s="39">
        <f t="shared" ref="L27:L31" si="37">J27-K27</f>
        <v>-990.33058438135777</v>
      </c>
      <c r="M27" s="41">
        <f t="shared" ref="M27:M31" si="38">I27</f>
        <v>33.941498033125839</v>
      </c>
      <c r="N27" s="41">
        <f>M27*D27*12</f>
        <v>262299.8967999965</v>
      </c>
      <c r="O27" s="41">
        <f t="shared" ref="O27:O31" si="39">N27-J27</f>
        <v>990.33058438135777</v>
      </c>
      <c r="Q27" s="256">
        <f t="shared" ref="Q27:Q31" si="40">M27/H27</f>
        <v>1.003789874969844</v>
      </c>
    </row>
    <row r="28" spans="1:17">
      <c r="A28" s="291"/>
      <c r="B28" s="60" t="s">
        <v>105</v>
      </c>
      <c r="C28" s="54" t="s">
        <v>78</v>
      </c>
      <c r="D28" s="287">
        <v>83</v>
      </c>
      <c r="E28" s="18">
        <v>4.33</v>
      </c>
      <c r="F28" s="52">
        <f t="shared" si="31"/>
        <v>4312.68</v>
      </c>
      <c r="G28" s="39">
        <f>H28*(References!$B$52)</f>
        <v>0.15995431656067305</v>
      </c>
      <c r="H28" s="288">
        <v>42.205697505440789</v>
      </c>
      <c r="I28" s="319">
        <f t="shared" si="32"/>
        <v>42.36565182200146</v>
      </c>
      <c r="J28" s="39">
        <f>H28*D28*12</f>
        <v>42036.874715419021</v>
      </c>
      <c r="K28" s="39">
        <f>I28*D28*12</f>
        <v>42196.189214713449</v>
      </c>
      <c r="L28" s="39">
        <f t="shared" si="37"/>
        <v>-159.31449929442897</v>
      </c>
      <c r="M28" s="41">
        <f t="shared" si="38"/>
        <v>42.36565182200146</v>
      </c>
      <c r="N28" s="41">
        <f>M28*D28*12</f>
        <v>42196.189214713449</v>
      </c>
      <c r="O28" s="41">
        <f t="shared" si="39"/>
        <v>159.31449929442897</v>
      </c>
      <c r="Q28" s="256">
        <f t="shared" si="40"/>
        <v>1.003789874969844</v>
      </c>
    </row>
    <row r="29" spans="1:17">
      <c r="A29" s="291"/>
      <c r="B29" s="60" t="s">
        <v>105</v>
      </c>
      <c r="C29" s="54" t="s">
        <v>79</v>
      </c>
      <c r="D29" s="287">
        <v>31</v>
      </c>
      <c r="E29" s="18">
        <v>4.33</v>
      </c>
      <c r="F29" s="52">
        <f t="shared" si="31"/>
        <v>1610.7599999999998</v>
      </c>
      <c r="G29" s="39">
        <f>H29*(References!$B$52)</f>
        <v>0.20175750553445565</v>
      </c>
      <c r="H29" s="288">
        <v>53.235926551626036</v>
      </c>
      <c r="I29" s="319">
        <f t="shared" si="32"/>
        <v>53.437684057160489</v>
      </c>
      <c r="J29" s="39">
        <f>H29*D29*12</f>
        <v>19803.764677204883</v>
      </c>
      <c r="K29" s="39">
        <f>I29*D29*12</f>
        <v>19878.818469263701</v>
      </c>
      <c r="L29" s="39">
        <f t="shared" si="37"/>
        <v>-75.053792058817635</v>
      </c>
      <c r="M29" s="41">
        <f t="shared" si="38"/>
        <v>53.437684057160489</v>
      </c>
      <c r="N29" s="41">
        <f>M29*D29*12</f>
        <v>19878.818469263701</v>
      </c>
      <c r="O29" s="41">
        <f t="shared" si="39"/>
        <v>75.053792058817635</v>
      </c>
      <c r="Q29" s="256">
        <f t="shared" si="40"/>
        <v>1.0037898749698437</v>
      </c>
    </row>
    <row r="30" spans="1:17">
      <c r="A30" s="291"/>
      <c r="B30" s="60" t="s">
        <v>105</v>
      </c>
      <c r="C30" s="54" t="s">
        <v>88</v>
      </c>
      <c r="D30" s="287">
        <v>2</v>
      </c>
      <c r="E30" s="18">
        <v>4.33</v>
      </c>
      <c r="F30" s="52">
        <f t="shared" si="31"/>
        <v>103.92</v>
      </c>
      <c r="G30" s="39">
        <f>H30*(References!$B$52)</f>
        <v>0.2490509874441135</v>
      </c>
      <c r="H30" s="288">
        <v>65.714829493272646</v>
      </c>
      <c r="I30" s="319">
        <f t="shared" si="32"/>
        <v>65.963880480716753</v>
      </c>
      <c r="J30" s="39">
        <f>H30*D30*12</f>
        <v>1577.1559078385435</v>
      </c>
      <c r="K30" s="39">
        <f>I30*D30*12</f>
        <v>1583.1331315372022</v>
      </c>
      <c r="L30" s="39">
        <f t="shared" si="37"/>
        <v>-5.9772236986586904</v>
      </c>
      <c r="M30" s="41">
        <f t="shared" si="38"/>
        <v>65.963880480716753</v>
      </c>
      <c r="N30" s="41">
        <f>M30*D30*12</f>
        <v>1583.1331315372022</v>
      </c>
      <c r="O30" s="41">
        <f t="shared" si="39"/>
        <v>5.9772236986586904</v>
      </c>
      <c r="Q30" s="256">
        <f t="shared" si="40"/>
        <v>1.0037898749698437</v>
      </c>
    </row>
    <row r="31" spans="1:17">
      <c r="A31" s="291"/>
      <c r="B31" s="60" t="s">
        <v>105</v>
      </c>
      <c r="C31" s="54" t="s">
        <v>92</v>
      </c>
      <c r="D31" s="287">
        <v>2</v>
      </c>
      <c r="E31" s="18">
        <v>4.33</v>
      </c>
      <c r="F31" s="52">
        <f t="shared" si="31"/>
        <v>103.92</v>
      </c>
      <c r="G31" s="39">
        <f>H31*(References!$B$52)</f>
        <v>0.30674977545987353</v>
      </c>
      <c r="H31" s="260">
        <v>80.939286361868668</v>
      </c>
      <c r="I31" s="319">
        <f t="shared" si="32"/>
        <v>81.246036137328545</v>
      </c>
      <c r="J31" s="39">
        <f>H31*D31*12</f>
        <v>1942.5428726848481</v>
      </c>
      <c r="K31" s="39">
        <f>I31*D31*12</f>
        <v>1949.9048672958852</v>
      </c>
      <c r="L31" s="39">
        <f t="shared" si="37"/>
        <v>-7.361994611037062</v>
      </c>
      <c r="M31" s="41">
        <f t="shared" si="38"/>
        <v>81.246036137328545</v>
      </c>
      <c r="N31" s="41">
        <f>M31*D31*12</f>
        <v>1949.9048672958852</v>
      </c>
      <c r="O31" s="41">
        <f t="shared" si="39"/>
        <v>7.361994611037062</v>
      </c>
      <c r="Q31" s="256">
        <f t="shared" si="40"/>
        <v>1.003789874969844</v>
      </c>
    </row>
    <row r="32" spans="1:17">
      <c r="A32" s="291"/>
      <c r="B32" s="60" t="s">
        <v>105</v>
      </c>
      <c r="C32" s="54" t="s">
        <v>74</v>
      </c>
      <c r="D32" s="287">
        <v>128</v>
      </c>
      <c r="E32" s="18">
        <v>1</v>
      </c>
      <c r="F32" s="52">
        <f>D32*E32*12</f>
        <v>1536</v>
      </c>
      <c r="G32" s="39">
        <f>H32*(References!$B$52)</f>
        <v>3.5776419715326385E-2</v>
      </c>
      <c r="H32" s="260">
        <v>9.44</v>
      </c>
      <c r="I32" s="319">
        <f>G32+H32</f>
        <v>9.4757764197153254</v>
      </c>
      <c r="J32" s="39">
        <f>H32*D32*12</f>
        <v>14499.84</v>
      </c>
      <c r="K32" s="39">
        <f>I32*D32*12</f>
        <v>14554.792580682741</v>
      </c>
      <c r="L32" s="39">
        <f t="shared" ref="L32:L33" si="41">J32-K32</f>
        <v>-54.952580682740518</v>
      </c>
      <c r="M32" s="41">
        <f t="shared" ref="M32:M33" si="42">I32</f>
        <v>9.4757764197153254</v>
      </c>
      <c r="N32" s="41">
        <f>M32*D32*12</f>
        <v>14554.792580682741</v>
      </c>
      <c r="O32" s="41">
        <f t="shared" ref="O32:O33" si="43">N32-J32</f>
        <v>54.952580682740518</v>
      </c>
      <c r="Q32" s="256">
        <f t="shared" ref="Q32:Q33" si="44">M32/H32</f>
        <v>1.0037898749698437</v>
      </c>
    </row>
    <row r="33" spans="1:17">
      <c r="A33" s="36"/>
      <c r="B33" s="60" t="s">
        <v>147</v>
      </c>
      <c r="C33" s="57" t="s">
        <v>137</v>
      </c>
      <c r="D33" s="64">
        <v>0</v>
      </c>
      <c r="E33" s="18">
        <v>1</v>
      </c>
      <c r="F33" s="52">
        <f t="shared" ref="F33" si="45">D33*E33*12</f>
        <v>0</v>
      </c>
      <c r="G33" s="39">
        <f>H33*(References!$B$52)</f>
        <v>1.6789146116408464E-2</v>
      </c>
      <c r="H33" s="260">
        <v>4.43</v>
      </c>
      <c r="I33" s="319">
        <f t="shared" ref="I33" si="46">G33+H33</f>
        <v>4.4467891461164077</v>
      </c>
      <c r="J33" s="39">
        <f>H33*D33*12</f>
        <v>0</v>
      </c>
      <c r="K33" s="39">
        <f>I33*D33*12</f>
        <v>0</v>
      </c>
      <c r="L33" s="39">
        <f t="shared" si="41"/>
        <v>0</v>
      </c>
      <c r="M33" s="41">
        <f t="shared" si="42"/>
        <v>4.4467891461164077</v>
      </c>
      <c r="N33" s="41">
        <f>M33*D33*12</f>
        <v>0</v>
      </c>
      <c r="O33" s="41">
        <f t="shared" si="43"/>
        <v>0</v>
      </c>
      <c r="Q33" s="256">
        <f t="shared" si="44"/>
        <v>1.0037898749698437</v>
      </c>
    </row>
    <row r="34" spans="1:17">
      <c r="A34" s="36"/>
      <c r="B34" s="48"/>
      <c r="C34" s="49"/>
      <c r="D34" s="51"/>
      <c r="E34" s="18"/>
      <c r="F34" s="40"/>
      <c r="G34" s="39"/>
      <c r="H34" s="53"/>
      <c r="I34" s="39"/>
      <c r="J34" s="39"/>
      <c r="K34" s="39"/>
      <c r="L34" s="39"/>
      <c r="M34" s="41"/>
      <c r="N34" s="41"/>
      <c r="O34" s="41"/>
    </row>
    <row r="35" spans="1:17">
      <c r="A35" s="28"/>
      <c r="B35" s="46"/>
      <c r="C35" s="29" t="s">
        <v>9</v>
      </c>
      <c r="D35" s="30">
        <f>SUM(D2:D34)</f>
        <v>4599</v>
      </c>
      <c r="E35" s="31"/>
      <c r="F35" s="30">
        <f>SUM(F2:F34)</f>
        <v>231985.76</v>
      </c>
      <c r="G35" s="43"/>
      <c r="H35" s="43"/>
      <c r="I35" s="43"/>
      <c r="J35" s="30">
        <f>SUM(J2:J34)</f>
        <v>1294658.2515890033</v>
      </c>
      <c r="K35" s="56">
        <f>SUM(K2:K34)</f>
        <v>1299564.8444912019</v>
      </c>
      <c r="L35" s="56">
        <f>SUM(L2:L34)</f>
        <v>-4906.5929021989905</v>
      </c>
      <c r="M35" s="56"/>
      <c r="N35" s="56">
        <f>SUM(N2:N34)</f>
        <v>1299564.8444912019</v>
      </c>
      <c r="O35" s="56">
        <f>SUM(O2:O34)</f>
        <v>4906.5929021989905</v>
      </c>
    </row>
    <row r="36" spans="1:17">
      <c r="A36" s="36"/>
      <c r="B36" s="48"/>
      <c r="C36" s="49"/>
      <c r="D36" s="51"/>
      <c r="E36" s="18"/>
      <c r="F36" s="40"/>
      <c r="G36" s="39"/>
      <c r="H36" s="53"/>
      <c r="I36" s="39"/>
      <c r="J36" s="39"/>
      <c r="K36" s="39"/>
      <c r="L36" s="39"/>
      <c r="M36" s="41"/>
      <c r="N36" s="41"/>
      <c r="O36" s="41"/>
    </row>
    <row r="37" spans="1:17" ht="28.8">
      <c r="A37" s="67"/>
      <c r="B37" s="68"/>
      <c r="C37" s="69"/>
      <c r="D37" s="74" t="s">
        <v>85</v>
      </c>
      <c r="E37" s="73" t="s">
        <v>87</v>
      </c>
      <c r="F37" s="70"/>
      <c r="G37" s="71"/>
      <c r="H37" s="71"/>
      <c r="I37" s="71"/>
      <c r="J37" s="70"/>
      <c r="K37" s="72"/>
      <c r="L37" s="72"/>
      <c r="M37" s="72"/>
      <c r="N37" s="72"/>
      <c r="O37" s="72"/>
    </row>
    <row r="38" spans="1:17" ht="14.55" customHeight="1">
      <c r="A38" s="292" t="s">
        <v>7</v>
      </c>
      <c r="B38" s="50" t="s">
        <v>132</v>
      </c>
      <c r="C38" s="57" t="s">
        <v>111</v>
      </c>
      <c r="D38" s="287">
        <v>472</v>
      </c>
      <c r="E38" s="18">
        <v>12</v>
      </c>
      <c r="F38" s="52">
        <f>D38*E38</f>
        <v>5664</v>
      </c>
      <c r="G38" s="39">
        <f>H38*(References!$B$52)</f>
        <v>1.7888209857663193E-2</v>
      </c>
      <c r="H38" s="288">
        <v>4.72</v>
      </c>
      <c r="I38" s="319">
        <f t="shared" ref="I38:I42" si="47">G38+H38</f>
        <v>4.7378882098576627</v>
      </c>
      <c r="J38" s="39">
        <f>H38*F38</f>
        <v>26734.079999999998</v>
      </c>
      <c r="K38" s="39">
        <f>I38*F38</f>
        <v>26835.3988206338</v>
      </c>
      <c r="L38" s="39">
        <f>J38-K38</f>
        <v>-101.31882063380181</v>
      </c>
      <c r="M38" s="41">
        <f t="shared" ref="M38:M113" si="48">I38</f>
        <v>4.7378882098576627</v>
      </c>
      <c r="N38" s="41">
        <f>M38*F38</f>
        <v>26835.3988206338</v>
      </c>
      <c r="O38" s="41">
        <f t="shared" ref="O38:O113" si="49">N38-J38</f>
        <v>101.31882063380181</v>
      </c>
      <c r="Q38" s="256">
        <f t="shared" ref="Q38:Q139" si="50">M38/H38</f>
        <v>1.0037898749698437</v>
      </c>
    </row>
    <row r="39" spans="1:17">
      <c r="A39" s="291"/>
      <c r="B39" s="50" t="s">
        <v>132</v>
      </c>
      <c r="C39" s="57" t="s">
        <v>109</v>
      </c>
      <c r="D39" s="287">
        <v>223</v>
      </c>
      <c r="E39" s="18">
        <v>12</v>
      </c>
      <c r="F39" s="52">
        <f t="shared" ref="F39:F102" si="51">D39*E39</f>
        <v>2676</v>
      </c>
      <c r="G39" s="39">
        <f>H39*(References!$B$52)</f>
        <v>0.10319829542884931</v>
      </c>
      <c r="H39" s="260">
        <v>27.23</v>
      </c>
      <c r="I39" s="319">
        <f>G39+H39</f>
        <v>27.333198295428851</v>
      </c>
      <c r="J39" s="39">
        <f>H39*F39</f>
        <v>72867.48</v>
      </c>
      <c r="K39" s="39">
        <f>I39*F39</f>
        <v>73143.638638567601</v>
      </c>
      <c r="L39" s="39">
        <f t="shared" ref="L39" si="52">J39-K39</f>
        <v>-276.15863856760552</v>
      </c>
      <c r="M39" s="41">
        <f t="shared" ref="M39" si="53">I39</f>
        <v>27.333198295428851</v>
      </c>
      <c r="N39" s="41">
        <f>M39*F39</f>
        <v>73143.638638567601</v>
      </c>
      <c r="O39" s="41">
        <f t="shared" ref="O39" si="54">N39-J39</f>
        <v>276.15863856760552</v>
      </c>
      <c r="Q39" s="256">
        <f t="shared" si="50"/>
        <v>1.003789874969844</v>
      </c>
    </row>
    <row r="40" spans="1:17">
      <c r="A40" s="291"/>
      <c r="B40" s="50" t="s">
        <v>132</v>
      </c>
      <c r="C40" s="57" t="s">
        <v>287</v>
      </c>
      <c r="D40" s="64">
        <v>0</v>
      </c>
      <c r="E40" s="18">
        <v>1</v>
      </c>
      <c r="F40" s="52">
        <f t="shared" si="51"/>
        <v>0</v>
      </c>
      <c r="G40" s="39">
        <f>H40*(References!$B$52)</f>
        <v>0.10876941163451984</v>
      </c>
      <c r="H40" s="260">
        <v>28.7</v>
      </c>
      <c r="I40" s="319">
        <f>G40+H40</f>
        <v>28.808769411634518</v>
      </c>
      <c r="J40" s="39">
        <f>H40*F40</f>
        <v>0</v>
      </c>
      <c r="K40" s="39">
        <f>I40*F40</f>
        <v>0</v>
      </c>
      <c r="L40" s="39">
        <f t="shared" ref="L40:L54" si="55">J40-K40</f>
        <v>0</v>
      </c>
      <c r="M40" s="41">
        <f t="shared" ref="M40:M54" si="56">I40</f>
        <v>28.808769411634518</v>
      </c>
      <c r="N40" s="41">
        <f>M40*F40</f>
        <v>0</v>
      </c>
      <c r="O40" s="41">
        <f t="shared" ref="O40:O54" si="57">N40-J40</f>
        <v>0</v>
      </c>
      <c r="Q40" s="256">
        <f t="shared" ref="Q40:Q54" si="58">M40/H40</f>
        <v>1.003789874969844</v>
      </c>
    </row>
    <row r="41" spans="1:17">
      <c r="A41" s="291"/>
      <c r="B41" s="50" t="s">
        <v>132</v>
      </c>
      <c r="C41" s="57" t="s">
        <v>112</v>
      </c>
      <c r="D41" s="287">
        <v>24</v>
      </c>
      <c r="E41" s="18">
        <v>12</v>
      </c>
      <c r="F41" s="52">
        <f t="shared" si="51"/>
        <v>288</v>
      </c>
      <c r="G41" s="39">
        <f>H41*(References!$B$52)</f>
        <v>0.13112967395659883</v>
      </c>
      <c r="H41" s="260">
        <v>34.6</v>
      </c>
      <c r="I41" s="319">
        <f>G41+H41</f>
        <v>34.731129673956602</v>
      </c>
      <c r="J41" s="39">
        <f>H41*F41</f>
        <v>9964.8000000000011</v>
      </c>
      <c r="K41" s="39">
        <f>I41*F41</f>
        <v>10002.565346099502</v>
      </c>
      <c r="L41" s="39">
        <f t="shared" si="55"/>
        <v>-37.765346099500675</v>
      </c>
      <c r="M41" s="41">
        <f t="shared" si="56"/>
        <v>34.731129673956602</v>
      </c>
      <c r="N41" s="41">
        <f>M41*F41</f>
        <v>10002.565346099502</v>
      </c>
      <c r="O41" s="41">
        <f t="shared" si="57"/>
        <v>37.765346099500675</v>
      </c>
      <c r="Q41" s="256">
        <f t="shared" si="58"/>
        <v>1.003789874969844</v>
      </c>
    </row>
    <row r="42" spans="1:17">
      <c r="A42" s="291"/>
      <c r="B42" s="50" t="s">
        <v>132</v>
      </c>
      <c r="C42" s="57" t="s">
        <v>110</v>
      </c>
      <c r="D42" s="287">
        <v>383</v>
      </c>
      <c r="E42" s="18">
        <v>12</v>
      </c>
      <c r="F42" s="52">
        <f t="shared" si="51"/>
        <v>4596</v>
      </c>
      <c r="G42" s="39">
        <f>H42*(References!$B$52)</f>
        <v>0.17448584361161301</v>
      </c>
      <c r="H42" s="288">
        <v>46.04</v>
      </c>
      <c r="I42" s="319">
        <f t="shared" si="47"/>
        <v>46.214485843611612</v>
      </c>
      <c r="J42" s="39">
        <f>H42*F42</f>
        <v>211599.84</v>
      </c>
      <c r="K42" s="39">
        <f>I42*F42</f>
        <v>212401.77693723896</v>
      </c>
      <c r="L42" s="39">
        <f t="shared" si="55"/>
        <v>-801.93693723896286</v>
      </c>
      <c r="M42" s="41">
        <f t="shared" si="56"/>
        <v>46.214485843611612</v>
      </c>
      <c r="N42" s="41">
        <f>M42*F42</f>
        <v>212401.77693723896</v>
      </c>
      <c r="O42" s="41">
        <f t="shared" si="57"/>
        <v>801.93693723896286</v>
      </c>
      <c r="Q42" s="256">
        <f t="shared" si="58"/>
        <v>1.003789874969844</v>
      </c>
    </row>
    <row r="43" spans="1:17">
      <c r="A43" s="291"/>
      <c r="B43" s="50" t="s">
        <v>132</v>
      </c>
      <c r="C43" s="57" t="s">
        <v>288</v>
      </c>
      <c r="D43" s="64">
        <v>0</v>
      </c>
      <c r="E43" s="18">
        <v>1</v>
      </c>
      <c r="F43" s="52">
        <f t="shared" si="51"/>
        <v>0</v>
      </c>
      <c r="G43" s="39">
        <f>H43*(References!$B$52)</f>
        <v>0.18562807602295406</v>
      </c>
      <c r="H43" s="260">
        <v>48.98</v>
      </c>
      <c r="I43" s="319">
        <f>G43+H43</f>
        <v>49.165628076022948</v>
      </c>
      <c r="J43" s="39">
        <f>H43*F43</f>
        <v>0</v>
      </c>
      <c r="K43" s="39">
        <f>I43*F43</f>
        <v>0</v>
      </c>
      <c r="L43" s="39">
        <f t="shared" si="55"/>
        <v>0</v>
      </c>
      <c r="M43" s="41">
        <f t="shared" si="56"/>
        <v>49.165628076022948</v>
      </c>
      <c r="N43" s="41">
        <f>M43*F43</f>
        <v>0</v>
      </c>
      <c r="O43" s="41">
        <f t="shared" si="57"/>
        <v>0</v>
      </c>
      <c r="Q43" s="256">
        <f t="shared" si="58"/>
        <v>1.0037898749698437</v>
      </c>
    </row>
    <row r="44" spans="1:17">
      <c r="A44" s="291"/>
      <c r="B44" s="50" t="s">
        <v>132</v>
      </c>
      <c r="C44" t="s">
        <v>113</v>
      </c>
      <c r="D44" s="64">
        <v>0</v>
      </c>
      <c r="E44" s="18">
        <v>1</v>
      </c>
      <c r="F44" s="52">
        <f t="shared" si="51"/>
        <v>0</v>
      </c>
      <c r="G44" s="39">
        <f>H44*(References!$B$52)</f>
        <v>5.8894657031374156E-2</v>
      </c>
      <c r="H44" s="260">
        <v>15.54</v>
      </c>
      <c r="I44" s="319">
        <f>G44+H44</f>
        <v>15.598894657031373</v>
      </c>
      <c r="J44" s="39">
        <f>H44*F44</f>
        <v>0</v>
      </c>
      <c r="K44" s="39">
        <f>I44*F44</f>
        <v>0</v>
      </c>
      <c r="L44" s="39">
        <f t="shared" si="55"/>
        <v>0</v>
      </c>
      <c r="M44" s="41">
        <f t="shared" si="56"/>
        <v>15.598894657031373</v>
      </c>
      <c r="N44" s="41">
        <f>M44*F44</f>
        <v>0</v>
      </c>
      <c r="O44" s="41">
        <f t="shared" si="57"/>
        <v>0</v>
      </c>
      <c r="Q44" s="256">
        <f t="shared" si="58"/>
        <v>1.003789874969844</v>
      </c>
    </row>
    <row r="45" spans="1:17">
      <c r="A45" s="291"/>
      <c r="B45" s="50" t="s">
        <v>132</v>
      </c>
      <c r="C45" s="54" t="s">
        <v>114</v>
      </c>
      <c r="D45" s="287">
        <v>2</v>
      </c>
      <c r="E45" s="18">
        <v>12</v>
      </c>
      <c r="F45" s="52">
        <f t="shared" si="51"/>
        <v>24</v>
      </c>
      <c r="G45" s="39">
        <f>H45*(References!$B$52)</f>
        <v>0.1312812689553926</v>
      </c>
      <c r="H45" s="288">
        <v>34.64</v>
      </c>
      <c r="I45" s="319">
        <f t="shared" ref="I45:I74" si="59">G45+H45</f>
        <v>34.771281268955391</v>
      </c>
      <c r="J45" s="39">
        <f>H45*F45</f>
        <v>831.36</v>
      </c>
      <c r="K45" s="39">
        <f>I45*F45</f>
        <v>834.51075045492939</v>
      </c>
      <c r="L45" s="39">
        <f t="shared" si="55"/>
        <v>-3.1507504549293799</v>
      </c>
      <c r="M45" s="41">
        <f t="shared" si="56"/>
        <v>34.771281268955391</v>
      </c>
      <c r="N45" s="41">
        <f>M45*F45</f>
        <v>834.51075045492939</v>
      </c>
      <c r="O45" s="41">
        <f t="shared" si="57"/>
        <v>3.1507504549293799</v>
      </c>
      <c r="Q45" s="256">
        <f t="shared" si="58"/>
        <v>1.003789874969844</v>
      </c>
    </row>
    <row r="46" spans="1:17">
      <c r="A46" s="291"/>
      <c r="B46" s="50" t="s">
        <v>132</v>
      </c>
      <c r="C46" s="57" t="s">
        <v>286</v>
      </c>
      <c r="D46" s="287">
        <v>0</v>
      </c>
      <c r="E46" s="18">
        <v>1</v>
      </c>
      <c r="F46" s="52">
        <f t="shared" si="51"/>
        <v>0</v>
      </c>
      <c r="G46" s="39">
        <f>H46*(References!$B$52)</f>
        <v>0.13689028391076155</v>
      </c>
      <c r="H46" s="288">
        <v>36.119999999999997</v>
      </c>
      <c r="I46" s="319">
        <f t="shared" si="59"/>
        <v>36.256890283910757</v>
      </c>
      <c r="J46" s="39">
        <f>H46*F46</f>
        <v>0</v>
      </c>
      <c r="K46" s="39">
        <f>I46*F46</f>
        <v>0</v>
      </c>
      <c r="L46" s="39">
        <f t="shared" si="55"/>
        <v>0</v>
      </c>
      <c r="M46" s="41">
        <f t="shared" si="56"/>
        <v>36.256890283910757</v>
      </c>
      <c r="N46" s="41">
        <f>M46*F46</f>
        <v>0</v>
      </c>
      <c r="O46" s="41">
        <f t="shared" si="57"/>
        <v>0</v>
      </c>
      <c r="Q46" s="256">
        <f t="shared" si="58"/>
        <v>1.0037898749698437</v>
      </c>
    </row>
    <row r="47" spans="1:17">
      <c r="A47" s="291"/>
      <c r="B47" s="50" t="s">
        <v>132</v>
      </c>
      <c r="C47" s="57" t="s">
        <v>115</v>
      </c>
      <c r="D47" s="287">
        <v>0</v>
      </c>
      <c r="E47" s="18">
        <v>1</v>
      </c>
      <c r="F47" s="52">
        <f t="shared" si="51"/>
        <v>0</v>
      </c>
      <c r="G47" s="39">
        <f>H47*(References!$B$52)</f>
        <v>0.14867679506697606</v>
      </c>
      <c r="H47" s="288">
        <v>39.229999999999997</v>
      </c>
      <c r="I47" s="319">
        <f t="shared" ref="I47" si="60">G47+H47</f>
        <v>39.378676795066973</v>
      </c>
      <c r="J47" s="39">
        <f>H47*F47</f>
        <v>0</v>
      </c>
      <c r="K47" s="39">
        <f>I47*F47</f>
        <v>0</v>
      </c>
      <c r="L47" s="39">
        <f t="shared" si="55"/>
        <v>0</v>
      </c>
      <c r="M47" s="41">
        <f t="shared" si="56"/>
        <v>39.378676795066973</v>
      </c>
      <c r="N47" s="41">
        <f>M47*F47</f>
        <v>0</v>
      </c>
      <c r="O47" s="41">
        <f t="shared" si="57"/>
        <v>0</v>
      </c>
      <c r="Q47" s="256">
        <f t="shared" si="58"/>
        <v>1.003789874969844</v>
      </c>
    </row>
    <row r="48" spans="1:17">
      <c r="A48" s="291"/>
      <c r="B48" s="50" t="s">
        <v>132</v>
      </c>
      <c r="C48" s="57" t="s">
        <v>116</v>
      </c>
      <c r="D48" s="287">
        <v>3</v>
      </c>
      <c r="E48" s="18">
        <v>12</v>
      </c>
      <c r="F48" s="52">
        <f t="shared" si="51"/>
        <v>36</v>
      </c>
      <c r="G48" s="39">
        <f>H48*(References!$B$52)</f>
        <v>0.20090127215142498</v>
      </c>
      <c r="H48" s="288">
        <v>53.01</v>
      </c>
      <c r="I48" s="319">
        <f t="shared" ref="I48:I54" si="61">G48+H48</f>
        <v>53.210901272151425</v>
      </c>
      <c r="J48" s="39">
        <f>H48*F48</f>
        <v>1908.36</v>
      </c>
      <c r="K48" s="39">
        <f>I48*F48</f>
        <v>1915.5924457974513</v>
      </c>
      <c r="L48" s="39">
        <f t="shared" si="55"/>
        <v>-7.2324457974514189</v>
      </c>
      <c r="M48" s="41">
        <f t="shared" si="56"/>
        <v>53.210901272151425</v>
      </c>
      <c r="N48" s="41">
        <f>M48*F48</f>
        <v>1915.5924457974513</v>
      </c>
      <c r="O48" s="41">
        <f t="shared" si="57"/>
        <v>7.2324457974514189</v>
      </c>
      <c r="Q48" s="256">
        <f t="shared" si="58"/>
        <v>1.003789874969844</v>
      </c>
    </row>
    <row r="49" spans="1:17">
      <c r="A49" s="291"/>
      <c r="B49" s="50" t="s">
        <v>132</v>
      </c>
      <c r="C49" s="57" t="s">
        <v>289</v>
      </c>
      <c r="D49" s="287">
        <v>0</v>
      </c>
      <c r="E49" s="18">
        <v>1</v>
      </c>
      <c r="F49" s="52">
        <f t="shared" si="51"/>
        <v>0</v>
      </c>
      <c r="G49" s="39">
        <f>H49*(References!$B$52)</f>
        <v>0.21204350456276605</v>
      </c>
      <c r="H49" s="288">
        <v>55.95</v>
      </c>
      <c r="I49" s="319">
        <f t="shared" si="61"/>
        <v>56.162043504562767</v>
      </c>
      <c r="J49" s="39">
        <f>H49*F49</f>
        <v>0</v>
      </c>
      <c r="K49" s="39">
        <f>I49*F49</f>
        <v>0</v>
      </c>
      <c r="L49" s="39">
        <f t="shared" si="55"/>
        <v>0</v>
      </c>
      <c r="M49" s="41">
        <f t="shared" si="56"/>
        <v>56.162043504562767</v>
      </c>
      <c r="N49" s="41">
        <f>M49*F49</f>
        <v>0</v>
      </c>
      <c r="O49" s="41">
        <f t="shared" si="57"/>
        <v>0</v>
      </c>
      <c r="Q49" s="256">
        <f t="shared" si="58"/>
        <v>1.003789874969844</v>
      </c>
    </row>
    <row r="50" spans="1:17">
      <c r="A50" s="291"/>
      <c r="B50" s="50" t="s">
        <v>132</v>
      </c>
      <c r="C50" s="57" t="s">
        <v>290</v>
      </c>
      <c r="D50" s="287">
        <v>290.1729771172445</v>
      </c>
      <c r="E50" s="18">
        <v>12</v>
      </c>
      <c r="F50" s="52">
        <f t="shared" si="51"/>
        <v>3482.075725406934</v>
      </c>
      <c r="G50" s="39">
        <f>H50*(References!$B$52)</f>
        <v>5.5526996743113996E-2</v>
      </c>
      <c r="H50" s="288">
        <v>14.651405965881013</v>
      </c>
      <c r="I50" s="319">
        <f t="shared" si="61"/>
        <v>14.706932962624126</v>
      </c>
      <c r="J50" s="39">
        <f>H50*F50</f>
        <v>51017.305056876612</v>
      </c>
      <c r="K50" s="39">
        <f>I50*F50</f>
        <v>51210.654264340556</v>
      </c>
      <c r="L50" s="39">
        <f t="shared" si="55"/>
        <v>-193.34920746394346</v>
      </c>
      <c r="M50" s="41">
        <f t="shared" si="56"/>
        <v>14.706932962624126</v>
      </c>
      <c r="N50" s="41">
        <f>M50*F50</f>
        <v>51210.654264340556</v>
      </c>
      <c r="O50" s="41">
        <f t="shared" si="57"/>
        <v>193.34920746394346</v>
      </c>
      <c r="Q50" s="256">
        <f t="shared" si="58"/>
        <v>1.003789874969844</v>
      </c>
    </row>
    <row r="51" spans="1:17">
      <c r="A51" s="291"/>
      <c r="B51" s="50" t="s">
        <v>132</v>
      </c>
      <c r="C51" s="57" t="s">
        <v>293</v>
      </c>
      <c r="D51" s="287">
        <v>0</v>
      </c>
      <c r="E51" s="18">
        <v>1</v>
      </c>
      <c r="F51" s="52">
        <f t="shared" si="51"/>
        <v>0</v>
      </c>
      <c r="G51" s="39">
        <f>H51*(References!$B$52)</f>
        <v>0.11125047967427863</v>
      </c>
      <c r="H51" s="288">
        <v>29.354656963488424</v>
      </c>
      <c r="I51" s="319">
        <f t="shared" si="61"/>
        <v>29.465907443162703</v>
      </c>
      <c r="J51" s="39">
        <f>H51*F51</f>
        <v>0</v>
      </c>
      <c r="K51" s="39">
        <f>I51*F51</f>
        <v>0</v>
      </c>
      <c r="L51" s="39">
        <f t="shared" si="55"/>
        <v>0</v>
      </c>
      <c r="M51" s="41">
        <f t="shared" si="56"/>
        <v>29.465907443162703</v>
      </c>
      <c r="N51" s="41">
        <f>M51*F51</f>
        <v>0</v>
      </c>
      <c r="O51" s="41">
        <f t="shared" si="57"/>
        <v>0</v>
      </c>
      <c r="Q51" s="256">
        <f t="shared" si="58"/>
        <v>1.003789874969844</v>
      </c>
    </row>
    <row r="52" spans="1:17">
      <c r="A52" s="291"/>
      <c r="B52" s="50" t="s">
        <v>132</v>
      </c>
      <c r="C52" s="57" t="s">
        <v>291</v>
      </c>
      <c r="D52" s="287">
        <v>47.267162818955057</v>
      </c>
      <c r="E52" s="18">
        <v>12</v>
      </c>
      <c r="F52" s="52">
        <f t="shared" si="51"/>
        <v>567.20595382746069</v>
      </c>
      <c r="G52" s="39">
        <f>H52*(References!$B$52)</f>
        <v>6.4683253106274333E-2</v>
      </c>
      <c r="H52" s="288">
        <v>17.067384444331314</v>
      </c>
      <c r="I52" s="319">
        <f t="shared" si="61"/>
        <v>17.132067697437588</v>
      </c>
      <c r="J52" s="39">
        <f>H52*F52</f>
        <v>9680.7220730869085</v>
      </c>
      <c r="K52" s="39">
        <f>I52*F52</f>
        <v>9717.4107993617145</v>
      </c>
      <c r="L52" s="39">
        <f t="shared" si="55"/>
        <v>-36.688726274805958</v>
      </c>
      <c r="M52" s="41">
        <f t="shared" si="56"/>
        <v>17.132067697437588</v>
      </c>
      <c r="N52" s="41">
        <f>M52*F52</f>
        <v>9717.4107993617145</v>
      </c>
      <c r="O52" s="41">
        <f t="shared" si="57"/>
        <v>36.688726274805958</v>
      </c>
      <c r="Q52" s="256">
        <f t="shared" si="58"/>
        <v>1.003789874969844</v>
      </c>
    </row>
    <row r="53" spans="1:17">
      <c r="A53" s="291"/>
      <c r="B53" s="50" t="s">
        <v>132</v>
      </c>
      <c r="C53" s="57" t="s">
        <v>292</v>
      </c>
      <c r="D53" s="287">
        <v>252.36474056603777</v>
      </c>
      <c r="E53" s="18">
        <v>12</v>
      </c>
      <c r="F53" s="52">
        <f t="shared" si="51"/>
        <v>3028.3768867924532</v>
      </c>
      <c r="G53" s="39">
        <f>H53*(References!$B$52)</f>
        <v>8.3310143733476047E-2</v>
      </c>
      <c r="H53" s="288">
        <v>21.982293451994156</v>
      </c>
      <c r="I53" s="319">
        <f t="shared" si="61"/>
        <v>22.065603595727634</v>
      </c>
      <c r="J53" s="39">
        <f>H53*F53</f>
        <v>66570.669408708185</v>
      </c>
      <c r="K53" s="39">
        <f>I53*F53</f>
        <v>66822.963922426017</v>
      </c>
      <c r="L53" s="39">
        <f t="shared" si="55"/>
        <v>-252.29451371783216</v>
      </c>
      <c r="M53" s="41">
        <f t="shared" si="56"/>
        <v>22.065603595727634</v>
      </c>
      <c r="N53" s="41">
        <f>M53*F53</f>
        <v>66822.963922426017</v>
      </c>
      <c r="O53" s="41">
        <f t="shared" si="57"/>
        <v>252.29451371783216</v>
      </c>
      <c r="Q53" s="256">
        <f t="shared" si="58"/>
        <v>1.003789874969844</v>
      </c>
    </row>
    <row r="54" spans="1:17">
      <c r="A54" s="291"/>
      <c r="B54" s="50" t="s">
        <v>132</v>
      </c>
      <c r="C54" s="57" t="s">
        <v>294</v>
      </c>
      <c r="D54" s="287">
        <v>0</v>
      </c>
      <c r="E54" s="18">
        <v>1</v>
      </c>
      <c r="F54" s="52">
        <f t="shared" si="51"/>
        <v>0</v>
      </c>
      <c r="G54" s="39">
        <f>H54*(References!$B$52)</f>
        <v>0.16980336371337265</v>
      </c>
      <c r="H54" s="288">
        <v>44.804476417956018</v>
      </c>
      <c r="I54" s="319">
        <f t="shared" si="61"/>
        <v>44.974279781669388</v>
      </c>
      <c r="J54" s="39">
        <f>H54*F54</f>
        <v>0</v>
      </c>
      <c r="K54" s="39">
        <f>I54*F54</f>
        <v>0</v>
      </c>
      <c r="L54" s="39">
        <f t="shared" si="55"/>
        <v>0</v>
      </c>
      <c r="M54" s="41">
        <f t="shared" si="56"/>
        <v>44.974279781669388</v>
      </c>
      <c r="N54" s="41">
        <f>M54*F54</f>
        <v>0</v>
      </c>
      <c r="O54" s="41">
        <f t="shared" si="57"/>
        <v>0</v>
      </c>
      <c r="Q54" s="256">
        <f t="shared" si="58"/>
        <v>1.003789874969844</v>
      </c>
    </row>
    <row r="55" spans="1:17">
      <c r="A55" s="291"/>
      <c r="B55" s="50" t="s">
        <v>132</v>
      </c>
      <c r="C55" s="57" t="s">
        <v>137</v>
      </c>
      <c r="D55" s="64">
        <v>0</v>
      </c>
      <c r="E55" s="18">
        <v>1</v>
      </c>
      <c r="F55" s="52">
        <f t="shared" si="51"/>
        <v>0</v>
      </c>
      <c r="G55" s="39">
        <f>H55*(References!$B$52)</f>
        <v>1.6789146116408464E-2</v>
      </c>
      <c r="H55" s="260">
        <v>4.43</v>
      </c>
      <c r="I55" s="319">
        <f t="shared" ref="I55" si="62">G55+H55</f>
        <v>4.4467891461164077</v>
      </c>
      <c r="J55" s="39">
        <f>H55*F55</f>
        <v>0</v>
      </c>
      <c r="K55" s="39">
        <f>I55*F55</f>
        <v>0</v>
      </c>
      <c r="L55" s="39">
        <f t="shared" ref="L55" si="63">J55-K55</f>
        <v>0</v>
      </c>
      <c r="M55" s="41">
        <f t="shared" ref="M55" si="64">I55</f>
        <v>4.4467891461164077</v>
      </c>
      <c r="N55" s="41">
        <f>M55*F55</f>
        <v>0</v>
      </c>
      <c r="O55" s="41">
        <f t="shared" ref="O55" si="65">N55-J55</f>
        <v>0</v>
      </c>
      <c r="Q55" s="256">
        <f t="shared" ref="Q55" si="66">M55/H55</f>
        <v>1.0037898749698437</v>
      </c>
    </row>
    <row r="56" spans="1:17">
      <c r="A56" s="291"/>
      <c r="B56" s="50" t="s">
        <v>132</v>
      </c>
      <c r="C56" s="57" t="s">
        <v>124</v>
      </c>
      <c r="D56" s="64">
        <v>0</v>
      </c>
      <c r="E56" s="18">
        <v>1</v>
      </c>
      <c r="F56" s="52">
        <f t="shared" si="51"/>
        <v>0</v>
      </c>
      <c r="G56" s="39">
        <f>H56*(References!$B$52)</f>
        <v>0.10476643546860714</v>
      </c>
      <c r="H56" s="260">
        <v>27.64377091651718</v>
      </c>
      <c r="I56" s="319">
        <f t="shared" ref="I56:I60" si="67">G56+H56</f>
        <v>27.748537351985789</v>
      </c>
      <c r="J56" s="39">
        <f>H56*F56</f>
        <v>0</v>
      </c>
      <c r="K56" s="39">
        <f>I56*F56</f>
        <v>0</v>
      </c>
      <c r="L56" s="39">
        <f t="shared" ref="L56:L60" si="68">J56-K56</f>
        <v>0</v>
      </c>
      <c r="M56" s="41">
        <f t="shared" ref="M56:M60" si="69">I56</f>
        <v>27.748537351985789</v>
      </c>
      <c r="N56" s="41">
        <f>M56*F56</f>
        <v>0</v>
      </c>
      <c r="O56" s="41">
        <f t="shared" ref="O56:O60" si="70">N56-J56</f>
        <v>0</v>
      </c>
      <c r="Q56" s="256">
        <f t="shared" ref="Q56:Q60" si="71">M56/H56</f>
        <v>1.003789874969844</v>
      </c>
    </row>
    <row r="57" spans="1:17">
      <c r="A57" s="291"/>
      <c r="B57" s="50" t="s">
        <v>132</v>
      </c>
      <c r="C57" s="57" t="s">
        <v>125</v>
      </c>
      <c r="D57" s="64">
        <v>0</v>
      </c>
      <c r="E57" s="18">
        <v>1</v>
      </c>
      <c r="F57" s="52">
        <f t="shared" si="51"/>
        <v>0</v>
      </c>
      <c r="G57" s="39">
        <f>H57*(References!$B$52)</f>
        <v>0.1311348819050045</v>
      </c>
      <c r="H57" s="260">
        <v>34.601374174200231</v>
      </c>
      <c r="I57" s="319">
        <f t="shared" si="67"/>
        <v>34.732509056105236</v>
      </c>
      <c r="J57" s="39">
        <f>H57*F57</f>
        <v>0</v>
      </c>
      <c r="K57" s="39">
        <f>I57*F57</f>
        <v>0</v>
      </c>
      <c r="L57" s="39">
        <f t="shared" si="68"/>
        <v>0</v>
      </c>
      <c r="M57" s="41">
        <f t="shared" si="69"/>
        <v>34.732509056105236</v>
      </c>
      <c r="N57" s="41">
        <f>M57*F57</f>
        <v>0</v>
      </c>
      <c r="O57" s="41">
        <f t="shared" si="70"/>
        <v>0</v>
      </c>
      <c r="Q57" s="256">
        <f t="shared" si="71"/>
        <v>1.003789874969844</v>
      </c>
    </row>
    <row r="58" spans="1:17">
      <c r="A58" s="291"/>
      <c r="B58" s="50" t="s">
        <v>132</v>
      </c>
      <c r="C58" s="57" t="s">
        <v>119</v>
      </c>
      <c r="D58" s="287">
        <v>1</v>
      </c>
      <c r="E58" s="18">
        <v>12</v>
      </c>
      <c r="F58" s="52">
        <f t="shared" si="51"/>
        <v>12</v>
      </c>
      <c r="G58" s="39">
        <f>H58*(References!$B$52)</f>
        <v>0.17447973498897815</v>
      </c>
      <c r="H58" s="288">
        <v>46.038388173044368</v>
      </c>
      <c r="I58" s="319">
        <f t="shared" si="67"/>
        <v>46.212867908033346</v>
      </c>
      <c r="J58" s="39">
        <f>H58*F58</f>
        <v>552.46065807653235</v>
      </c>
      <c r="K58" s="39">
        <f>I58*F58</f>
        <v>554.5544148964002</v>
      </c>
      <c r="L58" s="39">
        <f t="shared" si="68"/>
        <v>-2.0937568198678491</v>
      </c>
      <c r="M58" s="41">
        <f t="shared" si="69"/>
        <v>46.212867908033346</v>
      </c>
      <c r="N58" s="41">
        <f>M58*F58</f>
        <v>554.5544148964002</v>
      </c>
      <c r="O58" s="41">
        <f t="shared" si="70"/>
        <v>2.0937568198678491</v>
      </c>
      <c r="Q58" s="256">
        <f t="shared" si="71"/>
        <v>1.003789874969844</v>
      </c>
    </row>
    <row r="59" spans="1:17">
      <c r="A59" s="291"/>
      <c r="B59" s="50" t="s">
        <v>132</v>
      </c>
      <c r="C59" s="57" t="s">
        <v>295</v>
      </c>
      <c r="D59" s="64">
        <v>0</v>
      </c>
      <c r="E59" s="18">
        <v>1</v>
      </c>
      <c r="F59" s="52">
        <f t="shared" si="51"/>
        <v>0</v>
      </c>
      <c r="G59" s="39">
        <f>H59*(References!$B$52)</f>
        <v>6.0910718295701834E-3</v>
      </c>
      <c r="H59" s="260">
        <v>1.6071959835184408</v>
      </c>
      <c r="I59" s="319">
        <f t="shared" si="67"/>
        <v>1.613287055348011</v>
      </c>
      <c r="J59" s="39">
        <f>H59*F59</f>
        <v>0</v>
      </c>
      <c r="K59" s="39">
        <f>I59*F59</f>
        <v>0</v>
      </c>
      <c r="L59" s="39">
        <f t="shared" si="68"/>
        <v>0</v>
      </c>
      <c r="M59" s="41">
        <f t="shared" si="69"/>
        <v>1.613287055348011</v>
      </c>
      <c r="N59" s="41">
        <f>M59*F59</f>
        <v>0</v>
      </c>
      <c r="O59" s="41">
        <f t="shared" si="70"/>
        <v>0</v>
      </c>
      <c r="Q59" s="256">
        <f t="shared" si="71"/>
        <v>1.003789874969844</v>
      </c>
    </row>
    <row r="60" spans="1:17">
      <c r="A60" s="291"/>
      <c r="B60" s="50" t="s">
        <v>132</v>
      </c>
      <c r="C60" s="57" t="s">
        <v>296</v>
      </c>
      <c r="D60" s="64">
        <v>0</v>
      </c>
      <c r="E60" s="18">
        <v>1</v>
      </c>
      <c r="F60" s="52">
        <f t="shared" si="51"/>
        <v>0</v>
      </c>
      <c r="G60" s="39">
        <f>H60*(References!$B$52)</f>
        <v>6.6412331561120051E-3</v>
      </c>
      <c r="H60" s="260">
        <v>1.7523620723523643</v>
      </c>
      <c r="I60" s="319">
        <f t="shared" si="67"/>
        <v>1.7590033055084764</v>
      </c>
      <c r="J60" s="39">
        <f>H60*F60</f>
        <v>0</v>
      </c>
      <c r="K60" s="39">
        <f>I60*F60</f>
        <v>0</v>
      </c>
      <c r="L60" s="39">
        <f t="shared" si="68"/>
        <v>0</v>
      </c>
      <c r="M60" s="41">
        <f t="shared" si="69"/>
        <v>1.7590033055084764</v>
      </c>
      <c r="N60" s="41">
        <f>M60*F60</f>
        <v>0</v>
      </c>
      <c r="O60" s="41">
        <f t="shared" si="70"/>
        <v>0</v>
      </c>
      <c r="Q60" s="256">
        <f t="shared" si="71"/>
        <v>1.003789874969844</v>
      </c>
    </row>
    <row r="61" spans="1:17">
      <c r="A61" s="291"/>
      <c r="B61" s="50" t="s">
        <v>132</v>
      </c>
      <c r="C61" s="57" t="s">
        <v>297</v>
      </c>
      <c r="D61" s="64">
        <v>0</v>
      </c>
      <c r="E61" s="18">
        <v>1</v>
      </c>
      <c r="F61" s="52">
        <f t="shared" si="51"/>
        <v>0</v>
      </c>
      <c r="G61" s="39">
        <f>H61*(References!$B$52)</f>
        <v>8.2917171357374739E-3</v>
      </c>
      <c r="H61" s="260">
        <v>2.1878603388541351</v>
      </c>
      <c r="I61" s="319">
        <f t="shared" ref="I61" si="72">G61+H61</f>
        <v>2.1961520559898724</v>
      </c>
      <c r="J61" s="39">
        <f>H61*F61</f>
        <v>0</v>
      </c>
      <c r="K61" s="39">
        <f>I61*F61</f>
        <v>0</v>
      </c>
      <c r="L61" s="39">
        <f t="shared" ref="L61" si="73">J61-K61</f>
        <v>0</v>
      </c>
      <c r="M61" s="41">
        <f t="shared" ref="M61" si="74">I61</f>
        <v>2.1961520559898724</v>
      </c>
      <c r="N61" s="41">
        <f>M61*F61</f>
        <v>0</v>
      </c>
      <c r="O61" s="41">
        <f t="shared" ref="O61" si="75">N61-J61</f>
        <v>0</v>
      </c>
      <c r="Q61" s="256">
        <f t="shared" ref="Q61" si="76">M61/H61</f>
        <v>1.0037898749698437</v>
      </c>
    </row>
    <row r="62" spans="1:17">
      <c r="A62" s="291"/>
      <c r="B62" s="50" t="s">
        <v>132</v>
      </c>
      <c r="C62" s="57" t="s">
        <v>298</v>
      </c>
      <c r="D62" s="64">
        <v>0</v>
      </c>
      <c r="E62" s="18">
        <v>1</v>
      </c>
      <c r="F62" s="52">
        <f t="shared" si="51"/>
        <v>0</v>
      </c>
      <c r="G62" s="39">
        <f>H62*(References!$B$52)</f>
        <v>0.15557776369850554</v>
      </c>
      <c r="H62" s="260">
        <v>41.050896120964566</v>
      </c>
      <c r="I62" s="319">
        <f t="shared" ref="I62:I67" si="77">G62+H62</f>
        <v>41.206473884663069</v>
      </c>
      <c r="J62" s="39">
        <f>H62*F62</f>
        <v>0</v>
      </c>
      <c r="K62" s="39">
        <f>I62*F62</f>
        <v>0</v>
      </c>
      <c r="L62" s="39">
        <f t="shared" ref="L62:L67" si="78">J62-K62</f>
        <v>0</v>
      </c>
      <c r="M62" s="41">
        <f t="shared" ref="M62:M67" si="79">I62</f>
        <v>41.206473884663069</v>
      </c>
      <c r="N62" s="41">
        <f>M62*F62</f>
        <v>0</v>
      </c>
      <c r="O62" s="41">
        <f t="shared" ref="O62:O67" si="80">N62-J62</f>
        <v>0</v>
      </c>
      <c r="Q62" s="256">
        <f t="shared" ref="Q62:Q67" si="81">M62/H62</f>
        <v>1.0037898749698437</v>
      </c>
    </row>
    <row r="63" spans="1:17">
      <c r="A63" s="291"/>
      <c r="B63" s="50" t="s">
        <v>132</v>
      </c>
      <c r="C63" s="57" t="s">
        <v>299</v>
      </c>
      <c r="D63" s="64">
        <v>0</v>
      </c>
      <c r="E63" s="18">
        <v>1</v>
      </c>
      <c r="F63" s="52">
        <f t="shared" si="51"/>
        <v>0</v>
      </c>
      <c r="G63" s="39">
        <f>H63*(References!$B$52)</f>
        <v>0.15557776369850554</v>
      </c>
      <c r="H63" s="260">
        <v>41.050896120964566</v>
      </c>
      <c r="I63" s="319">
        <f t="shared" si="77"/>
        <v>41.206473884663069</v>
      </c>
      <c r="J63" s="39">
        <f>H63*F63</f>
        <v>0</v>
      </c>
      <c r="K63" s="39">
        <f>I63*F63</f>
        <v>0</v>
      </c>
      <c r="L63" s="39">
        <f t="shared" si="78"/>
        <v>0</v>
      </c>
      <c r="M63" s="41">
        <f t="shared" si="79"/>
        <v>41.206473884663069</v>
      </c>
      <c r="N63" s="41">
        <f>M63*F63</f>
        <v>0</v>
      </c>
      <c r="O63" s="41">
        <f t="shared" si="80"/>
        <v>0</v>
      </c>
      <c r="Q63" s="256">
        <f t="shared" si="81"/>
        <v>1.0037898749698437</v>
      </c>
    </row>
    <row r="64" spans="1:17">
      <c r="A64" s="291"/>
      <c r="B64" s="50" t="s">
        <v>132</v>
      </c>
      <c r="C64" s="57" t="s">
        <v>300</v>
      </c>
      <c r="D64" s="64">
        <v>0</v>
      </c>
      <c r="E64" s="18">
        <v>1</v>
      </c>
      <c r="F64" s="52">
        <f t="shared" si="51"/>
        <v>0</v>
      </c>
      <c r="G64" s="39">
        <f>H64*(References!$B$52)</f>
        <v>0.15557776369850554</v>
      </c>
      <c r="H64" s="260">
        <v>41.050896120964566</v>
      </c>
      <c r="I64" s="319">
        <f t="shared" si="77"/>
        <v>41.206473884663069</v>
      </c>
      <c r="J64" s="39">
        <f>H64*F64</f>
        <v>0</v>
      </c>
      <c r="K64" s="39">
        <f>I64*F64</f>
        <v>0</v>
      </c>
      <c r="L64" s="39">
        <f t="shared" si="78"/>
        <v>0</v>
      </c>
      <c r="M64" s="41">
        <f t="shared" si="79"/>
        <v>41.206473884663069</v>
      </c>
      <c r="N64" s="41">
        <f>M64*F64</f>
        <v>0</v>
      </c>
      <c r="O64" s="41">
        <f t="shared" si="80"/>
        <v>0</v>
      </c>
      <c r="Q64" s="256">
        <f t="shared" si="81"/>
        <v>1.0037898749698437</v>
      </c>
    </row>
    <row r="65" spans="1:17">
      <c r="A65" s="291"/>
      <c r="B65" s="50" t="s">
        <v>132</v>
      </c>
      <c r="C65" s="57" t="s">
        <v>301</v>
      </c>
      <c r="D65" s="64">
        <v>0</v>
      </c>
      <c r="E65" s="18">
        <v>1</v>
      </c>
      <c r="F65" s="52">
        <f t="shared" si="51"/>
        <v>0</v>
      </c>
      <c r="G65" s="39">
        <f>H65*(References!$B$52)</f>
        <v>0.18328231621364729</v>
      </c>
      <c r="H65" s="260">
        <v>48.361045594387143</v>
      </c>
      <c r="I65" s="319">
        <f t="shared" si="77"/>
        <v>48.544327910600792</v>
      </c>
      <c r="J65" s="39">
        <f>H65*F65</f>
        <v>0</v>
      </c>
      <c r="K65" s="39">
        <f>I65*F65</f>
        <v>0</v>
      </c>
      <c r="L65" s="39">
        <f t="shared" si="78"/>
        <v>0</v>
      </c>
      <c r="M65" s="41">
        <f t="shared" si="79"/>
        <v>48.544327910600792</v>
      </c>
      <c r="N65" s="41">
        <f>M65*F65</f>
        <v>0</v>
      </c>
      <c r="O65" s="41">
        <f t="shared" si="80"/>
        <v>0</v>
      </c>
      <c r="Q65" s="256">
        <f t="shared" si="81"/>
        <v>1.003789874969844</v>
      </c>
    </row>
    <row r="66" spans="1:17">
      <c r="A66" s="291"/>
      <c r="B66" s="50" t="s">
        <v>132</v>
      </c>
      <c r="C66" s="57" t="s">
        <v>302</v>
      </c>
      <c r="D66" s="64">
        <v>0</v>
      </c>
      <c r="E66" s="18">
        <v>1</v>
      </c>
      <c r="F66" s="52">
        <f t="shared" si="51"/>
        <v>0</v>
      </c>
      <c r="G66" s="39">
        <f>H66*(References!$B$52)</f>
        <v>0.20544595822576076</v>
      </c>
      <c r="H66" s="260">
        <v>54.209165173125214</v>
      </c>
      <c r="I66" s="319">
        <f t="shared" si="77"/>
        <v>54.414611131350973</v>
      </c>
      <c r="J66" s="39">
        <f>H66*F66</f>
        <v>0</v>
      </c>
      <c r="K66" s="39">
        <f>I66*F66</f>
        <v>0</v>
      </c>
      <c r="L66" s="39">
        <f t="shared" si="78"/>
        <v>0</v>
      </c>
      <c r="M66" s="41">
        <f t="shared" si="79"/>
        <v>54.414611131350973</v>
      </c>
      <c r="N66" s="41">
        <f>M66*F66</f>
        <v>0</v>
      </c>
      <c r="O66" s="41">
        <f t="shared" si="80"/>
        <v>0</v>
      </c>
      <c r="Q66" s="256">
        <f t="shared" si="81"/>
        <v>1.003789874969844</v>
      </c>
    </row>
    <row r="67" spans="1:17">
      <c r="A67" s="291"/>
      <c r="B67" s="50" t="s">
        <v>132</v>
      </c>
      <c r="C67" s="57" t="s">
        <v>303</v>
      </c>
      <c r="D67" s="64">
        <v>0</v>
      </c>
      <c r="E67" s="18">
        <v>1</v>
      </c>
      <c r="F67" s="52">
        <f t="shared" si="51"/>
        <v>0</v>
      </c>
      <c r="G67" s="39">
        <f>H67*(References!$B$52)</f>
        <v>0.24438952069739978</v>
      </c>
      <c r="H67" s="260">
        <v>64.484850461297953</v>
      </c>
      <c r="I67" s="319">
        <f t="shared" si="77"/>
        <v>64.729239981995349</v>
      </c>
      <c r="J67" s="39">
        <f>H67*F67</f>
        <v>0</v>
      </c>
      <c r="K67" s="39">
        <f>I67*F67</f>
        <v>0</v>
      </c>
      <c r="L67" s="39">
        <f t="shared" si="78"/>
        <v>0</v>
      </c>
      <c r="M67" s="41">
        <f t="shared" si="79"/>
        <v>64.729239981995349</v>
      </c>
      <c r="N67" s="41">
        <f>M67*F67</f>
        <v>0</v>
      </c>
      <c r="O67" s="41">
        <f t="shared" si="80"/>
        <v>0</v>
      </c>
      <c r="Q67" s="256">
        <f t="shared" si="81"/>
        <v>1.0037898749698437</v>
      </c>
    </row>
    <row r="68" spans="1:17">
      <c r="A68" s="291"/>
      <c r="B68" s="50" t="s">
        <v>133</v>
      </c>
      <c r="C68" s="54" t="s">
        <v>121</v>
      </c>
      <c r="D68" s="287">
        <v>355.3306</v>
      </c>
      <c r="E68" s="18">
        <v>12</v>
      </c>
      <c r="F68" s="52">
        <f t="shared" si="51"/>
        <v>4263.9672</v>
      </c>
      <c r="G68" s="39">
        <f>H68*(References!$B$52)</f>
        <v>1.7880243112609245E-2</v>
      </c>
      <c r="H68" s="288">
        <v>4.7178978871025192</v>
      </c>
      <c r="I68" s="319">
        <f t="shared" si="59"/>
        <v>4.7357781302151283</v>
      </c>
      <c r="J68" s="39">
        <f>H68*F68</f>
        <v>20116.961843554443</v>
      </c>
      <c r="K68" s="39">
        <f>I68*F68</f>
        <v>20193.202613714635</v>
      </c>
      <c r="L68" s="39">
        <f t="shared" ref="L68:L113" si="82">J68-K68</f>
        <v>-76.24077016019146</v>
      </c>
      <c r="M68" s="41">
        <f t="shared" si="48"/>
        <v>4.7357781302151283</v>
      </c>
      <c r="N68" s="41">
        <f>M68*F68</f>
        <v>20193.202613714635</v>
      </c>
      <c r="O68" s="41">
        <f t="shared" si="49"/>
        <v>76.24077016019146</v>
      </c>
      <c r="Q68" s="256">
        <f t="shared" si="50"/>
        <v>1.003789874969844</v>
      </c>
    </row>
    <row r="69" spans="1:17">
      <c r="A69" s="58"/>
      <c r="B69" s="50" t="s">
        <v>133</v>
      </c>
      <c r="C69" s="54" t="s">
        <v>122</v>
      </c>
      <c r="D69" s="287">
        <v>86.665999999999997</v>
      </c>
      <c r="E69" s="18">
        <v>13</v>
      </c>
      <c r="F69" s="52">
        <f t="shared" si="51"/>
        <v>1126.6579999999999</v>
      </c>
      <c r="G69" s="39">
        <f>H69*(References!$B$52)</f>
        <v>2.5228826545703596E-2</v>
      </c>
      <c r="H69" s="288">
        <v>6.6569020736699285</v>
      </c>
      <c r="I69" s="319">
        <f t="shared" ref="I69:I70" si="83">G69+H69</f>
        <v>6.6821309002156317</v>
      </c>
      <c r="J69" s="39">
        <f>H69*F69</f>
        <v>7500.0519765168137</v>
      </c>
      <c r="K69" s="39">
        <f>I69*F69</f>
        <v>7528.4762357751424</v>
      </c>
      <c r="L69" s="39">
        <f t="shared" ref="L69:L70" si="84">J69-K69</f>
        <v>-28.424259258328675</v>
      </c>
      <c r="M69" s="41">
        <f t="shared" ref="M69:M70" si="85">I69</f>
        <v>6.6821309002156317</v>
      </c>
      <c r="N69" s="41">
        <f>M69*F69</f>
        <v>7528.4762357751424</v>
      </c>
      <c r="O69" s="41">
        <f t="shared" ref="O69:O70" si="86">N69-J69</f>
        <v>28.424259258328675</v>
      </c>
      <c r="Q69" s="256">
        <f t="shared" ref="Q69:Q70" si="87">M69/H69</f>
        <v>1.003789874969844</v>
      </c>
    </row>
    <row r="70" spans="1:17">
      <c r="A70" s="58"/>
      <c r="B70" s="50" t="s">
        <v>133</v>
      </c>
      <c r="C70" s="54" t="s">
        <v>123</v>
      </c>
      <c r="D70" s="287">
        <v>99.665899999999993</v>
      </c>
      <c r="E70" s="18">
        <v>14</v>
      </c>
      <c r="F70" s="52">
        <f t="shared" si="51"/>
        <v>1395.3226</v>
      </c>
      <c r="G70" s="39">
        <f>H70*(References!$B$52)</f>
        <v>3.6625025452641354E-2</v>
      </c>
      <c r="H70" s="288">
        <v>9.6639139138012045</v>
      </c>
      <c r="I70" s="319">
        <f t="shared" si="83"/>
        <v>9.7005389392538461</v>
      </c>
      <c r="J70" s="39">
        <f>H70*F70</f>
        <v>13484.277488381273</v>
      </c>
      <c r="K70" s="39">
        <f>I70*F70</f>
        <v>13535.381214120918</v>
      </c>
      <c r="L70" s="39">
        <f t="shared" si="84"/>
        <v>-51.103725739645597</v>
      </c>
      <c r="M70" s="41">
        <f t="shared" si="85"/>
        <v>9.7005389392538461</v>
      </c>
      <c r="N70" s="41">
        <f>M70*F70</f>
        <v>13535.381214120918</v>
      </c>
      <c r="O70" s="41">
        <f t="shared" si="86"/>
        <v>51.103725739645597</v>
      </c>
      <c r="Q70" s="256">
        <f t="shared" si="87"/>
        <v>1.003789874969844</v>
      </c>
    </row>
    <row r="71" spans="1:17">
      <c r="A71" s="58"/>
      <c r="B71" s="50" t="s">
        <v>133</v>
      </c>
      <c r="C71" s="57" t="s">
        <v>109</v>
      </c>
      <c r="D71" s="287">
        <v>96.499300000000005</v>
      </c>
      <c r="E71" s="18">
        <v>12</v>
      </c>
      <c r="F71" s="52">
        <f t="shared" si="51"/>
        <v>1157.9916000000001</v>
      </c>
      <c r="G71" s="39">
        <f>H71*(References!$B$52)</f>
        <v>0.10319454596420194</v>
      </c>
      <c r="H71" s="260">
        <v>27.229010662705971</v>
      </c>
      <c r="I71" s="319">
        <f t="shared" si="59"/>
        <v>27.332205208670171</v>
      </c>
      <c r="J71" s="39">
        <f>H71*F71</f>
        <v>31530.965623723951</v>
      </c>
      <c r="K71" s="39">
        <f>I71*F71</f>
        <v>31650.464041116305</v>
      </c>
      <c r="L71" s="39">
        <f t="shared" si="82"/>
        <v>-119.4984173923549</v>
      </c>
      <c r="M71" s="41">
        <f t="shared" si="48"/>
        <v>27.332205208670171</v>
      </c>
      <c r="N71" s="41">
        <f>M71*F71</f>
        <v>31650.464041116305</v>
      </c>
      <c r="O71" s="41">
        <f t="shared" si="49"/>
        <v>119.4984173923549</v>
      </c>
      <c r="Q71" s="256">
        <f t="shared" si="50"/>
        <v>1.0037898749698437</v>
      </c>
    </row>
    <row r="72" spans="1:17">
      <c r="A72" s="58"/>
      <c r="B72" s="50" t="s">
        <v>133</v>
      </c>
      <c r="C72" s="57" t="s">
        <v>287</v>
      </c>
      <c r="D72" s="287">
        <v>1</v>
      </c>
      <c r="E72" s="18">
        <v>12</v>
      </c>
      <c r="F72" s="52">
        <f t="shared" si="51"/>
        <v>12</v>
      </c>
      <c r="G72" s="39">
        <f>H72*(References!$B$52)</f>
        <v>0.10877475370484042</v>
      </c>
      <c r="H72" s="260">
        <v>28.701409563735766</v>
      </c>
      <c r="I72" s="319">
        <f t="shared" ref="I72" si="88">G72+H72</f>
        <v>28.810184317440605</v>
      </c>
      <c r="J72" s="39">
        <f>H72*F72</f>
        <v>344.41691476482919</v>
      </c>
      <c r="K72" s="39">
        <f>I72*F72</f>
        <v>345.72221180928727</v>
      </c>
      <c r="L72" s="39">
        <f t="shared" ref="L72" si="89">J72-K72</f>
        <v>-1.3052970444580865</v>
      </c>
      <c r="M72" s="41">
        <f t="shared" ref="M72" si="90">I72</f>
        <v>28.810184317440605</v>
      </c>
      <c r="N72" s="41">
        <f>M72*F72</f>
        <v>345.72221180928727</v>
      </c>
      <c r="O72" s="41">
        <f t="shared" ref="O72" si="91">N72-J72</f>
        <v>1.3052970444580865</v>
      </c>
      <c r="Q72" s="256">
        <f t="shared" ref="Q72" si="92">M72/H72</f>
        <v>1.003789874969844</v>
      </c>
    </row>
    <row r="73" spans="1:17">
      <c r="A73" s="58"/>
      <c r="B73" s="50" t="s">
        <v>133</v>
      </c>
      <c r="C73" s="57" t="s">
        <v>112</v>
      </c>
      <c r="D73" s="287">
        <v>123.4991</v>
      </c>
      <c r="E73" s="18">
        <v>12</v>
      </c>
      <c r="F73" s="52">
        <f t="shared" si="51"/>
        <v>1481.9892</v>
      </c>
      <c r="G73" s="39">
        <f>H73*(References!$B$52)</f>
        <v>0.1311348819050045</v>
      </c>
      <c r="H73" s="260">
        <v>34.601374174200231</v>
      </c>
      <c r="I73" s="319">
        <f t="shared" si="59"/>
        <v>34.732509056105236</v>
      </c>
      <c r="J73" s="39">
        <f>H73*F73</f>
        <v>51278.862831323662</v>
      </c>
      <c r="K73" s="39">
        <f>I73*F73</f>
        <v>51473.20331005015</v>
      </c>
      <c r="L73" s="39">
        <f t="shared" si="82"/>
        <v>-194.34047872648807</v>
      </c>
      <c r="M73" s="41">
        <f t="shared" si="48"/>
        <v>34.732509056105236</v>
      </c>
      <c r="N73" s="41">
        <f>M73*F73</f>
        <v>51473.20331005015</v>
      </c>
      <c r="O73" s="41">
        <f t="shared" si="49"/>
        <v>194.34047872648807</v>
      </c>
      <c r="Q73" s="256">
        <f t="shared" si="50"/>
        <v>1.003789874969844</v>
      </c>
    </row>
    <row r="74" spans="1:17" ht="15" customHeight="1">
      <c r="A74" s="58"/>
      <c r="B74" s="50" t="s">
        <v>133</v>
      </c>
      <c r="C74" s="57" t="s">
        <v>110</v>
      </c>
      <c r="D74" s="287">
        <v>140.8323</v>
      </c>
      <c r="E74" s="18">
        <v>12</v>
      </c>
      <c r="F74" s="52">
        <f t="shared" si="51"/>
        <v>1689.9875999999999</v>
      </c>
      <c r="G74" s="39">
        <f>H74*(References!$B$52)</f>
        <v>0.17447973498897815</v>
      </c>
      <c r="H74" s="260">
        <v>46.038388173044368</v>
      </c>
      <c r="I74" s="319">
        <f t="shared" si="59"/>
        <v>46.212867908033346</v>
      </c>
      <c r="J74" s="39">
        <f>H74*F74</f>
        <v>77804.305136431634</v>
      </c>
      <c r="K74" s="39">
        <f>I74*F74</f>
        <v>78099.173725014291</v>
      </c>
      <c r="L74" s="39">
        <f t="shared" si="82"/>
        <v>-294.86858858265623</v>
      </c>
      <c r="M74" s="41">
        <f t="shared" si="48"/>
        <v>46.212867908033346</v>
      </c>
      <c r="N74" s="41">
        <f>M74*F74</f>
        <v>78099.173725014291</v>
      </c>
      <c r="O74" s="41">
        <f t="shared" si="49"/>
        <v>294.86858858265623</v>
      </c>
      <c r="Q74" s="256">
        <f t="shared" si="50"/>
        <v>1.003789874969844</v>
      </c>
    </row>
    <row r="75" spans="1:17" ht="15" customHeight="1">
      <c r="A75" s="58"/>
      <c r="B75" s="50" t="s">
        <v>133</v>
      </c>
      <c r="C75" s="57" t="s">
        <v>288</v>
      </c>
      <c r="D75" s="287">
        <v>0</v>
      </c>
      <c r="E75" s="18">
        <v>12</v>
      </c>
      <c r="F75" s="52">
        <f t="shared" si="51"/>
        <v>0</v>
      </c>
      <c r="G75" s="39">
        <f>H75*(References!$B$52)</f>
        <v>0.18564015047025514</v>
      </c>
      <c r="H75" s="260">
        <v>48.983185975103964</v>
      </c>
      <c r="I75" s="319">
        <f t="shared" ref="I75" si="93">G75+H75</f>
        <v>49.16882612557422</v>
      </c>
      <c r="J75" s="39">
        <f>H75*F75</f>
        <v>0</v>
      </c>
      <c r="K75" s="39">
        <f>I75*F75</f>
        <v>0</v>
      </c>
      <c r="L75" s="39">
        <f t="shared" ref="L75" si="94">J75-K75</f>
        <v>0</v>
      </c>
      <c r="M75" s="41">
        <f t="shared" ref="M75" si="95">I75</f>
        <v>49.16882612557422</v>
      </c>
      <c r="N75" s="41">
        <f>M75*F75</f>
        <v>0</v>
      </c>
      <c r="O75" s="41">
        <f t="shared" ref="O75" si="96">N75-J75</f>
        <v>0</v>
      </c>
      <c r="Q75" s="256">
        <f t="shared" ref="Q75" si="97">M75/H75</f>
        <v>1.003789874969844</v>
      </c>
    </row>
    <row r="76" spans="1:17" ht="15" customHeight="1">
      <c r="A76" s="58"/>
      <c r="B76" s="50" t="s">
        <v>133</v>
      </c>
      <c r="C76" s="57" t="s">
        <v>134</v>
      </c>
      <c r="D76" s="64">
        <v>0</v>
      </c>
      <c r="E76" s="18">
        <v>1</v>
      </c>
      <c r="F76" s="52">
        <f t="shared" si="51"/>
        <v>0</v>
      </c>
      <c r="G76" s="39">
        <f>H76*(References!$B$52)</f>
        <v>5.8906559177585187E-2</v>
      </c>
      <c r="H76" s="260">
        <v>15.543140511575114</v>
      </c>
      <c r="I76" s="319">
        <f>G76+H76</f>
        <v>15.602047070752699</v>
      </c>
      <c r="J76" s="39">
        <f>H76*F76</f>
        <v>0</v>
      </c>
      <c r="K76" s="39">
        <f>I76*F76</f>
        <v>0</v>
      </c>
      <c r="L76" s="39">
        <f t="shared" ref="L76:L82" si="98">J76-K76</f>
        <v>0</v>
      </c>
      <c r="M76" s="41">
        <f t="shared" ref="M76:M82" si="99">I76</f>
        <v>15.602047070752699</v>
      </c>
      <c r="N76" s="41">
        <f>M76*F76</f>
        <v>0</v>
      </c>
      <c r="O76" s="41">
        <f t="shared" ref="O76:O82" si="100">N76-J76</f>
        <v>0</v>
      </c>
      <c r="Q76" s="256">
        <f t="shared" ref="Q76:Q82" si="101">M76/H76</f>
        <v>1.003789874969844</v>
      </c>
    </row>
    <row r="77" spans="1:17" ht="15" customHeight="1">
      <c r="A77" s="58"/>
      <c r="B77" s="50" t="s">
        <v>133</v>
      </c>
      <c r="C77" s="57" t="s">
        <v>135</v>
      </c>
      <c r="D77" s="64">
        <v>0</v>
      </c>
      <c r="E77" s="18">
        <v>1</v>
      </c>
      <c r="F77" s="52">
        <f t="shared" si="51"/>
        <v>0</v>
      </c>
      <c r="G77" s="39">
        <f>H77*(References!$B$52)</f>
        <v>6.1146501721362607E-2</v>
      </c>
      <c r="H77" s="260">
        <v>16.134173873256088</v>
      </c>
      <c r="I77" s="319">
        <f>G77+H77</f>
        <v>16.195320374977452</v>
      </c>
      <c r="J77" s="39">
        <f>H77*F77</f>
        <v>0</v>
      </c>
      <c r="K77" s="39">
        <f>I77*F77</f>
        <v>0</v>
      </c>
      <c r="L77" s="39">
        <f t="shared" si="98"/>
        <v>0</v>
      </c>
      <c r="M77" s="41">
        <f t="shared" si="99"/>
        <v>16.195320374977452</v>
      </c>
      <c r="N77" s="41">
        <f>M77*F77</f>
        <v>0</v>
      </c>
      <c r="O77" s="41">
        <f t="shared" si="100"/>
        <v>0</v>
      </c>
      <c r="Q77" s="256">
        <f t="shared" si="101"/>
        <v>1.003789874969844</v>
      </c>
    </row>
    <row r="78" spans="1:17" ht="15" customHeight="1">
      <c r="A78" s="58"/>
      <c r="B78" s="50" t="s">
        <v>133</v>
      </c>
      <c r="C78" s="57" t="s">
        <v>136</v>
      </c>
      <c r="D78" s="64">
        <v>0</v>
      </c>
      <c r="E78" s="18">
        <v>1</v>
      </c>
      <c r="F78" s="52">
        <f t="shared" si="51"/>
        <v>0</v>
      </c>
      <c r="G78" s="39">
        <f>H78*(References!$B$52)</f>
        <v>8.8733162523674011E-2</v>
      </c>
      <c r="H78" s="260">
        <v>23.413216327642832</v>
      </c>
      <c r="I78" s="319">
        <f>G78+H78</f>
        <v>23.501949490166506</v>
      </c>
      <c r="J78" s="39">
        <f>H78*F78</f>
        <v>0</v>
      </c>
      <c r="K78" s="39">
        <f>I78*F78</f>
        <v>0</v>
      </c>
      <c r="L78" s="39">
        <f t="shared" si="98"/>
        <v>0</v>
      </c>
      <c r="M78" s="41">
        <f t="shared" si="99"/>
        <v>23.501949490166506</v>
      </c>
      <c r="N78" s="41">
        <f>M78*F78</f>
        <v>0</v>
      </c>
      <c r="O78" s="41">
        <f t="shared" si="100"/>
        <v>0</v>
      </c>
      <c r="Q78" s="256">
        <f t="shared" si="101"/>
        <v>1.003789874969844</v>
      </c>
    </row>
    <row r="79" spans="1:17" ht="15" customHeight="1">
      <c r="A79" s="58"/>
      <c r="B79" s="50" t="s">
        <v>133</v>
      </c>
      <c r="C79" s="57" t="s">
        <v>114</v>
      </c>
      <c r="D79" s="64">
        <v>0</v>
      </c>
      <c r="E79" s="18">
        <v>1</v>
      </c>
      <c r="F79" s="52">
        <f t="shared" si="51"/>
        <v>0</v>
      </c>
      <c r="G79" s="39">
        <f>H79*(References!$B$52)</f>
        <v>0.13129207085544503</v>
      </c>
      <c r="H79" s="260">
        <v>34.642850199581353</v>
      </c>
      <c r="I79" s="319">
        <f>G79+H79</f>
        <v>34.774142270436798</v>
      </c>
      <c r="J79" s="39">
        <f>H79*F79</f>
        <v>0</v>
      </c>
      <c r="K79" s="39">
        <f>I79*F79</f>
        <v>0</v>
      </c>
      <c r="L79" s="39">
        <f t="shared" si="98"/>
        <v>0</v>
      </c>
      <c r="M79" s="41">
        <f t="shared" si="99"/>
        <v>34.774142270436798</v>
      </c>
      <c r="N79" s="41">
        <f>M79*F79</f>
        <v>0</v>
      </c>
      <c r="O79" s="41">
        <f t="shared" si="100"/>
        <v>0</v>
      </c>
      <c r="Q79" s="256">
        <f t="shared" si="101"/>
        <v>1.003789874969844</v>
      </c>
    </row>
    <row r="80" spans="1:17" ht="15" customHeight="1">
      <c r="A80" s="58"/>
      <c r="B80" s="50" t="s">
        <v>133</v>
      </c>
      <c r="C80" s="57" t="s">
        <v>286</v>
      </c>
      <c r="D80" s="64">
        <v>0</v>
      </c>
      <c r="E80" s="18">
        <v>1</v>
      </c>
      <c r="F80" s="52">
        <f t="shared" si="51"/>
        <v>0</v>
      </c>
      <c r="G80" s="39">
        <f>H80*(References!$B$52)</f>
        <v>0.13687227859608353</v>
      </c>
      <c r="H80" s="260">
        <v>36.115249100611152</v>
      </c>
      <c r="I80" s="319">
        <f>G80+H80</f>
        <v>36.252121379207239</v>
      </c>
      <c r="J80" s="39">
        <f>H80*F80</f>
        <v>0</v>
      </c>
      <c r="K80" s="39">
        <f>I80*F80</f>
        <v>0</v>
      </c>
      <c r="L80" s="39">
        <f t="shared" ref="L80" si="102">J80-K80</f>
        <v>0</v>
      </c>
      <c r="M80" s="41">
        <f t="shared" ref="M80" si="103">I80</f>
        <v>36.252121379207239</v>
      </c>
      <c r="N80" s="41">
        <f>M80*F80</f>
        <v>0</v>
      </c>
      <c r="O80" s="41">
        <f t="shared" ref="O80" si="104">N80-J80</f>
        <v>0</v>
      </c>
      <c r="Q80" s="256">
        <f t="shared" ref="Q80" si="105">M80/H80</f>
        <v>1.003789874969844</v>
      </c>
    </row>
    <row r="81" spans="1:17" ht="15" customHeight="1">
      <c r="A81" s="58"/>
      <c r="B81" s="50" t="s">
        <v>133</v>
      </c>
      <c r="C81" s="57" t="s">
        <v>115</v>
      </c>
      <c r="D81" s="64">
        <v>0</v>
      </c>
      <c r="E81" s="18">
        <v>1</v>
      </c>
      <c r="F81" s="52">
        <f t="shared" si="51"/>
        <v>0</v>
      </c>
      <c r="G81" s="39">
        <f>H81*(References!$B$52)</f>
        <v>0.14866144987912258</v>
      </c>
      <c r="H81" s="260">
        <v>39.225951004195231</v>
      </c>
      <c r="I81" s="319">
        <f>G81+H81</f>
        <v>39.374612454074352</v>
      </c>
      <c r="J81" s="39">
        <f>H81*F81</f>
        <v>0</v>
      </c>
      <c r="K81" s="39">
        <f>I81*F81</f>
        <v>0</v>
      </c>
      <c r="L81" s="39">
        <f t="shared" si="98"/>
        <v>0</v>
      </c>
      <c r="M81" s="41">
        <f t="shared" si="99"/>
        <v>39.374612454074352</v>
      </c>
      <c r="N81" s="41">
        <f>M81*F81</f>
        <v>0</v>
      </c>
      <c r="O81" s="41">
        <f t="shared" si="100"/>
        <v>0</v>
      </c>
      <c r="Q81" s="256">
        <f t="shared" si="101"/>
        <v>1.003789874969844</v>
      </c>
    </row>
    <row r="82" spans="1:17" ht="15" customHeight="1">
      <c r="A82" s="58"/>
      <c r="B82" s="50" t="s">
        <v>133</v>
      </c>
      <c r="C82" s="57" t="s">
        <v>116</v>
      </c>
      <c r="D82" s="64">
        <v>0</v>
      </c>
      <c r="E82" s="18">
        <v>1</v>
      </c>
      <c r="F82" s="52">
        <f t="shared" si="51"/>
        <v>0</v>
      </c>
      <c r="G82" s="39">
        <f>H82*(References!$B$52)</f>
        <v>0.20088747866298565</v>
      </c>
      <c r="H82" s="260">
        <v>53.006360437072701</v>
      </c>
      <c r="I82" s="319">
        <f>G82+H82</f>
        <v>53.207247915735685</v>
      </c>
      <c r="J82" s="39">
        <f>H82*F82</f>
        <v>0</v>
      </c>
      <c r="K82" s="39">
        <f>I82*F82</f>
        <v>0</v>
      </c>
      <c r="L82" s="39">
        <f t="shared" si="98"/>
        <v>0</v>
      </c>
      <c r="M82" s="41">
        <f t="shared" si="99"/>
        <v>53.207247915735685</v>
      </c>
      <c r="N82" s="41">
        <f>M82*F82</f>
        <v>0</v>
      </c>
      <c r="O82" s="41">
        <f t="shared" si="100"/>
        <v>0</v>
      </c>
      <c r="Q82" s="256">
        <f t="shared" si="101"/>
        <v>1.003789874969844</v>
      </c>
    </row>
    <row r="83" spans="1:17" ht="15" customHeight="1">
      <c r="A83" s="58"/>
      <c r="B83" s="50" t="s">
        <v>133</v>
      </c>
      <c r="C83" s="57" t="s">
        <v>289</v>
      </c>
      <c r="D83" s="64">
        <v>0</v>
      </c>
      <c r="E83" s="18">
        <v>1</v>
      </c>
      <c r="F83" s="52">
        <f t="shared" si="51"/>
        <v>0</v>
      </c>
      <c r="G83" s="39">
        <f>H83*(References!$B$52)</f>
        <v>0.21204789414426262</v>
      </c>
      <c r="H83" s="260">
        <v>55.951158239132297</v>
      </c>
      <c r="I83" s="319">
        <f>G83+H83</f>
        <v>56.16320613327656</v>
      </c>
      <c r="J83" s="39">
        <f>H83*F83</f>
        <v>0</v>
      </c>
      <c r="K83" s="39">
        <f>I83*F83</f>
        <v>0</v>
      </c>
      <c r="L83" s="39">
        <f t="shared" ref="L83" si="106">J83-K83</f>
        <v>0</v>
      </c>
      <c r="M83" s="41">
        <f t="shared" ref="M83" si="107">I83</f>
        <v>56.16320613327656</v>
      </c>
      <c r="N83" s="41">
        <f>M83*F83</f>
        <v>0</v>
      </c>
      <c r="O83" s="41">
        <f t="shared" ref="O83" si="108">N83-J83</f>
        <v>0</v>
      </c>
      <c r="Q83" s="256">
        <f t="shared" ref="Q83" si="109">M83/H83</f>
        <v>1.003789874969844</v>
      </c>
    </row>
    <row r="84" spans="1:17" ht="15" customHeight="1">
      <c r="A84" s="58"/>
      <c r="B84" s="50" t="s">
        <v>133</v>
      </c>
      <c r="C84" s="57" t="s">
        <v>307</v>
      </c>
      <c r="D84" s="64">
        <v>0</v>
      </c>
      <c r="E84" s="18">
        <v>1</v>
      </c>
      <c r="F84" s="52">
        <f t="shared" si="51"/>
        <v>0</v>
      </c>
      <c r="G84" s="39">
        <f>H84*(References!$B$52)</f>
        <v>5.5526996743113996E-2</v>
      </c>
      <c r="H84" s="260">
        <v>14.651405965881013</v>
      </c>
      <c r="I84" s="319">
        <f t="shared" ref="I84:I88" si="110">G84+H84</f>
        <v>14.706932962624126</v>
      </c>
      <c r="J84" s="39">
        <f>H84*F84</f>
        <v>0</v>
      </c>
      <c r="K84" s="39">
        <f>I84*F84</f>
        <v>0</v>
      </c>
      <c r="L84" s="39">
        <f t="shared" ref="L84:L88" si="111">J84-K84</f>
        <v>0</v>
      </c>
      <c r="M84" s="41">
        <f t="shared" ref="M84:M88" si="112">I84</f>
        <v>14.706932962624126</v>
      </c>
      <c r="N84" s="41">
        <f>M84*F84</f>
        <v>0</v>
      </c>
      <c r="O84" s="41">
        <f t="shared" ref="O84:O88" si="113">N84-J84</f>
        <v>0</v>
      </c>
      <c r="Q84" s="256">
        <f t="shared" ref="Q84:Q88" si="114">M84/H84</f>
        <v>1.003789874969844</v>
      </c>
    </row>
    <row r="85" spans="1:17" ht="15" customHeight="1">
      <c r="A85" s="58"/>
      <c r="B85" s="50" t="s">
        <v>133</v>
      </c>
      <c r="C85" s="57" t="s">
        <v>308</v>
      </c>
      <c r="D85" s="64">
        <v>0</v>
      </c>
      <c r="E85" s="18">
        <v>1</v>
      </c>
      <c r="F85" s="52">
        <f t="shared" si="51"/>
        <v>0</v>
      </c>
      <c r="G85" s="39">
        <f>H85*(References!$B$52)</f>
        <v>0.11125047967427863</v>
      </c>
      <c r="H85" s="260">
        <v>29.354656963488424</v>
      </c>
      <c r="I85" s="319">
        <f t="shared" si="110"/>
        <v>29.465907443162703</v>
      </c>
      <c r="J85" s="39">
        <f>H85*F85</f>
        <v>0</v>
      </c>
      <c r="K85" s="39">
        <f>I85*F85</f>
        <v>0</v>
      </c>
      <c r="L85" s="39">
        <f t="shared" si="111"/>
        <v>0</v>
      </c>
      <c r="M85" s="41">
        <f t="shared" si="112"/>
        <v>29.465907443162703</v>
      </c>
      <c r="N85" s="41">
        <f>M85*F85</f>
        <v>0</v>
      </c>
      <c r="O85" s="41">
        <f t="shared" si="113"/>
        <v>0</v>
      </c>
      <c r="Q85" s="256">
        <f t="shared" si="114"/>
        <v>1.003789874969844</v>
      </c>
    </row>
    <row r="86" spans="1:17" ht="15" customHeight="1">
      <c r="A86" s="58"/>
      <c r="B86" s="50" t="s">
        <v>133</v>
      </c>
      <c r="C86" s="57" t="s">
        <v>309</v>
      </c>
      <c r="D86" s="64">
        <v>0</v>
      </c>
      <c r="E86" s="18">
        <v>1</v>
      </c>
      <c r="F86" s="52">
        <f t="shared" si="51"/>
        <v>0</v>
      </c>
      <c r="G86" s="39">
        <f>H86*(References!$B$52)</f>
        <v>6.4683253106274333E-2</v>
      </c>
      <c r="H86" s="260">
        <v>17.067384444331314</v>
      </c>
      <c r="I86" s="319">
        <f t="shared" si="110"/>
        <v>17.132067697437588</v>
      </c>
      <c r="J86" s="39">
        <f>H86*F86</f>
        <v>0</v>
      </c>
      <c r="K86" s="39">
        <f>I86*F86</f>
        <v>0</v>
      </c>
      <c r="L86" s="39">
        <f t="shared" si="111"/>
        <v>0</v>
      </c>
      <c r="M86" s="41">
        <f t="shared" si="112"/>
        <v>17.132067697437588</v>
      </c>
      <c r="N86" s="41">
        <f>M86*F86</f>
        <v>0</v>
      </c>
      <c r="O86" s="41">
        <f t="shared" si="113"/>
        <v>0</v>
      </c>
      <c r="Q86" s="256">
        <f t="shared" si="114"/>
        <v>1.003789874969844</v>
      </c>
    </row>
    <row r="87" spans="1:17" ht="15" customHeight="1">
      <c r="A87" s="58"/>
      <c r="B87" s="50" t="s">
        <v>133</v>
      </c>
      <c r="C87" s="57" t="s">
        <v>310</v>
      </c>
      <c r="D87" s="64">
        <v>0</v>
      </c>
      <c r="E87" s="18">
        <v>1</v>
      </c>
      <c r="F87" s="52">
        <f t="shared" si="51"/>
        <v>0</v>
      </c>
      <c r="G87" s="39">
        <f>H87*(References!$B$52)</f>
        <v>8.3310143733476047E-2</v>
      </c>
      <c r="H87" s="260">
        <v>21.982293451994156</v>
      </c>
      <c r="I87" s="319">
        <f t="shared" si="110"/>
        <v>22.065603595727634</v>
      </c>
      <c r="J87" s="39">
        <f>H87*F87</f>
        <v>0</v>
      </c>
      <c r="K87" s="39">
        <f>I87*F87</f>
        <v>0</v>
      </c>
      <c r="L87" s="39">
        <f t="shared" si="111"/>
        <v>0</v>
      </c>
      <c r="M87" s="41">
        <f t="shared" si="112"/>
        <v>22.065603595727634</v>
      </c>
      <c r="N87" s="41">
        <f>M87*F87</f>
        <v>0</v>
      </c>
      <c r="O87" s="41">
        <f t="shared" si="113"/>
        <v>0</v>
      </c>
      <c r="Q87" s="256">
        <f t="shared" si="114"/>
        <v>1.003789874969844</v>
      </c>
    </row>
    <row r="88" spans="1:17" ht="15" customHeight="1">
      <c r="A88" s="58"/>
      <c r="B88" s="50" t="s">
        <v>133</v>
      </c>
      <c r="C88" s="57" t="s">
        <v>311</v>
      </c>
      <c r="D88" s="64">
        <v>0</v>
      </c>
      <c r="E88" s="18">
        <v>1</v>
      </c>
      <c r="F88" s="52">
        <f t="shared" si="51"/>
        <v>0</v>
      </c>
      <c r="G88" s="39">
        <f>H88*(References!$B$52)</f>
        <v>0.16980336371337265</v>
      </c>
      <c r="H88" s="260">
        <v>44.804476417956018</v>
      </c>
      <c r="I88" s="319">
        <f t="shared" si="110"/>
        <v>44.974279781669388</v>
      </c>
      <c r="J88" s="39">
        <f>H88*F88</f>
        <v>0</v>
      </c>
      <c r="K88" s="39">
        <f>I88*F88</f>
        <v>0</v>
      </c>
      <c r="L88" s="39">
        <f t="shared" si="111"/>
        <v>0</v>
      </c>
      <c r="M88" s="41">
        <f t="shared" si="112"/>
        <v>44.974279781669388</v>
      </c>
      <c r="N88" s="41">
        <f>M88*F88</f>
        <v>0</v>
      </c>
      <c r="O88" s="41">
        <f t="shared" si="113"/>
        <v>0</v>
      </c>
      <c r="Q88" s="256">
        <f t="shared" si="114"/>
        <v>1.003789874969844</v>
      </c>
    </row>
    <row r="89" spans="1:17" ht="15" customHeight="1">
      <c r="A89" s="58"/>
      <c r="B89" s="50" t="s">
        <v>133</v>
      </c>
      <c r="C89" s="57" t="s">
        <v>298</v>
      </c>
      <c r="D89" s="64">
        <v>0</v>
      </c>
      <c r="E89" s="18">
        <v>1</v>
      </c>
      <c r="F89" s="52">
        <f t="shared" si="51"/>
        <v>0</v>
      </c>
      <c r="G89" s="39">
        <f>H89*(References!$B$52)</f>
        <v>0.15557776369850554</v>
      </c>
      <c r="H89" s="260">
        <v>41.050896120964566</v>
      </c>
      <c r="I89" s="319">
        <f t="shared" ref="I89:I103" si="115">G89+H89</f>
        <v>41.206473884663069</v>
      </c>
      <c r="J89" s="39">
        <f>H89*F89</f>
        <v>0</v>
      </c>
      <c r="K89" s="39">
        <f>I89*F89</f>
        <v>0</v>
      </c>
      <c r="L89" s="39">
        <f t="shared" ref="L89:L103" si="116">J89-K89</f>
        <v>0</v>
      </c>
      <c r="M89" s="41">
        <f t="shared" ref="M89:M103" si="117">I89</f>
        <v>41.206473884663069</v>
      </c>
      <c r="N89" s="41">
        <f>M89*F89</f>
        <v>0</v>
      </c>
      <c r="O89" s="41">
        <f t="shared" ref="O89:O103" si="118">N89-J89</f>
        <v>0</v>
      </c>
      <c r="Q89" s="256">
        <f t="shared" ref="Q89:Q103" si="119">M89/H89</f>
        <v>1.0037898749698437</v>
      </c>
    </row>
    <row r="90" spans="1:17" ht="15" customHeight="1">
      <c r="A90" s="58"/>
      <c r="B90" s="50" t="s">
        <v>133</v>
      </c>
      <c r="C90" s="57" t="s">
        <v>299</v>
      </c>
      <c r="D90" s="64">
        <v>0</v>
      </c>
      <c r="E90" s="18">
        <v>1</v>
      </c>
      <c r="F90" s="52">
        <f t="shared" si="51"/>
        <v>0</v>
      </c>
      <c r="G90" s="39">
        <f>H90*(References!$B$52)</f>
        <v>0.15557776369850554</v>
      </c>
      <c r="H90" s="260">
        <v>41.050896120964566</v>
      </c>
      <c r="I90" s="319">
        <f t="shared" si="115"/>
        <v>41.206473884663069</v>
      </c>
      <c r="J90" s="39">
        <f>H90*F90</f>
        <v>0</v>
      </c>
      <c r="K90" s="39">
        <f>I90*F90</f>
        <v>0</v>
      </c>
      <c r="L90" s="39">
        <f t="shared" si="116"/>
        <v>0</v>
      </c>
      <c r="M90" s="41">
        <f t="shared" si="117"/>
        <v>41.206473884663069</v>
      </c>
      <c r="N90" s="41">
        <f>M90*F90</f>
        <v>0</v>
      </c>
      <c r="O90" s="41">
        <f t="shared" si="118"/>
        <v>0</v>
      </c>
      <c r="Q90" s="256">
        <f t="shared" si="119"/>
        <v>1.0037898749698437</v>
      </c>
    </row>
    <row r="91" spans="1:17" ht="15" customHeight="1">
      <c r="A91" s="58"/>
      <c r="B91" s="50" t="s">
        <v>133</v>
      </c>
      <c r="C91" s="57" t="s">
        <v>300</v>
      </c>
      <c r="D91" s="64">
        <v>0</v>
      </c>
      <c r="E91" s="18">
        <v>1</v>
      </c>
      <c r="F91" s="52">
        <f t="shared" si="51"/>
        <v>0</v>
      </c>
      <c r="G91" s="39">
        <f>H91*(References!$B$52)</f>
        <v>0.15557776369850554</v>
      </c>
      <c r="H91" s="260">
        <v>41.050896120964566</v>
      </c>
      <c r="I91" s="319">
        <f t="shared" si="115"/>
        <v>41.206473884663069</v>
      </c>
      <c r="J91" s="39">
        <f>H91*F91</f>
        <v>0</v>
      </c>
      <c r="K91" s="39">
        <f>I91*F91</f>
        <v>0</v>
      </c>
      <c r="L91" s="39">
        <f t="shared" si="116"/>
        <v>0</v>
      </c>
      <c r="M91" s="41">
        <f t="shared" si="117"/>
        <v>41.206473884663069</v>
      </c>
      <c r="N91" s="41">
        <f>M91*F91</f>
        <v>0</v>
      </c>
      <c r="O91" s="41">
        <f t="shared" si="118"/>
        <v>0</v>
      </c>
      <c r="Q91" s="256">
        <f t="shared" si="119"/>
        <v>1.0037898749698437</v>
      </c>
    </row>
    <row r="92" spans="1:17" ht="15" customHeight="1">
      <c r="A92" s="58"/>
      <c r="B92" s="50" t="s">
        <v>133</v>
      </c>
      <c r="C92" s="57" t="s">
        <v>117</v>
      </c>
      <c r="D92" s="64">
        <v>0</v>
      </c>
      <c r="E92" s="18">
        <v>1</v>
      </c>
      <c r="F92" s="52">
        <f t="shared" si="51"/>
        <v>0</v>
      </c>
      <c r="G92" s="39">
        <f>H92*(References!$B$52)</f>
        <v>0.10476643546860714</v>
      </c>
      <c r="H92" s="260">
        <v>27.64377091651718</v>
      </c>
      <c r="I92" s="319">
        <f t="shared" si="115"/>
        <v>27.748537351985789</v>
      </c>
      <c r="J92" s="39">
        <f>H92*F92</f>
        <v>0</v>
      </c>
      <c r="K92" s="39">
        <f>I92*F92</f>
        <v>0</v>
      </c>
      <c r="L92" s="39">
        <f t="shared" si="116"/>
        <v>0</v>
      </c>
      <c r="M92" s="41">
        <f t="shared" si="117"/>
        <v>27.748537351985789</v>
      </c>
      <c r="N92" s="41">
        <f>M92*F92</f>
        <v>0</v>
      </c>
      <c r="O92" s="41">
        <f t="shared" si="118"/>
        <v>0</v>
      </c>
      <c r="Q92" s="256">
        <f t="shared" si="119"/>
        <v>1.003789874969844</v>
      </c>
    </row>
    <row r="93" spans="1:17" ht="15" customHeight="1">
      <c r="A93" s="58"/>
      <c r="B93" s="50" t="s">
        <v>133</v>
      </c>
      <c r="C93" s="57" t="s">
        <v>118</v>
      </c>
      <c r="D93" s="287">
        <v>1</v>
      </c>
      <c r="E93" s="18">
        <v>1</v>
      </c>
      <c r="F93" s="52">
        <f t="shared" si="51"/>
        <v>1</v>
      </c>
      <c r="G93" s="39">
        <f>H93*(References!$B$52)</f>
        <v>0.1311348819050045</v>
      </c>
      <c r="H93" s="260">
        <v>34.601374174200231</v>
      </c>
      <c r="I93" s="319">
        <f t="shared" si="115"/>
        <v>34.732509056105236</v>
      </c>
      <c r="J93" s="39">
        <f>H93*F93</f>
        <v>34.601374174200231</v>
      </c>
      <c r="K93" s="39">
        <f>I93*F93</f>
        <v>34.732509056105236</v>
      </c>
      <c r="L93" s="39">
        <f t="shared" si="116"/>
        <v>-0.13113488190500533</v>
      </c>
      <c r="M93" s="41">
        <f t="shared" si="117"/>
        <v>34.732509056105236</v>
      </c>
      <c r="N93" s="41">
        <f>M93*F93</f>
        <v>34.732509056105236</v>
      </c>
      <c r="O93" s="41">
        <f t="shared" si="118"/>
        <v>0.13113488190500533</v>
      </c>
      <c r="Q93" s="256">
        <f t="shared" si="119"/>
        <v>1.003789874969844</v>
      </c>
    </row>
    <row r="94" spans="1:17" ht="15" customHeight="1">
      <c r="A94" s="58"/>
      <c r="B94" s="50" t="s">
        <v>133</v>
      </c>
      <c r="C94" s="57" t="s">
        <v>119</v>
      </c>
      <c r="D94" s="287">
        <v>1</v>
      </c>
      <c r="E94" s="18">
        <v>1</v>
      </c>
      <c r="F94" s="52">
        <f t="shared" si="51"/>
        <v>1</v>
      </c>
      <c r="G94" s="39">
        <f>H94*(References!$B$52)</f>
        <v>0.17447973498897815</v>
      </c>
      <c r="H94" s="260">
        <v>46.038388173044368</v>
      </c>
      <c r="I94" s="319">
        <f t="shared" si="115"/>
        <v>46.212867908033346</v>
      </c>
      <c r="J94" s="39">
        <f>H94*F94</f>
        <v>46.038388173044368</v>
      </c>
      <c r="K94" s="39">
        <f>I94*F94</f>
        <v>46.212867908033346</v>
      </c>
      <c r="L94" s="39">
        <f t="shared" si="116"/>
        <v>-0.17447973498897795</v>
      </c>
      <c r="M94" s="41">
        <f t="shared" si="117"/>
        <v>46.212867908033346</v>
      </c>
      <c r="N94" s="41">
        <f>M94*F94</f>
        <v>46.212867908033346</v>
      </c>
      <c r="O94" s="41">
        <f t="shared" si="118"/>
        <v>0.17447973498897795</v>
      </c>
      <c r="Q94" s="256">
        <f t="shared" si="119"/>
        <v>1.003789874969844</v>
      </c>
    </row>
    <row r="95" spans="1:17" ht="15" customHeight="1">
      <c r="A95" s="58"/>
      <c r="B95" s="50" t="s">
        <v>133</v>
      </c>
      <c r="C95" s="57" t="s">
        <v>295</v>
      </c>
      <c r="D95" s="64">
        <v>0</v>
      </c>
      <c r="E95" s="18">
        <v>1</v>
      </c>
      <c r="F95" s="52">
        <f t="shared" si="51"/>
        <v>0</v>
      </c>
      <c r="G95" s="39">
        <f>H95*(References!$B$52)</f>
        <v>6.0910718295701834E-3</v>
      </c>
      <c r="H95" s="260">
        <v>1.6071959835184408</v>
      </c>
      <c r="I95" s="319">
        <f t="shared" si="115"/>
        <v>1.613287055348011</v>
      </c>
      <c r="J95" s="39">
        <f>H95*F95</f>
        <v>0</v>
      </c>
      <c r="K95" s="39">
        <f>I95*F95</f>
        <v>0</v>
      </c>
      <c r="L95" s="39">
        <f t="shared" si="116"/>
        <v>0</v>
      </c>
      <c r="M95" s="41">
        <f t="shared" si="117"/>
        <v>1.613287055348011</v>
      </c>
      <c r="N95" s="41">
        <f>M95*F95</f>
        <v>0</v>
      </c>
      <c r="O95" s="41">
        <f t="shared" si="118"/>
        <v>0</v>
      </c>
      <c r="Q95" s="256">
        <f t="shared" si="119"/>
        <v>1.003789874969844</v>
      </c>
    </row>
    <row r="96" spans="1:17" ht="15" customHeight="1">
      <c r="A96" s="58"/>
      <c r="B96" s="50" t="s">
        <v>133</v>
      </c>
      <c r="C96" s="57" t="s">
        <v>296</v>
      </c>
      <c r="D96" s="64">
        <v>0</v>
      </c>
      <c r="E96" s="18">
        <v>1</v>
      </c>
      <c r="F96" s="52">
        <f t="shared" si="51"/>
        <v>0</v>
      </c>
      <c r="G96" s="39">
        <f>H96*(References!$B$52)</f>
        <v>6.6412331561120051E-3</v>
      </c>
      <c r="H96" s="260">
        <v>1.7523620723523643</v>
      </c>
      <c r="I96" s="319">
        <f t="shared" si="115"/>
        <v>1.7590033055084764</v>
      </c>
      <c r="J96" s="39">
        <f>H96*F96</f>
        <v>0</v>
      </c>
      <c r="K96" s="39">
        <f>I96*F96</f>
        <v>0</v>
      </c>
      <c r="L96" s="39">
        <f t="shared" si="116"/>
        <v>0</v>
      </c>
      <c r="M96" s="41">
        <f t="shared" si="117"/>
        <v>1.7590033055084764</v>
      </c>
      <c r="N96" s="41">
        <f>M96*F96</f>
        <v>0</v>
      </c>
      <c r="O96" s="41">
        <f t="shared" si="118"/>
        <v>0</v>
      </c>
      <c r="Q96" s="256">
        <f t="shared" si="119"/>
        <v>1.003789874969844</v>
      </c>
    </row>
    <row r="97" spans="1:17" ht="15" customHeight="1">
      <c r="A97" s="58"/>
      <c r="B97" s="50" t="s">
        <v>133</v>
      </c>
      <c r="C97" s="57" t="s">
        <v>297</v>
      </c>
      <c r="D97" s="64">
        <v>0</v>
      </c>
      <c r="E97" s="18">
        <v>1</v>
      </c>
      <c r="F97" s="52">
        <f t="shared" si="51"/>
        <v>0</v>
      </c>
      <c r="G97" s="39">
        <f>H97*(References!$B$52)</f>
        <v>8.2917171357374739E-3</v>
      </c>
      <c r="H97" s="260">
        <v>2.1878603388541351</v>
      </c>
      <c r="I97" s="319">
        <f t="shared" si="115"/>
        <v>2.1961520559898724</v>
      </c>
      <c r="J97" s="39">
        <f>H97*F97</f>
        <v>0</v>
      </c>
      <c r="K97" s="39">
        <f>I97*F97</f>
        <v>0</v>
      </c>
      <c r="L97" s="39">
        <f t="shared" si="116"/>
        <v>0</v>
      </c>
      <c r="M97" s="41">
        <f t="shared" si="117"/>
        <v>2.1961520559898724</v>
      </c>
      <c r="N97" s="41">
        <f>M97*F97</f>
        <v>0</v>
      </c>
      <c r="O97" s="41">
        <f t="shared" si="118"/>
        <v>0</v>
      </c>
      <c r="Q97" s="256">
        <f t="shared" si="119"/>
        <v>1.0037898749698437</v>
      </c>
    </row>
    <row r="98" spans="1:17" ht="15" customHeight="1">
      <c r="A98" s="58"/>
      <c r="B98" s="50" t="s">
        <v>133</v>
      </c>
      <c r="C98" s="57" t="s">
        <v>301</v>
      </c>
      <c r="D98" s="64">
        <v>0</v>
      </c>
      <c r="E98" s="18">
        <v>1</v>
      </c>
      <c r="F98" s="52">
        <f t="shared" si="51"/>
        <v>0</v>
      </c>
      <c r="G98" s="39">
        <f>H98*(References!$B$52)</f>
        <v>0.18328231621364729</v>
      </c>
      <c r="H98" s="260">
        <v>48.361045594387143</v>
      </c>
      <c r="I98" s="319">
        <f t="shared" si="115"/>
        <v>48.544327910600792</v>
      </c>
      <c r="J98" s="39">
        <f>H98*F98</f>
        <v>0</v>
      </c>
      <c r="K98" s="39">
        <f>I98*F98</f>
        <v>0</v>
      </c>
      <c r="L98" s="39">
        <f t="shared" si="116"/>
        <v>0</v>
      </c>
      <c r="M98" s="41">
        <f t="shared" si="117"/>
        <v>48.544327910600792</v>
      </c>
      <c r="N98" s="41">
        <f>M98*F98</f>
        <v>0</v>
      </c>
      <c r="O98" s="41">
        <f t="shared" si="118"/>
        <v>0</v>
      </c>
      <c r="Q98" s="256">
        <f t="shared" si="119"/>
        <v>1.003789874969844</v>
      </c>
    </row>
    <row r="99" spans="1:17" ht="15" customHeight="1">
      <c r="A99" s="58"/>
      <c r="B99" s="50" t="s">
        <v>133</v>
      </c>
      <c r="C99" s="57" t="s">
        <v>302</v>
      </c>
      <c r="D99" s="64">
        <v>0</v>
      </c>
      <c r="E99" s="18">
        <v>1</v>
      </c>
      <c r="F99" s="52">
        <f t="shared" si="51"/>
        <v>0</v>
      </c>
      <c r="G99" s="39">
        <f>H99*(References!$B$52)</f>
        <v>0.20544595822576076</v>
      </c>
      <c r="H99" s="260">
        <v>54.209165173125214</v>
      </c>
      <c r="I99" s="319">
        <f t="shared" si="115"/>
        <v>54.414611131350973</v>
      </c>
      <c r="J99" s="39">
        <f>H99*F99</f>
        <v>0</v>
      </c>
      <c r="K99" s="39">
        <f>I99*F99</f>
        <v>0</v>
      </c>
      <c r="L99" s="39">
        <f t="shared" si="116"/>
        <v>0</v>
      </c>
      <c r="M99" s="41">
        <f t="shared" si="117"/>
        <v>54.414611131350973</v>
      </c>
      <c r="N99" s="41">
        <f>M99*F99</f>
        <v>0</v>
      </c>
      <c r="O99" s="41">
        <f t="shared" si="118"/>
        <v>0</v>
      </c>
      <c r="Q99" s="256">
        <f t="shared" si="119"/>
        <v>1.003789874969844</v>
      </c>
    </row>
    <row r="100" spans="1:17" ht="15" customHeight="1">
      <c r="A100" s="58"/>
      <c r="B100" s="50" t="s">
        <v>133</v>
      </c>
      <c r="C100" s="57" t="s">
        <v>303</v>
      </c>
      <c r="D100" s="64">
        <v>0</v>
      </c>
      <c r="E100" s="18">
        <v>1</v>
      </c>
      <c r="F100" s="52">
        <f t="shared" si="51"/>
        <v>0</v>
      </c>
      <c r="G100" s="39">
        <f>H100*(References!$B$52)</f>
        <v>0.24438952069739978</v>
      </c>
      <c r="H100" s="260">
        <v>64.484850461297953</v>
      </c>
      <c r="I100" s="319">
        <f t="shared" si="115"/>
        <v>64.729239981995349</v>
      </c>
      <c r="J100" s="39">
        <f>H100*F100</f>
        <v>0</v>
      </c>
      <c r="K100" s="39">
        <f>I100*F100</f>
        <v>0</v>
      </c>
      <c r="L100" s="39">
        <f t="shared" si="116"/>
        <v>0</v>
      </c>
      <c r="M100" s="41">
        <f t="shared" si="117"/>
        <v>64.729239981995349</v>
      </c>
      <c r="N100" s="41">
        <f>M100*F100</f>
        <v>0</v>
      </c>
      <c r="O100" s="41">
        <f t="shared" si="118"/>
        <v>0</v>
      </c>
      <c r="Q100" s="256">
        <f t="shared" si="119"/>
        <v>1.0037898749698437</v>
      </c>
    </row>
    <row r="101" spans="1:17" ht="15" customHeight="1">
      <c r="A101" s="58"/>
      <c r="B101" s="50" t="s">
        <v>133</v>
      </c>
      <c r="C101" s="57" t="s">
        <v>304</v>
      </c>
      <c r="D101" s="64">
        <v>0</v>
      </c>
      <c r="E101" s="18">
        <v>1</v>
      </c>
      <c r="F101" s="52">
        <f t="shared" si="51"/>
        <v>0</v>
      </c>
      <c r="G101" s="39">
        <f>H101*(References!$B$52)</f>
        <v>5.58020774063849E-3</v>
      </c>
      <c r="H101" s="260">
        <v>1.4723989010297973</v>
      </c>
      <c r="I101" s="319">
        <f t="shared" si="115"/>
        <v>1.4779791087704357</v>
      </c>
      <c r="J101" s="39">
        <f>H101*F101</f>
        <v>0</v>
      </c>
      <c r="K101" s="39">
        <f>I101*F101</f>
        <v>0</v>
      </c>
      <c r="L101" s="39">
        <f t="shared" si="116"/>
        <v>0</v>
      </c>
      <c r="M101" s="41">
        <f t="shared" si="117"/>
        <v>1.4779791087704357</v>
      </c>
      <c r="N101" s="41">
        <f>M101*F101</f>
        <v>0</v>
      </c>
      <c r="O101" s="41">
        <f t="shared" si="118"/>
        <v>0</v>
      </c>
      <c r="Q101" s="256">
        <f t="shared" si="119"/>
        <v>1.0037898749698437</v>
      </c>
    </row>
    <row r="102" spans="1:17" ht="15" customHeight="1">
      <c r="A102" s="58"/>
      <c r="B102" s="50" t="s">
        <v>133</v>
      </c>
      <c r="C102" s="57" t="s">
        <v>305</v>
      </c>
      <c r="D102" s="64">
        <v>0</v>
      </c>
      <c r="E102" s="18">
        <v>1</v>
      </c>
      <c r="F102" s="52">
        <f t="shared" si="51"/>
        <v>0</v>
      </c>
      <c r="G102" s="39">
        <f>H102*(References!$B$52)</f>
        <v>1.108182100605672E-2</v>
      </c>
      <c r="H102" s="260">
        <v>2.9240597893690339</v>
      </c>
      <c r="I102" s="319">
        <f t="shared" si="115"/>
        <v>2.9351416103750907</v>
      </c>
      <c r="J102" s="39">
        <f>H102*F102</f>
        <v>0</v>
      </c>
      <c r="K102" s="39">
        <f>I102*F102</f>
        <v>0</v>
      </c>
      <c r="L102" s="39">
        <f t="shared" si="116"/>
        <v>0</v>
      </c>
      <c r="M102" s="41">
        <f t="shared" si="117"/>
        <v>2.9351416103750907</v>
      </c>
      <c r="N102" s="41">
        <f>M102*F102</f>
        <v>0</v>
      </c>
      <c r="O102" s="41">
        <f t="shared" si="118"/>
        <v>0</v>
      </c>
      <c r="Q102" s="256">
        <f t="shared" si="119"/>
        <v>1.003789874969844</v>
      </c>
    </row>
    <row r="103" spans="1:17" ht="15" customHeight="1">
      <c r="A103" s="58"/>
      <c r="B103" s="50" t="s">
        <v>133</v>
      </c>
      <c r="C103" s="57" t="s">
        <v>306</v>
      </c>
      <c r="D103" s="64">
        <v>0</v>
      </c>
      <c r="E103" s="18">
        <v>1</v>
      </c>
      <c r="F103" s="52">
        <f t="shared" ref="F103:F144" si="120">D103*E103</f>
        <v>0</v>
      </c>
      <c r="G103" s="39">
        <f>H103*(References!$B$52)</f>
        <v>2.7822444227972191E-2</v>
      </c>
      <c r="H103" s="260">
        <v>7.3412564924584265</v>
      </c>
      <c r="I103" s="319">
        <f t="shared" si="115"/>
        <v>7.3690789366863987</v>
      </c>
      <c r="J103" s="39">
        <f>H103*F103</f>
        <v>0</v>
      </c>
      <c r="K103" s="39">
        <f>I103*F103</f>
        <v>0</v>
      </c>
      <c r="L103" s="39">
        <f t="shared" si="116"/>
        <v>0</v>
      </c>
      <c r="M103" s="41">
        <f t="shared" si="117"/>
        <v>7.3690789366863987</v>
      </c>
      <c r="N103" s="41">
        <f>M103*F103</f>
        <v>0</v>
      </c>
      <c r="O103" s="41">
        <f t="shared" si="118"/>
        <v>0</v>
      </c>
      <c r="Q103" s="256">
        <f t="shared" si="119"/>
        <v>1.003789874969844</v>
      </c>
    </row>
    <row r="104" spans="1:17" ht="15" customHeight="1">
      <c r="A104" s="58"/>
      <c r="B104" s="50" t="s">
        <v>139</v>
      </c>
      <c r="C104" s="54" t="s">
        <v>111</v>
      </c>
      <c r="D104" s="287">
        <v>376.99709999999999</v>
      </c>
      <c r="E104" s="18">
        <v>12</v>
      </c>
      <c r="F104" s="52">
        <f t="shared" si="120"/>
        <v>4523.9651999999996</v>
      </c>
      <c r="G104" s="39">
        <f>H104*(References!$B$52)</f>
        <v>1.7880243112609245E-2</v>
      </c>
      <c r="H104" s="288">
        <v>4.7178978871025192</v>
      </c>
      <c r="I104" s="319">
        <f>G104+H104</f>
        <v>4.7357781302151283</v>
      </c>
      <c r="J104" s="39">
        <f>H104*F104</f>
        <v>21343.605858405324</v>
      </c>
      <c r="K104" s="39">
        <f>I104*F104</f>
        <v>21424.495456014309</v>
      </c>
      <c r="L104" s="39">
        <f>J104-K104</f>
        <v>-80.889597608984332</v>
      </c>
      <c r="M104" s="41">
        <f>I104</f>
        <v>4.7357781302151283</v>
      </c>
      <c r="N104" s="41">
        <f>M104*F104</f>
        <v>21424.495456014309</v>
      </c>
      <c r="O104" s="41">
        <f>N104-J104</f>
        <v>80.889597608984332</v>
      </c>
      <c r="Q104" s="256">
        <f>M104/H104</f>
        <v>1.003789874969844</v>
      </c>
    </row>
    <row r="105" spans="1:17" ht="15" customHeight="1">
      <c r="A105" s="58"/>
      <c r="B105" s="50" t="s">
        <v>139</v>
      </c>
      <c r="C105" s="57" t="s">
        <v>109</v>
      </c>
      <c r="D105" s="287">
        <v>589.32890000000009</v>
      </c>
      <c r="E105" s="18">
        <v>12</v>
      </c>
      <c r="F105" s="52">
        <f t="shared" si="120"/>
        <v>7071.9468000000015</v>
      </c>
      <c r="G105" s="39">
        <f>H105*(References!$B$52)</f>
        <v>0.10319454596420194</v>
      </c>
      <c r="H105" s="260">
        <v>27.229010662705971</v>
      </c>
      <c r="I105" s="319">
        <f>G105+H105</f>
        <v>27.332205208670171</v>
      </c>
      <c r="J105" s="39">
        <f>H105*F105</f>
        <v>192562.11482328942</v>
      </c>
      <c r="K105" s="39">
        <f>I105*F105</f>
        <v>193291.9011623984</v>
      </c>
      <c r="L105" s="39">
        <f>J105-K105</f>
        <v>-729.7863391089777</v>
      </c>
      <c r="M105" s="41">
        <f>I105</f>
        <v>27.332205208670171</v>
      </c>
      <c r="N105" s="41">
        <f>M105*F105</f>
        <v>193291.9011623984</v>
      </c>
      <c r="O105" s="41">
        <f>N105-J105</f>
        <v>729.7863391089777</v>
      </c>
      <c r="Q105" s="256">
        <f>M105/H105</f>
        <v>1.0037898749698437</v>
      </c>
    </row>
    <row r="106" spans="1:17" ht="15" customHeight="1">
      <c r="A106" s="58"/>
      <c r="B106" s="50" t="s">
        <v>139</v>
      </c>
      <c r="C106" s="57" t="s">
        <v>287</v>
      </c>
      <c r="D106" s="287">
        <v>0</v>
      </c>
      <c r="E106" s="18">
        <v>12</v>
      </c>
      <c r="F106" s="52">
        <f t="shared" si="120"/>
        <v>0</v>
      </c>
      <c r="G106" s="39">
        <f>H106*(References!$B$52)</f>
        <v>0.10877475370484042</v>
      </c>
      <c r="H106" s="260">
        <v>28.701409563735766</v>
      </c>
      <c r="I106" s="319">
        <f t="shared" ref="I106:I110" si="121">G106+H106</f>
        <v>28.810184317440605</v>
      </c>
      <c r="J106" s="39">
        <f>H106*F106</f>
        <v>0</v>
      </c>
      <c r="K106" s="39">
        <f>I106*F106</f>
        <v>0</v>
      </c>
      <c r="L106" s="39">
        <f t="shared" ref="L106:L109" si="122">J106-K106</f>
        <v>0</v>
      </c>
      <c r="M106" s="41">
        <f t="shared" ref="M106:M109" si="123">I106</f>
        <v>28.810184317440605</v>
      </c>
      <c r="N106" s="41">
        <f>M106*F106</f>
        <v>0</v>
      </c>
      <c r="O106" s="41">
        <f t="shared" ref="O106:O109" si="124">N106-J106</f>
        <v>0</v>
      </c>
      <c r="Q106" s="256">
        <f t="shared" ref="Q106:Q109" si="125">M106/H106</f>
        <v>1.003789874969844</v>
      </c>
    </row>
    <row r="107" spans="1:17" ht="15" customHeight="1">
      <c r="A107" s="58"/>
      <c r="B107" s="50" t="s">
        <v>139</v>
      </c>
      <c r="C107" s="54" t="s">
        <v>112</v>
      </c>
      <c r="D107" s="287">
        <v>77.999499999999998</v>
      </c>
      <c r="E107" s="18">
        <v>12</v>
      </c>
      <c r="F107" s="52">
        <f t="shared" si="120"/>
        <v>935.99399999999991</v>
      </c>
      <c r="G107" s="39">
        <f>H107*(References!$B$52)</f>
        <v>0.1311348819050045</v>
      </c>
      <c r="H107" s="260">
        <v>34.601374174200231</v>
      </c>
      <c r="I107" s="319">
        <f t="shared" si="121"/>
        <v>34.732509056105236</v>
      </c>
      <c r="J107" s="39">
        <f>H107*F107</f>
        <v>32386.678618806367</v>
      </c>
      <c r="K107" s="39">
        <f>I107*F107</f>
        <v>32509.420081460161</v>
      </c>
      <c r="L107" s="39">
        <f t="shared" si="122"/>
        <v>-122.74146265379386</v>
      </c>
      <c r="M107" s="41">
        <f t="shared" si="123"/>
        <v>34.732509056105236</v>
      </c>
      <c r="N107" s="41">
        <f>M107*F107</f>
        <v>32509.420081460161</v>
      </c>
      <c r="O107" s="41">
        <f t="shared" si="124"/>
        <v>122.74146265379386</v>
      </c>
      <c r="Q107" s="256">
        <f t="shared" si="125"/>
        <v>1.003789874969844</v>
      </c>
    </row>
    <row r="108" spans="1:17" ht="15" customHeight="1">
      <c r="A108" s="58"/>
      <c r="B108" s="50" t="s">
        <v>139</v>
      </c>
      <c r="C108" s="54" t="s">
        <v>110</v>
      </c>
      <c r="D108" s="287">
        <v>626.16190000000006</v>
      </c>
      <c r="E108" s="18">
        <v>12</v>
      </c>
      <c r="F108" s="52">
        <f t="shared" si="120"/>
        <v>7513.9428000000007</v>
      </c>
      <c r="G108" s="39">
        <f>H108*(References!$B$52)</f>
        <v>0.17447973498897815</v>
      </c>
      <c r="H108" s="260">
        <v>46.038388173044368</v>
      </c>
      <c r="I108" s="319">
        <f t="shared" si="121"/>
        <v>46.212867908033346</v>
      </c>
      <c r="J108" s="39">
        <f>H108*F108</f>
        <v>345929.81533645192</v>
      </c>
      <c r="K108" s="39">
        <f>I108*F108</f>
        <v>347240.84608491824</v>
      </c>
      <c r="L108" s="39">
        <f t="shared" si="122"/>
        <v>-1311.0307484663208</v>
      </c>
      <c r="M108" s="41">
        <f t="shared" si="123"/>
        <v>46.212867908033346</v>
      </c>
      <c r="N108" s="41">
        <f>M108*F108</f>
        <v>347240.84608491824</v>
      </c>
      <c r="O108" s="41">
        <f t="shared" si="124"/>
        <v>1311.0307484663208</v>
      </c>
      <c r="Q108" s="256">
        <f t="shared" si="125"/>
        <v>1.003789874969844</v>
      </c>
    </row>
    <row r="109" spans="1:17" ht="15" customHeight="1">
      <c r="A109" s="58"/>
      <c r="B109" s="50" t="s">
        <v>139</v>
      </c>
      <c r="C109" s="54" t="s">
        <v>288</v>
      </c>
      <c r="D109" s="287">
        <v>2</v>
      </c>
      <c r="E109" s="18">
        <v>12</v>
      </c>
      <c r="F109" s="52">
        <f t="shared" si="120"/>
        <v>24</v>
      </c>
      <c r="G109" s="39">
        <f>H109*(References!$B$52)</f>
        <v>0.18564015047025514</v>
      </c>
      <c r="H109" s="260">
        <v>48.983185975103964</v>
      </c>
      <c r="I109" s="319">
        <f t="shared" si="121"/>
        <v>49.16882612557422</v>
      </c>
      <c r="J109" s="39">
        <f>H109*F109</f>
        <v>1175.5964634024951</v>
      </c>
      <c r="K109" s="39">
        <f>I109*F109</f>
        <v>1180.0518270137813</v>
      </c>
      <c r="L109" s="39">
        <f t="shared" si="122"/>
        <v>-4.4553636112862023</v>
      </c>
      <c r="M109" s="41">
        <f t="shared" si="123"/>
        <v>49.16882612557422</v>
      </c>
      <c r="N109" s="41">
        <f>M109*F109</f>
        <v>1180.0518270137813</v>
      </c>
      <c r="O109" s="41">
        <f t="shared" si="124"/>
        <v>4.4553636112862023</v>
      </c>
      <c r="Q109" s="256">
        <f t="shared" si="125"/>
        <v>1.003789874969844</v>
      </c>
    </row>
    <row r="110" spans="1:17" ht="15" customHeight="1">
      <c r="A110" s="58"/>
      <c r="B110" s="50" t="s">
        <v>139</v>
      </c>
      <c r="C110" s="57" t="s">
        <v>113</v>
      </c>
      <c r="D110" s="287">
        <v>2</v>
      </c>
      <c r="E110" s="18">
        <v>1</v>
      </c>
      <c r="F110" s="52">
        <f t="shared" si="120"/>
        <v>2</v>
      </c>
      <c r="G110" s="39">
        <f>H110*(References!$B$52)</f>
        <v>5.8906559177585187E-2</v>
      </c>
      <c r="H110" s="260">
        <v>15.543140511575114</v>
      </c>
      <c r="I110" s="319">
        <f t="shared" si="121"/>
        <v>15.602047070752699</v>
      </c>
      <c r="J110" s="39">
        <f>H110*F110</f>
        <v>31.086281023150228</v>
      </c>
      <c r="K110" s="39">
        <f>I110*F110</f>
        <v>31.204094141505397</v>
      </c>
      <c r="L110" s="39">
        <f t="shared" ref="L110" si="126">J110-K110</f>
        <v>-0.11781311835516917</v>
      </c>
      <c r="M110" s="41">
        <f t="shared" ref="M110" si="127">I110</f>
        <v>15.602047070752699</v>
      </c>
      <c r="N110" s="41">
        <f>M110*F110</f>
        <v>31.204094141505397</v>
      </c>
      <c r="O110" s="41">
        <f t="shared" ref="O110" si="128">N110-J110</f>
        <v>0.11781311835516917</v>
      </c>
      <c r="Q110" s="256">
        <f t="shared" ref="Q110" si="129">M110/H110</f>
        <v>1.003789874969844</v>
      </c>
    </row>
    <row r="111" spans="1:17">
      <c r="A111" s="58"/>
      <c r="B111" s="50" t="s">
        <v>139</v>
      </c>
      <c r="C111" s="54" t="s">
        <v>114</v>
      </c>
      <c r="D111" s="287">
        <v>12</v>
      </c>
      <c r="E111" s="18">
        <v>12</v>
      </c>
      <c r="F111" s="52">
        <f t="shared" si="120"/>
        <v>144</v>
      </c>
      <c r="G111" s="39">
        <f>H111*(References!$B$52)</f>
        <v>0.13129207085544503</v>
      </c>
      <c r="H111" s="288">
        <v>34.642850199581353</v>
      </c>
      <c r="I111" s="319">
        <f t="shared" ref="I111:I113" si="130">G111+H111</f>
        <v>34.774142270436798</v>
      </c>
      <c r="J111" s="39">
        <f>H111*F111</f>
        <v>4988.5704287397148</v>
      </c>
      <c r="K111" s="39">
        <f>I111*F111</f>
        <v>5007.4764869428991</v>
      </c>
      <c r="L111" s="39">
        <f t="shared" si="82"/>
        <v>-18.90605820318433</v>
      </c>
      <c r="M111" s="41">
        <f t="shared" si="48"/>
        <v>34.774142270436798</v>
      </c>
      <c r="N111" s="41">
        <f>M111*F111</f>
        <v>5007.4764869428991</v>
      </c>
      <c r="O111" s="41">
        <f t="shared" si="49"/>
        <v>18.90605820318433</v>
      </c>
      <c r="Q111" s="256">
        <f t="shared" si="50"/>
        <v>1.003789874969844</v>
      </c>
    </row>
    <row r="112" spans="1:17">
      <c r="A112" s="58"/>
      <c r="B112" s="50" t="s">
        <v>139</v>
      </c>
      <c r="C112" s="54" t="s">
        <v>286</v>
      </c>
      <c r="D112" s="287">
        <v>0</v>
      </c>
      <c r="E112" s="18">
        <v>12</v>
      </c>
      <c r="F112" s="52">
        <f t="shared" si="120"/>
        <v>0</v>
      </c>
      <c r="G112" s="39">
        <f>H112*(References!$B$52)</f>
        <v>0.13687227859608353</v>
      </c>
      <c r="H112" s="288">
        <v>36.115249100611152</v>
      </c>
      <c r="I112" s="319">
        <f t="shared" ref="I112" si="131">G112+H112</f>
        <v>36.252121379207239</v>
      </c>
      <c r="J112" s="39">
        <f>H112*F112</f>
        <v>0</v>
      </c>
      <c r="K112" s="39">
        <f>I112*F112</f>
        <v>0</v>
      </c>
      <c r="L112" s="39">
        <f t="shared" ref="L112" si="132">J112-K112</f>
        <v>0</v>
      </c>
      <c r="M112" s="41">
        <f t="shared" ref="M112" si="133">I112</f>
        <v>36.252121379207239</v>
      </c>
      <c r="N112" s="41">
        <f>M112*F112</f>
        <v>0</v>
      </c>
      <c r="O112" s="41">
        <f t="shared" ref="O112" si="134">N112-J112</f>
        <v>0</v>
      </c>
      <c r="Q112" s="256">
        <f t="shared" ref="Q112" si="135">M112/H112</f>
        <v>1.003789874969844</v>
      </c>
    </row>
    <row r="113" spans="1:17">
      <c r="A113" s="58"/>
      <c r="B113" s="50" t="s">
        <v>139</v>
      </c>
      <c r="C113" s="54" t="s">
        <v>115</v>
      </c>
      <c r="D113" s="287">
        <v>2</v>
      </c>
      <c r="E113" s="18">
        <v>12</v>
      </c>
      <c r="F113" s="52">
        <f t="shared" si="120"/>
        <v>24</v>
      </c>
      <c r="G113" s="39">
        <f>H113*(References!$B$52)</f>
        <v>0.14866144987912258</v>
      </c>
      <c r="H113" s="288">
        <v>39.225951004195231</v>
      </c>
      <c r="I113" s="319">
        <f t="shared" si="130"/>
        <v>39.374612454074352</v>
      </c>
      <c r="J113" s="39">
        <f>H113*F113</f>
        <v>941.4228241006856</v>
      </c>
      <c r="K113" s="39">
        <f>I113*F113</f>
        <v>944.99069889778445</v>
      </c>
      <c r="L113" s="39">
        <f t="shared" si="82"/>
        <v>-3.5678747970988525</v>
      </c>
      <c r="M113" s="41">
        <f t="shared" si="48"/>
        <v>39.374612454074352</v>
      </c>
      <c r="N113" s="41">
        <f>M113*F113</f>
        <v>944.99069889778445</v>
      </c>
      <c r="O113" s="41">
        <f t="shared" si="49"/>
        <v>3.5678747970988525</v>
      </c>
      <c r="Q113" s="256">
        <f t="shared" si="50"/>
        <v>1.003789874969844</v>
      </c>
    </row>
    <row r="114" spans="1:17">
      <c r="A114" s="58"/>
      <c r="B114" s="50" t="s">
        <v>139</v>
      </c>
      <c r="C114" s="54" t="s">
        <v>116</v>
      </c>
      <c r="D114" s="287">
        <v>4</v>
      </c>
      <c r="E114" s="18">
        <v>12</v>
      </c>
      <c r="F114" s="52">
        <f t="shared" si="120"/>
        <v>48</v>
      </c>
      <c r="G114" s="39">
        <f>H114*(References!$B$52)</f>
        <v>0.20088747866298565</v>
      </c>
      <c r="H114" s="288">
        <v>53.006360437072701</v>
      </c>
      <c r="I114" s="319">
        <f t="shared" ref="I114:I141" si="136">G114+H114</f>
        <v>53.207247915735685</v>
      </c>
      <c r="J114" s="39">
        <f>H114*F114</f>
        <v>2544.3053009794894</v>
      </c>
      <c r="K114" s="39">
        <f>I114*F114</f>
        <v>2553.947899955313</v>
      </c>
      <c r="L114" s="39">
        <f t="shared" ref="L114:L139" si="137">J114-K114</f>
        <v>-9.6425989758236028</v>
      </c>
      <c r="M114" s="41">
        <f t="shared" ref="M114:M139" si="138">I114</f>
        <v>53.207247915735685</v>
      </c>
      <c r="N114" s="41">
        <f>M114*F114</f>
        <v>2553.947899955313</v>
      </c>
      <c r="O114" s="41">
        <f t="shared" ref="O114:O139" si="139">N114-J114</f>
        <v>9.6425989758236028</v>
      </c>
      <c r="Q114" s="256">
        <f t="shared" si="50"/>
        <v>1.003789874969844</v>
      </c>
    </row>
    <row r="115" spans="1:17">
      <c r="A115" s="58"/>
      <c r="B115" s="50" t="s">
        <v>139</v>
      </c>
      <c r="C115" s="54" t="s">
        <v>289</v>
      </c>
      <c r="D115" s="287">
        <v>0</v>
      </c>
      <c r="E115" s="18">
        <v>12</v>
      </c>
      <c r="F115" s="52">
        <f t="shared" si="120"/>
        <v>0</v>
      </c>
      <c r="G115" s="39">
        <f>H115*(References!$B$52)</f>
        <v>0.21204789414426262</v>
      </c>
      <c r="H115" s="288">
        <v>55.951158239132297</v>
      </c>
      <c r="I115" s="319">
        <f t="shared" ref="I115" si="140">G115+H115</f>
        <v>56.16320613327656</v>
      </c>
      <c r="J115" s="39">
        <f>H115*F115</f>
        <v>0</v>
      </c>
      <c r="K115" s="39">
        <f>I115*F115</f>
        <v>0</v>
      </c>
      <c r="L115" s="39">
        <f t="shared" ref="L115" si="141">J115-K115</f>
        <v>0</v>
      </c>
      <c r="M115" s="41">
        <f t="shared" ref="M115" si="142">I115</f>
        <v>56.16320613327656</v>
      </c>
      <c r="N115" s="41">
        <f>M115*F115</f>
        <v>0</v>
      </c>
      <c r="O115" s="41">
        <f t="shared" ref="O115" si="143">N115-J115</f>
        <v>0</v>
      </c>
      <c r="Q115" s="256">
        <f t="shared" ref="Q115" si="144">M115/H115</f>
        <v>1.003789874969844</v>
      </c>
    </row>
    <row r="116" spans="1:17">
      <c r="A116" s="58"/>
      <c r="B116" s="50" t="s">
        <v>139</v>
      </c>
      <c r="C116" s="57" t="s">
        <v>290</v>
      </c>
      <c r="D116" s="287">
        <v>0</v>
      </c>
      <c r="E116" s="18">
        <v>12</v>
      </c>
      <c r="F116" s="52">
        <f t="shared" si="120"/>
        <v>0</v>
      </c>
      <c r="G116" s="39">
        <f>H116*(References!$B$52)</f>
        <v>5.5526996743113996E-2</v>
      </c>
      <c r="H116" s="288">
        <v>14.651405965881013</v>
      </c>
      <c r="I116" s="319">
        <f t="shared" ref="I116:I135" si="145">G116+H116</f>
        <v>14.706932962624126</v>
      </c>
      <c r="J116" s="39">
        <f>H116*F116</f>
        <v>0</v>
      </c>
      <c r="K116" s="39">
        <f>I116*F116</f>
        <v>0</v>
      </c>
      <c r="L116" s="39">
        <f t="shared" ref="L116:L135" si="146">J116-K116</f>
        <v>0</v>
      </c>
      <c r="M116" s="41">
        <f t="shared" ref="M116:M135" si="147">I116</f>
        <v>14.706932962624126</v>
      </c>
      <c r="N116" s="41">
        <f>M116*F116</f>
        <v>0</v>
      </c>
      <c r="O116" s="41">
        <f t="shared" ref="O116:O135" si="148">N116-J116</f>
        <v>0</v>
      </c>
      <c r="Q116" s="256">
        <f t="shared" ref="Q116:Q135" si="149">M116/H116</f>
        <v>1.003789874969844</v>
      </c>
    </row>
    <row r="117" spans="1:17">
      <c r="A117" s="58"/>
      <c r="B117" s="50" t="s">
        <v>139</v>
      </c>
      <c r="C117" s="57" t="s">
        <v>293</v>
      </c>
      <c r="D117" s="287">
        <v>0</v>
      </c>
      <c r="E117" s="18">
        <v>12</v>
      </c>
      <c r="F117" s="52">
        <f t="shared" si="120"/>
        <v>0</v>
      </c>
      <c r="G117" s="39">
        <f>H117*(References!$B$52)</f>
        <v>0.11125047967427863</v>
      </c>
      <c r="H117" s="288">
        <v>29.354656963488424</v>
      </c>
      <c r="I117" s="319">
        <f t="shared" si="145"/>
        <v>29.465907443162703</v>
      </c>
      <c r="J117" s="39">
        <f>H117*F117</f>
        <v>0</v>
      </c>
      <c r="K117" s="39">
        <f>I117*F117</f>
        <v>0</v>
      </c>
      <c r="L117" s="39">
        <f t="shared" si="146"/>
        <v>0</v>
      </c>
      <c r="M117" s="41">
        <f t="shared" si="147"/>
        <v>29.465907443162703</v>
      </c>
      <c r="N117" s="41">
        <f>M117*F117</f>
        <v>0</v>
      </c>
      <c r="O117" s="41">
        <f t="shared" si="148"/>
        <v>0</v>
      </c>
      <c r="Q117" s="256">
        <f t="shared" si="149"/>
        <v>1.003789874969844</v>
      </c>
    </row>
    <row r="118" spans="1:17">
      <c r="A118" s="58"/>
      <c r="B118" s="50" t="s">
        <v>139</v>
      </c>
      <c r="C118" s="57" t="s">
        <v>291</v>
      </c>
      <c r="D118" s="287">
        <v>0</v>
      </c>
      <c r="E118" s="18">
        <v>12</v>
      </c>
      <c r="F118" s="52">
        <f t="shared" si="120"/>
        <v>0</v>
      </c>
      <c r="G118" s="39">
        <f>H118*(References!$B$52)</f>
        <v>6.4683253106274333E-2</v>
      </c>
      <c r="H118" s="288">
        <v>17.067384444331314</v>
      </c>
      <c r="I118" s="319">
        <f t="shared" si="145"/>
        <v>17.132067697437588</v>
      </c>
      <c r="J118" s="39">
        <f>H118*F118</f>
        <v>0</v>
      </c>
      <c r="K118" s="39">
        <f>I118*F118</f>
        <v>0</v>
      </c>
      <c r="L118" s="39">
        <f t="shared" si="146"/>
        <v>0</v>
      </c>
      <c r="M118" s="41">
        <f t="shared" si="147"/>
        <v>17.132067697437588</v>
      </c>
      <c r="N118" s="41">
        <f>M118*F118</f>
        <v>0</v>
      </c>
      <c r="O118" s="41">
        <f t="shared" si="148"/>
        <v>0</v>
      </c>
      <c r="Q118" s="256">
        <f t="shared" si="149"/>
        <v>1.003789874969844</v>
      </c>
    </row>
    <row r="119" spans="1:17">
      <c r="A119" s="58"/>
      <c r="B119" s="50" t="s">
        <v>139</v>
      </c>
      <c r="C119" s="57" t="s">
        <v>292</v>
      </c>
      <c r="D119" s="287">
        <v>0</v>
      </c>
      <c r="E119" s="18">
        <v>12</v>
      </c>
      <c r="F119" s="52">
        <f t="shared" si="120"/>
        <v>0</v>
      </c>
      <c r="G119" s="39">
        <f>H119*(References!$B$52)</f>
        <v>8.3310143733476047E-2</v>
      </c>
      <c r="H119" s="288">
        <v>21.982293451994156</v>
      </c>
      <c r="I119" s="319">
        <f t="shared" si="145"/>
        <v>22.065603595727634</v>
      </c>
      <c r="J119" s="39">
        <f>H119*F119</f>
        <v>0</v>
      </c>
      <c r="K119" s="39">
        <f>I119*F119</f>
        <v>0</v>
      </c>
      <c r="L119" s="39">
        <f t="shared" si="146"/>
        <v>0</v>
      </c>
      <c r="M119" s="41">
        <f t="shared" si="147"/>
        <v>22.065603595727634</v>
      </c>
      <c r="N119" s="41">
        <f>M119*F119</f>
        <v>0</v>
      </c>
      <c r="O119" s="41">
        <f t="shared" si="148"/>
        <v>0</v>
      </c>
      <c r="Q119" s="256">
        <f t="shared" si="149"/>
        <v>1.003789874969844</v>
      </c>
    </row>
    <row r="120" spans="1:17">
      <c r="A120" s="58"/>
      <c r="B120" s="50" t="s">
        <v>139</v>
      </c>
      <c r="C120" s="57" t="s">
        <v>294</v>
      </c>
      <c r="D120" s="287">
        <v>0</v>
      </c>
      <c r="E120" s="18">
        <v>12</v>
      </c>
      <c r="F120" s="52">
        <f t="shared" si="120"/>
        <v>0</v>
      </c>
      <c r="G120" s="39">
        <f>H120*(References!$B$52)</f>
        <v>0.16980336371337265</v>
      </c>
      <c r="H120" s="288">
        <v>44.804476417956018</v>
      </c>
      <c r="I120" s="319">
        <f t="shared" si="145"/>
        <v>44.974279781669388</v>
      </c>
      <c r="J120" s="39">
        <f>H120*F120</f>
        <v>0</v>
      </c>
      <c r="K120" s="39">
        <f>I120*F120</f>
        <v>0</v>
      </c>
      <c r="L120" s="39">
        <f t="shared" si="146"/>
        <v>0</v>
      </c>
      <c r="M120" s="41">
        <f t="shared" si="147"/>
        <v>44.974279781669388</v>
      </c>
      <c r="N120" s="41">
        <f>M120*F120</f>
        <v>0</v>
      </c>
      <c r="O120" s="41">
        <f t="shared" si="148"/>
        <v>0</v>
      </c>
      <c r="Q120" s="256">
        <f t="shared" si="149"/>
        <v>1.003789874969844</v>
      </c>
    </row>
    <row r="121" spans="1:17" ht="15" customHeight="1">
      <c r="A121" s="58"/>
      <c r="B121" s="50" t="s">
        <v>312</v>
      </c>
      <c r="C121" s="57" t="s">
        <v>298</v>
      </c>
      <c r="D121" s="64">
        <v>0</v>
      </c>
      <c r="E121" s="18">
        <v>1</v>
      </c>
      <c r="F121" s="52">
        <f t="shared" si="120"/>
        <v>0</v>
      </c>
      <c r="G121" s="39">
        <f>H121*(References!$B$52)</f>
        <v>0.15557776369850554</v>
      </c>
      <c r="H121" s="260">
        <v>41.050896120964566</v>
      </c>
      <c r="I121" s="319">
        <f t="shared" si="145"/>
        <v>41.206473884663069</v>
      </c>
      <c r="J121" s="39">
        <f>H121*F121</f>
        <v>0</v>
      </c>
      <c r="K121" s="39">
        <f>I121*F121</f>
        <v>0</v>
      </c>
      <c r="L121" s="39">
        <f t="shared" si="146"/>
        <v>0</v>
      </c>
      <c r="M121" s="41">
        <f t="shared" si="147"/>
        <v>41.206473884663069</v>
      </c>
      <c r="N121" s="41">
        <f>M121*F121</f>
        <v>0</v>
      </c>
      <c r="O121" s="41">
        <f t="shared" si="148"/>
        <v>0</v>
      </c>
      <c r="Q121" s="256">
        <f t="shared" si="149"/>
        <v>1.0037898749698437</v>
      </c>
    </row>
    <row r="122" spans="1:17" ht="15" customHeight="1">
      <c r="A122" s="58"/>
      <c r="B122" s="50" t="s">
        <v>312</v>
      </c>
      <c r="C122" s="57" t="s">
        <v>299</v>
      </c>
      <c r="D122" s="64">
        <v>0</v>
      </c>
      <c r="E122" s="18">
        <v>1</v>
      </c>
      <c r="F122" s="52">
        <f t="shared" si="120"/>
        <v>0</v>
      </c>
      <c r="G122" s="39">
        <f>H122*(References!$B$52)</f>
        <v>0.15557776369850554</v>
      </c>
      <c r="H122" s="260">
        <v>41.050896120964566</v>
      </c>
      <c r="I122" s="319">
        <f t="shared" si="145"/>
        <v>41.206473884663069</v>
      </c>
      <c r="J122" s="39">
        <f>H122*F122</f>
        <v>0</v>
      </c>
      <c r="K122" s="39">
        <f>I122*F122</f>
        <v>0</v>
      </c>
      <c r="L122" s="39">
        <f t="shared" si="146"/>
        <v>0</v>
      </c>
      <c r="M122" s="41">
        <f t="shared" si="147"/>
        <v>41.206473884663069</v>
      </c>
      <c r="N122" s="41">
        <f>M122*F122</f>
        <v>0</v>
      </c>
      <c r="O122" s="41">
        <f t="shared" si="148"/>
        <v>0</v>
      </c>
      <c r="Q122" s="256">
        <f t="shared" si="149"/>
        <v>1.0037898749698437</v>
      </c>
    </row>
    <row r="123" spans="1:17" ht="15" customHeight="1">
      <c r="A123" s="58"/>
      <c r="B123" s="50" t="s">
        <v>312</v>
      </c>
      <c r="C123" s="57" t="s">
        <v>300</v>
      </c>
      <c r="D123" s="64">
        <v>0</v>
      </c>
      <c r="E123" s="18">
        <v>1</v>
      </c>
      <c r="F123" s="52">
        <f t="shared" si="120"/>
        <v>0</v>
      </c>
      <c r="G123" s="39">
        <f>H123*(References!$B$52)</f>
        <v>0.15557776369850554</v>
      </c>
      <c r="H123" s="260">
        <v>41.050896120964566</v>
      </c>
      <c r="I123" s="319">
        <f t="shared" si="145"/>
        <v>41.206473884663069</v>
      </c>
      <c r="J123" s="39">
        <f>H123*F123</f>
        <v>0</v>
      </c>
      <c r="K123" s="39">
        <f>I123*F123</f>
        <v>0</v>
      </c>
      <c r="L123" s="39">
        <f t="shared" si="146"/>
        <v>0</v>
      </c>
      <c r="M123" s="41">
        <f t="shared" si="147"/>
        <v>41.206473884663069</v>
      </c>
      <c r="N123" s="41">
        <f>M123*F123</f>
        <v>0</v>
      </c>
      <c r="O123" s="41">
        <f t="shared" si="148"/>
        <v>0</v>
      </c>
      <c r="Q123" s="256">
        <f t="shared" si="149"/>
        <v>1.0037898749698437</v>
      </c>
    </row>
    <row r="124" spans="1:17" ht="15" customHeight="1">
      <c r="A124" s="58"/>
      <c r="B124" s="50" t="s">
        <v>312</v>
      </c>
      <c r="C124" s="57" t="s">
        <v>117</v>
      </c>
      <c r="D124" s="287">
        <v>4</v>
      </c>
      <c r="E124" s="18">
        <v>1</v>
      </c>
      <c r="F124" s="52">
        <f t="shared" si="120"/>
        <v>4</v>
      </c>
      <c r="G124" s="39">
        <f>H124*(References!$B$52)</f>
        <v>0.10476643546860714</v>
      </c>
      <c r="H124" s="260">
        <v>27.64377091651718</v>
      </c>
      <c r="I124" s="319">
        <f t="shared" si="145"/>
        <v>27.748537351985789</v>
      </c>
      <c r="J124" s="39">
        <f>H124*F124</f>
        <v>110.57508366606872</v>
      </c>
      <c r="K124" s="39">
        <f>I124*F124</f>
        <v>110.99414940794315</v>
      </c>
      <c r="L124" s="39">
        <f t="shared" si="146"/>
        <v>-0.41906574187443368</v>
      </c>
      <c r="M124" s="41">
        <f t="shared" si="147"/>
        <v>27.748537351985789</v>
      </c>
      <c r="N124" s="41">
        <f>M124*F124</f>
        <v>110.99414940794315</v>
      </c>
      <c r="O124" s="41">
        <f t="shared" si="148"/>
        <v>0.41906574187443368</v>
      </c>
      <c r="Q124" s="256">
        <f t="shared" si="149"/>
        <v>1.003789874969844</v>
      </c>
    </row>
    <row r="125" spans="1:17" ht="15" customHeight="1">
      <c r="A125" s="58"/>
      <c r="B125" s="50" t="s">
        <v>312</v>
      </c>
      <c r="C125" s="57" t="s">
        <v>118</v>
      </c>
      <c r="D125" s="64">
        <v>0</v>
      </c>
      <c r="E125" s="18">
        <v>1</v>
      </c>
      <c r="F125" s="52">
        <f t="shared" si="120"/>
        <v>0</v>
      </c>
      <c r="G125" s="39">
        <f>H125*(References!$B$52)</f>
        <v>0.1311348819050045</v>
      </c>
      <c r="H125" s="260">
        <v>34.601374174200231</v>
      </c>
      <c r="I125" s="319">
        <f t="shared" si="145"/>
        <v>34.732509056105236</v>
      </c>
      <c r="J125" s="39">
        <f>H125*F125</f>
        <v>0</v>
      </c>
      <c r="K125" s="39">
        <f>I125*F125</f>
        <v>0</v>
      </c>
      <c r="L125" s="39">
        <f t="shared" si="146"/>
        <v>0</v>
      </c>
      <c r="M125" s="41">
        <f t="shared" si="147"/>
        <v>34.732509056105236</v>
      </c>
      <c r="N125" s="41">
        <f>M125*F125</f>
        <v>0</v>
      </c>
      <c r="O125" s="41">
        <f t="shared" si="148"/>
        <v>0</v>
      </c>
      <c r="Q125" s="256">
        <f t="shared" si="149"/>
        <v>1.003789874969844</v>
      </c>
    </row>
    <row r="126" spans="1:17" ht="15" customHeight="1">
      <c r="A126" s="58"/>
      <c r="B126" s="50" t="s">
        <v>312</v>
      </c>
      <c r="C126" s="57" t="s">
        <v>119</v>
      </c>
      <c r="D126" s="287">
        <v>6</v>
      </c>
      <c r="E126" s="18">
        <v>1</v>
      </c>
      <c r="F126" s="52">
        <f t="shared" si="120"/>
        <v>6</v>
      </c>
      <c r="G126" s="39">
        <f>H126*(References!$B$52)</f>
        <v>0.17447973498897815</v>
      </c>
      <c r="H126" s="260">
        <v>46.038388173044368</v>
      </c>
      <c r="I126" s="319">
        <f t="shared" si="145"/>
        <v>46.212867908033346</v>
      </c>
      <c r="J126" s="39">
        <f>H126*F126</f>
        <v>276.23032903826618</v>
      </c>
      <c r="K126" s="39">
        <f>I126*F126</f>
        <v>277.2772074482001</v>
      </c>
      <c r="L126" s="39">
        <f t="shared" si="146"/>
        <v>-1.0468784099339246</v>
      </c>
      <c r="M126" s="41">
        <f t="shared" si="147"/>
        <v>46.212867908033346</v>
      </c>
      <c r="N126" s="41">
        <f>M126*F126</f>
        <v>277.2772074482001</v>
      </c>
      <c r="O126" s="41">
        <f t="shared" si="148"/>
        <v>1.0468784099339246</v>
      </c>
      <c r="Q126" s="256">
        <f t="shared" si="149"/>
        <v>1.003789874969844</v>
      </c>
    </row>
    <row r="127" spans="1:17" ht="15" customHeight="1">
      <c r="A127" s="58"/>
      <c r="B127" s="50" t="s">
        <v>312</v>
      </c>
      <c r="C127" s="57" t="s">
        <v>295</v>
      </c>
      <c r="D127" s="64">
        <v>0</v>
      </c>
      <c r="E127" s="18">
        <v>1</v>
      </c>
      <c r="F127" s="52">
        <f t="shared" si="120"/>
        <v>0</v>
      </c>
      <c r="G127" s="39">
        <f>H127*(References!$B$52)</f>
        <v>6.0910718295701834E-3</v>
      </c>
      <c r="H127" s="260">
        <v>1.6071959835184408</v>
      </c>
      <c r="I127" s="319">
        <f t="shared" si="145"/>
        <v>1.613287055348011</v>
      </c>
      <c r="J127" s="39">
        <f>H127*F127</f>
        <v>0</v>
      </c>
      <c r="K127" s="39">
        <f>I127*F127</f>
        <v>0</v>
      </c>
      <c r="L127" s="39">
        <f t="shared" si="146"/>
        <v>0</v>
      </c>
      <c r="M127" s="41">
        <f t="shared" si="147"/>
        <v>1.613287055348011</v>
      </c>
      <c r="N127" s="41">
        <f>M127*F127</f>
        <v>0</v>
      </c>
      <c r="O127" s="41">
        <f t="shared" si="148"/>
        <v>0</v>
      </c>
      <c r="Q127" s="256">
        <f t="shared" si="149"/>
        <v>1.003789874969844</v>
      </c>
    </row>
    <row r="128" spans="1:17" ht="15" customHeight="1">
      <c r="A128" s="58"/>
      <c r="B128" s="50" t="s">
        <v>312</v>
      </c>
      <c r="C128" s="57" t="s">
        <v>296</v>
      </c>
      <c r="D128" s="64">
        <v>0</v>
      </c>
      <c r="E128" s="18">
        <v>1</v>
      </c>
      <c r="F128" s="52">
        <f t="shared" si="120"/>
        <v>0</v>
      </c>
      <c r="G128" s="39">
        <f>H128*(References!$B$52)</f>
        <v>6.6412331561120051E-3</v>
      </c>
      <c r="H128" s="260">
        <v>1.7523620723523643</v>
      </c>
      <c r="I128" s="319">
        <f t="shared" si="145"/>
        <v>1.7590033055084764</v>
      </c>
      <c r="J128" s="39">
        <f>H128*F128</f>
        <v>0</v>
      </c>
      <c r="K128" s="39">
        <f>I128*F128</f>
        <v>0</v>
      </c>
      <c r="L128" s="39">
        <f t="shared" si="146"/>
        <v>0</v>
      </c>
      <c r="M128" s="41">
        <f t="shared" si="147"/>
        <v>1.7590033055084764</v>
      </c>
      <c r="N128" s="41">
        <f>M128*F128</f>
        <v>0</v>
      </c>
      <c r="O128" s="41">
        <f t="shared" si="148"/>
        <v>0</v>
      </c>
      <c r="Q128" s="256">
        <f t="shared" si="149"/>
        <v>1.003789874969844</v>
      </c>
    </row>
    <row r="129" spans="1:17" ht="15" customHeight="1">
      <c r="A129" s="58"/>
      <c r="B129" s="50" t="s">
        <v>312</v>
      </c>
      <c r="C129" s="57" t="s">
        <v>297</v>
      </c>
      <c r="D129" s="64">
        <v>0</v>
      </c>
      <c r="E129" s="18">
        <v>1</v>
      </c>
      <c r="F129" s="52">
        <f t="shared" si="120"/>
        <v>0</v>
      </c>
      <c r="G129" s="39">
        <f>H129*(References!$B$52)</f>
        <v>8.2917171357374739E-3</v>
      </c>
      <c r="H129" s="260">
        <v>2.1878603388541351</v>
      </c>
      <c r="I129" s="319">
        <f t="shared" si="145"/>
        <v>2.1961520559898724</v>
      </c>
      <c r="J129" s="39">
        <f>H129*F129</f>
        <v>0</v>
      </c>
      <c r="K129" s="39">
        <f>I129*F129</f>
        <v>0</v>
      </c>
      <c r="L129" s="39">
        <f t="shared" si="146"/>
        <v>0</v>
      </c>
      <c r="M129" s="41">
        <f t="shared" si="147"/>
        <v>2.1961520559898724</v>
      </c>
      <c r="N129" s="41">
        <f>M129*F129</f>
        <v>0</v>
      </c>
      <c r="O129" s="41">
        <f t="shared" si="148"/>
        <v>0</v>
      </c>
      <c r="Q129" s="256">
        <f t="shared" si="149"/>
        <v>1.0037898749698437</v>
      </c>
    </row>
    <row r="130" spans="1:17" ht="15" customHeight="1">
      <c r="A130" s="58"/>
      <c r="B130" s="50" t="s">
        <v>312</v>
      </c>
      <c r="C130" s="57" t="s">
        <v>301</v>
      </c>
      <c r="D130" s="64">
        <v>0</v>
      </c>
      <c r="E130" s="18">
        <v>1</v>
      </c>
      <c r="F130" s="52">
        <f t="shared" si="120"/>
        <v>0</v>
      </c>
      <c r="G130" s="39">
        <f>H130*(References!$B$52)</f>
        <v>0.18328231621364729</v>
      </c>
      <c r="H130" s="260">
        <v>48.361045594387143</v>
      </c>
      <c r="I130" s="319">
        <f t="shared" si="145"/>
        <v>48.544327910600792</v>
      </c>
      <c r="J130" s="39">
        <f>H130*F130</f>
        <v>0</v>
      </c>
      <c r="K130" s="39">
        <f>I130*F130</f>
        <v>0</v>
      </c>
      <c r="L130" s="39">
        <f t="shared" si="146"/>
        <v>0</v>
      </c>
      <c r="M130" s="41">
        <f t="shared" si="147"/>
        <v>48.544327910600792</v>
      </c>
      <c r="N130" s="41">
        <f>M130*F130</f>
        <v>0</v>
      </c>
      <c r="O130" s="41">
        <f t="shared" si="148"/>
        <v>0</v>
      </c>
      <c r="Q130" s="256">
        <f t="shared" si="149"/>
        <v>1.003789874969844</v>
      </c>
    </row>
    <row r="131" spans="1:17" ht="15" customHeight="1">
      <c r="A131" s="58"/>
      <c r="B131" s="50" t="s">
        <v>312</v>
      </c>
      <c r="C131" s="57" t="s">
        <v>302</v>
      </c>
      <c r="D131" s="64">
        <v>0</v>
      </c>
      <c r="E131" s="18">
        <v>1</v>
      </c>
      <c r="F131" s="52">
        <f t="shared" si="120"/>
        <v>0</v>
      </c>
      <c r="G131" s="39">
        <f>H131*(References!$B$52)</f>
        <v>0.20544595822576076</v>
      </c>
      <c r="H131" s="260">
        <v>54.209165173125214</v>
      </c>
      <c r="I131" s="319">
        <f t="shared" si="145"/>
        <v>54.414611131350973</v>
      </c>
      <c r="J131" s="39">
        <f>H131*F131</f>
        <v>0</v>
      </c>
      <c r="K131" s="39">
        <f>I131*F131</f>
        <v>0</v>
      </c>
      <c r="L131" s="39">
        <f t="shared" si="146"/>
        <v>0</v>
      </c>
      <c r="M131" s="41">
        <f t="shared" si="147"/>
        <v>54.414611131350973</v>
      </c>
      <c r="N131" s="41">
        <f>M131*F131</f>
        <v>0</v>
      </c>
      <c r="O131" s="41">
        <f t="shared" si="148"/>
        <v>0</v>
      </c>
      <c r="Q131" s="256">
        <f t="shared" si="149"/>
        <v>1.003789874969844</v>
      </c>
    </row>
    <row r="132" spans="1:17" ht="15" customHeight="1">
      <c r="A132" s="58"/>
      <c r="B132" s="50" t="s">
        <v>312</v>
      </c>
      <c r="C132" s="57" t="s">
        <v>303</v>
      </c>
      <c r="D132" s="64">
        <v>0</v>
      </c>
      <c r="E132" s="18">
        <v>1</v>
      </c>
      <c r="F132" s="52">
        <f t="shared" si="120"/>
        <v>0</v>
      </c>
      <c r="G132" s="39">
        <f>H132*(References!$B$52)</f>
        <v>0.24438952069739978</v>
      </c>
      <c r="H132" s="260">
        <v>64.484850461297953</v>
      </c>
      <c r="I132" s="319">
        <f t="shared" si="145"/>
        <v>64.729239981995349</v>
      </c>
      <c r="J132" s="39">
        <f>H132*F132</f>
        <v>0</v>
      </c>
      <c r="K132" s="39">
        <f>I132*F132</f>
        <v>0</v>
      </c>
      <c r="L132" s="39">
        <f t="shared" si="146"/>
        <v>0</v>
      </c>
      <c r="M132" s="41">
        <f t="shared" si="147"/>
        <v>64.729239981995349</v>
      </c>
      <c r="N132" s="41">
        <f>M132*F132</f>
        <v>0</v>
      </c>
      <c r="O132" s="41">
        <f t="shared" si="148"/>
        <v>0</v>
      </c>
      <c r="Q132" s="256">
        <f t="shared" si="149"/>
        <v>1.0037898749698437</v>
      </c>
    </row>
    <row r="133" spans="1:17" ht="15" customHeight="1">
      <c r="A133" s="58"/>
      <c r="B133" s="50" t="s">
        <v>312</v>
      </c>
      <c r="C133" s="57" t="s">
        <v>304</v>
      </c>
      <c r="D133" s="64">
        <v>0</v>
      </c>
      <c r="E133" s="18">
        <v>1</v>
      </c>
      <c r="F133" s="52">
        <f t="shared" si="120"/>
        <v>0</v>
      </c>
      <c r="G133" s="39">
        <f>H133*(References!$B$52)</f>
        <v>5.58020774063849E-3</v>
      </c>
      <c r="H133" s="260">
        <v>1.4723989010297973</v>
      </c>
      <c r="I133" s="319">
        <f t="shared" si="145"/>
        <v>1.4779791087704357</v>
      </c>
      <c r="J133" s="39">
        <f>H133*F133</f>
        <v>0</v>
      </c>
      <c r="K133" s="39">
        <f>I133*F133</f>
        <v>0</v>
      </c>
      <c r="L133" s="39">
        <f t="shared" si="146"/>
        <v>0</v>
      </c>
      <c r="M133" s="41">
        <f t="shared" si="147"/>
        <v>1.4779791087704357</v>
      </c>
      <c r="N133" s="41">
        <f>M133*F133</f>
        <v>0</v>
      </c>
      <c r="O133" s="41">
        <f t="shared" si="148"/>
        <v>0</v>
      </c>
      <c r="Q133" s="256">
        <f t="shared" si="149"/>
        <v>1.0037898749698437</v>
      </c>
    </row>
    <row r="134" spans="1:17" ht="15" customHeight="1">
      <c r="A134" s="58"/>
      <c r="B134" s="50" t="s">
        <v>312</v>
      </c>
      <c r="C134" s="57" t="s">
        <v>305</v>
      </c>
      <c r="D134" s="64">
        <v>0</v>
      </c>
      <c r="E134" s="18">
        <v>1</v>
      </c>
      <c r="F134" s="52">
        <f t="shared" si="120"/>
        <v>0</v>
      </c>
      <c r="G134" s="39">
        <f>H134*(References!$B$52)</f>
        <v>1.108182100605672E-2</v>
      </c>
      <c r="H134" s="260">
        <v>2.9240597893690339</v>
      </c>
      <c r="I134" s="319">
        <f t="shared" si="145"/>
        <v>2.9351416103750907</v>
      </c>
      <c r="J134" s="39">
        <f>H134*F134</f>
        <v>0</v>
      </c>
      <c r="K134" s="39">
        <f>I134*F134</f>
        <v>0</v>
      </c>
      <c r="L134" s="39">
        <f t="shared" si="146"/>
        <v>0</v>
      </c>
      <c r="M134" s="41">
        <f t="shared" si="147"/>
        <v>2.9351416103750907</v>
      </c>
      <c r="N134" s="41">
        <f>M134*F134</f>
        <v>0</v>
      </c>
      <c r="O134" s="41">
        <f t="shared" si="148"/>
        <v>0</v>
      </c>
      <c r="Q134" s="256">
        <f t="shared" si="149"/>
        <v>1.003789874969844</v>
      </c>
    </row>
    <row r="135" spans="1:17" ht="15" customHeight="1">
      <c r="A135" s="58"/>
      <c r="B135" s="50" t="s">
        <v>312</v>
      </c>
      <c r="C135" s="57" t="s">
        <v>306</v>
      </c>
      <c r="D135" s="64">
        <v>0</v>
      </c>
      <c r="E135" s="18">
        <v>1</v>
      </c>
      <c r="F135" s="52">
        <f t="shared" si="120"/>
        <v>0</v>
      </c>
      <c r="G135" s="39">
        <f>H135*(References!$B$52)</f>
        <v>2.7822444227972191E-2</v>
      </c>
      <c r="H135" s="260">
        <v>7.3412564924584265</v>
      </c>
      <c r="I135" s="319">
        <f t="shared" si="145"/>
        <v>7.3690789366863987</v>
      </c>
      <c r="J135" s="39">
        <f>H135*F135</f>
        <v>0</v>
      </c>
      <c r="K135" s="39">
        <f>I135*F135</f>
        <v>0</v>
      </c>
      <c r="L135" s="39">
        <f t="shared" si="146"/>
        <v>0</v>
      </c>
      <c r="M135" s="41">
        <f t="shared" si="147"/>
        <v>7.3690789366863987</v>
      </c>
      <c r="N135" s="41">
        <f>M135*F135</f>
        <v>0</v>
      </c>
      <c r="O135" s="41">
        <f t="shared" si="148"/>
        <v>0</v>
      </c>
      <c r="Q135" s="256">
        <f t="shared" si="149"/>
        <v>1.003789874969844</v>
      </c>
    </row>
    <row r="136" spans="1:17">
      <c r="A136" s="58"/>
      <c r="B136" s="50" t="s">
        <v>140</v>
      </c>
      <c r="C136" s="54" t="s">
        <v>80</v>
      </c>
      <c r="D136" s="287">
        <v>377</v>
      </c>
      <c r="E136" s="18">
        <v>12</v>
      </c>
      <c r="F136" s="52">
        <f t="shared" si="120"/>
        <v>4524</v>
      </c>
      <c r="G136" s="39">
        <f>H136*(References!$B$52)</f>
        <v>1.7888209857663193E-2</v>
      </c>
      <c r="H136" s="288">
        <v>4.72</v>
      </c>
      <c r="I136" s="319">
        <f t="shared" si="136"/>
        <v>4.7378882098576627</v>
      </c>
      <c r="J136" s="39">
        <f>H136*F136</f>
        <v>21353.279999999999</v>
      </c>
      <c r="K136" s="39">
        <f>I136*F136</f>
        <v>21434.206261396066</v>
      </c>
      <c r="L136" s="39">
        <f t="shared" si="137"/>
        <v>-80.926261396067275</v>
      </c>
      <c r="M136" s="41">
        <f t="shared" si="138"/>
        <v>4.7378882098576627</v>
      </c>
      <c r="N136" s="41">
        <f>M136*F136</f>
        <v>21434.206261396066</v>
      </c>
      <c r="O136" s="41">
        <f t="shared" si="139"/>
        <v>80.926261396067275</v>
      </c>
      <c r="Q136" s="256">
        <f t="shared" si="50"/>
        <v>1.0037898749698437</v>
      </c>
    </row>
    <row r="137" spans="1:17">
      <c r="A137" s="58"/>
      <c r="B137" s="50" t="s">
        <v>140</v>
      </c>
      <c r="C137" s="54" t="s">
        <v>313</v>
      </c>
      <c r="D137" s="64">
        <v>0</v>
      </c>
      <c r="E137" s="18">
        <v>12</v>
      </c>
      <c r="F137" s="52">
        <f t="shared" si="120"/>
        <v>0</v>
      </c>
      <c r="G137" s="39">
        <f>H137*(References!$B$52)</f>
        <v>1.7888209857663193E-2</v>
      </c>
      <c r="H137" s="288">
        <v>4.72</v>
      </c>
      <c r="I137" s="319">
        <f t="shared" ref="I137" si="150">G137+H137</f>
        <v>4.7378882098576627</v>
      </c>
      <c r="J137" s="39">
        <f>H137*F137</f>
        <v>0</v>
      </c>
      <c r="K137" s="39">
        <f>I137*F137</f>
        <v>0</v>
      </c>
      <c r="L137" s="39">
        <f t="shared" ref="L137" si="151">J137-K137</f>
        <v>0</v>
      </c>
      <c r="M137" s="41">
        <f t="shared" ref="M137" si="152">I137</f>
        <v>4.7378882098576627</v>
      </c>
      <c r="N137" s="41">
        <f>M137*F137</f>
        <v>0</v>
      </c>
      <c r="O137" s="41">
        <f t="shared" ref="O137" si="153">N137-J137</f>
        <v>0</v>
      </c>
      <c r="Q137" s="256">
        <f t="shared" ref="Q137" si="154">M137/H137</f>
        <v>1.0037898749698437</v>
      </c>
    </row>
    <row r="138" spans="1:17">
      <c r="A138" s="58"/>
      <c r="B138" s="50" t="s">
        <v>140</v>
      </c>
      <c r="C138" s="57" t="s">
        <v>83</v>
      </c>
      <c r="D138" s="287">
        <v>2</v>
      </c>
      <c r="E138" s="18">
        <v>1</v>
      </c>
      <c r="F138" s="52">
        <f t="shared" si="120"/>
        <v>2</v>
      </c>
      <c r="G138" s="39">
        <f>H138*(References!$B$52)</f>
        <v>5.8894657031374156E-2</v>
      </c>
      <c r="H138" s="260">
        <v>15.54</v>
      </c>
      <c r="I138" s="319">
        <f t="shared" si="136"/>
        <v>15.598894657031373</v>
      </c>
      <c r="J138" s="39">
        <f>H138*F138</f>
        <v>31.08</v>
      </c>
      <c r="K138" s="39">
        <f>I138*F138</f>
        <v>31.197789314062746</v>
      </c>
      <c r="L138" s="39">
        <f t="shared" ref="L138" si="155">J138-K138</f>
        <v>-0.11778931406274751</v>
      </c>
      <c r="M138" s="41">
        <f t="shared" ref="M138" si="156">I138</f>
        <v>15.598894657031373</v>
      </c>
      <c r="N138" s="41">
        <f>M138*F138</f>
        <v>31.197789314062746</v>
      </c>
      <c r="O138" s="41">
        <f t="shared" ref="O138" si="157">N138-J138</f>
        <v>0.11778931406274751</v>
      </c>
      <c r="Q138" s="256">
        <f t="shared" ref="Q138" si="158">M138/H138</f>
        <v>1.003789874969844</v>
      </c>
    </row>
    <row r="139" spans="1:17">
      <c r="A139" s="58"/>
      <c r="B139" s="50" t="s">
        <v>141</v>
      </c>
      <c r="C139" s="54" t="s">
        <v>314</v>
      </c>
      <c r="D139" s="287">
        <v>0</v>
      </c>
      <c r="E139" s="18">
        <v>12</v>
      </c>
      <c r="F139" s="52">
        <f t="shared" si="120"/>
        <v>0</v>
      </c>
      <c r="G139" s="39">
        <f>H139*(References!$B$52)</f>
        <v>1.7888209857663193E-2</v>
      </c>
      <c r="H139" s="288">
        <v>4.72</v>
      </c>
      <c r="I139" s="319">
        <f t="shared" si="136"/>
        <v>4.7378882098576627</v>
      </c>
      <c r="J139" s="39">
        <f>H139*F139</f>
        <v>0</v>
      </c>
      <c r="K139" s="39">
        <f>I139*F139</f>
        <v>0</v>
      </c>
      <c r="L139" s="39">
        <f t="shared" si="137"/>
        <v>0</v>
      </c>
      <c r="M139" s="41">
        <f t="shared" si="138"/>
        <v>4.7378882098576627</v>
      </c>
      <c r="N139" s="41">
        <f>M139*F139</f>
        <v>0</v>
      </c>
      <c r="O139" s="41">
        <f t="shared" si="139"/>
        <v>0</v>
      </c>
      <c r="Q139" s="256">
        <f t="shared" si="50"/>
        <v>1.0037898749698437</v>
      </c>
    </row>
    <row r="140" spans="1:17">
      <c r="A140" s="58"/>
      <c r="B140" s="50" t="s">
        <v>141</v>
      </c>
      <c r="C140" s="57" t="s">
        <v>316</v>
      </c>
      <c r="D140" s="64">
        <v>0</v>
      </c>
      <c r="E140" s="18">
        <v>1</v>
      </c>
      <c r="F140" s="52">
        <f t="shared" si="120"/>
        <v>0</v>
      </c>
      <c r="G140" s="39">
        <f>H140*(References!$B$52)</f>
        <v>2.5228826545703596E-2</v>
      </c>
      <c r="H140" s="260">
        <v>6.6569020736699285</v>
      </c>
      <c r="I140" s="319">
        <f t="shared" si="136"/>
        <v>6.6821309002156317</v>
      </c>
      <c r="J140" s="39">
        <f>H140*F140</f>
        <v>0</v>
      </c>
      <c r="K140" s="39">
        <f>I140*F140</f>
        <v>0</v>
      </c>
      <c r="L140" s="39">
        <f t="shared" ref="L140:L141" si="159">J140-K140</f>
        <v>0</v>
      </c>
      <c r="M140" s="41">
        <f t="shared" ref="M140:M141" si="160">I140</f>
        <v>6.6821309002156317</v>
      </c>
      <c r="N140" s="41">
        <f>M140*F140</f>
        <v>0</v>
      </c>
      <c r="O140" s="41">
        <f t="shared" ref="O140:O141" si="161">N140-J140</f>
        <v>0</v>
      </c>
      <c r="Q140" s="256">
        <f t="shared" ref="Q140:Q141" si="162">M140/H140</f>
        <v>1.003789874969844</v>
      </c>
    </row>
    <row r="141" spans="1:17">
      <c r="A141" s="58"/>
      <c r="B141" s="50" t="s">
        <v>141</v>
      </c>
      <c r="C141" s="57" t="s">
        <v>315</v>
      </c>
      <c r="D141" s="64">
        <v>0</v>
      </c>
      <c r="E141" s="18">
        <v>1</v>
      </c>
      <c r="F141" s="52">
        <f t="shared" si="120"/>
        <v>0</v>
      </c>
      <c r="G141" s="39">
        <f>H141*(References!$B$52)</f>
        <v>3.6625025452641354E-2</v>
      </c>
      <c r="H141" s="260">
        <v>9.6639139138012045</v>
      </c>
      <c r="I141" s="319">
        <f t="shared" si="136"/>
        <v>9.7005389392538461</v>
      </c>
      <c r="J141" s="39">
        <f>H141*F141</f>
        <v>0</v>
      </c>
      <c r="K141" s="39">
        <f>I141*F141</f>
        <v>0</v>
      </c>
      <c r="L141" s="39">
        <f t="shared" si="159"/>
        <v>0</v>
      </c>
      <c r="M141" s="41">
        <f t="shared" si="160"/>
        <v>9.7005389392538461</v>
      </c>
      <c r="N141" s="41">
        <f>M141*F141</f>
        <v>0</v>
      </c>
      <c r="O141" s="41">
        <f t="shared" si="161"/>
        <v>0</v>
      </c>
      <c r="Q141" s="256">
        <f t="shared" si="162"/>
        <v>1.003789874969844</v>
      </c>
    </row>
    <row r="142" spans="1:17">
      <c r="A142" s="58"/>
      <c r="B142" s="50" t="s">
        <v>141</v>
      </c>
      <c r="C142" s="57" t="s">
        <v>127</v>
      </c>
      <c r="D142" s="64">
        <v>0</v>
      </c>
      <c r="E142" s="18">
        <v>1</v>
      </c>
      <c r="F142" s="52">
        <f t="shared" si="120"/>
        <v>0</v>
      </c>
      <c r="G142" s="39">
        <f>H142*(References!$B$52)</f>
        <v>5.8906559177585187E-2</v>
      </c>
      <c r="H142" s="260">
        <v>15.543140511575114</v>
      </c>
      <c r="I142" s="319">
        <f t="shared" ref="I142:I144" si="163">G142+H142</f>
        <v>15.602047070752699</v>
      </c>
      <c r="J142" s="39">
        <f>H142*F142</f>
        <v>0</v>
      </c>
      <c r="K142" s="39">
        <f>I142*F142</f>
        <v>0</v>
      </c>
      <c r="L142" s="39">
        <f t="shared" ref="L142:L144" si="164">J142-K142</f>
        <v>0</v>
      </c>
      <c r="M142" s="41">
        <f t="shared" ref="M142:M144" si="165">I142</f>
        <v>15.602047070752699</v>
      </c>
      <c r="N142" s="41">
        <f>M142*F142</f>
        <v>0</v>
      </c>
      <c r="O142" s="41">
        <f t="shared" ref="O142:O144" si="166">N142-J142</f>
        <v>0</v>
      </c>
      <c r="Q142" s="256">
        <f t="shared" ref="Q142:Q144" si="167">M142/H142</f>
        <v>1.003789874969844</v>
      </c>
    </row>
    <row r="143" spans="1:17">
      <c r="A143" s="58"/>
      <c r="B143" s="50" t="s">
        <v>141</v>
      </c>
      <c r="C143" s="57" t="s">
        <v>128</v>
      </c>
      <c r="D143" s="64">
        <v>0</v>
      </c>
      <c r="E143" s="18">
        <v>1</v>
      </c>
      <c r="F143" s="52">
        <f t="shared" si="120"/>
        <v>0</v>
      </c>
      <c r="G143" s="39">
        <f>H143*(References!$B$52)</f>
        <v>6.1146501721362607E-2</v>
      </c>
      <c r="H143" s="260">
        <v>16.134173873256088</v>
      </c>
      <c r="I143" s="319">
        <f t="shared" si="163"/>
        <v>16.195320374977452</v>
      </c>
      <c r="J143" s="39">
        <f>H143*F143</f>
        <v>0</v>
      </c>
      <c r="K143" s="39">
        <f>I143*F143</f>
        <v>0</v>
      </c>
      <c r="L143" s="39">
        <f t="shared" si="164"/>
        <v>0</v>
      </c>
      <c r="M143" s="41">
        <f t="shared" si="165"/>
        <v>16.195320374977452</v>
      </c>
      <c r="N143" s="41">
        <f>M143*F143</f>
        <v>0</v>
      </c>
      <c r="O143" s="41">
        <f t="shared" si="166"/>
        <v>0</v>
      </c>
      <c r="Q143" s="256">
        <f t="shared" si="167"/>
        <v>1.003789874969844</v>
      </c>
    </row>
    <row r="144" spans="1:17">
      <c r="A144" s="58"/>
      <c r="B144" s="50" t="s">
        <v>141</v>
      </c>
      <c r="C144" s="57" t="s">
        <v>129</v>
      </c>
      <c r="D144" s="64">
        <v>0</v>
      </c>
      <c r="E144" s="18">
        <v>1</v>
      </c>
      <c r="F144" s="52">
        <f t="shared" si="120"/>
        <v>0</v>
      </c>
      <c r="G144" s="39">
        <f>H144*(References!$B$52)</f>
        <v>8.8733162523674011E-2</v>
      </c>
      <c r="H144" s="260">
        <v>23.413216327642832</v>
      </c>
      <c r="I144" s="319">
        <f t="shared" si="163"/>
        <v>23.501949490166506</v>
      </c>
      <c r="J144" s="39">
        <f>H144*F144</f>
        <v>0</v>
      </c>
      <c r="K144" s="39">
        <f>I144*F144</f>
        <v>0</v>
      </c>
      <c r="L144" s="39">
        <f t="shared" si="164"/>
        <v>0</v>
      </c>
      <c r="M144" s="41">
        <f t="shared" si="165"/>
        <v>23.501949490166506</v>
      </c>
      <c r="N144" s="41">
        <f>M144*F144</f>
        <v>0</v>
      </c>
      <c r="O144" s="41">
        <f t="shared" si="166"/>
        <v>0</v>
      </c>
      <c r="Q144" s="256">
        <f t="shared" si="167"/>
        <v>1.003789874969844</v>
      </c>
    </row>
    <row r="145" spans="1:17">
      <c r="A145" s="36"/>
      <c r="B145" s="50"/>
      <c r="C145" s="54"/>
      <c r="D145" s="32"/>
      <c r="E145" s="18"/>
      <c r="F145" s="55"/>
      <c r="G145" s="39"/>
      <c r="H145" s="39"/>
      <c r="I145" s="39"/>
      <c r="J145" s="39"/>
      <c r="K145" s="39"/>
      <c r="L145" s="39"/>
      <c r="M145" s="41"/>
      <c r="N145" s="41"/>
      <c r="O145" s="41"/>
    </row>
    <row r="146" spans="1:17">
      <c r="A146" s="28"/>
      <c r="B146" s="46"/>
      <c r="C146" s="29" t="s">
        <v>9</v>
      </c>
      <c r="D146" s="30">
        <f>SUM(D38:D145)</f>
        <v>4684.785480502238</v>
      </c>
      <c r="E146" s="30"/>
      <c r="F146" s="30">
        <f>SUM(F38:F145)</f>
        <v>56327.423566026846</v>
      </c>
      <c r="G146" s="43"/>
      <c r="H146" s="43"/>
      <c r="I146" s="43"/>
      <c r="J146" s="30">
        <f>SUM(J38:J145)</f>
        <v>1277541.9201216951</v>
      </c>
      <c r="K146" s="56">
        <f>SUM(K38:K145)</f>
        <v>1282383.6442676901</v>
      </c>
      <c r="L146" s="56">
        <f>SUM(L38:L145)</f>
        <v>-4841.7241459954812</v>
      </c>
      <c r="M146" s="56"/>
      <c r="N146" s="56">
        <f>SUM(N38:N145)</f>
        <v>1282383.6442676901</v>
      </c>
      <c r="O146" s="56">
        <f>SUM(O38:O145)</f>
        <v>4841.7241459954812</v>
      </c>
    </row>
    <row r="147" spans="1:17" s="313" customFormat="1">
      <c r="A147" s="309"/>
      <c r="B147" s="310"/>
      <c r="C147" s="311"/>
      <c r="D147" s="312"/>
      <c r="E147" s="312"/>
      <c r="F147" s="312"/>
      <c r="G147" s="39"/>
      <c r="H147" s="39"/>
      <c r="I147" s="39"/>
      <c r="J147" s="312"/>
      <c r="K147" s="259"/>
      <c r="L147" s="259"/>
      <c r="M147" s="259"/>
      <c r="N147" s="259"/>
      <c r="O147" s="259"/>
    </row>
    <row r="148" spans="1:17">
      <c r="A148" s="300"/>
      <c r="B148" s="301"/>
      <c r="C148" s="302"/>
      <c r="D148" s="314" t="s">
        <v>85</v>
      </c>
      <c r="E148" s="303"/>
      <c r="F148" s="303"/>
      <c r="G148" s="71"/>
      <c r="H148" s="71"/>
      <c r="I148" s="71"/>
      <c r="J148" s="303"/>
      <c r="K148" s="72"/>
      <c r="L148" s="72"/>
      <c r="M148" s="72"/>
      <c r="N148" s="72"/>
      <c r="O148" s="72"/>
    </row>
    <row r="149" spans="1:17">
      <c r="A149" s="36"/>
      <c r="B149" s="50" t="s">
        <v>108</v>
      </c>
      <c r="C149" s="57" t="s">
        <v>317</v>
      </c>
      <c r="D149" s="287">
        <v>0</v>
      </c>
      <c r="E149" s="18">
        <v>12</v>
      </c>
      <c r="F149" s="52">
        <f t="shared" ref="F149" si="168">D149*E149*12</f>
        <v>0</v>
      </c>
      <c r="G149" s="39">
        <f>H149*(References!$B$52)</f>
        <v>1.7880243112609245E-2</v>
      </c>
      <c r="H149" s="260">
        <v>4.7178978871025192</v>
      </c>
      <c r="I149" s="319">
        <f t="shared" ref="I149" si="169">G149+H149</f>
        <v>4.7357781302151283</v>
      </c>
      <c r="J149" s="39">
        <f>H149*F149</f>
        <v>0</v>
      </c>
      <c r="K149" s="39">
        <f>I149*F149</f>
        <v>0</v>
      </c>
      <c r="L149" s="39">
        <f t="shared" ref="L149" si="170">J149-K149</f>
        <v>0</v>
      </c>
      <c r="M149" s="41">
        <f t="shared" ref="M149" si="171">I149</f>
        <v>4.7357781302151283</v>
      </c>
      <c r="N149" s="41">
        <f>M149*F149</f>
        <v>0</v>
      </c>
      <c r="O149" s="41">
        <f t="shared" ref="O149" si="172">N149-J149</f>
        <v>0</v>
      </c>
      <c r="Q149" s="256">
        <f t="shared" ref="Q149" si="173">M149/H149</f>
        <v>1.003789874969844</v>
      </c>
    </row>
    <row r="150" spans="1:17">
      <c r="A150" s="291" t="s">
        <v>89</v>
      </c>
      <c r="B150" s="50" t="s">
        <v>108</v>
      </c>
      <c r="C150" s="54" t="s">
        <v>318</v>
      </c>
      <c r="D150" s="287">
        <v>12.9999</v>
      </c>
      <c r="E150" s="18">
        <v>12</v>
      </c>
      <c r="F150" s="52">
        <f t="shared" ref="F150" si="174">D150*E150</f>
        <v>155.99880000000002</v>
      </c>
      <c r="G150" s="39">
        <f>H150*(References!$B$52)</f>
        <v>0.10319454596420194</v>
      </c>
      <c r="H150" s="288">
        <v>27.229010662705971</v>
      </c>
      <c r="I150" s="319">
        <f t="shared" ref="I150:I151" si="175">G150+H150</f>
        <v>27.332205208670171</v>
      </c>
      <c r="J150" s="39">
        <f>H150*F150</f>
        <v>4247.6929885693362</v>
      </c>
      <c r="K150" s="39">
        <f>I150*F150</f>
        <v>4263.7912139062964</v>
      </c>
      <c r="L150" s="39">
        <f>J150-K150</f>
        <v>-16.09822533696024</v>
      </c>
      <c r="M150" s="41">
        <f t="shared" ref="M150" si="176">I150</f>
        <v>27.332205208670171</v>
      </c>
      <c r="N150" s="41">
        <f>M150*F150</f>
        <v>4263.7912139062964</v>
      </c>
      <c r="O150" s="41">
        <f t="shared" ref="O150" si="177">N150-J150</f>
        <v>16.09822533696024</v>
      </c>
      <c r="Q150" s="256">
        <f t="shared" ref="Q150:Q215" si="178">M150/H150</f>
        <v>1.0037898749698437</v>
      </c>
    </row>
    <row r="151" spans="1:17">
      <c r="A151" s="291"/>
      <c r="B151" s="50" t="s">
        <v>108</v>
      </c>
      <c r="C151" s="57" t="s">
        <v>319</v>
      </c>
      <c r="D151" s="287">
        <v>0</v>
      </c>
      <c r="E151" s="18">
        <v>12</v>
      </c>
      <c r="F151" s="52">
        <f t="shared" ref="F151" si="179">D151*E151*12</f>
        <v>0</v>
      </c>
      <c r="G151" s="39">
        <f>H151*(References!$B$52)</f>
        <v>0.1311348819050045</v>
      </c>
      <c r="H151" s="260">
        <v>34.601374174200231</v>
      </c>
      <c r="I151" s="319">
        <f t="shared" si="175"/>
        <v>34.732509056105236</v>
      </c>
      <c r="J151" s="39">
        <f>H151*F151</f>
        <v>0</v>
      </c>
      <c r="K151" s="39">
        <f>I151*F151</f>
        <v>0</v>
      </c>
      <c r="L151" s="39">
        <f t="shared" ref="L151:L174" si="180">J151-K151</f>
        <v>0</v>
      </c>
      <c r="M151" s="41">
        <f t="shared" ref="M151:M174" si="181">I151</f>
        <v>34.732509056105236</v>
      </c>
      <c r="N151" s="41">
        <f>M151*F151</f>
        <v>0</v>
      </c>
      <c r="O151" s="41">
        <f t="shared" ref="O151:O174" si="182">N151-J151</f>
        <v>0</v>
      </c>
      <c r="Q151" s="256">
        <f t="shared" ref="Q151:Q174" si="183">M151/H151</f>
        <v>1.003789874969844</v>
      </c>
    </row>
    <row r="152" spans="1:17">
      <c r="A152" s="291"/>
      <c r="B152" s="50" t="s">
        <v>108</v>
      </c>
      <c r="C152" s="54" t="s">
        <v>320</v>
      </c>
      <c r="D152" s="287">
        <v>12.9999</v>
      </c>
      <c r="E152" s="18">
        <v>12</v>
      </c>
      <c r="F152" s="52">
        <f t="shared" ref="F152:F215" si="184">D152*E152</f>
        <v>155.99880000000002</v>
      </c>
      <c r="G152" s="39">
        <f>H152*(References!$B$52)</f>
        <v>0.17447973498897815</v>
      </c>
      <c r="H152" s="288">
        <v>46.038388173044368</v>
      </c>
      <c r="I152" s="319">
        <f t="shared" ref="I152:I215" si="185">G152+H152</f>
        <v>46.212867908033346</v>
      </c>
      <c r="J152" s="39">
        <f>H152*F152</f>
        <v>7181.9333089291149</v>
      </c>
      <c r="K152" s="39">
        <f>I152*F152</f>
        <v>7209.1519382117131</v>
      </c>
      <c r="L152" s="39">
        <f t="shared" si="180"/>
        <v>-27.218629282598158</v>
      </c>
      <c r="M152" s="41">
        <f t="shared" si="181"/>
        <v>46.212867908033346</v>
      </c>
      <c r="N152" s="41">
        <f>M152*F152</f>
        <v>7209.1519382117131</v>
      </c>
      <c r="O152" s="41">
        <f t="shared" si="182"/>
        <v>27.218629282598158</v>
      </c>
      <c r="Q152" s="256">
        <f t="shared" si="183"/>
        <v>1.003789874969844</v>
      </c>
    </row>
    <row r="153" spans="1:17">
      <c r="A153" s="291"/>
      <c r="B153" s="50" t="s">
        <v>108</v>
      </c>
      <c r="C153" s="57" t="s">
        <v>113</v>
      </c>
      <c r="D153" s="64">
        <v>0</v>
      </c>
      <c r="E153" s="18">
        <v>12</v>
      </c>
      <c r="F153" s="52">
        <f t="shared" ref="F153:F198" si="186">D153*E153*12</f>
        <v>0</v>
      </c>
      <c r="G153" s="39">
        <f>H153*(References!$B$52)</f>
        <v>5.8670775751924406E-2</v>
      </c>
      <c r="H153" s="260">
        <v>15.480926473503432</v>
      </c>
      <c r="I153" s="319">
        <f t="shared" si="185"/>
        <v>15.539597249255356</v>
      </c>
      <c r="J153" s="39">
        <f>H153*F153</f>
        <v>0</v>
      </c>
      <c r="K153" s="39">
        <f>I153*F153</f>
        <v>0</v>
      </c>
      <c r="L153" s="39">
        <f t="shared" si="180"/>
        <v>0</v>
      </c>
      <c r="M153" s="41">
        <f t="shared" si="181"/>
        <v>15.539597249255356</v>
      </c>
      <c r="N153" s="41">
        <f>M153*F153</f>
        <v>0</v>
      </c>
      <c r="O153" s="41">
        <f t="shared" si="182"/>
        <v>0</v>
      </c>
      <c r="Q153" s="256">
        <f t="shared" si="183"/>
        <v>1.003789874969844</v>
      </c>
    </row>
    <row r="154" spans="1:17">
      <c r="A154" s="291"/>
      <c r="B154" s="50" t="s">
        <v>108</v>
      </c>
      <c r="C154" s="57" t="s">
        <v>114</v>
      </c>
      <c r="D154" s="64">
        <v>0</v>
      </c>
      <c r="E154" s="18">
        <v>12</v>
      </c>
      <c r="F154" s="52">
        <f t="shared" si="186"/>
        <v>0</v>
      </c>
      <c r="G154" s="39">
        <f>H154*(References!$B$52)</f>
        <v>0.143356322801755</v>
      </c>
      <c r="H154" s="260">
        <v>37.826135147582399</v>
      </c>
      <c r="I154" s="319">
        <f t="shared" si="185"/>
        <v>37.969491470384156</v>
      </c>
      <c r="J154" s="39">
        <f>H154*F154</f>
        <v>0</v>
      </c>
      <c r="K154" s="39">
        <f>I154*F154</f>
        <v>0</v>
      </c>
      <c r="L154" s="39">
        <f t="shared" si="180"/>
        <v>0</v>
      </c>
      <c r="M154" s="41">
        <f t="shared" si="181"/>
        <v>37.969491470384156</v>
      </c>
      <c r="N154" s="41">
        <f>M154*F154</f>
        <v>0</v>
      </c>
      <c r="O154" s="41">
        <f t="shared" si="182"/>
        <v>0</v>
      </c>
      <c r="Q154" s="256">
        <f t="shared" si="183"/>
        <v>1.003789874969844</v>
      </c>
    </row>
    <row r="155" spans="1:17">
      <c r="A155" s="291"/>
      <c r="B155" s="50" t="s">
        <v>108</v>
      </c>
      <c r="C155" s="57" t="s">
        <v>115</v>
      </c>
      <c r="D155" s="64">
        <v>0</v>
      </c>
      <c r="E155" s="18">
        <v>12</v>
      </c>
      <c r="F155" s="52">
        <f t="shared" si="186"/>
        <v>0</v>
      </c>
      <c r="G155" s="39">
        <f>H155*(References!$B$52)</f>
        <v>0.16430175044795445</v>
      </c>
      <c r="H155" s="260">
        <v>43.352815529616784</v>
      </c>
      <c r="I155" s="319">
        <f t="shared" si="185"/>
        <v>43.517117280064738</v>
      </c>
      <c r="J155" s="39">
        <f>H155*F155</f>
        <v>0</v>
      </c>
      <c r="K155" s="39">
        <f>I155*F155</f>
        <v>0</v>
      </c>
      <c r="L155" s="39">
        <f t="shared" si="180"/>
        <v>0</v>
      </c>
      <c r="M155" s="41">
        <f t="shared" si="181"/>
        <v>43.517117280064738</v>
      </c>
      <c r="N155" s="41">
        <f>M155*F155</f>
        <v>0</v>
      </c>
      <c r="O155" s="41">
        <f t="shared" si="182"/>
        <v>0</v>
      </c>
      <c r="Q155" s="256">
        <f t="shared" si="183"/>
        <v>1.003789874969844</v>
      </c>
    </row>
    <row r="156" spans="1:17">
      <c r="A156" s="291"/>
      <c r="B156" s="50" t="s">
        <v>108</v>
      </c>
      <c r="C156" s="57" t="s">
        <v>116</v>
      </c>
      <c r="D156" s="64">
        <v>0</v>
      </c>
      <c r="E156" s="18">
        <v>12</v>
      </c>
      <c r="F156" s="52">
        <f t="shared" si="186"/>
        <v>0</v>
      </c>
      <c r="G156" s="39">
        <f>H156*(References!$B$52)</f>
        <v>0.22367987647686116</v>
      </c>
      <c r="H156" s="260">
        <v>59.020384117335254</v>
      </c>
      <c r="I156" s="319">
        <f t="shared" si="185"/>
        <v>59.244063993812112</v>
      </c>
      <c r="J156" s="39">
        <f>H156*F156</f>
        <v>0</v>
      </c>
      <c r="K156" s="39">
        <f>I156*F156</f>
        <v>0</v>
      </c>
      <c r="L156" s="39">
        <f t="shared" si="180"/>
        <v>0</v>
      </c>
      <c r="M156" s="41">
        <f t="shared" si="181"/>
        <v>59.244063993812112</v>
      </c>
      <c r="N156" s="41">
        <f>M156*F156</f>
        <v>0</v>
      </c>
      <c r="O156" s="41">
        <f t="shared" si="182"/>
        <v>0</v>
      </c>
      <c r="Q156" s="256">
        <f t="shared" si="183"/>
        <v>1.0037898749698437</v>
      </c>
    </row>
    <row r="157" spans="1:17">
      <c r="A157" s="291"/>
      <c r="B157" s="50" t="s">
        <v>108</v>
      </c>
      <c r="C157" s="57" t="s">
        <v>324</v>
      </c>
      <c r="D157" s="64">
        <v>0</v>
      </c>
      <c r="E157" s="18">
        <v>12</v>
      </c>
      <c r="F157" s="52">
        <f t="shared" ref="F157:F159" si="187">D157*E157*12</f>
        <v>0</v>
      </c>
      <c r="G157" s="39">
        <f>H157*(References!$B$52)</f>
        <v>5.5526996743113996E-2</v>
      </c>
      <c r="H157" s="260">
        <v>14.651405965881013</v>
      </c>
      <c r="I157" s="319">
        <f t="shared" ref="I157:I159" si="188">G157+H157</f>
        <v>14.706932962624126</v>
      </c>
      <c r="J157" s="39">
        <f>H157*F157</f>
        <v>0</v>
      </c>
      <c r="K157" s="39">
        <f>I157*F157</f>
        <v>0</v>
      </c>
      <c r="L157" s="39">
        <f t="shared" ref="L157:L159" si="189">J157-K157</f>
        <v>0</v>
      </c>
      <c r="M157" s="41">
        <f t="shared" ref="M157:M159" si="190">I157</f>
        <v>14.706932962624126</v>
      </c>
      <c r="N157" s="41">
        <f>M157*F157</f>
        <v>0</v>
      </c>
      <c r="O157" s="41">
        <f t="shared" ref="O157:O159" si="191">N157-J157</f>
        <v>0</v>
      </c>
      <c r="Q157" s="256">
        <f t="shared" ref="Q157:Q159" si="192">M157/H157</f>
        <v>1.003789874969844</v>
      </c>
    </row>
    <row r="158" spans="1:17">
      <c r="A158" s="291"/>
      <c r="B158" s="50" t="s">
        <v>108</v>
      </c>
      <c r="C158" s="57" t="s">
        <v>325</v>
      </c>
      <c r="D158" s="64">
        <v>0</v>
      </c>
      <c r="E158" s="18">
        <v>12</v>
      </c>
      <c r="F158" s="52">
        <f t="shared" si="187"/>
        <v>0</v>
      </c>
      <c r="G158" s="39">
        <f>H158*(References!$B$52)</f>
        <v>6.4683253106274333E-2</v>
      </c>
      <c r="H158" s="260">
        <v>17.067384444331314</v>
      </c>
      <c r="I158" s="319">
        <f t="shared" si="188"/>
        <v>17.132067697437588</v>
      </c>
      <c r="J158" s="39">
        <f>H158*F158</f>
        <v>0</v>
      </c>
      <c r="K158" s="39">
        <f>I158*F158</f>
        <v>0</v>
      </c>
      <c r="L158" s="39">
        <f t="shared" si="189"/>
        <v>0</v>
      </c>
      <c r="M158" s="41">
        <f t="shared" si="190"/>
        <v>17.132067697437588</v>
      </c>
      <c r="N158" s="41">
        <f>M158*F158</f>
        <v>0</v>
      </c>
      <c r="O158" s="41">
        <f t="shared" si="191"/>
        <v>0</v>
      </c>
      <c r="Q158" s="256">
        <f t="shared" si="192"/>
        <v>1.003789874969844</v>
      </c>
    </row>
    <row r="159" spans="1:17">
      <c r="A159" s="291"/>
      <c r="B159" s="50" t="s">
        <v>108</v>
      </c>
      <c r="C159" s="57" t="s">
        <v>326</v>
      </c>
      <c r="D159" s="64">
        <v>0</v>
      </c>
      <c r="E159" s="18">
        <v>12</v>
      </c>
      <c r="F159" s="52">
        <f t="shared" si="187"/>
        <v>0</v>
      </c>
      <c r="G159" s="39">
        <f>H159*(References!$B$52)</f>
        <v>8.3310143733476047E-2</v>
      </c>
      <c r="H159" s="260">
        <v>21.982293451994156</v>
      </c>
      <c r="I159" s="319">
        <f t="shared" si="188"/>
        <v>22.065603595727634</v>
      </c>
      <c r="J159" s="39">
        <f>H159*F159</f>
        <v>0</v>
      </c>
      <c r="K159" s="39">
        <f>I159*F159</f>
        <v>0</v>
      </c>
      <c r="L159" s="39">
        <f t="shared" si="189"/>
        <v>0</v>
      </c>
      <c r="M159" s="41">
        <f t="shared" si="190"/>
        <v>22.065603595727634</v>
      </c>
      <c r="N159" s="41">
        <f>M159*F159</f>
        <v>0</v>
      </c>
      <c r="O159" s="41">
        <f t="shared" si="191"/>
        <v>0</v>
      </c>
      <c r="Q159" s="256">
        <f t="shared" si="192"/>
        <v>1.003789874969844</v>
      </c>
    </row>
    <row r="160" spans="1:17">
      <c r="A160" s="291"/>
      <c r="B160" s="50" t="s">
        <v>108</v>
      </c>
      <c r="C160" s="57" t="s">
        <v>298</v>
      </c>
      <c r="D160" s="64">
        <v>0</v>
      </c>
      <c r="E160" s="18">
        <v>12</v>
      </c>
      <c r="F160" s="52">
        <f t="shared" ref="F160:F162" si="193">D160*E160*12</f>
        <v>0</v>
      </c>
      <c r="G160" s="39">
        <f>H160*(References!$B$52)</f>
        <v>0.15557776369850554</v>
      </c>
      <c r="H160" s="260">
        <v>41.050896120964566</v>
      </c>
      <c r="I160" s="319">
        <f t="shared" ref="I160:I162" si="194">G160+H160</f>
        <v>41.206473884663069</v>
      </c>
      <c r="J160" s="39">
        <f>H160*F160</f>
        <v>0</v>
      </c>
      <c r="K160" s="39">
        <f>I160*F160</f>
        <v>0</v>
      </c>
      <c r="L160" s="39">
        <f t="shared" ref="L160:L162" si="195">J160-K160</f>
        <v>0</v>
      </c>
      <c r="M160" s="41">
        <f t="shared" ref="M160:M162" si="196">I160</f>
        <v>41.206473884663069</v>
      </c>
      <c r="N160" s="41">
        <f>M160*F160</f>
        <v>0</v>
      </c>
      <c r="O160" s="41">
        <f t="shared" ref="O160:O162" si="197">N160-J160</f>
        <v>0</v>
      </c>
      <c r="Q160" s="256">
        <f t="shared" ref="Q160:Q162" si="198">M160/H160</f>
        <v>1.0037898749698437</v>
      </c>
    </row>
    <row r="161" spans="1:17">
      <c r="A161" s="291"/>
      <c r="B161" s="50" t="s">
        <v>108</v>
      </c>
      <c r="C161" s="57" t="s">
        <v>299</v>
      </c>
      <c r="D161" s="64">
        <v>0</v>
      </c>
      <c r="E161" s="18">
        <v>12</v>
      </c>
      <c r="F161" s="52">
        <f t="shared" si="193"/>
        <v>0</v>
      </c>
      <c r="G161" s="39">
        <f>H161*(References!$B$52)</f>
        <v>0.15557776369850554</v>
      </c>
      <c r="H161" s="260">
        <v>41.050896120964566</v>
      </c>
      <c r="I161" s="319">
        <f t="shared" si="194"/>
        <v>41.206473884663069</v>
      </c>
      <c r="J161" s="39">
        <f>H161*F161</f>
        <v>0</v>
      </c>
      <c r="K161" s="39">
        <f>I161*F161</f>
        <v>0</v>
      </c>
      <c r="L161" s="39">
        <f t="shared" si="195"/>
        <v>0</v>
      </c>
      <c r="M161" s="41">
        <f t="shared" si="196"/>
        <v>41.206473884663069</v>
      </c>
      <c r="N161" s="41">
        <f>M161*F161</f>
        <v>0</v>
      </c>
      <c r="O161" s="41">
        <f t="shared" si="197"/>
        <v>0</v>
      </c>
      <c r="Q161" s="256">
        <f t="shared" si="198"/>
        <v>1.0037898749698437</v>
      </c>
    </row>
    <row r="162" spans="1:17">
      <c r="A162" s="291"/>
      <c r="B162" s="50" t="s">
        <v>108</v>
      </c>
      <c r="C162" s="57" t="s">
        <v>300</v>
      </c>
      <c r="D162" s="64">
        <v>0</v>
      </c>
      <c r="E162" s="18">
        <v>12</v>
      </c>
      <c r="F162" s="52">
        <f t="shared" si="193"/>
        <v>0</v>
      </c>
      <c r="G162" s="39">
        <f>H162*(References!$B$52)</f>
        <v>0.15557776369850554</v>
      </c>
      <c r="H162" s="260">
        <v>41.050896120964566</v>
      </c>
      <c r="I162" s="319">
        <f t="shared" si="194"/>
        <v>41.206473884663069</v>
      </c>
      <c r="J162" s="39">
        <f>H162*F162</f>
        <v>0</v>
      </c>
      <c r="K162" s="39">
        <f>I162*F162</f>
        <v>0</v>
      </c>
      <c r="L162" s="39">
        <f t="shared" si="195"/>
        <v>0</v>
      </c>
      <c r="M162" s="41">
        <f t="shared" si="196"/>
        <v>41.206473884663069</v>
      </c>
      <c r="N162" s="41">
        <f>M162*F162</f>
        <v>0</v>
      </c>
      <c r="O162" s="41">
        <f t="shared" si="197"/>
        <v>0</v>
      </c>
      <c r="Q162" s="256">
        <f t="shared" si="198"/>
        <v>1.0037898749698437</v>
      </c>
    </row>
    <row r="163" spans="1:17">
      <c r="A163" s="291"/>
      <c r="B163" s="50" t="s">
        <v>108</v>
      </c>
      <c r="C163" s="57" t="s">
        <v>117</v>
      </c>
      <c r="D163" s="64">
        <v>0</v>
      </c>
      <c r="E163" s="18">
        <v>12</v>
      </c>
      <c r="F163" s="52">
        <f t="shared" si="186"/>
        <v>0</v>
      </c>
      <c r="G163" s="39">
        <f>H163*(References!$B$52)</f>
        <v>0.143356322801755</v>
      </c>
      <c r="H163" s="260">
        <v>37.826135147582399</v>
      </c>
      <c r="I163" s="319">
        <f t="shared" si="185"/>
        <v>37.969491470384156</v>
      </c>
      <c r="J163" s="39">
        <f>H163*F163</f>
        <v>0</v>
      </c>
      <c r="K163" s="39">
        <f>I163*F163</f>
        <v>0</v>
      </c>
      <c r="L163" s="39">
        <f t="shared" si="180"/>
        <v>0</v>
      </c>
      <c r="M163" s="41">
        <f t="shared" si="181"/>
        <v>37.969491470384156</v>
      </c>
      <c r="N163" s="41">
        <f>M163*F163</f>
        <v>0</v>
      </c>
      <c r="O163" s="41">
        <f t="shared" si="182"/>
        <v>0</v>
      </c>
      <c r="Q163" s="256">
        <f t="shared" si="183"/>
        <v>1.003789874969844</v>
      </c>
    </row>
    <row r="164" spans="1:17">
      <c r="A164" s="291"/>
      <c r="B164" s="50" t="s">
        <v>108</v>
      </c>
      <c r="C164" s="57" t="s">
        <v>118</v>
      </c>
      <c r="D164" s="64">
        <v>0</v>
      </c>
      <c r="E164" s="18">
        <v>12</v>
      </c>
      <c r="F164" s="52">
        <f t="shared" si="186"/>
        <v>0</v>
      </c>
      <c r="G164" s="39">
        <f>H164*(References!$B$52)</f>
        <v>0.16430175044795445</v>
      </c>
      <c r="H164" s="260">
        <v>43.352815529616784</v>
      </c>
      <c r="I164" s="319">
        <f t="shared" si="185"/>
        <v>43.517117280064738</v>
      </c>
      <c r="J164" s="39">
        <f>H164*F164</f>
        <v>0</v>
      </c>
      <c r="K164" s="39">
        <f>I164*F164</f>
        <v>0</v>
      </c>
      <c r="L164" s="39">
        <f t="shared" si="180"/>
        <v>0</v>
      </c>
      <c r="M164" s="41">
        <f t="shared" si="181"/>
        <v>43.517117280064738</v>
      </c>
      <c r="N164" s="41">
        <f>M164*F164</f>
        <v>0</v>
      </c>
      <c r="O164" s="41">
        <f t="shared" si="182"/>
        <v>0</v>
      </c>
      <c r="Q164" s="256">
        <f t="shared" si="183"/>
        <v>1.003789874969844</v>
      </c>
    </row>
    <row r="165" spans="1:17">
      <c r="A165" s="291"/>
      <c r="B165" s="50" t="s">
        <v>108</v>
      </c>
      <c r="C165" s="57" t="s">
        <v>119</v>
      </c>
      <c r="D165" s="64">
        <v>0</v>
      </c>
      <c r="E165" s="18">
        <v>12</v>
      </c>
      <c r="F165" s="52">
        <f t="shared" si="186"/>
        <v>0</v>
      </c>
      <c r="G165" s="39">
        <f>H165*(References!$B$52)</f>
        <v>0.22367987647686116</v>
      </c>
      <c r="H165" s="260">
        <v>59.020384117335254</v>
      </c>
      <c r="I165" s="319">
        <f t="shared" si="185"/>
        <v>59.244063993812112</v>
      </c>
      <c r="J165" s="39">
        <f>H165*F165</f>
        <v>0</v>
      </c>
      <c r="K165" s="39">
        <f>I165*F165</f>
        <v>0</v>
      </c>
      <c r="L165" s="39">
        <f t="shared" si="180"/>
        <v>0</v>
      </c>
      <c r="M165" s="41">
        <f t="shared" si="181"/>
        <v>59.244063993812112</v>
      </c>
      <c r="N165" s="41">
        <f>M165*F165</f>
        <v>0</v>
      </c>
      <c r="O165" s="41">
        <f t="shared" si="182"/>
        <v>0</v>
      </c>
      <c r="Q165" s="256">
        <f t="shared" si="183"/>
        <v>1.0037898749698437</v>
      </c>
    </row>
    <row r="166" spans="1:17">
      <c r="A166" s="291"/>
      <c r="B166" s="50" t="s">
        <v>108</v>
      </c>
      <c r="C166" s="57" t="s">
        <v>295</v>
      </c>
      <c r="D166" s="64">
        <v>0</v>
      </c>
      <c r="E166" s="18">
        <v>12</v>
      </c>
      <c r="F166" s="52">
        <f t="shared" si="186"/>
        <v>0</v>
      </c>
      <c r="G166" s="39">
        <f>H166*(References!$B$52)</f>
        <v>6.0910718295701834E-3</v>
      </c>
      <c r="H166" s="260">
        <v>1.6071959835184408</v>
      </c>
      <c r="I166" s="319">
        <f t="shared" si="185"/>
        <v>1.613287055348011</v>
      </c>
      <c r="J166" s="39">
        <f>H166*F166</f>
        <v>0</v>
      </c>
      <c r="K166" s="39">
        <f>I166*F166</f>
        <v>0</v>
      </c>
      <c r="L166" s="39">
        <f t="shared" si="180"/>
        <v>0</v>
      </c>
      <c r="M166" s="41">
        <f t="shared" si="181"/>
        <v>1.613287055348011</v>
      </c>
      <c r="N166" s="41">
        <f>M166*F166</f>
        <v>0</v>
      </c>
      <c r="O166" s="41">
        <f t="shared" si="182"/>
        <v>0</v>
      </c>
      <c r="Q166" s="256">
        <f t="shared" si="183"/>
        <v>1.003789874969844</v>
      </c>
    </row>
    <row r="167" spans="1:17">
      <c r="A167" s="291"/>
      <c r="B167" s="50" t="s">
        <v>108</v>
      </c>
      <c r="C167" s="57" t="s">
        <v>296</v>
      </c>
      <c r="D167" s="64">
        <v>0</v>
      </c>
      <c r="E167" s="18">
        <v>12</v>
      </c>
      <c r="F167" s="52">
        <f t="shared" si="186"/>
        <v>0</v>
      </c>
      <c r="G167" s="39">
        <f>H167*(References!$B$52)</f>
        <v>6.6412331561120051E-3</v>
      </c>
      <c r="H167" s="260">
        <v>1.7523620723523643</v>
      </c>
      <c r="I167" s="319">
        <f t="shared" si="185"/>
        <v>1.7590033055084764</v>
      </c>
      <c r="J167" s="39">
        <f>H167*F167</f>
        <v>0</v>
      </c>
      <c r="K167" s="39">
        <f>I167*F167</f>
        <v>0</v>
      </c>
      <c r="L167" s="39">
        <f t="shared" si="180"/>
        <v>0</v>
      </c>
      <c r="M167" s="41">
        <f t="shared" si="181"/>
        <v>1.7590033055084764</v>
      </c>
      <c r="N167" s="41">
        <f>M167*F167</f>
        <v>0</v>
      </c>
      <c r="O167" s="41">
        <f t="shared" si="182"/>
        <v>0</v>
      </c>
      <c r="Q167" s="256">
        <f t="shared" si="183"/>
        <v>1.003789874969844</v>
      </c>
    </row>
    <row r="168" spans="1:17">
      <c r="A168" s="291"/>
      <c r="B168" s="50" t="s">
        <v>108</v>
      </c>
      <c r="C168" s="57" t="s">
        <v>297</v>
      </c>
      <c r="D168" s="64">
        <v>0</v>
      </c>
      <c r="E168" s="18">
        <v>12</v>
      </c>
      <c r="F168" s="52">
        <f t="shared" si="186"/>
        <v>0</v>
      </c>
      <c r="G168" s="39">
        <f>H168*(References!$B$52)</f>
        <v>8.2917171357374739E-3</v>
      </c>
      <c r="H168" s="260">
        <v>2.1878603388541351</v>
      </c>
      <c r="I168" s="319">
        <f t="shared" si="185"/>
        <v>2.1961520559898724</v>
      </c>
      <c r="J168" s="39">
        <f>H168*F168</f>
        <v>0</v>
      </c>
      <c r="K168" s="39">
        <f>I168*F168</f>
        <v>0</v>
      </c>
      <c r="L168" s="39">
        <f t="shared" si="180"/>
        <v>0</v>
      </c>
      <c r="M168" s="41">
        <f t="shared" si="181"/>
        <v>2.1961520559898724</v>
      </c>
      <c r="N168" s="41">
        <f>M168*F168</f>
        <v>0</v>
      </c>
      <c r="O168" s="41">
        <f t="shared" si="182"/>
        <v>0</v>
      </c>
      <c r="Q168" s="256">
        <f t="shared" si="183"/>
        <v>1.0037898749698437</v>
      </c>
    </row>
    <row r="169" spans="1:17">
      <c r="A169" s="291"/>
      <c r="B169" s="50" t="s">
        <v>108</v>
      </c>
      <c r="C169" s="57" t="s">
        <v>301</v>
      </c>
      <c r="D169" s="64">
        <v>0</v>
      </c>
      <c r="E169" s="18">
        <v>12</v>
      </c>
      <c r="F169" s="52">
        <f t="shared" si="186"/>
        <v>0</v>
      </c>
      <c r="G169" s="39">
        <f>H169*(References!$B$52)</f>
        <v>0.18328231621364729</v>
      </c>
      <c r="H169" s="260">
        <v>48.361045594387143</v>
      </c>
      <c r="I169" s="319">
        <f t="shared" si="185"/>
        <v>48.544327910600792</v>
      </c>
      <c r="J169" s="39">
        <f>H169*F169</f>
        <v>0</v>
      </c>
      <c r="K169" s="39">
        <f>I169*F169</f>
        <v>0</v>
      </c>
      <c r="L169" s="39">
        <f t="shared" si="180"/>
        <v>0</v>
      </c>
      <c r="M169" s="41">
        <f t="shared" si="181"/>
        <v>48.544327910600792</v>
      </c>
      <c r="N169" s="41">
        <f>M169*F169</f>
        <v>0</v>
      </c>
      <c r="O169" s="41">
        <f t="shared" si="182"/>
        <v>0</v>
      </c>
      <c r="Q169" s="256">
        <f t="shared" si="183"/>
        <v>1.003789874969844</v>
      </c>
    </row>
    <row r="170" spans="1:17">
      <c r="A170" s="291"/>
      <c r="B170" s="50" t="s">
        <v>108</v>
      </c>
      <c r="C170" s="57" t="s">
        <v>302</v>
      </c>
      <c r="D170" s="64">
        <v>0</v>
      </c>
      <c r="E170" s="18">
        <v>12</v>
      </c>
      <c r="F170" s="52">
        <f t="shared" si="186"/>
        <v>0</v>
      </c>
      <c r="G170" s="39">
        <f>H170*(References!$B$52)</f>
        <v>0.20544595822576076</v>
      </c>
      <c r="H170" s="260">
        <v>54.209165173125214</v>
      </c>
      <c r="I170" s="319">
        <f t="shared" si="185"/>
        <v>54.414611131350973</v>
      </c>
      <c r="J170" s="39">
        <f>H170*F170</f>
        <v>0</v>
      </c>
      <c r="K170" s="39">
        <f>I170*F170</f>
        <v>0</v>
      </c>
      <c r="L170" s="39">
        <f t="shared" si="180"/>
        <v>0</v>
      </c>
      <c r="M170" s="41">
        <f t="shared" si="181"/>
        <v>54.414611131350973</v>
      </c>
      <c r="N170" s="41">
        <f>M170*F170</f>
        <v>0</v>
      </c>
      <c r="O170" s="41">
        <f t="shared" si="182"/>
        <v>0</v>
      </c>
      <c r="Q170" s="256">
        <f t="shared" si="183"/>
        <v>1.003789874969844</v>
      </c>
    </row>
    <row r="171" spans="1:17">
      <c r="A171" s="291"/>
      <c r="B171" s="50" t="s">
        <v>108</v>
      </c>
      <c r="C171" s="57" t="s">
        <v>303</v>
      </c>
      <c r="D171" s="64">
        <v>0</v>
      </c>
      <c r="E171" s="18">
        <v>12</v>
      </c>
      <c r="F171" s="52">
        <f t="shared" si="186"/>
        <v>0</v>
      </c>
      <c r="G171" s="39">
        <f>H171*(References!$B$52)</f>
        <v>0.24438952069739978</v>
      </c>
      <c r="H171" s="260">
        <v>64.484850461297953</v>
      </c>
      <c r="I171" s="319">
        <f t="shared" si="185"/>
        <v>64.729239981995349</v>
      </c>
      <c r="J171" s="39">
        <f>H171*F171</f>
        <v>0</v>
      </c>
      <c r="K171" s="39">
        <f>I171*F171</f>
        <v>0</v>
      </c>
      <c r="L171" s="39">
        <f t="shared" si="180"/>
        <v>0</v>
      </c>
      <c r="M171" s="41">
        <f t="shared" si="181"/>
        <v>64.729239981995349</v>
      </c>
      <c r="N171" s="41">
        <f>M171*F171</f>
        <v>0</v>
      </c>
      <c r="O171" s="41">
        <f t="shared" si="182"/>
        <v>0</v>
      </c>
      <c r="Q171" s="256">
        <f t="shared" si="183"/>
        <v>1.0037898749698437</v>
      </c>
    </row>
    <row r="172" spans="1:17">
      <c r="A172" s="291"/>
      <c r="B172" s="50" t="s">
        <v>108</v>
      </c>
      <c r="C172" s="57" t="s">
        <v>304</v>
      </c>
      <c r="D172" s="64">
        <v>0</v>
      </c>
      <c r="E172" s="18">
        <v>12</v>
      </c>
      <c r="F172" s="52">
        <f t="shared" si="186"/>
        <v>0</v>
      </c>
      <c r="G172" s="39">
        <f>H172*(References!$B$52)</f>
        <v>5.58020774063849E-3</v>
      </c>
      <c r="H172" s="260">
        <v>1.4723989010297973</v>
      </c>
      <c r="I172" s="319">
        <f t="shared" si="185"/>
        <v>1.4779791087704357</v>
      </c>
      <c r="J172" s="39">
        <f>H172*F172</f>
        <v>0</v>
      </c>
      <c r="K172" s="39">
        <f>I172*F172</f>
        <v>0</v>
      </c>
      <c r="L172" s="39">
        <f t="shared" si="180"/>
        <v>0</v>
      </c>
      <c r="M172" s="41">
        <f t="shared" si="181"/>
        <v>1.4779791087704357</v>
      </c>
      <c r="N172" s="41">
        <f>M172*F172</f>
        <v>0</v>
      </c>
      <c r="O172" s="41">
        <f t="shared" si="182"/>
        <v>0</v>
      </c>
      <c r="Q172" s="256">
        <f t="shared" si="183"/>
        <v>1.0037898749698437</v>
      </c>
    </row>
    <row r="173" spans="1:17">
      <c r="A173" s="291"/>
      <c r="B173" s="50" t="s">
        <v>108</v>
      </c>
      <c r="C173" s="57" t="s">
        <v>305</v>
      </c>
      <c r="D173" s="64">
        <v>0</v>
      </c>
      <c r="E173" s="18">
        <v>12</v>
      </c>
      <c r="F173" s="52">
        <f t="shared" si="186"/>
        <v>0</v>
      </c>
      <c r="G173" s="39">
        <f>H173*(References!$B$52)</f>
        <v>1.108182100605672E-2</v>
      </c>
      <c r="H173" s="260">
        <v>2.9240597893690339</v>
      </c>
      <c r="I173" s="319">
        <f t="shared" si="185"/>
        <v>2.9351416103750907</v>
      </c>
      <c r="J173" s="39">
        <f>H173*F173</f>
        <v>0</v>
      </c>
      <c r="K173" s="39">
        <f>I173*F173</f>
        <v>0</v>
      </c>
      <c r="L173" s="39">
        <f t="shared" si="180"/>
        <v>0</v>
      </c>
      <c r="M173" s="41">
        <f t="shared" si="181"/>
        <v>2.9351416103750907</v>
      </c>
      <c r="N173" s="41">
        <f>M173*F173</f>
        <v>0</v>
      </c>
      <c r="O173" s="41">
        <f t="shared" si="182"/>
        <v>0</v>
      </c>
      <c r="Q173" s="256">
        <f t="shared" si="183"/>
        <v>1.003789874969844</v>
      </c>
    </row>
    <row r="174" spans="1:17">
      <c r="A174" s="291"/>
      <c r="B174" s="50" t="s">
        <v>108</v>
      </c>
      <c r="C174" s="57" t="s">
        <v>306</v>
      </c>
      <c r="D174" s="64">
        <v>0</v>
      </c>
      <c r="E174" s="18">
        <v>12</v>
      </c>
      <c r="F174" s="52">
        <f t="shared" si="186"/>
        <v>0</v>
      </c>
      <c r="G174" s="39">
        <f>H174*(References!$B$52)</f>
        <v>2.7822444227972191E-2</v>
      </c>
      <c r="H174" s="260">
        <v>7.3412564924584265</v>
      </c>
      <c r="I174" s="319">
        <f t="shared" si="185"/>
        <v>7.3690789366863987</v>
      </c>
      <c r="J174" s="39">
        <f>H174*F174</f>
        <v>0</v>
      </c>
      <c r="K174" s="39">
        <f>I174*F174</f>
        <v>0</v>
      </c>
      <c r="L174" s="39">
        <f t="shared" si="180"/>
        <v>0</v>
      </c>
      <c r="M174" s="41">
        <f t="shared" si="181"/>
        <v>7.3690789366863987</v>
      </c>
      <c r="N174" s="41">
        <f>M174*F174</f>
        <v>0</v>
      </c>
      <c r="O174" s="41">
        <f t="shared" si="182"/>
        <v>0</v>
      </c>
      <c r="Q174" s="256">
        <f t="shared" si="183"/>
        <v>1.003789874969844</v>
      </c>
    </row>
    <row r="175" spans="1:17">
      <c r="A175" s="291"/>
      <c r="B175" s="50" t="s">
        <v>120</v>
      </c>
      <c r="C175" s="57" t="s">
        <v>121</v>
      </c>
      <c r="D175" s="64">
        <v>0</v>
      </c>
      <c r="E175" s="18">
        <v>12</v>
      </c>
      <c r="F175" s="52">
        <f t="shared" si="186"/>
        <v>0</v>
      </c>
      <c r="G175" s="39">
        <f>H175*(References!$B$52)</f>
        <v>1.7880243112609245E-2</v>
      </c>
      <c r="H175" s="260">
        <v>4.7178978871025192</v>
      </c>
      <c r="I175" s="319">
        <f t="shared" si="185"/>
        <v>4.7357781302151283</v>
      </c>
      <c r="J175" s="39">
        <f>H175*F175</f>
        <v>0</v>
      </c>
      <c r="K175" s="39">
        <f>I175*F175</f>
        <v>0</v>
      </c>
      <c r="L175" s="39">
        <f t="shared" ref="L175:L186" si="199">J175-K175</f>
        <v>0</v>
      </c>
      <c r="M175" s="41">
        <f t="shared" ref="M175:M186" si="200">I175</f>
        <v>4.7357781302151283</v>
      </c>
      <c r="N175" s="41">
        <f>M175*F175</f>
        <v>0</v>
      </c>
      <c r="O175" s="41">
        <f t="shared" ref="O175:O186" si="201">N175-J175</f>
        <v>0</v>
      </c>
      <c r="Q175" s="256">
        <f t="shared" ref="Q175:Q186" si="202">M175/H175</f>
        <v>1.003789874969844</v>
      </c>
    </row>
    <row r="176" spans="1:17">
      <c r="A176" s="291"/>
      <c r="B176" s="50" t="s">
        <v>120</v>
      </c>
      <c r="C176" s="57" t="s">
        <v>122</v>
      </c>
      <c r="D176" s="64">
        <v>0</v>
      </c>
      <c r="E176" s="18">
        <v>12</v>
      </c>
      <c r="F176" s="52">
        <f t="shared" si="186"/>
        <v>0</v>
      </c>
      <c r="G176" s="39">
        <f>H176*(References!$B$52)</f>
        <v>2.5228826545703596E-2</v>
      </c>
      <c r="H176" s="260">
        <v>6.6569020736699285</v>
      </c>
      <c r="I176" s="319">
        <f t="shared" si="185"/>
        <v>6.6821309002156317</v>
      </c>
      <c r="J176" s="39">
        <f>H176*F176</f>
        <v>0</v>
      </c>
      <c r="K176" s="39">
        <f>I176*F176</f>
        <v>0</v>
      </c>
      <c r="L176" s="39">
        <f t="shared" si="199"/>
        <v>0</v>
      </c>
      <c r="M176" s="41">
        <f t="shared" si="200"/>
        <v>6.6821309002156317</v>
      </c>
      <c r="N176" s="41">
        <f>M176*F176</f>
        <v>0</v>
      </c>
      <c r="O176" s="41">
        <f t="shared" si="201"/>
        <v>0</v>
      </c>
      <c r="Q176" s="256">
        <f t="shared" si="202"/>
        <v>1.003789874969844</v>
      </c>
    </row>
    <row r="177" spans="1:17">
      <c r="A177" s="291"/>
      <c r="B177" s="50" t="s">
        <v>120</v>
      </c>
      <c r="C177" s="57" t="s">
        <v>123</v>
      </c>
      <c r="D177" s="64">
        <v>0</v>
      </c>
      <c r="E177" s="18">
        <v>12</v>
      </c>
      <c r="F177" s="52">
        <f t="shared" si="186"/>
        <v>0</v>
      </c>
      <c r="G177" s="39">
        <f>H177*(References!$B$52)</f>
        <v>3.6625025452641354E-2</v>
      </c>
      <c r="H177" s="260">
        <v>9.6639139138012045</v>
      </c>
      <c r="I177" s="319">
        <f t="shared" si="185"/>
        <v>9.7005389392538461</v>
      </c>
      <c r="J177" s="39">
        <f>H177*F177</f>
        <v>0</v>
      </c>
      <c r="K177" s="39">
        <f>I177*F177</f>
        <v>0</v>
      </c>
      <c r="L177" s="39">
        <f t="shared" si="199"/>
        <v>0</v>
      </c>
      <c r="M177" s="41">
        <f t="shared" si="200"/>
        <v>9.7005389392538461</v>
      </c>
      <c r="N177" s="41">
        <f>M177*F177</f>
        <v>0</v>
      </c>
      <c r="O177" s="41">
        <f t="shared" si="201"/>
        <v>0</v>
      </c>
      <c r="Q177" s="256">
        <f t="shared" si="202"/>
        <v>1.003789874969844</v>
      </c>
    </row>
    <row r="178" spans="1:17">
      <c r="A178" s="291"/>
      <c r="B178" s="50" t="s">
        <v>120</v>
      </c>
      <c r="C178" s="57" t="s">
        <v>109</v>
      </c>
      <c r="D178" s="64">
        <v>0</v>
      </c>
      <c r="E178" s="18">
        <v>12</v>
      </c>
      <c r="F178" s="52">
        <f t="shared" si="186"/>
        <v>0</v>
      </c>
      <c r="G178" s="39">
        <f>H178*(References!$B$52)</f>
        <v>0.10319454596420194</v>
      </c>
      <c r="H178" s="260">
        <v>27.229010662705971</v>
      </c>
      <c r="I178" s="319">
        <f t="shared" si="185"/>
        <v>27.332205208670171</v>
      </c>
      <c r="J178" s="39">
        <f>H178*F178</f>
        <v>0</v>
      </c>
      <c r="K178" s="39">
        <f>I178*F178</f>
        <v>0</v>
      </c>
      <c r="L178" s="39">
        <f t="shared" si="199"/>
        <v>0</v>
      </c>
      <c r="M178" s="41">
        <f t="shared" si="200"/>
        <v>27.332205208670171</v>
      </c>
      <c r="N178" s="41">
        <f>M178*F178</f>
        <v>0</v>
      </c>
      <c r="O178" s="41">
        <f t="shared" si="201"/>
        <v>0</v>
      </c>
      <c r="Q178" s="256">
        <f t="shared" si="202"/>
        <v>1.0037898749698437</v>
      </c>
    </row>
    <row r="179" spans="1:17">
      <c r="A179" s="291"/>
      <c r="B179" s="50" t="s">
        <v>120</v>
      </c>
      <c r="C179" s="57" t="s">
        <v>112</v>
      </c>
      <c r="D179" s="64">
        <v>0</v>
      </c>
      <c r="E179" s="18">
        <v>12</v>
      </c>
      <c r="F179" s="52">
        <f t="shared" si="186"/>
        <v>0</v>
      </c>
      <c r="G179" s="39">
        <f>H179*(References!$B$52)</f>
        <v>0.1311348819050045</v>
      </c>
      <c r="H179" s="260">
        <v>34.601374174200231</v>
      </c>
      <c r="I179" s="319">
        <f t="shared" si="185"/>
        <v>34.732509056105236</v>
      </c>
      <c r="J179" s="39">
        <f>H179*F179</f>
        <v>0</v>
      </c>
      <c r="K179" s="39">
        <f>I179*F179</f>
        <v>0</v>
      </c>
      <c r="L179" s="39">
        <f t="shared" si="199"/>
        <v>0</v>
      </c>
      <c r="M179" s="41">
        <f t="shared" si="200"/>
        <v>34.732509056105236</v>
      </c>
      <c r="N179" s="41">
        <f>M179*F179</f>
        <v>0</v>
      </c>
      <c r="O179" s="41">
        <f t="shared" si="201"/>
        <v>0</v>
      </c>
      <c r="Q179" s="256">
        <f t="shared" si="202"/>
        <v>1.003789874969844</v>
      </c>
    </row>
    <row r="180" spans="1:17">
      <c r="A180" s="291"/>
      <c r="B180" s="50" t="s">
        <v>120</v>
      </c>
      <c r="C180" s="57" t="s">
        <v>110</v>
      </c>
      <c r="D180" s="64">
        <v>0</v>
      </c>
      <c r="E180" s="18">
        <v>12</v>
      </c>
      <c r="F180" s="52">
        <f t="shared" si="186"/>
        <v>0</v>
      </c>
      <c r="G180" s="39">
        <f>H180*(References!$B$52)</f>
        <v>0.17447973498897815</v>
      </c>
      <c r="H180" s="260">
        <v>46.038388173044368</v>
      </c>
      <c r="I180" s="319">
        <f t="shared" si="185"/>
        <v>46.212867908033346</v>
      </c>
      <c r="J180" s="39">
        <f>H180*F180</f>
        <v>0</v>
      </c>
      <c r="K180" s="39">
        <f>I180*F180</f>
        <v>0</v>
      </c>
      <c r="L180" s="39">
        <f t="shared" si="199"/>
        <v>0</v>
      </c>
      <c r="M180" s="41">
        <f t="shared" si="200"/>
        <v>46.212867908033346</v>
      </c>
      <c r="N180" s="41">
        <f>M180*F180</f>
        <v>0</v>
      </c>
      <c r="O180" s="41">
        <f t="shared" si="201"/>
        <v>0</v>
      </c>
      <c r="Q180" s="256">
        <f t="shared" si="202"/>
        <v>1.003789874969844</v>
      </c>
    </row>
    <row r="181" spans="1:17">
      <c r="A181" s="291"/>
      <c r="B181" s="50" t="s">
        <v>120</v>
      </c>
      <c r="C181" s="57" t="s">
        <v>127</v>
      </c>
      <c r="D181" s="64">
        <v>0</v>
      </c>
      <c r="E181" s="18">
        <v>12</v>
      </c>
      <c r="F181" s="52">
        <f t="shared" si="186"/>
        <v>0</v>
      </c>
      <c r="G181" s="39">
        <f>H181*(References!$B$52)</f>
        <v>5.8906559177585187E-2</v>
      </c>
      <c r="H181" s="260">
        <v>15.543140511575114</v>
      </c>
      <c r="I181" s="319">
        <f t="shared" si="185"/>
        <v>15.602047070752699</v>
      </c>
      <c r="J181" s="39">
        <f>H181*F181</f>
        <v>0</v>
      </c>
      <c r="K181" s="39">
        <f>I181*F181</f>
        <v>0</v>
      </c>
      <c r="L181" s="39">
        <f t="shared" si="199"/>
        <v>0</v>
      </c>
      <c r="M181" s="41">
        <f t="shared" si="200"/>
        <v>15.602047070752699</v>
      </c>
      <c r="N181" s="41">
        <f>M181*F181</f>
        <v>0</v>
      </c>
      <c r="O181" s="41">
        <f t="shared" si="201"/>
        <v>0</v>
      </c>
      <c r="Q181" s="256">
        <f t="shared" si="202"/>
        <v>1.003789874969844</v>
      </c>
    </row>
    <row r="182" spans="1:17">
      <c r="A182" s="291"/>
      <c r="B182" s="50" t="s">
        <v>120</v>
      </c>
      <c r="C182" s="57" t="s">
        <v>128</v>
      </c>
      <c r="D182" s="64">
        <v>0</v>
      </c>
      <c r="E182" s="18">
        <v>12</v>
      </c>
      <c r="F182" s="52">
        <f t="shared" si="186"/>
        <v>0</v>
      </c>
      <c r="G182" s="39">
        <f>H182*(References!$B$52)</f>
        <v>6.1146501721362607E-2</v>
      </c>
      <c r="H182" s="260">
        <v>16.134173873256088</v>
      </c>
      <c r="I182" s="319">
        <f t="shared" si="185"/>
        <v>16.195320374977452</v>
      </c>
      <c r="J182" s="39">
        <f>H182*F182</f>
        <v>0</v>
      </c>
      <c r="K182" s="39">
        <f>I182*F182</f>
        <v>0</v>
      </c>
      <c r="L182" s="39">
        <f t="shared" si="199"/>
        <v>0</v>
      </c>
      <c r="M182" s="41">
        <f t="shared" si="200"/>
        <v>16.195320374977452</v>
      </c>
      <c r="N182" s="41">
        <f>M182*F182</f>
        <v>0</v>
      </c>
      <c r="O182" s="41">
        <f t="shared" si="201"/>
        <v>0</v>
      </c>
      <c r="Q182" s="256">
        <f t="shared" si="202"/>
        <v>1.003789874969844</v>
      </c>
    </row>
    <row r="183" spans="1:17">
      <c r="A183" s="291"/>
      <c r="B183" s="50" t="s">
        <v>120</v>
      </c>
      <c r="C183" s="57" t="s">
        <v>129</v>
      </c>
      <c r="D183" s="64">
        <v>0</v>
      </c>
      <c r="E183" s="18">
        <v>12</v>
      </c>
      <c r="F183" s="52">
        <f t="shared" si="186"/>
        <v>0</v>
      </c>
      <c r="G183" s="39">
        <f>H183*(References!$B$52)</f>
        <v>8.8733162523674011E-2</v>
      </c>
      <c r="H183" s="260">
        <v>23.413216327642832</v>
      </c>
      <c r="I183" s="319">
        <f t="shared" si="185"/>
        <v>23.501949490166506</v>
      </c>
      <c r="J183" s="39">
        <f>H183*F183</f>
        <v>0</v>
      </c>
      <c r="K183" s="39">
        <f>I183*F183</f>
        <v>0</v>
      </c>
      <c r="L183" s="39">
        <f t="shared" si="199"/>
        <v>0</v>
      </c>
      <c r="M183" s="41">
        <f t="shared" si="200"/>
        <v>23.501949490166506</v>
      </c>
      <c r="N183" s="41">
        <f>M183*F183</f>
        <v>0</v>
      </c>
      <c r="O183" s="41">
        <f t="shared" si="201"/>
        <v>0</v>
      </c>
      <c r="Q183" s="256">
        <f t="shared" si="202"/>
        <v>1.003789874969844</v>
      </c>
    </row>
    <row r="184" spans="1:17">
      <c r="A184" s="291"/>
      <c r="B184" s="50" t="s">
        <v>120</v>
      </c>
      <c r="C184" s="57" t="s">
        <v>84</v>
      </c>
      <c r="D184" s="64">
        <v>0</v>
      </c>
      <c r="E184" s="18">
        <v>12</v>
      </c>
      <c r="F184" s="52">
        <f t="shared" si="186"/>
        <v>0</v>
      </c>
      <c r="G184" s="39">
        <f>H184*(References!$B$52)</f>
        <v>0.13129207085544503</v>
      </c>
      <c r="H184" s="260">
        <v>34.642850199581353</v>
      </c>
      <c r="I184" s="319">
        <f t="shared" si="185"/>
        <v>34.774142270436798</v>
      </c>
      <c r="J184" s="39">
        <f>H184*F184</f>
        <v>0</v>
      </c>
      <c r="K184" s="39">
        <f>I184*F184</f>
        <v>0</v>
      </c>
      <c r="L184" s="39">
        <f t="shared" si="199"/>
        <v>0</v>
      </c>
      <c r="M184" s="41">
        <f t="shared" si="200"/>
        <v>34.774142270436798</v>
      </c>
      <c r="N184" s="41">
        <f>M184*F184</f>
        <v>0</v>
      </c>
      <c r="O184" s="41">
        <f t="shared" si="201"/>
        <v>0</v>
      </c>
      <c r="Q184" s="256">
        <f t="shared" si="202"/>
        <v>1.003789874969844</v>
      </c>
    </row>
    <row r="185" spans="1:17">
      <c r="A185" s="291"/>
      <c r="B185" s="50" t="s">
        <v>120</v>
      </c>
      <c r="C185" s="57" t="s">
        <v>81</v>
      </c>
      <c r="D185" s="64">
        <v>0</v>
      </c>
      <c r="E185" s="18">
        <v>12</v>
      </c>
      <c r="F185" s="52">
        <f t="shared" si="186"/>
        <v>0</v>
      </c>
      <c r="G185" s="39">
        <f>H185*(References!$B$52)</f>
        <v>0.14866144987912258</v>
      </c>
      <c r="H185" s="260">
        <v>39.225951004195231</v>
      </c>
      <c r="I185" s="319">
        <f t="shared" si="185"/>
        <v>39.374612454074352</v>
      </c>
      <c r="J185" s="39">
        <f>H185*F185</f>
        <v>0</v>
      </c>
      <c r="K185" s="39">
        <f>I185*F185</f>
        <v>0</v>
      </c>
      <c r="L185" s="39">
        <f t="shared" si="199"/>
        <v>0</v>
      </c>
      <c r="M185" s="41">
        <f t="shared" si="200"/>
        <v>39.374612454074352</v>
      </c>
      <c r="N185" s="41">
        <f>M185*F185</f>
        <v>0</v>
      </c>
      <c r="O185" s="41">
        <f t="shared" si="201"/>
        <v>0</v>
      </c>
      <c r="Q185" s="256">
        <f t="shared" si="202"/>
        <v>1.003789874969844</v>
      </c>
    </row>
    <row r="186" spans="1:17">
      <c r="A186" s="291"/>
      <c r="B186" s="50" t="s">
        <v>120</v>
      </c>
      <c r="C186" s="57" t="s">
        <v>82</v>
      </c>
      <c r="D186" s="64">
        <v>0</v>
      </c>
      <c r="E186" s="18">
        <v>12</v>
      </c>
      <c r="F186" s="52">
        <f t="shared" si="186"/>
        <v>0</v>
      </c>
      <c r="G186" s="39">
        <f>H186*(References!$B$52)</f>
        <v>0.20088747866298565</v>
      </c>
      <c r="H186" s="260">
        <v>53.006360437072701</v>
      </c>
      <c r="I186" s="319">
        <f t="shared" si="185"/>
        <v>53.207247915735685</v>
      </c>
      <c r="J186" s="39">
        <f>H186*F186</f>
        <v>0</v>
      </c>
      <c r="K186" s="39">
        <f>I186*F186</f>
        <v>0</v>
      </c>
      <c r="L186" s="39">
        <f t="shared" si="199"/>
        <v>0</v>
      </c>
      <c r="M186" s="41">
        <f t="shared" si="200"/>
        <v>53.207247915735685</v>
      </c>
      <c r="N186" s="41">
        <f>M186*F186</f>
        <v>0</v>
      </c>
      <c r="O186" s="41">
        <f t="shared" si="201"/>
        <v>0</v>
      </c>
      <c r="Q186" s="256">
        <f t="shared" si="202"/>
        <v>1.003789874969844</v>
      </c>
    </row>
    <row r="187" spans="1:17">
      <c r="A187" s="291"/>
      <c r="B187" s="50" t="s">
        <v>120</v>
      </c>
      <c r="C187" s="57" t="s">
        <v>321</v>
      </c>
      <c r="D187" s="64">
        <v>0</v>
      </c>
      <c r="E187" s="18">
        <v>12</v>
      </c>
      <c r="F187" s="52">
        <f t="shared" ref="F187:F190" si="203">D187*E187*12</f>
        <v>0</v>
      </c>
      <c r="G187" s="39">
        <f>H187*(References!$B$52)</f>
        <v>5.5526996743113996E-2</v>
      </c>
      <c r="H187" s="260">
        <v>14.651405965881013</v>
      </c>
      <c r="I187" s="319">
        <f t="shared" ref="I187:I192" si="204">G187+H187</f>
        <v>14.706932962624126</v>
      </c>
      <c r="J187" s="39">
        <f>H187*F187</f>
        <v>0</v>
      </c>
      <c r="K187" s="39">
        <f>I187*F187</f>
        <v>0</v>
      </c>
      <c r="L187" s="39">
        <f t="shared" ref="L187:L192" si="205">J187-K187</f>
        <v>0</v>
      </c>
      <c r="M187" s="41">
        <f t="shared" ref="M187:M192" si="206">I187</f>
        <v>14.706932962624126</v>
      </c>
      <c r="N187" s="41">
        <f>M187*F187</f>
        <v>0</v>
      </c>
      <c r="O187" s="41">
        <f t="shared" ref="O187:O192" si="207">N187-J187</f>
        <v>0</v>
      </c>
      <c r="Q187" s="256">
        <f t="shared" ref="Q187:Q192" si="208">M187/H187</f>
        <v>1.003789874969844</v>
      </c>
    </row>
    <row r="188" spans="1:17">
      <c r="A188" s="291"/>
      <c r="B188" s="50" t="s">
        <v>120</v>
      </c>
      <c r="C188" s="57" t="s">
        <v>322</v>
      </c>
      <c r="D188" s="64">
        <v>0</v>
      </c>
      <c r="E188" s="18">
        <v>12</v>
      </c>
      <c r="F188" s="52">
        <f t="shared" si="203"/>
        <v>0</v>
      </c>
      <c r="G188" s="39">
        <f>H188*(References!$B$52)</f>
        <v>6.4683253106274333E-2</v>
      </c>
      <c r="H188" s="260">
        <v>17.067384444331314</v>
      </c>
      <c r="I188" s="319">
        <f t="shared" si="204"/>
        <v>17.132067697437588</v>
      </c>
      <c r="J188" s="39">
        <f>H188*F188</f>
        <v>0</v>
      </c>
      <c r="K188" s="39">
        <f>I188*F188</f>
        <v>0</v>
      </c>
      <c r="L188" s="39">
        <f t="shared" si="205"/>
        <v>0</v>
      </c>
      <c r="M188" s="41">
        <f t="shared" si="206"/>
        <v>17.132067697437588</v>
      </c>
      <c r="N188" s="41">
        <f>M188*F188</f>
        <v>0</v>
      </c>
      <c r="O188" s="41">
        <f t="shared" si="207"/>
        <v>0</v>
      </c>
      <c r="Q188" s="256">
        <f t="shared" si="208"/>
        <v>1.003789874969844</v>
      </c>
    </row>
    <row r="189" spans="1:17">
      <c r="A189" s="291"/>
      <c r="B189" s="50" t="s">
        <v>120</v>
      </c>
      <c r="C189" s="57" t="s">
        <v>323</v>
      </c>
      <c r="D189" s="64">
        <v>0</v>
      </c>
      <c r="E189" s="18">
        <v>12</v>
      </c>
      <c r="F189" s="52">
        <f t="shared" si="203"/>
        <v>0</v>
      </c>
      <c r="G189" s="39">
        <f>H189*(References!$B$52)</f>
        <v>8.3428035446306448E-2</v>
      </c>
      <c r="H189" s="260">
        <v>22.01340047103</v>
      </c>
      <c r="I189" s="319">
        <f t="shared" si="204"/>
        <v>22.096828506476307</v>
      </c>
      <c r="J189" s="39">
        <f>H189*F189</f>
        <v>0</v>
      </c>
      <c r="K189" s="39">
        <f>I189*F189</f>
        <v>0</v>
      </c>
      <c r="L189" s="39">
        <f t="shared" si="205"/>
        <v>0</v>
      </c>
      <c r="M189" s="41">
        <f t="shared" si="206"/>
        <v>22.096828506476307</v>
      </c>
      <c r="N189" s="41">
        <f>M189*F189</f>
        <v>0</v>
      </c>
      <c r="O189" s="41">
        <f t="shared" si="207"/>
        <v>0</v>
      </c>
      <c r="Q189" s="256">
        <f t="shared" si="208"/>
        <v>1.003789874969844</v>
      </c>
    </row>
    <row r="190" spans="1:17">
      <c r="A190" s="291"/>
      <c r="B190" s="50" t="s">
        <v>120</v>
      </c>
      <c r="C190" s="57" t="s">
        <v>327</v>
      </c>
      <c r="D190" s="287">
        <v>0</v>
      </c>
      <c r="E190" s="18">
        <v>12</v>
      </c>
      <c r="F190" s="52">
        <f t="shared" si="203"/>
        <v>0</v>
      </c>
      <c r="G190" s="39">
        <f>H190*(References!$B$52)</f>
        <v>1.7888209857663193E-2</v>
      </c>
      <c r="H190" s="288">
        <v>4.72</v>
      </c>
      <c r="I190" s="319">
        <f t="shared" si="204"/>
        <v>4.7378882098576627</v>
      </c>
      <c r="J190" s="39">
        <f>H190*F190</f>
        <v>0</v>
      </c>
      <c r="K190" s="39">
        <f>I190*F190</f>
        <v>0</v>
      </c>
      <c r="L190" s="39">
        <f t="shared" si="205"/>
        <v>0</v>
      </c>
      <c r="M190" s="41">
        <f t="shared" si="206"/>
        <v>4.7378882098576627</v>
      </c>
      <c r="N190" s="41">
        <f>M190*F190</f>
        <v>0</v>
      </c>
      <c r="O190" s="41">
        <f t="shared" si="207"/>
        <v>0</v>
      </c>
      <c r="Q190" s="256">
        <f t="shared" si="208"/>
        <v>1.0037898749698437</v>
      </c>
    </row>
    <row r="191" spans="1:17">
      <c r="A191" s="291"/>
      <c r="B191" s="50" t="s">
        <v>120</v>
      </c>
      <c r="C191" s="57" t="s">
        <v>328</v>
      </c>
      <c r="D191" s="64">
        <v>0</v>
      </c>
      <c r="E191" s="18">
        <v>12</v>
      </c>
      <c r="F191" s="52">
        <f t="shared" ref="F191:F192" si="209">D191*E191*12</f>
        <v>0</v>
      </c>
      <c r="G191" s="39">
        <f>H191*(References!$B$52)</f>
        <v>2.5228826545703596E-2</v>
      </c>
      <c r="H191" s="260">
        <v>6.6569020736699285</v>
      </c>
      <c r="I191" s="319">
        <f t="shared" si="204"/>
        <v>6.6821309002156317</v>
      </c>
      <c r="J191" s="39">
        <f>H191*F191</f>
        <v>0</v>
      </c>
      <c r="K191" s="39">
        <f>I191*F191</f>
        <v>0</v>
      </c>
      <c r="L191" s="39">
        <f t="shared" si="205"/>
        <v>0</v>
      </c>
      <c r="M191" s="41">
        <f t="shared" si="206"/>
        <v>6.6821309002156317</v>
      </c>
      <c r="N191" s="41">
        <f>M191*F191</f>
        <v>0</v>
      </c>
      <c r="O191" s="41">
        <f t="shared" si="207"/>
        <v>0</v>
      </c>
      <c r="Q191" s="256">
        <f t="shared" si="208"/>
        <v>1.003789874969844</v>
      </c>
    </row>
    <row r="192" spans="1:17">
      <c r="A192" s="291"/>
      <c r="B192" s="50" t="s">
        <v>120</v>
      </c>
      <c r="C192" s="57" t="s">
        <v>329</v>
      </c>
      <c r="D192" s="64">
        <v>0</v>
      </c>
      <c r="E192" s="18">
        <v>12</v>
      </c>
      <c r="F192" s="52">
        <f t="shared" si="209"/>
        <v>0</v>
      </c>
      <c r="G192" s="39">
        <f>H192*(References!$B$52)</f>
        <v>3.6625025452641354E-2</v>
      </c>
      <c r="H192" s="260">
        <v>9.6639139138012045</v>
      </c>
      <c r="I192" s="319">
        <f t="shared" si="204"/>
        <v>9.7005389392538461</v>
      </c>
      <c r="J192" s="39">
        <f>H192*F192</f>
        <v>0</v>
      </c>
      <c r="K192" s="39">
        <f>I192*F192</f>
        <v>0</v>
      </c>
      <c r="L192" s="39">
        <f t="shared" si="205"/>
        <v>0</v>
      </c>
      <c r="M192" s="41">
        <f t="shared" si="206"/>
        <v>9.7005389392538461</v>
      </c>
      <c r="N192" s="41">
        <f>M192*F192</f>
        <v>0</v>
      </c>
      <c r="O192" s="41">
        <f t="shared" si="207"/>
        <v>0</v>
      </c>
      <c r="Q192" s="256">
        <f t="shared" si="208"/>
        <v>1.003789874969844</v>
      </c>
    </row>
    <row r="193" spans="1:17">
      <c r="A193" s="291"/>
      <c r="B193" s="50" t="s">
        <v>120</v>
      </c>
      <c r="C193" s="57" t="s">
        <v>330</v>
      </c>
      <c r="D193" s="64">
        <v>0</v>
      </c>
      <c r="E193" s="18">
        <v>12</v>
      </c>
      <c r="F193" s="52">
        <f t="shared" ref="F193:F195" si="210">D193*E193*12</f>
        <v>0</v>
      </c>
      <c r="G193" s="39">
        <f>H193*(References!$B$52)</f>
        <v>0.15557776369850554</v>
      </c>
      <c r="H193" s="260">
        <v>41.050896120964566</v>
      </c>
      <c r="I193" s="319">
        <f t="shared" ref="I193:I212" si="211">G193+H193</f>
        <v>41.206473884663069</v>
      </c>
      <c r="J193" s="39">
        <f>H193*F193</f>
        <v>0</v>
      </c>
      <c r="K193" s="39">
        <f>I193*F193</f>
        <v>0</v>
      </c>
      <c r="L193" s="39">
        <f t="shared" ref="L193:L208" si="212">J193-K193</f>
        <v>0</v>
      </c>
      <c r="M193" s="41">
        <f t="shared" ref="M193:M208" si="213">I193</f>
        <v>41.206473884663069</v>
      </c>
      <c r="N193" s="41">
        <f>M193*F193</f>
        <v>0</v>
      </c>
      <c r="O193" s="41">
        <f t="shared" ref="O193:O208" si="214">N193-J193</f>
        <v>0</v>
      </c>
      <c r="Q193" s="256">
        <f t="shared" ref="Q193:Q208" si="215">M193/H193</f>
        <v>1.0037898749698437</v>
      </c>
    </row>
    <row r="194" spans="1:17">
      <c r="A194" s="291"/>
      <c r="B194" s="50" t="s">
        <v>120</v>
      </c>
      <c r="C194" s="57" t="s">
        <v>331</v>
      </c>
      <c r="D194" s="64">
        <v>0</v>
      </c>
      <c r="E194" s="18">
        <v>12</v>
      </c>
      <c r="F194" s="52">
        <f t="shared" si="210"/>
        <v>0</v>
      </c>
      <c r="G194" s="39">
        <f>H194*(References!$B$52)</f>
        <v>0.15557776369850554</v>
      </c>
      <c r="H194" s="260">
        <v>41.050896120964566</v>
      </c>
      <c r="I194" s="319">
        <f t="shared" si="211"/>
        <v>41.206473884663069</v>
      </c>
      <c r="J194" s="39">
        <f>H194*F194</f>
        <v>0</v>
      </c>
      <c r="K194" s="39">
        <f>I194*F194</f>
        <v>0</v>
      </c>
      <c r="L194" s="39">
        <f t="shared" si="212"/>
        <v>0</v>
      </c>
      <c r="M194" s="41">
        <f t="shared" si="213"/>
        <v>41.206473884663069</v>
      </c>
      <c r="N194" s="41">
        <f>M194*F194</f>
        <v>0</v>
      </c>
      <c r="O194" s="41">
        <f t="shared" si="214"/>
        <v>0</v>
      </c>
      <c r="Q194" s="256">
        <f t="shared" si="215"/>
        <v>1.0037898749698437</v>
      </c>
    </row>
    <row r="195" spans="1:17">
      <c r="A195" s="291"/>
      <c r="B195" s="50" t="s">
        <v>120</v>
      </c>
      <c r="C195" s="57" t="s">
        <v>332</v>
      </c>
      <c r="D195" s="64">
        <v>0</v>
      </c>
      <c r="E195" s="18">
        <v>12</v>
      </c>
      <c r="F195" s="52">
        <f t="shared" si="210"/>
        <v>0</v>
      </c>
      <c r="G195" s="39">
        <f>H195*(References!$B$52)</f>
        <v>0.15557776369850554</v>
      </c>
      <c r="H195" s="260">
        <v>41.050896120964566</v>
      </c>
      <c r="I195" s="319">
        <f t="shared" si="211"/>
        <v>41.206473884663069</v>
      </c>
      <c r="J195" s="39">
        <f>H195*F195</f>
        <v>0</v>
      </c>
      <c r="K195" s="39">
        <f>I195*F195</f>
        <v>0</v>
      </c>
      <c r="L195" s="39">
        <f t="shared" si="212"/>
        <v>0</v>
      </c>
      <c r="M195" s="41">
        <f t="shared" si="213"/>
        <v>41.206473884663069</v>
      </c>
      <c r="N195" s="41">
        <f>M195*F195</f>
        <v>0</v>
      </c>
      <c r="O195" s="41">
        <f t="shared" si="214"/>
        <v>0</v>
      </c>
      <c r="Q195" s="256">
        <f t="shared" si="215"/>
        <v>1.0037898749698437</v>
      </c>
    </row>
    <row r="196" spans="1:17">
      <c r="A196" s="291"/>
      <c r="B196" s="50" t="s">
        <v>120</v>
      </c>
      <c r="C196" s="57" t="s">
        <v>124</v>
      </c>
      <c r="D196" s="64">
        <v>0</v>
      </c>
      <c r="E196" s="18">
        <v>12</v>
      </c>
      <c r="F196" s="52">
        <f t="shared" si="186"/>
        <v>0</v>
      </c>
      <c r="G196" s="39">
        <f>H196*(References!$B$52)</f>
        <v>0.13129207085544503</v>
      </c>
      <c r="H196" s="260">
        <v>34.642850199581353</v>
      </c>
      <c r="I196" s="319">
        <f t="shared" si="211"/>
        <v>34.774142270436798</v>
      </c>
      <c r="J196" s="39">
        <f>H196*F196</f>
        <v>0</v>
      </c>
      <c r="K196" s="39">
        <f>I196*F196</f>
        <v>0</v>
      </c>
      <c r="L196" s="39">
        <f t="shared" si="212"/>
        <v>0</v>
      </c>
      <c r="M196" s="41">
        <f t="shared" si="213"/>
        <v>34.774142270436798</v>
      </c>
      <c r="N196" s="41">
        <f>M196*F196</f>
        <v>0</v>
      </c>
      <c r="O196" s="41">
        <f t="shared" si="214"/>
        <v>0</v>
      </c>
      <c r="Q196" s="256">
        <f t="shared" si="215"/>
        <v>1.003789874969844</v>
      </c>
    </row>
    <row r="197" spans="1:17">
      <c r="A197" s="291"/>
      <c r="B197" s="50" t="s">
        <v>120</v>
      </c>
      <c r="C197" s="57" t="s">
        <v>125</v>
      </c>
      <c r="D197" s="64">
        <v>0</v>
      </c>
      <c r="E197" s="18">
        <v>12</v>
      </c>
      <c r="F197" s="52">
        <f t="shared" si="186"/>
        <v>0</v>
      </c>
      <c r="G197" s="39">
        <f>H197*(References!$B$52)</f>
        <v>0.14866144987912258</v>
      </c>
      <c r="H197" s="260">
        <v>39.225951004195231</v>
      </c>
      <c r="I197" s="319">
        <f t="shared" si="211"/>
        <v>39.374612454074352</v>
      </c>
      <c r="J197" s="39">
        <f>H197*F197</f>
        <v>0</v>
      </c>
      <c r="K197" s="39">
        <f>I197*F197</f>
        <v>0</v>
      </c>
      <c r="L197" s="39">
        <f t="shared" si="212"/>
        <v>0</v>
      </c>
      <c r="M197" s="41">
        <f t="shared" si="213"/>
        <v>39.374612454074352</v>
      </c>
      <c r="N197" s="41">
        <f>M197*F197</f>
        <v>0</v>
      </c>
      <c r="O197" s="41">
        <f t="shared" si="214"/>
        <v>0</v>
      </c>
      <c r="Q197" s="256">
        <f t="shared" si="215"/>
        <v>1.003789874969844</v>
      </c>
    </row>
    <row r="198" spans="1:17">
      <c r="A198" s="291"/>
      <c r="B198" s="50" t="s">
        <v>120</v>
      </c>
      <c r="C198" s="57" t="s">
        <v>126</v>
      </c>
      <c r="D198" s="64">
        <v>0</v>
      </c>
      <c r="E198" s="18">
        <v>12</v>
      </c>
      <c r="F198" s="52">
        <f t="shared" si="186"/>
        <v>0</v>
      </c>
      <c r="G198" s="39">
        <f>H198*(References!$B$52)</f>
        <v>0.20088747866298565</v>
      </c>
      <c r="H198" s="260">
        <v>53.006360437072701</v>
      </c>
      <c r="I198" s="319">
        <f t="shared" si="211"/>
        <v>53.207247915735685</v>
      </c>
      <c r="J198" s="39">
        <f>H198*F198</f>
        <v>0</v>
      </c>
      <c r="K198" s="39">
        <f>I198*F198</f>
        <v>0</v>
      </c>
      <c r="L198" s="39">
        <f t="shared" si="212"/>
        <v>0</v>
      </c>
      <c r="M198" s="41">
        <f t="shared" si="213"/>
        <v>53.207247915735685</v>
      </c>
      <c r="N198" s="41">
        <f>M198*F198</f>
        <v>0</v>
      </c>
      <c r="O198" s="41">
        <f t="shared" si="214"/>
        <v>0</v>
      </c>
      <c r="Q198" s="256">
        <f t="shared" si="215"/>
        <v>1.003789874969844</v>
      </c>
    </row>
    <row r="199" spans="1:17">
      <c r="A199" s="291"/>
      <c r="B199" s="50" t="s">
        <v>120</v>
      </c>
      <c r="C199" s="57" t="s">
        <v>295</v>
      </c>
      <c r="D199" s="64">
        <v>0</v>
      </c>
      <c r="E199" s="18">
        <v>12</v>
      </c>
      <c r="F199" s="52">
        <f t="shared" ref="F199:F204" si="216">D199*E199*12</f>
        <v>0</v>
      </c>
      <c r="G199" s="39">
        <f>H199*(References!$B$52)</f>
        <v>6.0910718295701834E-3</v>
      </c>
      <c r="H199" s="260">
        <v>1.6071959835184408</v>
      </c>
      <c r="I199" s="319">
        <f t="shared" si="211"/>
        <v>1.613287055348011</v>
      </c>
      <c r="J199" s="39">
        <f>H199*F199</f>
        <v>0</v>
      </c>
      <c r="K199" s="39">
        <f>I199*F199</f>
        <v>0</v>
      </c>
      <c r="L199" s="39">
        <f t="shared" si="212"/>
        <v>0</v>
      </c>
      <c r="M199" s="41">
        <f t="shared" si="213"/>
        <v>1.613287055348011</v>
      </c>
      <c r="N199" s="41">
        <f>M199*F199</f>
        <v>0</v>
      </c>
      <c r="O199" s="41">
        <f t="shared" si="214"/>
        <v>0</v>
      </c>
      <c r="Q199" s="256">
        <f t="shared" si="215"/>
        <v>1.003789874969844</v>
      </c>
    </row>
    <row r="200" spans="1:17">
      <c r="A200" s="291"/>
      <c r="B200" s="50" t="s">
        <v>120</v>
      </c>
      <c r="C200" s="57" t="s">
        <v>296</v>
      </c>
      <c r="D200" s="64">
        <v>0</v>
      </c>
      <c r="E200" s="18">
        <v>12</v>
      </c>
      <c r="F200" s="52">
        <f t="shared" si="216"/>
        <v>0</v>
      </c>
      <c r="G200" s="39">
        <f>H200*(References!$B$52)</f>
        <v>6.7198276313322662E-3</v>
      </c>
      <c r="H200" s="260">
        <v>1.7731000850429248</v>
      </c>
      <c r="I200" s="319">
        <f t="shared" si="211"/>
        <v>1.7798199126742571</v>
      </c>
      <c r="J200" s="39">
        <f>H200*F200</f>
        <v>0</v>
      </c>
      <c r="K200" s="39">
        <f>I200*F200</f>
        <v>0</v>
      </c>
      <c r="L200" s="39">
        <f t="shared" si="212"/>
        <v>0</v>
      </c>
      <c r="M200" s="41">
        <f t="shared" si="213"/>
        <v>1.7798199126742571</v>
      </c>
      <c r="N200" s="41">
        <f>M200*F200</f>
        <v>0</v>
      </c>
      <c r="O200" s="41">
        <f t="shared" si="214"/>
        <v>0</v>
      </c>
      <c r="Q200" s="256">
        <f t="shared" si="215"/>
        <v>1.003789874969844</v>
      </c>
    </row>
    <row r="201" spans="1:17">
      <c r="A201" s="291"/>
      <c r="B201" s="50" t="s">
        <v>120</v>
      </c>
      <c r="C201" s="57" t="s">
        <v>297</v>
      </c>
      <c r="D201" s="64">
        <v>0</v>
      </c>
      <c r="E201" s="18">
        <v>12</v>
      </c>
      <c r="F201" s="52">
        <f t="shared" si="216"/>
        <v>0</v>
      </c>
      <c r="G201" s="39">
        <f>H201*(References!$B$52)</f>
        <v>8.3703116109577341E-3</v>
      </c>
      <c r="H201" s="260">
        <v>2.2085983515446959</v>
      </c>
      <c r="I201" s="319">
        <f t="shared" si="211"/>
        <v>2.2169686631556536</v>
      </c>
      <c r="J201" s="39">
        <f>H201*F201</f>
        <v>0</v>
      </c>
      <c r="K201" s="39">
        <f>I201*F201</f>
        <v>0</v>
      </c>
      <c r="L201" s="39">
        <f t="shared" si="212"/>
        <v>0</v>
      </c>
      <c r="M201" s="41">
        <f t="shared" si="213"/>
        <v>2.2169686631556536</v>
      </c>
      <c r="N201" s="41">
        <f>M201*F201</f>
        <v>0</v>
      </c>
      <c r="O201" s="41">
        <f t="shared" si="214"/>
        <v>0</v>
      </c>
      <c r="Q201" s="256">
        <f t="shared" si="215"/>
        <v>1.003789874969844</v>
      </c>
    </row>
    <row r="202" spans="1:17">
      <c r="A202" s="291"/>
      <c r="B202" s="50" t="s">
        <v>120</v>
      </c>
      <c r="C202" s="57" t="s">
        <v>301</v>
      </c>
      <c r="D202" s="64">
        <v>0</v>
      </c>
      <c r="E202" s="18">
        <v>12</v>
      </c>
      <c r="F202" s="52">
        <f t="shared" si="216"/>
        <v>0</v>
      </c>
      <c r="G202" s="39">
        <f>H202*(References!$B$52)</f>
        <v>0.18328231621364729</v>
      </c>
      <c r="H202" s="260">
        <v>48.361045594387143</v>
      </c>
      <c r="I202" s="319">
        <f t="shared" si="211"/>
        <v>48.544327910600792</v>
      </c>
      <c r="J202" s="39">
        <f>H202*F202</f>
        <v>0</v>
      </c>
      <c r="K202" s="39">
        <f>I202*F202</f>
        <v>0</v>
      </c>
      <c r="L202" s="39">
        <f t="shared" si="212"/>
        <v>0</v>
      </c>
      <c r="M202" s="41">
        <f t="shared" si="213"/>
        <v>48.544327910600792</v>
      </c>
      <c r="N202" s="41">
        <f>M202*F202</f>
        <v>0</v>
      </c>
      <c r="O202" s="41">
        <f t="shared" si="214"/>
        <v>0</v>
      </c>
      <c r="Q202" s="256">
        <f t="shared" si="215"/>
        <v>1.003789874969844</v>
      </c>
    </row>
    <row r="203" spans="1:17">
      <c r="A203" s="291"/>
      <c r="B203" s="50" t="s">
        <v>120</v>
      </c>
      <c r="C203" s="57" t="s">
        <v>302</v>
      </c>
      <c r="D203" s="64">
        <v>0</v>
      </c>
      <c r="E203" s="18">
        <v>12</v>
      </c>
      <c r="F203" s="52">
        <f t="shared" si="216"/>
        <v>0</v>
      </c>
      <c r="G203" s="39">
        <f>H203*(References!$B$52)</f>
        <v>0.20544595822576076</v>
      </c>
      <c r="H203" s="260">
        <v>54.209165173125214</v>
      </c>
      <c r="I203" s="319">
        <f t="shared" si="211"/>
        <v>54.414611131350973</v>
      </c>
      <c r="J203" s="39">
        <f>H203*F203</f>
        <v>0</v>
      </c>
      <c r="K203" s="39">
        <f>I203*F203</f>
        <v>0</v>
      </c>
      <c r="L203" s="39">
        <f t="shared" si="212"/>
        <v>0</v>
      </c>
      <c r="M203" s="41">
        <f t="shared" si="213"/>
        <v>54.414611131350973</v>
      </c>
      <c r="N203" s="41">
        <f>M203*F203</f>
        <v>0</v>
      </c>
      <c r="O203" s="41">
        <f t="shared" si="214"/>
        <v>0</v>
      </c>
      <c r="Q203" s="256">
        <f t="shared" si="215"/>
        <v>1.003789874969844</v>
      </c>
    </row>
    <row r="204" spans="1:17">
      <c r="A204" s="291"/>
      <c r="B204" s="50" t="s">
        <v>120</v>
      </c>
      <c r="C204" s="57" t="s">
        <v>303</v>
      </c>
      <c r="D204" s="64">
        <v>0</v>
      </c>
      <c r="E204" s="18">
        <v>12</v>
      </c>
      <c r="F204" s="52">
        <f t="shared" si="216"/>
        <v>0</v>
      </c>
      <c r="G204" s="39">
        <f>H204*(References!$B$52)</f>
        <v>0.24438952069739978</v>
      </c>
      <c r="H204" s="260">
        <v>64.484850461297953</v>
      </c>
      <c r="I204" s="319">
        <f t="shared" si="211"/>
        <v>64.729239981995349</v>
      </c>
      <c r="J204" s="39">
        <f>H204*F204</f>
        <v>0</v>
      </c>
      <c r="K204" s="39">
        <f>I204*F204</f>
        <v>0</v>
      </c>
      <c r="L204" s="39">
        <f t="shared" si="212"/>
        <v>0</v>
      </c>
      <c r="M204" s="41">
        <f t="shared" si="213"/>
        <v>64.729239981995349</v>
      </c>
      <c r="N204" s="41">
        <f>M204*F204</f>
        <v>0</v>
      </c>
      <c r="O204" s="41">
        <f t="shared" si="214"/>
        <v>0</v>
      </c>
      <c r="Q204" s="256">
        <f t="shared" si="215"/>
        <v>1.0037898749698437</v>
      </c>
    </row>
    <row r="205" spans="1:17">
      <c r="A205" s="291"/>
      <c r="B205" s="50" t="s">
        <v>107</v>
      </c>
      <c r="C205" s="57" t="s">
        <v>317</v>
      </c>
      <c r="D205" s="287">
        <v>21.666499999999999</v>
      </c>
      <c r="E205" s="18">
        <v>12</v>
      </c>
      <c r="F205" s="52">
        <f>D205*E205</f>
        <v>259.99799999999999</v>
      </c>
      <c r="G205" s="39">
        <f>H205*(References!$B$52)</f>
        <v>1.7880243112609245E-2</v>
      </c>
      <c r="H205" s="288">
        <v>4.7178978871025192</v>
      </c>
      <c r="I205" s="319">
        <f t="shared" si="211"/>
        <v>4.7357781302151283</v>
      </c>
      <c r="J205" s="39">
        <f>H205*F205</f>
        <v>1226.6440148508807</v>
      </c>
      <c r="K205" s="39">
        <f>I205*F205</f>
        <v>1231.2928422996729</v>
      </c>
      <c r="L205" s="39">
        <f t="shared" si="212"/>
        <v>-4.6488274487921899</v>
      </c>
      <c r="M205" s="41">
        <f t="shared" si="213"/>
        <v>4.7357781302151283</v>
      </c>
      <c r="N205" s="41">
        <f>M205*F205</f>
        <v>1231.2928422996729</v>
      </c>
      <c r="O205" s="41">
        <f t="shared" si="214"/>
        <v>4.6488274487921899</v>
      </c>
      <c r="Q205" s="256">
        <f t="shared" si="215"/>
        <v>1.003789874969844</v>
      </c>
    </row>
    <row r="206" spans="1:17">
      <c r="A206" s="291"/>
      <c r="B206" s="50" t="s">
        <v>107</v>
      </c>
      <c r="C206" s="57" t="s">
        <v>318</v>
      </c>
      <c r="D206" s="287">
        <v>8.6666000000000007</v>
      </c>
      <c r="E206" s="18">
        <v>12</v>
      </c>
      <c r="F206" s="52">
        <f t="shared" ref="F206" si="217">D206*E206</f>
        <v>103.9992</v>
      </c>
      <c r="G206" s="39">
        <f>H206*(References!$B$52)</f>
        <v>0.10319454596420194</v>
      </c>
      <c r="H206" s="288">
        <v>27.229010662705971</v>
      </c>
      <c r="I206" s="319">
        <f t="shared" si="211"/>
        <v>27.332205208670171</v>
      </c>
      <c r="J206" s="39">
        <f>H206*F206</f>
        <v>2831.7953257128906</v>
      </c>
      <c r="K206" s="39">
        <f>I206*F206</f>
        <v>2842.5274759375311</v>
      </c>
      <c r="L206" s="39">
        <f t="shared" si="212"/>
        <v>-10.732150224640463</v>
      </c>
      <c r="M206" s="41">
        <f t="shared" si="213"/>
        <v>27.332205208670171</v>
      </c>
      <c r="N206" s="41">
        <f>M206*F206</f>
        <v>2842.5274759375311</v>
      </c>
      <c r="O206" s="41">
        <f t="shared" si="214"/>
        <v>10.732150224640463</v>
      </c>
      <c r="Q206" s="256">
        <f t="shared" si="215"/>
        <v>1.0037898749698437</v>
      </c>
    </row>
    <row r="207" spans="1:17">
      <c r="A207" s="291"/>
      <c r="B207" s="50" t="s">
        <v>107</v>
      </c>
      <c r="C207" s="57" t="s">
        <v>319</v>
      </c>
      <c r="D207" s="287">
        <v>0</v>
      </c>
      <c r="E207" s="18">
        <v>12</v>
      </c>
      <c r="F207" s="52">
        <f>D207*E207</f>
        <v>0</v>
      </c>
      <c r="G207" s="39">
        <f>H207*(References!$B$52)</f>
        <v>0.1311348819050045</v>
      </c>
      <c r="H207" s="288">
        <v>34.601374174200231</v>
      </c>
      <c r="I207" s="319">
        <f t="shared" si="211"/>
        <v>34.732509056105236</v>
      </c>
      <c r="J207" s="39">
        <f>H207*F207</f>
        <v>0</v>
      </c>
      <c r="K207" s="39">
        <f>I207*F207</f>
        <v>0</v>
      </c>
      <c r="L207" s="39">
        <f t="shared" si="212"/>
        <v>0</v>
      </c>
      <c r="M207" s="41">
        <f t="shared" si="213"/>
        <v>34.732509056105236</v>
      </c>
      <c r="N207" s="41">
        <f>M207*F207</f>
        <v>0</v>
      </c>
      <c r="O207" s="41">
        <f t="shared" si="214"/>
        <v>0</v>
      </c>
      <c r="Q207" s="256">
        <f t="shared" si="215"/>
        <v>1.003789874969844</v>
      </c>
    </row>
    <row r="208" spans="1:17">
      <c r="A208" s="291"/>
      <c r="B208" s="50" t="s">
        <v>107</v>
      </c>
      <c r="C208" s="57" t="s">
        <v>320</v>
      </c>
      <c r="D208" s="287">
        <v>60.666200000000003</v>
      </c>
      <c r="E208" s="18">
        <v>12</v>
      </c>
      <c r="F208" s="52">
        <f t="shared" ref="F208" si="218">D208*E208</f>
        <v>727.99440000000004</v>
      </c>
      <c r="G208" s="39">
        <f>H208*(References!$B$52)</f>
        <v>0.17447973498897815</v>
      </c>
      <c r="H208" s="288">
        <v>46.038388173044368</v>
      </c>
      <c r="I208" s="319">
        <f t="shared" si="211"/>
        <v>46.212867908033346</v>
      </c>
      <c r="J208" s="39">
        <f>H208*F208</f>
        <v>33515.688775002534</v>
      </c>
      <c r="K208" s="39">
        <f>I208*F208</f>
        <v>33642.709044987991</v>
      </c>
      <c r="L208" s="39">
        <f t="shared" si="212"/>
        <v>-127.02026998545625</v>
      </c>
      <c r="M208" s="41">
        <f t="shared" si="213"/>
        <v>46.212867908033346</v>
      </c>
      <c r="N208" s="41">
        <f>M208*F208</f>
        <v>33642.709044987991</v>
      </c>
      <c r="O208" s="41">
        <f t="shared" si="214"/>
        <v>127.02026998545625</v>
      </c>
      <c r="Q208" s="256">
        <f t="shared" si="215"/>
        <v>1.003789874969844</v>
      </c>
    </row>
    <row r="209" spans="1:17">
      <c r="A209" s="291"/>
      <c r="B209" s="50" t="s">
        <v>107</v>
      </c>
      <c r="C209" s="57" t="s">
        <v>113</v>
      </c>
      <c r="D209" s="64">
        <v>0</v>
      </c>
      <c r="E209" s="18">
        <v>12</v>
      </c>
      <c r="F209" s="52">
        <f t="shared" ref="F209:F212" si="219">D209*E209*12</f>
        <v>0</v>
      </c>
      <c r="G209" s="39">
        <f>H209*(References!$B$52)</f>
        <v>5.8667264533183529E-2</v>
      </c>
      <c r="H209" s="260">
        <v>15.48</v>
      </c>
      <c r="I209" s="319">
        <f t="shared" si="211"/>
        <v>15.538667264533183</v>
      </c>
      <c r="J209" s="39">
        <f>H209*F209</f>
        <v>0</v>
      </c>
      <c r="K209" s="39">
        <f>I209*F209</f>
        <v>0</v>
      </c>
      <c r="L209" s="39">
        <f t="shared" ref="L209:L213" si="220">J209-K209</f>
        <v>0</v>
      </c>
      <c r="M209" s="41">
        <f t="shared" ref="M209:M213" si="221">I209</f>
        <v>15.602047070752699</v>
      </c>
      <c r="N209" s="41">
        <f>M209*F209</f>
        <v>0</v>
      </c>
      <c r="O209" s="41">
        <f t="shared" ref="O209:O213" si="222">N209-J209</f>
        <v>0</v>
      </c>
      <c r="Q209" s="256">
        <f t="shared" ref="Q209:Q213" si="223">M209/H209</f>
        <v>1.0078841776972027</v>
      </c>
    </row>
    <row r="210" spans="1:17">
      <c r="A210" s="291"/>
      <c r="B210" s="50" t="s">
        <v>107</v>
      </c>
      <c r="C210" s="57" t="s">
        <v>114</v>
      </c>
      <c r="D210" s="64">
        <v>0</v>
      </c>
      <c r="E210" s="18">
        <v>12</v>
      </c>
      <c r="F210" s="52">
        <f t="shared" si="219"/>
        <v>0</v>
      </c>
      <c r="G210" s="39">
        <f>H210*(References!$B$52)</f>
        <v>0.14337097010919461</v>
      </c>
      <c r="H210" s="260">
        <v>37.83</v>
      </c>
      <c r="I210" s="319">
        <f t="shared" si="211"/>
        <v>37.973370970109194</v>
      </c>
      <c r="J210" s="39">
        <f>H210*F210</f>
        <v>0</v>
      </c>
      <c r="K210" s="39">
        <f>I210*F210</f>
        <v>0</v>
      </c>
      <c r="L210" s="39">
        <f t="shared" si="220"/>
        <v>0</v>
      </c>
      <c r="M210" s="41">
        <f t="shared" si="221"/>
        <v>37.973370970109194</v>
      </c>
      <c r="N210" s="41">
        <f>M210*F210</f>
        <v>0</v>
      </c>
      <c r="O210" s="41">
        <f t="shared" si="222"/>
        <v>0</v>
      </c>
      <c r="Q210" s="256">
        <f t="shared" si="223"/>
        <v>1.003789874969844</v>
      </c>
    </row>
    <row r="211" spans="1:17">
      <c r="A211" s="291"/>
      <c r="B211" s="50" t="s">
        <v>107</v>
      </c>
      <c r="C211" s="57" t="s">
        <v>115</v>
      </c>
      <c r="D211" s="64">
        <v>0</v>
      </c>
      <c r="E211" s="18">
        <v>12</v>
      </c>
      <c r="F211" s="52">
        <f t="shared" si="219"/>
        <v>0</v>
      </c>
      <c r="G211" s="39">
        <f>H211*(References!$B$52)</f>
        <v>0.16430175044795445</v>
      </c>
      <c r="H211" s="260">
        <v>43.352815529616784</v>
      </c>
      <c r="I211" s="319">
        <f t="shared" si="211"/>
        <v>43.517117280064738</v>
      </c>
      <c r="J211" s="39">
        <f>H211*F211</f>
        <v>0</v>
      </c>
      <c r="K211" s="39">
        <f>I211*F211</f>
        <v>0</v>
      </c>
      <c r="L211" s="39">
        <f t="shared" si="220"/>
        <v>0</v>
      </c>
      <c r="M211" s="41">
        <f t="shared" si="221"/>
        <v>43.517117280064738</v>
      </c>
      <c r="N211" s="41">
        <f>M211*F211</f>
        <v>0</v>
      </c>
      <c r="O211" s="41">
        <f t="shared" si="222"/>
        <v>0</v>
      </c>
      <c r="Q211" s="256">
        <f t="shared" si="223"/>
        <v>1.003789874969844</v>
      </c>
    </row>
    <row r="212" spans="1:17">
      <c r="A212" s="291"/>
      <c r="B212" s="50" t="s">
        <v>107</v>
      </c>
      <c r="C212" s="57" t="s">
        <v>116</v>
      </c>
      <c r="D212" s="64">
        <v>0</v>
      </c>
      <c r="E212" s="18">
        <v>12</v>
      </c>
      <c r="F212" s="52">
        <f t="shared" si="219"/>
        <v>0</v>
      </c>
      <c r="G212" s="39">
        <f>H212*(References!$B$52)</f>
        <v>0.22367842072018682</v>
      </c>
      <c r="H212" s="260">
        <v>59.02</v>
      </c>
      <c r="I212" s="319">
        <f t="shared" si="211"/>
        <v>59.243678420720187</v>
      </c>
      <c r="J212" s="39">
        <f>H212*F212</f>
        <v>0</v>
      </c>
      <c r="K212" s="39">
        <f>I212*F212</f>
        <v>0</v>
      </c>
      <c r="L212" s="39">
        <f t="shared" si="220"/>
        <v>0</v>
      </c>
      <c r="M212" s="41">
        <f t="shared" si="221"/>
        <v>59.243678420720187</v>
      </c>
      <c r="N212" s="41">
        <f>M212*F212</f>
        <v>0</v>
      </c>
      <c r="O212" s="41">
        <f t="shared" si="222"/>
        <v>0</v>
      </c>
      <c r="Q212" s="256">
        <f t="shared" si="223"/>
        <v>1.003789874969844</v>
      </c>
    </row>
    <row r="213" spans="1:17">
      <c r="A213" s="291"/>
      <c r="B213" s="50" t="s">
        <v>107</v>
      </c>
      <c r="C213" s="57" t="s">
        <v>321</v>
      </c>
      <c r="D213" s="287">
        <v>0</v>
      </c>
      <c r="E213" s="18">
        <v>12</v>
      </c>
      <c r="F213" s="52">
        <f t="shared" ref="F213" si="224">D213*E213</f>
        <v>0</v>
      </c>
      <c r="G213" s="39">
        <f>H213*(References!$B$52)</f>
        <v>5.5526996743113996E-2</v>
      </c>
      <c r="H213" s="288">
        <v>14.651405965881013</v>
      </c>
      <c r="I213" s="319">
        <f t="shared" ref="I213" si="225">G213+H213</f>
        <v>14.706932962624126</v>
      </c>
      <c r="J213" s="39">
        <f>H213*F213</f>
        <v>0</v>
      </c>
      <c r="K213" s="39">
        <f>I213*F213</f>
        <v>0</v>
      </c>
      <c r="L213" s="39">
        <f t="shared" si="220"/>
        <v>0</v>
      </c>
      <c r="M213" s="41">
        <f t="shared" si="221"/>
        <v>14.706932962624126</v>
      </c>
      <c r="N213" s="41">
        <f>M213*F213</f>
        <v>0</v>
      </c>
      <c r="O213" s="41">
        <f t="shared" si="222"/>
        <v>0</v>
      </c>
      <c r="Q213" s="256">
        <f t="shared" si="223"/>
        <v>1.003789874969844</v>
      </c>
    </row>
    <row r="214" spans="1:17">
      <c r="A214" s="291"/>
      <c r="B214" s="50" t="s">
        <v>107</v>
      </c>
      <c r="C214" s="57" t="s">
        <v>322</v>
      </c>
      <c r="D214" s="64">
        <v>0</v>
      </c>
      <c r="E214" s="18">
        <v>12</v>
      </c>
      <c r="F214" s="52">
        <f t="shared" si="184"/>
        <v>0</v>
      </c>
      <c r="G214" s="39">
        <f>H214*(References!$B$52)</f>
        <v>6.4683253106274333E-2</v>
      </c>
      <c r="H214" s="288">
        <v>17.067384444331314</v>
      </c>
      <c r="I214" s="319">
        <f t="shared" si="185"/>
        <v>17.132067697437588</v>
      </c>
      <c r="J214" s="39">
        <f>H214*F214</f>
        <v>0</v>
      </c>
      <c r="K214" s="39">
        <f>I214*F214</f>
        <v>0</v>
      </c>
      <c r="L214" s="39">
        <f t="shared" ref="L214:L227" si="226">J214-K214</f>
        <v>0</v>
      </c>
      <c r="M214" s="41">
        <f t="shared" ref="M214:M227" si="227">I214</f>
        <v>17.132067697437588</v>
      </c>
      <c r="N214" s="41">
        <f>M214*F214</f>
        <v>0</v>
      </c>
      <c r="O214" s="41">
        <f t="shared" ref="O214:O227" si="228">N214-J214</f>
        <v>0</v>
      </c>
      <c r="Q214" s="256">
        <f t="shared" si="178"/>
        <v>1.003789874969844</v>
      </c>
    </row>
    <row r="215" spans="1:17">
      <c r="A215" s="291"/>
      <c r="B215" s="50" t="s">
        <v>107</v>
      </c>
      <c r="C215" s="57" t="s">
        <v>323</v>
      </c>
      <c r="D215" s="64">
        <v>0</v>
      </c>
      <c r="E215" s="18">
        <v>12</v>
      </c>
      <c r="F215" s="52">
        <f t="shared" si="184"/>
        <v>0</v>
      </c>
      <c r="G215" s="39">
        <f>H215*(References!$B$52)</f>
        <v>8.3301451837168861E-2</v>
      </c>
      <c r="H215" s="288">
        <v>21.98</v>
      </c>
      <c r="I215" s="319">
        <f t="shared" si="185"/>
        <v>22.06330145183717</v>
      </c>
      <c r="J215" s="39">
        <f>H215*F215</f>
        <v>0</v>
      </c>
      <c r="K215" s="39">
        <f>I215*F215</f>
        <v>0</v>
      </c>
      <c r="L215" s="39">
        <f t="shared" si="226"/>
        <v>0</v>
      </c>
      <c r="M215" s="41">
        <f t="shared" si="227"/>
        <v>22.06330145183717</v>
      </c>
      <c r="N215" s="41">
        <f>M215*F215</f>
        <v>0</v>
      </c>
      <c r="O215" s="41">
        <f t="shared" si="228"/>
        <v>0</v>
      </c>
      <c r="Q215" s="256">
        <f t="shared" si="178"/>
        <v>1.003789874969844</v>
      </c>
    </row>
    <row r="216" spans="1:17">
      <c r="A216" s="58"/>
      <c r="B216" s="50" t="s">
        <v>107</v>
      </c>
      <c r="C216" s="57" t="s">
        <v>330</v>
      </c>
      <c r="D216" s="64">
        <v>0</v>
      </c>
      <c r="E216" s="18">
        <v>12</v>
      </c>
      <c r="F216" s="52">
        <f t="shared" ref="F216:F228" si="229">D216*E216*12</f>
        <v>0</v>
      </c>
      <c r="G216" s="39">
        <f>H216*(References!$B$52)</f>
        <v>0.15557776369850554</v>
      </c>
      <c r="H216" s="260">
        <v>41.050896120964566</v>
      </c>
      <c r="I216" s="319">
        <f t="shared" ref="I216:I227" si="230">G216+H216</f>
        <v>41.206473884663069</v>
      </c>
      <c r="J216" s="39">
        <f>H216*F216</f>
        <v>0</v>
      </c>
      <c r="K216" s="39">
        <f>I216*F216</f>
        <v>0</v>
      </c>
      <c r="L216" s="39">
        <f t="shared" si="226"/>
        <v>0</v>
      </c>
      <c r="M216" s="41">
        <f t="shared" si="227"/>
        <v>41.206473884663069</v>
      </c>
      <c r="N216" s="41">
        <f>M216*F216</f>
        <v>0</v>
      </c>
      <c r="O216" s="41">
        <f t="shared" si="228"/>
        <v>0</v>
      </c>
      <c r="Q216" s="256">
        <f t="shared" ref="Q216:Q227" si="231">M216/H216</f>
        <v>1.0037898749698437</v>
      </c>
    </row>
    <row r="217" spans="1:17">
      <c r="A217" s="58"/>
      <c r="B217" s="50" t="s">
        <v>107</v>
      </c>
      <c r="C217" s="57" t="s">
        <v>331</v>
      </c>
      <c r="D217" s="64">
        <v>0</v>
      </c>
      <c r="E217" s="18">
        <v>12</v>
      </c>
      <c r="F217" s="52">
        <f t="shared" si="229"/>
        <v>0</v>
      </c>
      <c r="G217" s="39">
        <f>H217*(References!$B$52)</f>
        <v>0.15557776369850554</v>
      </c>
      <c r="H217" s="260">
        <v>41.050896120964566</v>
      </c>
      <c r="I217" s="319">
        <f t="shared" si="230"/>
        <v>41.206473884663069</v>
      </c>
      <c r="J217" s="39">
        <f>H217*F217</f>
        <v>0</v>
      </c>
      <c r="K217" s="39">
        <f>I217*F217</f>
        <v>0</v>
      </c>
      <c r="L217" s="39">
        <f t="shared" si="226"/>
        <v>0</v>
      </c>
      <c r="M217" s="41">
        <f t="shared" si="227"/>
        <v>41.206473884663069</v>
      </c>
      <c r="N217" s="41">
        <f>M217*F217</f>
        <v>0</v>
      </c>
      <c r="O217" s="41">
        <f t="shared" si="228"/>
        <v>0</v>
      </c>
      <c r="Q217" s="256">
        <f t="shared" si="231"/>
        <v>1.0037898749698437</v>
      </c>
    </row>
    <row r="218" spans="1:17">
      <c r="A218" s="58"/>
      <c r="B218" s="50" t="s">
        <v>107</v>
      </c>
      <c r="C218" s="57" t="s">
        <v>332</v>
      </c>
      <c r="D218" s="64">
        <v>0</v>
      </c>
      <c r="E218" s="18">
        <v>12</v>
      </c>
      <c r="F218" s="52">
        <f t="shared" si="229"/>
        <v>0</v>
      </c>
      <c r="G218" s="39">
        <f>H218*(References!$B$52)</f>
        <v>0.15557776369850554</v>
      </c>
      <c r="H218" s="260">
        <v>41.050896120964566</v>
      </c>
      <c r="I218" s="319">
        <f t="shared" si="230"/>
        <v>41.206473884663069</v>
      </c>
      <c r="J218" s="39">
        <f>H218*F218</f>
        <v>0</v>
      </c>
      <c r="K218" s="39">
        <f>I218*F218</f>
        <v>0</v>
      </c>
      <c r="L218" s="39">
        <f t="shared" si="226"/>
        <v>0</v>
      </c>
      <c r="M218" s="41">
        <f t="shared" si="227"/>
        <v>41.206473884663069</v>
      </c>
      <c r="N218" s="41">
        <f>M218*F218</f>
        <v>0</v>
      </c>
      <c r="O218" s="41">
        <f t="shared" si="228"/>
        <v>0</v>
      </c>
      <c r="Q218" s="256">
        <f t="shared" si="231"/>
        <v>1.0037898749698437</v>
      </c>
    </row>
    <row r="219" spans="1:17">
      <c r="A219" s="58"/>
      <c r="B219" s="50" t="s">
        <v>107</v>
      </c>
      <c r="C219" s="57" t="s">
        <v>124</v>
      </c>
      <c r="D219" s="64">
        <v>0</v>
      </c>
      <c r="E219" s="18">
        <v>12</v>
      </c>
      <c r="F219" s="52">
        <f t="shared" si="229"/>
        <v>0</v>
      </c>
      <c r="G219" s="39">
        <f>H219*(References!$B$52)</f>
        <v>0.13129207085544503</v>
      </c>
      <c r="H219" s="260">
        <v>34.642850199581353</v>
      </c>
      <c r="I219" s="319">
        <f t="shared" si="230"/>
        <v>34.774142270436798</v>
      </c>
      <c r="J219" s="39">
        <f>H219*F219</f>
        <v>0</v>
      </c>
      <c r="K219" s="39">
        <f>I219*F219</f>
        <v>0</v>
      </c>
      <c r="L219" s="39">
        <f t="shared" si="226"/>
        <v>0</v>
      </c>
      <c r="M219" s="41">
        <f t="shared" si="227"/>
        <v>34.774142270436798</v>
      </c>
      <c r="N219" s="41">
        <f>M219*F219</f>
        <v>0</v>
      </c>
      <c r="O219" s="41">
        <f t="shared" si="228"/>
        <v>0</v>
      </c>
      <c r="Q219" s="256">
        <f t="shared" si="231"/>
        <v>1.003789874969844</v>
      </c>
    </row>
    <row r="220" spans="1:17">
      <c r="A220" s="58"/>
      <c r="B220" s="50" t="s">
        <v>107</v>
      </c>
      <c r="C220" s="57" t="s">
        <v>125</v>
      </c>
      <c r="D220" s="64">
        <v>0</v>
      </c>
      <c r="E220" s="18">
        <v>12</v>
      </c>
      <c r="F220" s="52">
        <f t="shared" si="229"/>
        <v>0</v>
      </c>
      <c r="G220" s="39">
        <f>H220*(References!$B$52)</f>
        <v>0.14866144987912258</v>
      </c>
      <c r="H220" s="260">
        <v>39.225951004195231</v>
      </c>
      <c r="I220" s="319">
        <f t="shared" si="230"/>
        <v>39.374612454074352</v>
      </c>
      <c r="J220" s="39">
        <f>H220*F220</f>
        <v>0</v>
      </c>
      <c r="K220" s="39">
        <f>I220*F220</f>
        <v>0</v>
      </c>
      <c r="L220" s="39">
        <f t="shared" si="226"/>
        <v>0</v>
      </c>
      <c r="M220" s="41">
        <f t="shared" si="227"/>
        <v>39.374612454074352</v>
      </c>
      <c r="N220" s="41">
        <f>M220*F220</f>
        <v>0</v>
      </c>
      <c r="O220" s="41">
        <f t="shared" si="228"/>
        <v>0</v>
      </c>
      <c r="Q220" s="256">
        <f t="shared" si="231"/>
        <v>1.003789874969844</v>
      </c>
    </row>
    <row r="221" spans="1:17">
      <c r="A221" s="58"/>
      <c r="B221" s="50" t="s">
        <v>107</v>
      </c>
      <c r="C221" s="57" t="s">
        <v>126</v>
      </c>
      <c r="D221" s="64">
        <v>0</v>
      </c>
      <c r="E221" s="18">
        <v>12</v>
      </c>
      <c r="F221" s="52">
        <f t="shared" si="229"/>
        <v>0</v>
      </c>
      <c r="G221" s="39">
        <f>H221*(References!$B$52)</f>
        <v>0.20088747866298565</v>
      </c>
      <c r="H221" s="260">
        <v>53.006360437072701</v>
      </c>
      <c r="I221" s="319">
        <f t="shared" si="230"/>
        <v>53.207247915735685</v>
      </c>
      <c r="J221" s="39">
        <f>H221*F221</f>
        <v>0</v>
      </c>
      <c r="K221" s="39">
        <f>I221*F221</f>
        <v>0</v>
      </c>
      <c r="L221" s="39">
        <f t="shared" si="226"/>
        <v>0</v>
      </c>
      <c r="M221" s="41">
        <f t="shared" si="227"/>
        <v>53.207247915735685</v>
      </c>
      <c r="N221" s="41">
        <f>M221*F221</f>
        <v>0</v>
      </c>
      <c r="O221" s="41">
        <f t="shared" si="228"/>
        <v>0</v>
      </c>
      <c r="Q221" s="256">
        <f t="shared" si="231"/>
        <v>1.003789874969844</v>
      </c>
    </row>
    <row r="222" spans="1:17">
      <c r="A222" s="58"/>
      <c r="B222" s="50" t="s">
        <v>107</v>
      </c>
      <c r="C222" s="57" t="s">
        <v>295</v>
      </c>
      <c r="D222" s="64">
        <v>0</v>
      </c>
      <c r="E222" s="18">
        <v>12</v>
      </c>
      <c r="F222" s="52">
        <f t="shared" si="229"/>
        <v>0</v>
      </c>
      <c r="G222" s="39">
        <f>H222*(References!$B$52)</f>
        <v>6.0910718295701834E-3</v>
      </c>
      <c r="H222" s="260">
        <v>1.6071959835184408</v>
      </c>
      <c r="I222" s="319">
        <f t="shared" si="230"/>
        <v>1.613287055348011</v>
      </c>
      <c r="J222" s="39">
        <f>H222*F222</f>
        <v>0</v>
      </c>
      <c r="K222" s="39">
        <f>I222*F222</f>
        <v>0</v>
      </c>
      <c r="L222" s="39">
        <f t="shared" si="226"/>
        <v>0</v>
      </c>
      <c r="M222" s="41">
        <f t="shared" si="227"/>
        <v>1.613287055348011</v>
      </c>
      <c r="N222" s="41">
        <f>M222*F222</f>
        <v>0</v>
      </c>
      <c r="O222" s="41">
        <f t="shared" si="228"/>
        <v>0</v>
      </c>
      <c r="Q222" s="256">
        <f t="shared" si="231"/>
        <v>1.003789874969844</v>
      </c>
    </row>
    <row r="223" spans="1:17">
      <c r="A223" s="58"/>
      <c r="B223" s="50" t="s">
        <v>107</v>
      </c>
      <c r="C223" s="57" t="s">
        <v>296</v>
      </c>
      <c r="D223" s="64">
        <v>0</v>
      </c>
      <c r="E223" s="18">
        <v>12</v>
      </c>
      <c r="F223" s="52">
        <f t="shared" si="229"/>
        <v>0</v>
      </c>
      <c r="G223" s="39">
        <f>H223*(References!$B$52)</f>
        <v>6.7198276313322662E-3</v>
      </c>
      <c r="H223" s="260">
        <v>1.7731000850429248</v>
      </c>
      <c r="I223" s="319">
        <f t="shared" si="230"/>
        <v>1.7798199126742571</v>
      </c>
      <c r="J223" s="39">
        <f>H223*F223</f>
        <v>0</v>
      </c>
      <c r="K223" s="39">
        <f>I223*F223</f>
        <v>0</v>
      </c>
      <c r="L223" s="39">
        <f t="shared" si="226"/>
        <v>0</v>
      </c>
      <c r="M223" s="41">
        <f t="shared" si="227"/>
        <v>1.7798199126742571</v>
      </c>
      <c r="N223" s="41">
        <f>M223*F223</f>
        <v>0</v>
      </c>
      <c r="O223" s="41">
        <f t="shared" si="228"/>
        <v>0</v>
      </c>
      <c r="Q223" s="256">
        <f t="shared" si="231"/>
        <v>1.003789874969844</v>
      </c>
    </row>
    <row r="224" spans="1:17">
      <c r="A224" s="58"/>
      <c r="B224" s="50" t="s">
        <v>107</v>
      </c>
      <c r="C224" s="57" t="s">
        <v>297</v>
      </c>
      <c r="D224" s="64">
        <v>0</v>
      </c>
      <c r="E224" s="18">
        <v>12</v>
      </c>
      <c r="F224" s="52">
        <f t="shared" si="229"/>
        <v>0</v>
      </c>
      <c r="G224" s="39">
        <f>H224*(References!$B$52)</f>
        <v>8.3703116109577341E-3</v>
      </c>
      <c r="H224" s="260">
        <v>2.2085983515446959</v>
      </c>
      <c r="I224" s="319">
        <f t="shared" si="230"/>
        <v>2.2169686631556536</v>
      </c>
      <c r="J224" s="39">
        <f>H224*F224</f>
        <v>0</v>
      </c>
      <c r="K224" s="39">
        <f>I224*F224</f>
        <v>0</v>
      </c>
      <c r="L224" s="39">
        <f t="shared" si="226"/>
        <v>0</v>
      </c>
      <c r="M224" s="41">
        <f t="shared" si="227"/>
        <v>2.2169686631556536</v>
      </c>
      <c r="N224" s="41">
        <f>M224*F224</f>
        <v>0</v>
      </c>
      <c r="O224" s="41">
        <f t="shared" si="228"/>
        <v>0</v>
      </c>
      <c r="Q224" s="256">
        <f t="shared" si="231"/>
        <v>1.003789874969844</v>
      </c>
    </row>
    <row r="225" spans="1:17">
      <c r="A225" s="58"/>
      <c r="B225" s="50" t="s">
        <v>107</v>
      </c>
      <c r="C225" s="57" t="s">
        <v>301</v>
      </c>
      <c r="D225" s="64">
        <v>0</v>
      </c>
      <c r="E225" s="18">
        <v>12</v>
      </c>
      <c r="F225" s="52">
        <f t="shared" si="229"/>
        <v>0</v>
      </c>
      <c r="G225" s="39">
        <f>H225*(References!$B$52)</f>
        <v>0.18328231621364729</v>
      </c>
      <c r="H225" s="260">
        <v>48.361045594387143</v>
      </c>
      <c r="I225" s="319">
        <f t="shared" si="230"/>
        <v>48.544327910600792</v>
      </c>
      <c r="J225" s="39">
        <f>H225*F225</f>
        <v>0</v>
      </c>
      <c r="K225" s="39">
        <f>I225*F225</f>
        <v>0</v>
      </c>
      <c r="L225" s="39">
        <f t="shared" si="226"/>
        <v>0</v>
      </c>
      <c r="M225" s="41">
        <f t="shared" si="227"/>
        <v>48.544327910600792</v>
      </c>
      <c r="N225" s="41">
        <f>M225*F225</f>
        <v>0</v>
      </c>
      <c r="O225" s="41">
        <f t="shared" si="228"/>
        <v>0</v>
      </c>
      <c r="Q225" s="256">
        <f t="shared" si="231"/>
        <v>1.003789874969844</v>
      </c>
    </row>
    <row r="226" spans="1:17">
      <c r="A226" s="58"/>
      <c r="B226" s="50" t="s">
        <v>107</v>
      </c>
      <c r="C226" s="57" t="s">
        <v>302</v>
      </c>
      <c r="D226" s="64">
        <v>0</v>
      </c>
      <c r="E226" s="18">
        <v>12</v>
      </c>
      <c r="F226" s="52">
        <f t="shared" si="229"/>
        <v>0</v>
      </c>
      <c r="G226" s="39">
        <f>H226*(References!$B$52)</f>
        <v>0.20544595822576076</v>
      </c>
      <c r="H226" s="260">
        <v>54.209165173125214</v>
      </c>
      <c r="I226" s="319">
        <f t="shared" si="230"/>
        <v>54.414611131350973</v>
      </c>
      <c r="J226" s="39">
        <f>H226*F226</f>
        <v>0</v>
      </c>
      <c r="K226" s="39">
        <f>I226*F226</f>
        <v>0</v>
      </c>
      <c r="L226" s="39">
        <f t="shared" si="226"/>
        <v>0</v>
      </c>
      <c r="M226" s="41">
        <f t="shared" si="227"/>
        <v>54.414611131350973</v>
      </c>
      <c r="N226" s="41">
        <f>M226*F226</f>
        <v>0</v>
      </c>
      <c r="O226" s="41">
        <f t="shared" si="228"/>
        <v>0</v>
      </c>
      <c r="Q226" s="256">
        <f t="shared" si="231"/>
        <v>1.003789874969844</v>
      </c>
    </row>
    <row r="227" spans="1:17">
      <c r="A227" s="58"/>
      <c r="B227" s="50" t="s">
        <v>107</v>
      </c>
      <c r="C227" s="57" t="s">
        <v>303</v>
      </c>
      <c r="D227" s="64">
        <v>0</v>
      </c>
      <c r="E227" s="18">
        <v>12</v>
      </c>
      <c r="F227" s="52">
        <f t="shared" si="229"/>
        <v>0</v>
      </c>
      <c r="G227" s="39">
        <f>H227*(References!$B$52)</f>
        <v>0.24438952069739978</v>
      </c>
      <c r="H227" s="260">
        <v>64.484850461297953</v>
      </c>
      <c r="I227" s="319">
        <f t="shared" si="230"/>
        <v>64.729239981995349</v>
      </c>
      <c r="J227" s="39">
        <f>H227*F227</f>
        <v>0</v>
      </c>
      <c r="K227" s="39">
        <f>I227*F227</f>
        <v>0</v>
      </c>
      <c r="L227" s="39">
        <f t="shared" si="226"/>
        <v>0</v>
      </c>
      <c r="M227" s="41">
        <f t="shared" si="227"/>
        <v>64.729239981995349</v>
      </c>
      <c r="N227" s="41">
        <f>M227*F227</f>
        <v>0</v>
      </c>
      <c r="O227" s="41">
        <f t="shared" si="228"/>
        <v>0</v>
      </c>
      <c r="Q227" s="256">
        <f t="shared" si="231"/>
        <v>1.0037898749698437</v>
      </c>
    </row>
    <row r="228" spans="1:17">
      <c r="A228" s="58"/>
      <c r="B228" s="50" t="s">
        <v>130</v>
      </c>
      <c r="C228" s="57" t="s">
        <v>131</v>
      </c>
      <c r="D228" s="64">
        <v>0</v>
      </c>
      <c r="E228" s="18">
        <v>12</v>
      </c>
      <c r="F228" s="52">
        <f t="shared" si="229"/>
        <v>0</v>
      </c>
      <c r="G228" s="39">
        <f>H228*(References!$B$52)</f>
        <v>7.5645904398084191E-2</v>
      </c>
      <c r="H228" s="260">
        <v>19.96</v>
      </c>
      <c r="I228" s="319">
        <f t="shared" ref="I228:I229" si="232">G228+H228</f>
        <v>20.035645904398084</v>
      </c>
      <c r="J228" s="39">
        <f>H228*F228</f>
        <v>0</v>
      </c>
      <c r="K228" s="39">
        <f>I228*F228</f>
        <v>0</v>
      </c>
      <c r="L228" s="39">
        <f t="shared" ref="L228:L229" si="233">J228-K228</f>
        <v>0</v>
      </c>
      <c r="M228" s="41">
        <f t="shared" ref="M228:M229" si="234">I228</f>
        <v>20.035645904398084</v>
      </c>
      <c r="N228" s="41">
        <f>M228*F228</f>
        <v>0</v>
      </c>
      <c r="O228" s="41">
        <f t="shared" ref="O228:O229" si="235">N228-J228</f>
        <v>0</v>
      </c>
      <c r="Q228" s="256">
        <f t="shared" ref="Q228:Q229" si="236">M228/H228</f>
        <v>1.003789874969844</v>
      </c>
    </row>
    <row r="229" spans="1:17">
      <c r="A229" s="58"/>
      <c r="B229" s="50" t="s">
        <v>130</v>
      </c>
      <c r="C229" s="57" t="s">
        <v>333</v>
      </c>
      <c r="D229" s="64">
        <v>0</v>
      </c>
      <c r="E229" s="18">
        <v>12</v>
      </c>
      <c r="F229" s="52">
        <f t="shared" ref="F229" si="237">D229*E229*12</f>
        <v>0</v>
      </c>
      <c r="G229" s="39">
        <f>H229*(References!$B$52)</f>
        <v>7.0870661936080874E-3</v>
      </c>
      <c r="H229" s="260">
        <v>1.87</v>
      </c>
      <c r="I229" s="319">
        <f t="shared" si="232"/>
        <v>1.8770870661936081</v>
      </c>
      <c r="J229" s="39">
        <f>H229*F229</f>
        <v>0</v>
      </c>
      <c r="K229" s="39">
        <f>I229*F229</f>
        <v>0</v>
      </c>
      <c r="L229" s="39">
        <f t="shared" si="233"/>
        <v>0</v>
      </c>
      <c r="M229" s="41">
        <f t="shared" si="234"/>
        <v>1.8770870661936081</v>
      </c>
      <c r="N229" s="41">
        <f>M229*F229</f>
        <v>0</v>
      </c>
      <c r="O229" s="41">
        <f t="shared" si="235"/>
        <v>0</v>
      </c>
      <c r="Q229" s="256">
        <f t="shared" si="236"/>
        <v>1.003789874969844</v>
      </c>
    </row>
    <row r="230" spans="1:17">
      <c r="A230" s="36"/>
      <c r="B230" s="27"/>
      <c r="C230" s="54"/>
      <c r="D230" s="19"/>
      <c r="E230" s="18"/>
      <c r="F230" s="55"/>
      <c r="G230" s="39"/>
      <c r="H230" s="39"/>
      <c r="I230" s="39"/>
      <c r="J230" s="39"/>
      <c r="K230" s="39"/>
      <c r="L230" s="39"/>
      <c r="M230" s="41"/>
      <c r="N230" s="41"/>
      <c r="O230" s="41"/>
    </row>
    <row r="231" spans="1:17">
      <c r="A231" s="28"/>
      <c r="B231" s="14"/>
      <c r="C231" s="29" t="s">
        <v>9</v>
      </c>
      <c r="D231" s="30">
        <f>SUM(D149:D229)</f>
        <v>116.9991</v>
      </c>
      <c r="E231" s="30"/>
      <c r="F231" s="30">
        <f>SUM(F149:F229)</f>
        <v>1403.9892</v>
      </c>
      <c r="G231" s="42"/>
      <c r="H231" s="42"/>
      <c r="I231" s="42"/>
      <c r="J231" s="56">
        <f t="shared" ref="J231:O231" si="238">SUM(J149:J229)</f>
        <v>49003.754413064758</v>
      </c>
      <c r="K231" s="56">
        <f t="shared" si="238"/>
        <v>49189.472515343208</v>
      </c>
      <c r="L231" s="56">
        <f t="shared" si="238"/>
        <v>-185.7181022784473</v>
      </c>
      <c r="M231" s="56">
        <f t="shared" si="238"/>
        <v>2353.3968540075898</v>
      </c>
      <c r="N231" s="56">
        <f t="shared" si="238"/>
        <v>49189.472515343208</v>
      </c>
      <c r="O231" s="56">
        <f t="shared" si="238"/>
        <v>185.7181022784473</v>
      </c>
    </row>
    <row r="232" spans="1:17" s="313" customFormat="1">
      <c r="A232" s="309"/>
      <c r="B232" s="315"/>
      <c r="C232" s="311"/>
      <c r="D232" s="312"/>
      <c r="E232" s="312"/>
      <c r="F232" s="312"/>
      <c r="G232" s="258"/>
      <c r="H232" s="258"/>
      <c r="I232" s="258"/>
      <c r="J232" s="259"/>
      <c r="K232" s="259"/>
      <c r="L232" s="259"/>
      <c r="M232" s="259"/>
      <c r="N232" s="259"/>
      <c r="O232" s="259"/>
    </row>
    <row r="233" spans="1:17">
      <c r="A233" s="300"/>
      <c r="B233" s="307"/>
      <c r="C233" s="302"/>
      <c r="D233" s="314" t="s">
        <v>372</v>
      </c>
      <c r="E233" s="303"/>
      <c r="F233" s="303"/>
      <c r="G233" s="308"/>
      <c r="H233" s="308"/>
      <c r="I233" s="308"/>
      <c r="J233" s="72"/>
      <c r="K233" s="72"/>
      <c r="L233" s="72"/>
      <c r="M233" s="72"/>
      <c r="N233" s="72"/>
      <c r="O233" s="72"/>
    </row>
    <row r="234" spans="1:17">
      <c r="A234" s="36"/>
      <c r="B234" s="50" t="s">
        <v>334</v>
      </c>
      <c r="C234" s="57" t="s">
        <v>340</v>
      </c>
      <c r="D234" s="287">
        <v>0</v>
      </c>
      <c r="E234" s="18">
        <v>1</v>
      </c>
      <c r="F234" s="52">
        <f>D234*E234</f>
        <v>0</v>
      </c>
      <c r="G234" s="39">
        <f>H234*(References!$B$52)</f>
        <v>0.83479121855199612</v>
      </c>
      <c r="H234" s="260">
        <v>220.26880179278862</v>
      </c>
      <c r="I234" s="319">
        <f t="shared" ref="I234:I248" si="239">G234+H234</f>
        <v>221.10359301134062</v>
      </c>
      <c r="J234" s="39">
        <f>H234*F234</f>
        <v>0</v>
      </c>
      <c r="K234" s="39">
        <f>I234*F234</f>
        <v>0</v>
      </c>
      <c r="L234" s="39">
        <f t="shared" ref="L234:L248" si="240">J234-K234</f>
        <v>0</v>
      </c>
      <c r="M234" s="41">
        <f t="shared" ref="M234:M248" si="241">I234</f>
        <v>221.10359301134062</v>
      </c>
      <c r="N234" s="41">
        <f>M234*F234</f>
        <v>0</v>
      </c>
      <c r="O234" s="41">
        <f t="shared" ref="O234:O248" si="242">N234-J234</f>
        <v>0</v>
      </c>
      <c r="Q234" s="256">
        <f t="shared" ref="Q234:Q248" si="243">M234/H234</f>
        <v>1.003789874969844</v>
      </c>
    </row>
    <row r="235" spans="1:17">
      <c r="A235" s="291" t="s">
        <v>285</v>
      </c>
      <c r="B235" s="50" t="s">
        <v>334</v>
      </c>
      <c r="C235" s="57" t="s">
        <v>341</v>
      </c>
      <c r="D235" s="287">
        <v>26</v>
      </c>
      <c r="E235" s="18">
        <v>1</v>
      </c>
      <c r="F235" s="52">
        <f t="shared" ref="F235:F274" si="244">D235*E235</f>
        <v>26</v>
      </c>
      <c r="G235" s="39">
        <f>H235*(References!$B$52)</f>
        <v>0.83479121855199612</v>
      </c>
      <c r="H235" s="260">
        <v>220.26880179278862</v>
      </c>
      <c r="I235" s="319">
        <f t="shared" si="239"/>
        <v>221.10359301134062</v>
      </c>
      <c r="J235" s="39">
        <f>H235*F235</f>
        <v>5726.9888466125039</v>
      </c>
      <c r="K235" s="39">
        <f>I235*F235</f>
        <v>5748.6934182948562</v>
      </c>
      <c r="L235" s="39">
        <f t="shared" si="240"/>
        <v>-21.704571682352253</v>
      </c>
      <c r="M235" s="41">
        <f t="shared" si="241"/>
        <v>221.10359301134062</v>
      </c>
      <c r="N235" s="41">
        <f>M235*F235</f>
        <v>5748.6934182948562</v>
      </c>
      <c r="O235" s="41">
        <f t="shared" si="242"/>
        <v>21.704571682352253</v>
      </c>
      <c r="Q235" s="256">
        <f t="shared" si="243"/>
        <v>1.003789874969844</v>
      </c>
    </row>
    <row r="236" spans="1:17">
      <c r="A236" s="291"/>
      <c r="B236" s="50" t="s">
        <v>334</v>
      </c>
      <c r="C236" s="57" t="s">
        <v>342</v>
      </c>
      <c r="D236" s="287">
        <v>75</v>
      </c>
      <c r="E236" s="18">
        <v>1</v>
      </c>
      <c r="F236" s="52">
        <f t="shared" si="244"/>
        <v>75</v>
      </c>
      <c r="G236" s="39">
        <f>H236*(References!$B$52)</f>
        <v>0.83479121855199612</v>
      </c>
      <c r="H236" s="260">
        <v>220.26880179278862</v>
      </c>
      <c r="I236" s="319">
        <f t="shared" si="239"/>
        <v>221.10359301134062</v>
      </c>
      <c r="J236" s="39">
        <f>H236*F236</f>
        <v>16520.160134459147</v>
      </c>
      <c r="K236" s="39">
        <f>I236*F236</f>
        <v>16582.769475850546</v>
      </c>
      <c r="L236" s="39">
        <f t="shared" si="240"/>
        <v>-62.60934139139863</v>
      </c>
      <c r="M236" s="41">
        <f t="shared" si="241"/>
        <v>221.10359301134062</v>
      </c>
      <c r="N236" s="41">
        <f>M236*F236</f>
        <v>16582.769475850546</v>
      </c>
      <c r="O236" s="41">
        <f t="shared" si="242"/>
        <v>62.60934139139863</v>
      </c>
      <c r="Q236" s="256">
        <f t="shared" si="243"/>
        <v>1.003789874969844</v>
      </c>
    </row>
    <row r="237" spans="1:17">
      <c r="A237" s="291"/>
      <c r="B237" s="50" t="s">
        <v>334</v>
      </c>
      <c r="C237" s="57" t="s">
        <v>343</v>
      </c>
      <c r="D237" s="287">
        <v>187</v>
      </c>
      <c r="E237" s="18">
        <v>1</v>
      </c>
      <c r="F237" s="52">
        <f t="shared" si="244"/>
        <v>187</v>
      </c>
      <c r="G237" s="39">
        <f>H237*(References!$B$52)</f>
        <v>0.83479121855199612</v>
      </c>
      <c r="H237" s="260">
        <v>220.26880179278862</v>
      </c>
      <c r="I237" s="319">
        <f t="shared" si="239"/>
        <v>221.10359301134062</v>
      </c>
      <c r="J237" s="39">
        <f>H237*F237</f>
        <v>41190.265935251475</v>
      </c>
      <c r="K237" s="39">
        <f>I237*F237</f>
        <v>41346.371893120697</v>
      </c>
      <c r="L237" s="39">
        <f t="shared" si="240"/>
        <v>-156.10595786922204</v>
      </c>
      <c r="M237" s="41">
        <f t="shared" si="241"/>
        <v>221.10359301134062</v>
      </c>
      <c r="N237" s="41">
        <f>M237*F237</f>
        <v>41346.371893120697</v>
      </c>
      <c r="O237" s="41">
        <f t="shared" si="242"/>
        <v>156.10595786922204</v>
      </c>
      <c r="Q237" s="256">
        <f t="shared" si="243"/>
        <v>1.003789874969844</v>
      </c>
    </row>
    <row r="238" spans="1:17">
      <c r="A238" s="291"/>
      <c r="B238" s="50" t="s">
        <v>334</v>
      </c>
      <c r="C238" s="57" t="s">
        <v>344</v>
      </c>
      <c r="D238" s="287">
        <v>0</v>
      </c>
      <c r="E238" s="18">
        <v>1</v>
      </c>
      <c r="F238" s="52">
        <f t="shared" si="244"/>
        <v>0</v>
      </c>
      <c r="G238" s="39">
        <f>H238*(References!$B$52)</f>
        <v>0.83479121855199612</v>
      </c>
      <c r="H238" s="260">
        <v>220.26880179278862</v>
      </c>
      <c r="I238" s="319">
        <f t="shared" si="239"/>
        <v>221.10359301134062</v>
      </c>
      <c r="J238" s="39">
        <f>H238*F238</f>
        <v>0</v>
      </c>
      <c r="K238" s="39">
        <f>I238*F238</f>
        <v>0</v>
      </c>
      <c r="L238" s="39">
        <f t="shared" si="240"/>
        <v>0</v>
      </c>
      <c r="M238" s="41">
        <f t="shared" si="241"/>
        <v>221.10359301134062</v>
      </c>
      <c r="N238" s="41">
        <f>M238*F238</f>
        <v>0</v>
      </c>
      <c r="O238" s="41">
        <f t="shared" si="242"/>
        <v>0</v>
      </c>
      <c r="Q238" s="256">
        <f t="shared" si="243"/>
        <v>1.003789874969844</v>
      </c>
    </row>
    <row r="239" spans="1:17">
      <c r="A239" s="291"/>
      <c r="B239" s="50" t="s">
        <v>334</v>
      </c>
      <c r="C239" s="57" t="s">
        <v>335</v>
      </c>
      <c r="D239" s="287">
        <v>0</v>
      </c>
      <c r="E239" s="18">
        <v>1</v>
      </c>
      <c r="F239" s="52">
        <f t="shared" si="244"/>
        <v>0</v>
      </c>
      <c r="G239" s="39">
        <f>H239*(References!$B$52)</f>
        <v>0.20674276706689507</v>
      </c>
      <c r="H239" s="260">
        <v>54.551342382519465</v>
      </c>
      <c r="I239" s="319">
        <f t="shared" si="239"/>
        <v>54.758085149586357</v>
      </c>
      <c r="J239" s="39">
        <f>H239*F239</f>
        <v>0</v>
      </c>
      <c r="K239" s="39">
        <f>I239*F239</f>
        <v>0</v>
      </c>
      <c r="L239" s="39">
        <f t="shared" si="240"/>
        <v>0</v>
      </c>
      <c r="M239" s="41">
        <f t="shared" si="241"/>
        <v>54.758085149586357</v>
      </c>
      <c r="N239" s="41">
        <f>M239*F239</f>
        <v>0</v>
      </c>
      <c r="O239" s="41">
        <f t="shared" si="242"/>
        <v>0</v>
      </c>
      <c r="Q239" s="256">
        <f t="shared" si="243"/>
        <v>1.0037898749698437</v>
      </c>
    </row>
    <row r="240" spans="1:17">
      <c r="A240" s="291"/>
      <c r="B240" s="50" t="s">
        <v>334</v>
      </c>
      <c r="C240" s="57" t="s">
        <v>336</v>
      </c>
      <c r="D240" s="287">
        <v>10.677501621557871</v>
      </c>
      <c r="E240" s="18">
        <v>1</v>
      </c>
      <c r="F240" s="52">
        <f t="shared" si="244"/>
        <v>10.677501621557871</v>
      </c>
      <c r="G240" s="39">
        <f>H240*(References!$B$52)</f>
        <v>0.22214728421006608</v>
      </c>
      <c r="H240" s="260">
        <v>58.615992869869324</v>
      </c>
      <c r="I240" s="319">
        <f t="shared" si="239"/>
        <v>58.83814015407939</v>
      </c>
      <c r="J240" s="39">
        <f>H240*F240</f>
        <v>625.87235891725436</v>
      </c>
      <c r="K240" s="39">
        <f>I240*F240</f>
        <v>628.24433690463195</v>
      </c>
      <c r="L240" s="39">
        <f t="shared" si="240"/>
        <v>-2.3719779873775906</v>
      </c>
      <c r="M240" s="41">
        <f t="shared" si="241"/>
        <v>58.83814015407939</v>
      </c>
      <c r="N240" s="41">
        <f>M240*F240</f>
        <v>628.24433690463195</v>
      </c>
      <c r="O240" s="41">
        <f t="shared" si="242"/>
        <v>2.3719779873775906</v>
      </c>
      <c r="Q240" s="256">
        <f t="shared" si="243"/>
        <v>1.003789874969844</v>
      </c>
    </row>
    <row r="241" spans="1:17">
      <c r="A241" s="291"/>
      <c r="B241" s="50" t="s">
        <v>334</v>
      </c>
      <c r="C241" s="57" t="s">
        <v>337</v>
      </c>
      <c r="D241" s="287">
        <v>30.190216888642258</v>
      </c>
      <c r="E241" s="18">
        <v>1</v>
      </c>
      <c r="F241" s="52">
        <f t="shared" si="244"/>
        <v>30.190216888642258</v>
      </c>
      <c r="G241" s="39">
        <f>H241*(References!$B$52)</f>
        <v>0.28325448869381858</v>
      </c>
      <c r="H241" s="260">
        <v>74.739797736780133</v>
      </c>
      <c r="I241" s="319">
        <f t="shared" si="239"/>
        <v>75.023052225473947</v>
      </c>
      <c r="J241" s="39">
        <f>H241*F241</f>
        <v>2256.4107038866459</v>
      </c>
      <c r="K241" s="39">
        <f>I241*F241</f>
        <v>2264.9622183349938</v>
      </c>
      <c r="L241" s="39">
        <f t="shared" si="240"/>
        <v>-8.5515144483479162</v>
      </c>
      <c r="M241" s="41">
        <f t="shared" si="241"/>
        <v>75.023052225473947</v>
      </c>
      <c r="N241" s="41">
        <f>M241*F241</f>
        <v>2264.9622183349938</v>
      </c>
      <c r="O241" s="41">
        <f t="shared" si="242"/>
        <v>8.5515144483479162</v>
      </c>
      <c r="Q241" s="256">
        <f t="shared" si="243"/>
        <v>1.0037898749698437</v>
      </c>
    </row>
    <row r="242" spans="1:17">
      <c r="A242" s="36"/>
      <c r="B242" s="50" t="s">
        <v>334</v>
      </c>
      <c r="C242" s="57" t="s">
        <v>338</v>
      </c>
      <c r="D242" s="287">
        <v>40.936135171404182</v>
      </c>
      <c r="E242" s="18">
        <v>1</v>
      </c>
      <c r="F242" s="52">
        <f t="shared" si="244"/>
        <v>40.936135171404182</v>
      </c>
      <c r="G242" s="39">
        <f>H242*(References!$B$52)</f>
        <v>0.32211945669023734</v>
      </c>
      <c r="H242" s="260">
        <v>84.994745012262314</v>
      </c>
      <c r="I242" s="319">
        <f t="shared" si="239"/>
        <v>85.316864468952545</v>
      </c>
      <c r="J242" s="39">
        <f>H242*F242</f>
        <v>3479.3563706810014</v>
      </c>
      <c r="K242" s="39">
        <f>I242*F242</f>
        <v>3492.542696301412</v>
      </c>
      <c r="L242" s="39">
        <f t="shared" si="240"/>
        <v>-13.186325620410571</v>
      </c>
      <c r="M242" s="41">
        <f t="shared" si="241"/>
        <v>85.316864468952545</v>
      </c>
      <c r="N242" s="41">
        <f>M242*F242</f>
        <v>3492.542696301412</v>
      </c>
      <c r="O242" s="41">
        <f t="shared" si="242"/>
        <v>13.186325620410571</v>
      </c>
      <c r="Q242" s="256">
        <f t="shared" si="243"/>
        <v>1.0037898749698437</v>
      </c>
    </row>
    <row r="243" spans="1:17">
      <c r="A243" s="36"/>
      <c r="B243" s="50" t="s">
        <v>334</v>
      </c>
      <c r="C243" s="57" t="s">
        <v>339</v>
      </c>
      <c r="D243" s="287">
        <v>4.0000000000000009</v>
      </c>
      <c r="E243" s="18">
        <v>1</v>
      </c>
      <c r="F243" s="52">
        <f t="shared" si="244"/>
        <v>4.0000000000000009</v>
      </c>
      <c r="G243" s="39">
        <f>H243*(References!$B$52)</f>
        <v>0.37206624569271285</v>
      </c>
      <c r="H243" s="260">
        <v>98.173752077113534</v>
      </c>
      <c r="I243" s="319">
        <f t="shared" si="239"/>
        <v>98.545818322806241</v>
      </c>
      <c r="J243" s="39">
        <f>H243*F243</f>
        <v>392.69500830845425</v>
      </c>
      <c r="K243" s="39">
        <f>I243*F243</f>
        <v>394.18327329122508</v>
      </c>
      <c r="L243" s="39">
        <f t="shared" si="240"/>
        <v>-1.4882649827708292</v>
      </c>
      <c r="M243" s="41">
        <f t="shared" si="241"/>
        <v>98.545818322806241</v>
      </c>
      <c r="N243" s="41">
        <f>M243*F243</f>
        <v>394.18327329122508</v>
      </c>
      <c r="O243" s="41">
        <f t="shared" si="242"/>
        <v>1.4882649827708292</v>
      </c>
      <c r="Q243" s="256">
        <f t="shared" si="243"/>
        <v>1.0037898749698437</v>
      </c>
    </row>
    <row r="244" spans="1:17">
      <c r="A244" s="36"/>
      <c r="B244" s="50" t="s">
        <v>334</v>
      </c>
      <c r="C244" s="57" t="s">
        <v>345</v>
      </c>
      <c r="D244" s="287">
        <v>0</v>
      </c>
      <c r="E244" s="18">
        <v>1</v>
      </c>
      <c r="F244" s="52">
        <f t="shared" si="244"/>
        <v>0</v>
      </c>
      <c r="G244" s="39">
        <f>H244*(References!$B$52)</f>
        <v>0.24717962456771905</v>
      </c>
      <c r="H244" s="260">
        <v>65.221049911812855</v>
      </c>
      <c r="I244" s="319">
        <f t="shared" si="239"/>
        <v>65.468229536380576</v>
      </c>
      <c r="J244" s="39">
        <f>H244*F244</f>
        <v>0</v>
      </c>
      <c r="K244" s="39">
        <f>I244*F244</f>
        <v>0</v>
      </c>
      <c r="L244" s="39">
        <f t="shared" si="240"/>
        <v>0</v>
      </c>
      <c r="M244" s="41">
        <f t="shared" si="241"/>
        <v>65.468229536380576</v>
      </c>
      <c r="N244" s="41">
        <f>M244*F244</f>
        <v>0</v>
      </c>
      <c r="O244" s="41">
        <f t="shared" si="242"/>
        <v>0</v>
      </c>
      <c r="Q244" s="256">
        <f t="shared" si="243"/>
        <v>1.003789874969844</v>
      </c>
    </row>
    <row r="245" spans="1:17">
      <c r="A245" s="36"/>
      <c r="B245" s="50" t="s">
        <v>334</v>
      </c>
      <c r="C245" s="57" t="s">
        <v>346</v>
      </c>
      <c r="D245" s="287">
        <v>42.205087440381568</v>
      </c>
      <c r="E245" s="18">
        <v>1</v>
      </c>
      <c r="F245" s="52">
        <f t="shared" si="244"/>
        <v>42.205087440381568</v>
      </c>
      <c r="G245" s="39">
        <f>H245*(References!$B$52)</f>
        <v>0.24717962456771905</v>
      </c>
      <c r="H245" s="260">
        <v>65.221049911812855</v>
      </c>
      <c r="I245" s="319">
        <f t="shared" si="239"/>
        <v>65.468229536380576</v>
      </c>
      <c r="J245" s="39">
        <f>H245*F245</f>
        <v>2752.6601144815522</v>
      </c>
      <c r="K245" s="39">
        <f>I245*F245</f>
        <v>2763.0923521499135</v>
      </c>
      <c r="L245" s="39">
        <f t="shared" si="240"/>
        <v>-10.432237668361267</v>
      </c>
      <c r="M245" s="41">
        <f t="shared" si="241"/>
        <v>65.468229536380576</v>
      </c>
      <c r="N245" s="41">
        <f>M245*F245</f>
        <v>2763.0923521499135</v>
      </c>
      <c r="O245" s="41">
        <f t="shared" si="242"/>
        <v>10.432237668361267</v>
      </c>
      <c r="Q245" s="256">
        <f t="shared" si="243"/>
        <v>1.003789874969844</v>
      </c>
    </row>
    <row r="246" spans="1:17">
      <c r="A246" s="36"/>
      <c r="B246" s="50" t="s">
        <v>334</v>
      </c>
      <c r="C246" s="57" t="s">
        <v>347</v>
      </c>
      <c r="D246" s="287">
        <v>53.000000000000007</v>
      </c>
      <c r="E246" s="18">
        <v>1</v>
      </c>
      <c r="F246" s="52">
        <f t="shared" si="244"/>
        <v>53.000000000000007</v>
      </c>
      <c r="G246" s="39">
        <f>H246*(References!$B$52)</f>
        <v>0.24717962456771905</v>
      </c>
      <c r="H246" s="260">
        <v>65.221049911812855</v>
      </c>
      <c r="I246" s="319">
        <f t="shared" si="239"/>
        <v>65.468229536380576</v>
      </c>
      <c r="J246" s="39">
        <f>H246*F246</f>
        <v>3456.7156453260818</v>
      </c>
      <c r="K246" s="39">
        <f>I246*F246</f>
        <v>3469.8161654281712</v>
      </c>
      <c r="L246" s="39">
        <f t="shared" si="240"/>
        <v>-13.100520102089376</v>
      </c>
      <c r="M246" s="41">
        <f t="shared" si="241"/>
        <v>65.468229536380576</v>
      </c>
      <c r="N246" s="41">
        <f>M246*F246</f>
        <v>3469.8161654281712</v>
      </c>
      <c r="O246" s="41">
        <f t="shared" si="242"/>
        <v>13.100520102089376</v>
      </c>
      <c r="Q246" s="256">
        <f t="shared" si="243"/>
        <v>1.003789874969844</v>
      </c>
    </row>
    <row r="247" spans="1:17">
      <c r="A247" s="36"/>
      <c r="B247" s="50" t="s">
        <v>334</v>
      </c>
      <c r="C247" s="57" t="s">
        <v>348</v>
      </c>
      <c r="D247" s="287">
        <v>77.832114467408587</v>
      </c>
      <c r="E247" s="18">
        <v>1</v>
      </c>
      <c r="F247" s="52">
        <f t="shared" si="244"/>
        <v>77.832114467408587</v>
      </c>
      <c r="G247" s="39">
        <f>H247*(References!$B$52)</f>
        <v>0.24717962456771905</v>
      </c>
      <c r="H247" s="260">
        <v>65.221049911812855</v>
      </c>
      <c r="I247" s="319">
        <f t="shared" si="239"/>
        <v>65.468229536380576</v>
      </c>
      <c r="J247" s="39">
        <f>H247*F247</f>
        <v>5076.2922224207869</v>
      </c>
      <c r="K247" s="39">
        <f>I247*F247</f>
        <v>5095.5307352541531</v>
      </c>
      <c r="L247" s="39">
        <f t="shared" si="240"/>
        <v>-19.238512833366258</v>
      </c>
      <c r="M247" s="41">
        <f t="shared" si="241"/>
        <v>65.468229536380576</v>
      </c>
      <c r="N247" s="41">
        <f>M247*F247</f>
        <v>5095.5307352541531</v>
      </c>
      <c r="O247" s="41">
        <f t="shared" si="242"/>
        <v>19.238512833366258</v>
      </c>
      <c r="Q247" s="256">
        <f t="shared" si="243"/>
        <v>1.003789874969844</v>
      </c>
    </row>
    <row r="248" spans="1:17">
      <c r="A248" s="36"/>
      <c r="B248" s="50" t="s">
        <v>334</v>
      </c>
      <c r="C248" s="57" t="s">
        <v>349</v>
      </c>
      <c r="D248" s="287">
        <v>0</v>
      </c>
      <c r="E248" s="18">
        <v>1</v>
      </c>
      <c r="F248" s="52">
        <f t="shared" si="244"/>
        <v>0</v>
      </c>
      <c r="G248" s="39">
        <f>H248*(References!$B$52)</f>
        <v>0.24717962456771905</v>
      </c>
      <c r="H248" s="260">
        <v>65.221049911812855</v>
      </c>
      <c r="I248" s="319">
        <f t="shared" si="239"/>
        <v>65.468229536380576</v>
      </c>
      <c r="J248" s="39">
        <f>H248*F248</f>
        <v>0</v>
      </c>
      <c r="K248" s="39">
        <f>I248*F248</f>
        <v>0</v>
      </c>
      <c r="L248" s="39">
        <f t="shared" si="240"/>
        <v>0</v>
      </c>
      <c r="M248" s="41">
        <f t="shared" si="241"/>
        <v>65.468229536380576</v>
      </c>
      <c r="N248" s="41">
        <f>M248*F248</f>
        <v>0</v>
      </c>
      <c r="O248" s="41">
        <f t="shared" si="242"/>
        <v>0</v>
      </c>
      <c r="Q248" s="256">
        <f t="shared" si="243"/>
        <v>1.003789874969844</v>
      </c>
    </row>
    <row r="249" spans="1:17">
      <c r="A249" s="36"/>
      <c r="B249" s="50" t="s">
        <v>334</v>
      </c>
      <c r="C249" s="57" t="s">
        <v>350</v>
      </c>
      <c r="D249" s="287">
        <v>0</v>
      </c>
      <c r="E249" s="18">
        <v>1</v>
      </c>
      <c r="F249" s="52">
        <f t="shared" si="244"/>
        <v>0</v>
      </c>
      <c r="G249" s="39">
        <f>H249*(References!$B$52)</f>
        <v>0.83479121855199612</v>
      </c>
      <c r="H249" s="260">
        <v>220.26880179278862</v>
      </c>
      <c r="I249" s="319">
        <f t="shared" ref="I249:I263" si="245">G249+H249</f>
        <v>221.10359301134062</v>
      </c>
      <c r="J249" s="39">
        <f>H249*F249</f>
        <v>0</v>
      </c>
      <c r="K249" s="39">
        <f>I249*F249</f>
        <v>0</v>
      </c>
      <c r="L249" s="39">
        <f t="shared" ref="L249:L263" si="246">J249-K249</f>
        <v>0</v>
      </c>
      <c r="M249" s="41">
        <f t="shared" ref="M249:M263" si="247">I249</f>
        <v>221.10359301134062</v>
      </c>
      <c r="N249" s="41">
        <f>M249*F249</f>
        <v>0</v>
      </c>
      <c r="O249" s="41">
        <f t="shared" ref="O249:O263" si="248">N249-J249</f>
        <v>0</v>
      </c>
      <c r="Q249" s="256">
        <f t="shared" ref="Q249:Q263" si="249">M249/H249</f>
        <v>1.003789874969844</v>
      </c>
    </row>
    <row r="250" spans="1:17">
      <c r="A250" s="36"/>
      <c r="B250" s="50" t="s">
        <v>334</v>
      </c>
      <c r="C250" s="57" t="s">
        <v>351</v>
      </c>
      <c r="D250" s="287">
        <v>59</v>
      </c>
      <c r="E250" s="18">
        <v>1</v>
      </c>
      <c r="F250" s="52">
        <f t="shared" si="244"/>
        <v>59</v>
      </c>
      <c r="G250" s="39">
        <f>H250*(References!$B$52)</f>
        <v>0.83479121855199612</v>
      </c>
      <c r="H250" s="260">
        <v>220.26880179278862</v>
      </c>
      <c r="I250" s="319">
        <f t="shared" si="245"/>
        <v>221.10359301134062</v>
      </c>
      <c r="J250" s="39">
        <f>H250*F250</f>
        <v>12995.859305774529</v>
      </c>
      <c r="K250" s="39">
        <f>I250*F250</f>
        <v>13045.111987669097</v>
      </c>
      <c r="L250" s="39">
        <f t="shared" si="246"/>
        <v>-49.252681894568013</v>
      </c>
      <c r="M250" s="41">
        <f t="shared" si="247"/>
        <v>221.10359301134062</v>
      </c>
      <c r="N250" s="41">
        <f>M250*F250</f>
        <v>13045.111987669097</v>
      </c>
      <c r="O250" s="41">
        <f t="shared" si="248"/>
        <v>49.252681894568013</v>
      </c>
      <c r="Q250" s="256">
        <f t="shared" si="249"/>
        <v>1.003789874969844</v>
      </c>
    </row>
    <row r="251" spans="1:17">
      <c r="A251" s="36"/>
      <c r="B251" s="50" t="s">
        <v>334</v>
      </c>
      <c r="C251" s="57" t="s">
        <v>352</v>
      </c>
      <c r="D251" s="287">
        <v>30</v>
      </c>
      <c r="E251" s="18">
        <v>1</v>
      </c>
      <c r="F251" s="52">
        <f t="shared" si="244"/>
        <v>30</v>
      </c>
      <c r="G251" s="39">
        <f>H251*(References!$B$52)</f>
        <v>0.83479121855199612</v>
      </c>
      <c r="H251" s="260">
        <v>220.26880179278862</v>
      </c>
      <c r="I251" s="319">
        <f t="shared" si="245"/>
        <v>221.10359301134062</v>
      </c>
      <c r="J251" s="39">
        <f>H251*F251</f>
        <v>6608.0640537836589</v>
      </c>
      <c r="K251" s="39">
        <f>I251*F251</f>
        <v>6633.1077903402183</v>
      </c>
      <c r="L251" s="39">
        <f t="shared" si="246"/>
        <v>-25.043736556559452</v>
      </c>
      <c r="M251" s="41">
        <f t="shared" si="247"/>
        <v>221.10359301134062</v>
      </c>
      <c r="N251" s="41">
        <f>M251*F251</f>
        <v>6633.1077903402183</v>
      </c>
      <c r="O251" s="41">
        <f t="shared" si="248"/>
        <v>25.043736556559452</v>
      </c>
      <c r="Q251" s="256">
        <f t="shared" si="249"/>
        <v>1.003789874969844</v>
      </c>
    </row>
    <row r="252" spans="1:17">
      <c r="A252" s="36"/>
      <c r="B252" s="50" t="s">
        <v>334</v>
      </c>
      <c r="C252" s="57" t="s">
        <v>353</v>
      </c>
      <c r="D252" s="287">
        <v>154</v>
      </c>
      <c r="E252" s="18">
        <v>1</v>
      </c>
      <c r="F252" s="52">
        <f t="shared" si="244"/>
        <v>154</v>
      </c>
      <c r="G252" s="39">
        <f>H252*(References!$B$52)</f>
        <v>0.83479121855199612</v>
      </c>
      <c r="H252" s="260">
        <v>220.26880179278862</v>
      </c>
      <c r="I252" s="319">
        <f t="shared" si="245"/>
        <v>221.10359301134062</v>
      </c>
      <c r="J252" s="39">
        <f>H252*F252</f>
        <v>33921.395476089448</v>
      </c>
      <c r="K252" s="39">
        <f>I252*F252</f>
        <v>34049.953323746457</v>
      </c>
      <c r="L252" s="39">
        <f t="shared" si="246"/>
        <v>-128.5578476570081</v>
      </c>
      <c r="M252" s="41">
        <f t="shared" si="247"/>
        <v>221.10359301134062</v>
      </c>
      <c r="N252" s="41">
        <f>M252*F252</f>
        <v>34049.953323746457</v>
      </c>
      <c r="O252" s="41">
        <f t="shared" si="248"/>
        <v>128.5578476570081</v>
      </c>
      <c r="Q252" s="256">
        <f t="shared" si="249"/>
        <v>1.003789874969844</v>
      </c>
    </row>
    <row r="253" spans="1:17">
      <c r="A253" s="36"/>
      <c r="B253" s="50" t="s">
        <v>334</v>
      </c>
      <c r="C253" s="57" t="s">
        <v>354</v>
      </c>
      <c r="D253" s="287">
        <v>0</v>
      </c>
      <c r="E253" s="18">
        <v>1</v>
      </c>
      <c r="F253" s="52">
        <f t="shared" si="244"/>
        <v>0</v>
      </c>
      <c r="G253" s="39">
        <f>H253*(References!$B$52)</f>
        <v>0.83479121855199612</v>
      </c>
      <c r="H253" s="260">
        <v>220.26880179278862</v>
      </c>
      <c r="I253" s="319">
        <f t="shared" si="245"/>
        <v>221.10359301134062</v>
      </c>
      <c r="J253" s="39">
        <f>H253*F253</f>
        <v>0</v>
      </c>
      <c r="K253" s="39">
        <f>I253*F253</f>
        <v>0</v>
      </c>
      <c r="L253" s="39">
        <f t="shared" si="246"/>
        <v>0</v>
      </c>
      <c r="M253" s="41">
        <f t="shared" si="247"/>
        <v>221.10359301134062</v>
      </c>
      <c r="N253" s="41">
        <f>M253*F253</f>
        <v>0</v>
      </c>
      <c r="O253" s="41">
        <f t="shared" si="248"/>
        <v>0</v>
      </c>
      <c r="Q253" s="256">
        <f t="shared" si="249"/>
        <v>1.003789874969844</v>
      </c>
    </row>
    <row r="254" spans="1:17">
      <c r="A254" s="36"/>
      <c r="B254" s="50" t="s">
        <v>334</v>
      </c>
      <c r="C254" s="57" t="s">
        <v>355</v>
      </c>
      <c r="D254" s="287">
        <v>0</v>
      </c>
      <c r="E254" s="18">
        <v>1</v>
      </c>
      <c r="F254" s="52">
        <f t="shared" si="244"/>
        <v>0</v>
      </c>
      <c r="G254" s="39">
        <f>H254*(References!$B$52)</f>
        <v>7.1913944826538295E-3</v>
      </c>
      <c r="H254" s="260">
        <v>1.8975281611862882</v>
      </c>
      <c r="I254" s="319">
        <f t="shared" si="245"/>
        <v>1.904719555668942</v>
      </c>
      <c r="J254" s="39">
        <f>H254*F254</f>
        <v>0</v>
      </c>
      <c r="K254" s="39">
        <f>I254*F254</f>
        <v>0</v>
      </c>
      <c r="L254" s="39">
        <f t="shared" si="246"/>
        <v>0</v>
      </c>
      <c r="M254" s="41">
        <f t="shared" si="247"/>
        <v>1.904719555668942</v>
      </c>
      <c r="N254" s="41">
        <f>M254*F254</f>
        <v>0</v>
      </c>
      <c r="O254" s="41">
        <f t="shared" si="248"/>
        <v>0</v>
      </c>
      <c r="Q254" s="256">
        <f t="shared" si="249"/>
        <v>1.003789874969844</v>
      </c>
    </row>
    <row r="255" spans="1:17">
      <c r="A255" s="36"/>
      <c r="B255" s="50" t="s">
        <v>334</v>
      </c>
      <c r="C255" s="57" t="s">
        <v>356</v>
      </c>
      <c r="D255" s="287">
        <v>0</v>
      </c>
      <c r="E255" s="18">
        <v>1</v>
      </c>
      <c r="F255" s="52">
        <f t="shared" si="244"/>
        <v>0</v>
      </c>
      <c r="G255" s="39">
        <f>H255*(References!$B$52)</f>
        <v>7.7415558091956512E-3</v>
      </c>
      <c r="H255" s="260">
        <v>2.0426942500202117</v>
      </c>
      <c r="I255" s="319">
        <f t="shared" si="245"/>
        <v>2.0504358058294074</v>
      </c>
      <c r="J255" s="39">
        <f>H255*F255</f>
        <v>0</v>
      </c>
      <c r="K255" s="39">
        <f>I255*F255</f>
        <v>0</v>
      </c>
      <c r="L255" s="39">
        <f t="shared" si="246"/>
        <v>0</v>
      </c>
      <c r="M255" s="41">
        <f t="shared" si="247"/>
        <v>2.0504358058294074</v>
      </c>
      <c r="N255" s="41">
        <f>M255*F255</f>
        <v>0</v>
      </c>
      <c r="O255" s="41">
        <f t="shared" si="248"/>
        <v>0</v>
      </c>
      <c r="Q255" s="256">
        <f t="shared" si="249"/>
        <v>1.003789874969844</v>
      </c>
    </row>
    <row r="256" spans="1:17">
      <c r="A256" s="36"/>
      <c r="B256" s="50" t="s">
        <v>334</v>
      </c>
      <c r="C256" s="57" t="s">
        <v>357</v>
      </c>
      <c r="D256" s="287">
        <v>0</v>
      </c>
      <c r="E256" s="18">
        <v>1</v>
      </c>
      <c r="F256" s="52">
        <f t="shared" si="244"/>
        <v>0</v>
      </c>
      <c r="G256" s="39">
        <f>H256*(References!$B$52)</f>
        <v>8.6060950366185166E-3</v>
      </c>
      <c r="H256" s="260">
        <v>2.2708123896163777</v>
      </c>
      <c r="I256" s="319">
        <f t="shared" si="245"/>
        <v>2.2794184846529961</v>
      </c>
      <c r="J256" s="39">
        <f>H256*F256</f>
        <v>0</v>
      </c>
      <c r="K256" s="39">
        <f>I256*F256</f>
        <v>0</v>
      </c>
      <c r="L256" s="39">
        <f t="shared" si="246"/>
        <v>0</v>
      </c>
      <c r="M256" s="41">
        <f t="shared" si="247"/>
        <v>2.2794184846529961</v>
      </c>
      <c r="N256" s="41">
        <f>M256*F256</f>
        <v>0</v>
      </c>
      <c r="O256" s="41">
        <f t="shared" si="248"/>
        <v>0</v>
      </c>
      <c r="Q256" s="256">
        <f t="shared" si="249"/>
        <v>1.003789874969844</v>
      </c>
    </row>
    <row r="257" spans="1:17">
      <c r="A257" s="36"/>
      <c r="B257" s="50" t="s">
        <v>334</v>
      </c>
      <c r="C257" s="57" t="s">
        <v>358</v>
      </c>
      <c r="D257" s="287">
        <v>0</v>
      </c>
      <c r="E257" s="18">
        <v>1</v>
      </c>
      <c r="F257" s="52">
        <f t="shared" si="244"/>
        <v>0</v>
      </c>
      <c r="G257" s="39">
        <f>H257*(References!$B$52)</f>
        <v>9.1562563631603384E-3</v>
      </c>
      <c r="H257" s="260">
        <v>2.4159784784503011</v>
      </c>
      <c r="I257" s="319">
        <f t="shared" si="245"/>
        <v>2.4251347348134615</v>
      </c>
      <c r="J257" s="39">
        <f>H257*F257</f>
        <v>0</v>
      </c>
      <c r="K257" s="39">
        <f>I257*F257</f>
        <v>0</v>
      </c>
      <c r="L257" s="39">
        <f t="shared" si="246"/>
        <v>0</v>
      </c>
      <c r="M257" s="41">
        <f t="shared" si="247"/>
        <v>2.4251347348134615</v>
      </c>
      <c r="N257" s="41">
        <f>M257*F257</f>
        <v>0</v>
      </c>
      <c r="O257" s="41">
        <f t="shared" si="248"/>
        <v>0</v>
      </c>
      <c r="Q257" s="256">
        <f t="shared" si="249"/>
        <v>1.003789874969844</v>
      </c>
    </row>
    <row r="258" spans="1:17">
      <c r="A258" s="36"/>
      <c r="B258" s="50" t="s">
        <v>334</v>
      </c>
      <c r="C258" s="57" t="s">
        <v>359</v>
      </c>
      <c r="D258" s="287">
        <v>0</v>
      </c>
      <c r="E258" s="18">
        <v>1</v>
      </c>
      <c r="F258" s="52">
        <f t="shared" si="244"/>
        <v>0</v>
      </c>
      <c r="G258" s="39">
        <f>H258*(References!$B$52)</f>
        <v>1.0020795590583203E-2</v>
      </c>
      <c r="H258" s="260">
        <v>2.6440966180464667</v>
      </c>
      <c r="I258" s="319">
        <f t="shared" si="245"/>
        <v>2.6541174136370498</v>
      </c>
      <c r="J258" s="39">
        <f>H258*F258</f>
        <v>0</v>
      </c>
      <c r="K258" s="39">
        <f>I258*F258</f>
        <v>0</v>
      </c>
      <c r="L258" s="39">
        <f t="shared" si="246"/>
        <v>0</v>
      </c>
      <c r="M258" s="41">
        <f t="shared" si="247"/>
        <v>2.6541174136370498</v>
      </c>
      <c r="N258" s="41">
        <f>M258*F258</f>
        <v>0</v>
      </c>
      <c r="O258" s="41">
        <f t="shared" si="248"/>
        <v>0</v>
      </c>
      <c r="Q258" s="256">
        <f t="shared" si="249"/>
        <v>1.003789874969844</v>
      </c>
    </row>
    <row r="259" spans="1:17">
      <c r="A259" s="36"/>
      <c r="B259" s="50" t="s">
        <v>334</v>
      </c>
      <c r="C259" s="57" t="s">
        <v>306</v>
      </c>
      <c r="D259" s="287">
        <v>0</v>
      </c>
      <c r="E259" s="18">
        <v>1</v>
      </c>
      <c r="F259" s="52">
        <f t="shared" si="244"/>
        <v>0</v>
      </c>
      <c r="G259" s="39">
        <f>H259*(References!$B$52)</f>
        <v>2.7822444227972191E-2</v>
      </c>
      <c r="H259" s="260">
        <v>7.3412564924584265</v>
      </c>
      <c r="I259" s="319">
        <f t="shared" si="245"/>
        <v>7.3690789366863987</v>
      </c>
      <c r="J259" s="39">
        <f>H259*F259</f>
        <v>0</v>
      </c>
      <c r="K259" s="39">
        <f>I259*F259</f>
        <v>0</v>
      </c>
      <c r="L259" s="39">
        <f t="shared" si="246"/>
        <v>0</v>
      </c>
      <c r="M259" s="41">
        <f t="shared" si="247"/>
        <v>7.3690789366863987</v>
      </c>
      <c r="N259" s="41">
        <f>M259*F259</f>
        <v>0</v>
      </c>
      <c r="O259" s="41">
        <f t="shared" si="248"/>
        <v>0</v>
      </c>
      <c r="Q259" s="256">
        <f t="shared" si="249"/>
        <v>1.003789874969844</v>
      </c>
    </row>
    <row r="260" spans="1:17">
      <c r="A260" s="36"/>
      <c r="B260" s="50" t="s">
        <v>334</v>
      </c>
      <c r="C260" s="57" t="s">
        <v>360</v>
      </c>
      <c r="D260" s="287">
        <v>0</v>
      </c>
      <c r="E260" s="18">
        <v>1</v>
      </c>
      <c r="F260" s="52">
        <f t="shared" si="244"/>
        <v>0</v>
      </c>
      <c r="G260" s="39">
        <f>H260*(References!$B$52)</f>
        <v>5.58020774063849E-3</v>
      </c>
      <c r="H260" s="260">
        <v>1.4723989010297973</v>
      </c>
      <c r="I260" s="319">
        <f t="shared" si="245"/>
        <v>1.4779791087704357</v>
      </c>
      <c r="J260" s="39">
        <f>H260*F260</f>
        <v>0</v>
      </c>
      <c r="K260" s="39">
        <f>I260*F260</f>
        <v>0</v>
      </c>
      <c r="L260" s="39">
        <f t="shared" si="246"/>
        <v>0</v>
      </c>
      <c r="M260" s="41">
        <f t="shared" si="247"/>
        <v>1.4779791087704357</v>
      </c>
      <c r="N260" s="41">
        <f>M260*F260</f>
        <v>0</v>
      </c>
      <c r="O260" s="41">
        <f t="shared" si="248"/>
        <v>0</v>
      </c>
      <c r="Q260" s="256">
        <f t="shared" si="249"/>
        <v>1.0037898749698437</v>
      </c>
    </row>
    <row r="261" spans="1:17">
      <c r="A261" s="36"/>
      <c r="B261" s="50" t="s">
        <v>334</v>
      </c>
      <c r="C261" s="57" t="s">
        <v>361</v>
      </c>
      <c r="D261" s="287">
        <v>0</v>
      </c>
      <c r="E261" s="18">
        <v>1</v>
      </c>
      <c r="F261" s="52">
        <f t="shared" si="244"/>
        <v>0</v>
      </c>
      <c r="G261" s="39">
        <f>H261*(References!$B$52)</f>
        <v>1.108182100605672E-2</v>
      </c>
      <c r="H261" s="260">
        <v>2.9240597893690339</v>
      </c>
      <c r="I261" s="319">
        <f t="shared" si="245"/>
        <v>2.9351416103750907</v>
      </c>
      <c r="J261" s="39">
        <f>H261*F261</f>
        <v>0</v>
      </c>
      <c r="K261" s="39">
        <f>I261*F261</f>
        <v>0</v>
      </c>
      <c r="L261" s="39">
        <f t="shared" si="246"/>
        <v>0</v>
      </c>
      <c r="M261" s="41">
        <f t="shared" si="247"/>
        <v>2.9351416103750907</v>
      </c>
      <c r="N261" s="41">
        <f>M261*F261</f>
        <v>0</v>
      </c>
      <c r="O261" s="41">
        <f t="shared" si="248"/>
        <v>0</v>
      </c>
      <c r="Q261" s="256">
        <f t="shared" si="249"/>
        <v>1.003789874969844</v>
      </c>
    </row>
    <row r="262" spans="1:17">
      <c r="A262" s="36"/>
      <c r="B262" s="50" t="s">
        <v>334</v>
      </c>
      <c r="C262" s="57" t="s">
        <v>362</v>
      </c>
      <c r="D262" s="287">
        <v>0</v>
      </c>
      <c r="E262" s="18">
        <v>1</v>
      </c>
      <c r="F262" s="52">
        <f t="shared" si="244"/>
        <v>0</v>
      </c>
      <c r="G262" s="39">
        <f>H262*(References!$B$52)</f>
        <v>0.4174152578948031</v>
      </c>
      <c r="H262" s="260">
        <v>110.13958539956695</v>
      </c>
      <c r="I262" s="319">
        <f t="shared" si="245"/>
        <v>110.55700065746176</v>
      </c>
      <c r="J262" s="39">
        <f>H262*F262</f>
        <v>0</v>
      </c>
      <c r="K262" s="39">
        <f>I262*F262</f>
        <v>0</v>
      </c>
      <c r="L262" s="39">
        <f t="shared" si="246"/>
        <v>0</v>
      </c>
      <c r="M262" s="41">
        <f t="shared" si="247"/>
        <v>110.55700065746176</v>
      </c>
      <c r="N262" s="41">
        <f>M262*F262</f>
        <v>0</v>
      </c>
      <c r="O262" s="41">
        <f t="shared" si="248"/>
        <v>0</v>
      </c>
      <c r="Q262" s="256">
        <f t="shared" si="249"/>
        <v>1.003789874969844</v>
      </c>
    </row>
    <row r="263" spans="1:17">
      <c r="A263" s="36"/>
      <c r="B263" s="50" t="s">
        <v>363</v>
      </c>
      <c r="C263" s="57" t="s">
        <v>364</v>
      </c>
      <c r="D263" s="287">
        <v>0</v>
      </c>
      <c r="E263" s="18">
        <v>1</v>
      </c>
      <c r="F263" s="52">
        <f t="shared" si="244"/>
        <v>0</v>
      </c>
      <c r="G263" s="39">
        <f>H263*(References!$B$52)</f>
        <v>1.0784733889724134</v>
      </c>
      <c r="H263" s="260">
        <v>284.56701013987151</v>
      </c>
      <c r="I263" s="319">
        <f t="shared" si="245"/>
        <v>285.64548352884395</v>
      </c>
      <c r="J263" s="39">
        <f>H263*F263</f>
        <v>0</v>
      </c>
      <c r="K263" s="39">
        <f>I263*F263</f>
        <v>0</v>
      </c>
      <c r="L263" s="39">
        <f t="shared" si="246"/>
        <v>0</v>
      </c>
      <c r="M263" s="41">
        <f t="shared" si="247"/>
        <v>285.64548352884395</v>
      </c>
      <c r="N263" s="41">
        <f>M263*F263</f>
        <v>0</v>
      </c>
      <c r="O263" s="41">
        <f t="shared" si="248"/>
        <v>0</v>
      </c>
      <c r="Q263" s="256">
        <f t="shared" si="249"/>
        <v>1.003789874969844</v>
      </c>
    </row>
    <row r="264" spans="1:17">
      <c r="A264" s="36"/>
      <c r="B264" s="50" t="s">
        <v>363</v>
      </c>
      <c r="C264" s="57" t="s">
        <v>365</v>
      </c>
      <c r="D264" s="287">
        <v>0</v>
      </c>
      <c r="E264" s="18">
        <v>1</v>
      </c>
      <c r="F264" s="52">
        <f t="shared" si="244"/>
        <v>0</v>
      </c>
      <c r="G264" s="39">
        <f>H264*(References!$B$52)</f>
        <v>1.0784733889724134</v>
      </c>
      <c r="H264" s="260">
        <v>284.56701013987151</v>
      </c>
      <c r="I264" s="319">
        <f t="shared" ref="I264:I269" si="250">G264+H264</f>
        <v>285.64548352884395</v>
      </c>
      <c r="J264" s="39">
        <f>H264*F264</f>
        <v>0</v>
      </c>
      <c r="K264" s="39">
        <f>I264*F264</f>
        <v>0</v>
      </c>
      <c r="L264" s="39">
        <f t="shared" ref="L264:L269" si="251">J264-K264</f>
        <v>0</v>
      </c>
      <c r="M264" s="41">
        <f t="shared" ref="M264:M269" si="252">I264</f>
        <v>285.64548352884395</v>
      </c>
      <c r="N264" s="41">
        <f>M264*F264</f>
        <v>0</v>
      </c>
      <c r="O264" s="41">
        <f t="shared" ref="O264:O269" si="253">N264-J264</f>
        <v>0</v>
      </c>
      <c r="Q264" s="256">
        <f t="shared" ref="Q264:Q269" si="254">M264/H264</f>
        <v>1.003789874969844</v>
      </c>
    </row>
    <row r="265" spans="1:17">
      <c r="A265" s="36"/>
      <c r="B265" s="50" t="s">
        <v>363</v>
      </c>
      <c r="C265" s="57" t="s">
        <v>366</v>
      </c>
      <c r="D265" s="287">
        <v>0</v>
      </c>
      <c r="E265" s="18">
        <v>1</v>
      </c>
      <c r="F265" s="52">
        <f t="shared" si="244"/>
        <v>0</v>
      </c>
      <c r="G265" s="39">
        <f>H265*(References!$B$52)</f>
        <v>1.0784733889724134</v>
      </c>
      <c r="H265" s="260">
        <v>284.56701013987151</v>
      </c>
      <c r="I265" s="319">
        <f t="shared" si="250"/>
        <v>285.64548352884395</v>
      </c>
      <c r="J265" s="39">
        <f>H265*F265</f>
        <v>0</v>
      </c>
      <c r="K265" s="39">
        <f>I265*F265</f>
        <v>0</v>
      </c>
      <c r="L265" s="39">
        <f t="shared" si="251"/>
        <v>0</v>
      </c>
      <c r="M265" s="41">
        <f t="shared" si="252"/>
        <v>285.64548352884395</v>
      </c>
      <c r="N265" s="41">
        <f>M265*F265</f>
        <v>0</v>
      </c>
      <c r="O265" s="41">
        <f t="shared" si="253"/>
        <v>0</v>
      </c>
      <c r="Q265" s="256">
        <f t="shared" si="254"/>
        <v>1.003789874969844</v>
      </c>
    </row>
    <row r="266" spans="1:17">
      <c r="A266" s="36"/>
      <c r="B266" s="50" t="s">
        <v>363</v>
      </c>
      <c r="C266" s="57" t="s">
        <v>367</v>
      </c>
      <c r="D266" s="287">
        <v>0</v>
      </c>
      <c r="E266" s="18">
        <v>1</v>
      </c>
      <c r="F266" s="52">
        <f t="shared" si="244"/>
        <v>0</v>
      </c>
      <c r="G266" s="39">
        <f>H266*(References!$B$52)</f>
        <v>1.0784733889724134</v>
      </c>
      <c r="H266" s="260">
        <v>284.56701013987151</v>
      </c>
      <c r="I266" s="319">
        <f t="shared" si="250"/>
        <v>285.64548352884395</v>
      </c>
      <c r="J266" s="39">
        <f>H266*F266</f>
        <v>0</v>
      </c>
      <c r="K266" s="39">
        <f>I266*F266</f>
        <v>0</v>
      </c>
      <c r="L266" s="39">
        <f t="shared" si="251"/>
        <v>0</v>
      </c>
      <c r="M266" s="41">
        <f t="shared" si="252"/>
        <v>285.64548352884395</v>
      </c>
      <c r="N266" s="41">
        <f>M266*F266</f>
        <v>0</v>
      </c>
      <c r="O266" s="41">
        <f t="shared" si="253"/>
        <v>0</v>
      </c>
      <c r="Q266" s="256">
        <f t="shared" si="254"/>
        <v>1.003789874969844</v>
      </c>
    </row>
    <row r="267" spans="1:17">
      <c r="A267" s="36"/>
      <c r="B267" s="50" t="s">
        <v>363</v>
      </c>
      <c r="C267" s="57" t="s">
        <v>368</v>
      </c>
      <c r="D267" s="287">
        <v>0</v>
      </c>
      <c r="E267" s="18">
        <v>1</v>
      </c>
      <c r="F267" s="52">
        <f t="shared" si="244"/>
        <v>0</v>
      </c>
      <c r="G267" s="39">
        <f>H267*(References!$B$52)</f>
        <v>1.0784733889724134</v>
      </c>
      <c r="H267" s="260">
        <v>284.56701013987151</v>
      </c>
      <c r="I267" s="319">
        <f t="shared" si="250"/>
        <v>285.64548352884395</v>
      </c>
      <c r="J267" s="39">
        <f>H267*F267</f>
        <v>0</v>
      </c>
      <c r="K267" s="39">
        <f>I267*F267</f>
        <v>0</v>
      </c>
      <c r="L267" s="39">
        <f t="shared" si="251"/>
        <v>0</v>
      </c>
      <c r="M267" s="41">
        <f t="shared" si="252"/>
        <v>285.64548352884395</v>
      </c>
      <c r="N267" s="41">
        <f>M267*F267</f>
        <v>0</v>
      </c>
      <c r="O267" s="41">
        <f t="shared" si="253"/>
        <v>0</v>
      </c>
      <c r="Q267" s="256">
        <f t="shared" si="254"/>
        <v>1.003789874969844</v>
      </c>
    </row>
    <row r="268" spans="1:17">
      <c r="A268" s="36"/>
      <c r="B268" s="50" t="s">
        <v>363</v>
      </c>
      <c r="C268" s="57" t="s">
        <v>369</v>
      </c>
      <c r="D268" s="287">
        <v>0</v>
      </c>
      <c r="E268" s="18">
        <v>1</v>
      </c>
      <c r="F268" s="52">
        <f t="shared" si="244"/>
        <v>0</v>
      </c>
      <c r="G268" s="39">
        <f>H268*(References!$B$52)</f>
        <v>1.0784733889724134</v>
      </c>
      <c r="H268" s="260">
        <v>284.56701013987151</v>
      </c>
      <c r="I268" s="319">
        <f t="shared" si="250"/>
        <v>285.64548352884395</v>
      </c>
      <c r="J268" s="39">
        <f>H268*F268</f>
        <v>0</v>
      </c>
      <c r="K268" s="39">
        <f>I268*F268</f>
        <v>0</v>
      </c>
      <c r="L268" s="39">
        <f t="shared" si="251"/>
        <v>0</v>
      </c>
      <c r="M268" s="41">
        <f t="shared" si="252"/>
        <v>285.64548352884395</v>
      </c>
      <c r="N268" s="41">
        <f>M268*F268</f>
        <v>0</v>
      </c>
      <c r="O268" s="41">
        <f t="shared" si="253"/>
        <v>0</v>
      </c>
      <c r="Q268" s="256">
        <f t="shared" si="254"/>
        <v>1.003789874969844</v>
      </c>
    </row>
    <row r="269" spans="1:17">
      <c r="A269" s="36"/>
      <c r="B269" s="50" t="s">
        <v>363</v>
      </c>
      <c r="C269" s="57" t="s">
        <v>370</v>
      </c>
      <c r="D269" s="287">
        <v>0</v>
      </c>
      <c r="E269" s="18">
        <v>1</v>
      </c>
      <c r="F269" s="52">
        <f t="shared" si="244"/>
        <v>0</v>
      </c>
      <c r="G269" s="39">
        <f>H269*(References!$B$52)</f>
        <v>1.0784733889724134</v>
      </c>
      <c r="H269" s="260">
        <v>284.56701013987151</v>
      </c>
      <c r="I269" s="319">
        <f t="shared" si="250"/>
        <v>285.64548352884395</v>
      </c>
      <c r="J269" s="39">
        <f>H269*F269</f>
        <v>0</v>
      </c>
      <c r="K269" s="39">
        <f>I269*F269</f>
        <v>0</v>
      </c>
      <c r="L269" s="39">
        <f t="shared" si="251"/>
        <v>0</v>
      </c>
      <c r="M269" s="41">
        <f t="shared" si="252"/>
        <v>285.64548352884395</v>
      </c>
      <c r="N269" s="41">
        <f>M269*F269</f>
        <v>0</v>
      </c>
      <c r="O269" s="41">
        <f t="shared" si="253"/>
        <v>0</v>
      </c>
      <c r="Q269" s="256">
        <f t="shared" si="254"/>
        <v>1.003789874969844</v>
      </c>
    </row>
    <row r="270" spans="1:17">
      <c r="A270" s="36"/>
      <c r="B270" s="50" t="s">
        <v>363</v>
      </c>
      <c r="C270" s="57" t="s">
        <v>371</v>
      </c>
      <c r="D270" s="287">
        <v>28402.32499999999</v>
      </c>
      <c r="E270" s="18">
        <v>1</v>
      </c>
      <c r="F270" s="52">
        <f t="shared" si="244"/>
        <v>28402.32499999999</v>
      </c>
      <c r="G270" s="39">
        <f>H270*(References!$B$52)</f>
        <v>1.5718895044052085E-2</v>
      </c>
      <c r="H270" s="260">
        <v>4.1476025381121051</v>
      </c>
      <c r="I270" s="319">
        <f t="shared" ref="I270:I274" si="255">G270+H270</f>
        <v>4.163321433156157</v>
      </c>
      <c r="J270" s="39">
        <f>H270*F270</f>
        <v>117801.55525828485</v>
      </c>
      <c r="K270" s="39">
        <f>I270*F270</f>
        <v>118248.00842396691</v>
      </c>
      <c r="L270" s="39">
        <f t="shared" ref="L270:L274" si="256">J270-K270</f>
        <v>-446.45316568206181</v>
      </c>
      <c r="M270" s="41">
        <f t="shared" ref="M270:M274" si="257">I270</f>
        <v>4.163321433156157</v>
      </c>
      <c r="N270" s="41">
        <f>M270*F270</f>
        <v>118248.00842396691</v>
      </c>
      <c r="O270" s="41">
        <f t="shared" ref="O270:O274" si="258">N270-J270</f>
        <v>446.45316568206181</v>
      </c>
      <c r="Q270" s="256">
        <f t="shared" ref="Q270:Q274" si="259">M270/H270</f>
        <v>1.003789874969844</v>
      </c>
    </row>
    <row r="271" spans="1:17">
      <c r="A271" s="36"/>
      <c r="B271" s="50" t="s">
        <v>363</v>
      </c>
      <c r="C271" s="57" t="s">
        <v>306</v>
      </c>
      <c r="D271" s="64">
        <v>0</v>
      </c>
      <c r="E271" s="18">
        <v>1</v>
      </c>
      <c r="F271" s="52">
        <f t="shared" si="244"/>
        <v>0</v>
      </c>
      <c r="G271" s="39">
        <f>H271*(References!$B$52)</f>
        <v>2.7822444227972191E-2</v>
      </c>
      <c r="H271" s="260">
        <v>7.3412564924584265</v>
      </c>
      <c r="I271" s="319">
        <f t="shared" si="255"/>
        <v>7.3690789366863987</v>
      </c>
      <c r="J271" s="39">
        <f>H271*F271</f>
        <v>0</v>
      </c>
      <c r="K271" s="39">
        <f>I271*F271</f>
        <v>0</v>
      </c>
      <c r="L271" s="39">
        <f t="shared" si="256"/>
        <v>0</v>
      </c>
      <c r="M271" s="41">
        <f t="shared" si="257"/>
        <v>7.3690789366863987</v>
      </c>
      <c r="N271" s="41">
        <f>M271*F271</f>
        <v>0</v>
      </c>
      <c r="O271" s="41">
        <f t="shared" si="258"/>
        <v>0</v>
      </c>
      <c r="Q271" s="256">
        <f t="shared" si="259"/>
        <v>1.003789874969844</v>
      </c>
    </row>
    <row r="272" spans="1:17">
      <c r="A272" s="36"/>
      <c r="B272" s="50" t="s">
        <v>363</v>
      </c>
      <c r="C272" s="57" t="s">
        <v>360</v>
      </c>
      <c r="D272" s="64">
        <v>0</v>
      </c>
      <c r="E272" s="18">
        <v>1</v>
      </c>
      <c r="F272" s="52">
        <f t="shared" si="244"/>
        <v>0</v>
      </c>
      <c r="G272" s="39">
        <f>H272*(References!$B$52)</f>
        <v>5.58020774063849E-3</v>
      </c>
      <c r="H272" s="260">
        <v>1.4723989010297973</v>
      </c>
      <c r="I272" s="319">
        <f t="shared" si="255"/>
        <v>1.4779791087704357</v>
      </c>
      <c r="J272" s="39">
        <f>H272*F272</f>
        <v>0</v>
      </c>
      <c r="K272" s="39">
        <f>I272*F272</f>
        <v>0</v>
      </c>
      <c r="L272" s="39">
        <f t="shared" si="256"/>
        <v>0</v>
      </c>
      <c r="M272" s="41">
        <f t="shared" si="257"/>
        <v>1.4779791087704357</v>
      </c>
      <c r="N272" s="41">
        <f>M272*F272</f>
        <v>0</v>
      </c>
      <c r="O272" s="41">
        <f t="shared" si="258"/>
        <v>0</v>
      </c>
      <c r="Q272" s="256">
        <f t="shared" si="259"/>
        <v>1.0037898749698437</v>
      </c>
    </row>
    <row r="273" spans="1:17">
      <c r="A273" s="36"/>
      <c r="B273" s="50" t="s">
        <v>363</v>
      </c>
      <c r="C273" s="57" t="s">
        <v>361</v>
      </c>
      <c r="D273" s="64">
        <v>0</v>
      </c>
      <c r="E273" s="18">
        <v>1</v>
      </c>
      <c r="F273" s="52">
        <f t="shared" si="244"/>
        <v>0</v>
      </c>
      <c r="G273" s="39">
        <f>H273*(References!$B$52)</f>
        <v>1.108182100605672E-2</v>
      </c>
      <c r="H273" s="260">
        <v>2.9240597893690339</v>
      </c>
      <c r="I273" s="319">
        <f t="shared" si="255"/>
        <v>2.9351416103750907</v>
      </c>
      <c r="J273" s="39">
        <f>H273*F273</f>
        <v>0</v>
      </c>
      <c r="K273" s="39">
        <f>I273*F273</f>
        <v>0</v>
      </c>
      <c r="L273" s="39">
        <f t="shared" si="256"/>
        <v>0</v>
      </c>
      <c r="M273" s="41">
        <f t="shared" si="257"/>
        <v>2.9351416103750907</v>
      </c>
      <c r="N273" s="41">
        <f>M273*F273</f>
        <v>0</v>
      </c>
      <c r="O273" s="41">
        <f t="shared" si="258"/>
        <v>0</v>
      </c>
      <c r="Q273" s="256">
        <f t="shared" si="259"/>
        <v>1.003789874969844</v>
      </c>
    </row>
    <row r="274" spans="1:17">
      <c r="A274" s="36"/>
      <c r="B274" s="50" t="s">
        <v>363</v>
      </c>
      <c r="C274" s="57" t="s">
        <v>362</v>
      </c>
      <c r="D274" s="287">
        <v>42.743927697232159</v>
      </c>
      <c r="E274" s="18">
        <v>1</v>
      </c>
      <c r="F274" s="52">
        <f t="shared" si="244"/>
        <v>42.743927697232159</v>
      </c>
      <c r="G274" s="39">
        <f>H274*(References!$B$52)</f>
        <v>0.4174152578948031</v>
      </c>
      <c r="H274" s="260">
        <v>110.13958539956695</v>
      </c>
      <c r="I274" s="319">
        <f t="shared" si="255"/>
        <v>110.55700065746176</v>
      </c>
      <c r="J274" s="39">
        <f>H274*F274</f>
        <v>4707.7984749222169</v>
      </c>
      <c r="K274" s="39">
        <f>I274*F274</f>
        <v>4725.6404425253941</v>
      </c>
      <c r="L274" s="39">
        <f t="shared" si="256"/>
        <v>-17.841967603177181</v>
      </c>
      <c r="M274" s="41">
        <f t="shared" si="257"/>
        <v>110.55700065746176</v>
      </c>
      <c r="N274" s="41">
        <f>M274*F274</f>
        <v>4725.6404425253941</v>
      </c>
      <c r="O274" s="41">
        <f t="shared" si="258"/>
        <v>17.841967603177181</v>
      </c>
      <c r="Q274" s="256">
        <f t="shared" si="259"/>
        <v>1.003789874969844</v>
      </c>
    </row>
    <row r="275" spans="1:17">
      <c r="A275" s="36"/>
      <c r="B275" s="50"/>
      <c r="C275" s="57"/>
      <c r="D275" s="304"/>
      <c r="E275" s="18"/>
      <c r="F275" s="305"/>
      <c r="G275" s="39"/>
      <c r="H275" s="306"/>
      <c r="I275" s="78"/>
      <c r="J275" s="39"/>
      <c r="K275" s="39"/>
      <c r="L275" s="39"/>
      <c r="M275" s="41"/>
      <c r="N275" s="41"/>
      <c r="O275" s="41"/>
      <c r="Q275" s="256"/>
    </row>
    <row r="276" spans="1:17">
      <c r="A276" s="28"/>
      <c r="B276" s="14"/>
      <c r="C276" s="29" t="s">
        <v>9</v>
      </c>
      <c r="D276" s="30">
        <f>SUM(D234:D274)</f>
        <v>29234.909983286616</v>
      </c>
      <c r="E276" s="30"/>
      <c r="F276" s="30">
        <f>SUM(F234:F274)</f>
        <v>29234.909983286616</v>
      </c>
      <c r="G276" s="42"/>
      <c r="H276" s="42"/>
      <c r="I276" s="42"/>
      <c r="J276" s="318">
        <f t="shared" ref="J276:N276" si="260">SUM(J234:J274)</f>
        <v>257512.0899091996</v>
      </c>
      <c r="K276" s="318">
        <f t="shared" si="260"/>
        <v>258488.02853317867</v>
      </c>
      <c r="L276" s="56">
        <f t="shared" si="260"/>
        <v>-975.93862397907128</v>
      </c>
      <c r="M276" s="56">
        <f t="shared" si="260"/>
        <v>5170.5329708724612</v>
      </c>
      <c r="N276" s="56">
        <f t="shared" si="260"/>
        <v>258488.02853317867</v>
      </c>
      <c r="O276" s="56">
        <f>SUM(O234:O274)</f>
        <v>975.93862397907128</v>
      </c>
    </row>
    <row r="277" spans="1:17">
      <c r="A277" s="300"/>
      <c r="B277" s="307"/>
      <c r="C277" s="302"/>
      <c r="D277" s="303"/>
      <c r="E277" s="303"/>
      <c r="F277" s="303"/>
      <c r="G277" s="308"/>
      <c r="H277" s="308"/>
      <c r="I277" s="308"/>
      <c r="J277" s="72"/>
      <c r="K277" s="72"/>
      <c r="L277" s="72"/>
      <c r="M277" s="72"/>
      <c r="N277" s="72"/>
      <c r="O277" s="72"/>
    </row>
    <row r="278" spans="1:17">
      <c r="C278" s="37" t="s">
        <v>2</v>
      </c>
      <c r="D278" s="38">
        <f>D35+D146+D231+D276</f>
        <v>38635.694563788857</v>
      </c>
      <c r="E278" s="38"/>
      <c r="F278" s="38">
        <f>F35+F146+F231+F276</f>
        <v>318952.0827493135</v>
      </c>
      <c r="G278" s="44"/>
      <c r="H278" s="44"/>
      <c r="I278" s="44"/>
      <c r="J278" s="38">
        <f>J35+J146+J231+J276</f>
        <v>2878716.0160329626</v>
      </c>
      <c r="K278" s="38">
        <f t="shared" ref="K278:O278" si="261">K35+K146+K231+K276</f>
        <v>2889625.9898074139</v>
      </c>
      <c r="L278" s="38">
        <f t="shared" si="261"/>
        <v>-10909.973774451992</v>
      </c>
      <c r="M278" s="38">
        <f t="shared" si="261"/>
        <v>7523.9298248800515</v>
      </c>
      <c r="N278" s="38">
        <f t="shared" si="261"/>
        <v>2889625.9898074139</v>
      </c>
      <c r="O278" s="38">
        <f t="shared" si="261"/>
        <v>10909.973774451992</v>
      </c>
    </row>
    <row r="279" spans="1:17">
      <c r="K279" s="34"/>
      <c r="O279" s="257">
        <f>O278/J278</f>
        <v>3.7898749698438705E-3</v>
      </c>
    </row>
    <row r="280" spans="1:17">
      <c r="A280" s="59"/>
      <c r="J280" s="39"/>
      <c r="K280" s="39"/>
      <c r="L280" s="39"/>
      <c r="M280" s="39"/>
      <c r="N280" s="39"/>
      <c r="O280" s="39"/>
      <c r="Q280" s="256"/>
    </row>
    <row r="281" spans="1:17">
      <c r="A281" s="59"/>
      <c r="J281" s="39"/>
      <c r="K281" s="39"/>
      <c r="L281" s="39"/>
      <c r="M281" s="39"/>
      <c r="N281" s="39"/>
      <c r="O281" s="39"/>
      <c r="Q281" s="256"/>
    </row>
    <row r="282" spans="1:17">
      <c r="A282" s="59"/>
      <c r="J282" s="39"/>
      <c r="K282" s="39"/>
      <c r="L282" s="39"/>
      <c r="M282" s="39"/>
      <c r="N282" s="39"/>
      <c r="O282" s="39"/>
      <c r="Q282" s="256"/>
    </row>
    <row r="283" spans="1:17">
      <c r="A283" s="59"/>
      <c r="J283" s="39"/>
      <c r="K283" s="39"/>
      <c r="L283" s="39"/>
      <c r="M283" s="39"/>
      <c r="N283" s="39"/>
      <c r="O283" s="39"/>
      <c r="Q283" s="256"/>
    </row>
    <row r="284" spans="1:17">
      <c r="A284" s="59"/>
      <c r="I284" s="78"/>
      <c r="J284" s="39"/>
      <c r="K284" s="39"/>
      <c r="L284" s="39"/>
      <c r="M284" s="39"/>
      <c r="N284" s="39"/>
      <c r="O284" s="39"/>
      <c r="Q284" s="256"/>
    </row>
    <row r="285" spans="1:17">
      <c r="A285" s="36"/>
      <c r="D285" s="35"/>
    </row>
    <row r="286" spans="1:17">
      <c r="A286" s="36"/>
      <c r="D286" s="35"/>
      <c r="E286" s="24"/>
      <c r="F286" s="24"/>
      <c r="J286" s="33"/>
    </row>
    <row r="287" spans="1:17">
      <c r="A287" s="36"/>
      <c r="B287" s="33"/>
      <c r="C287" s="10"/>
      <c r="E287" s="32"/>
      <c r="F287" s="32"/>
      <c r="J287" s="33"/>
    </row>
    <row r="288" spans="1:17">
      <c r="A288" s="36"/>
      <c r="D288" s="35"/>
      <c r="E288" s="23"/>
      <c r="F288" s="23"/>
    </row>
    <row r="289" spans="1:10">
      <c r="A289" s="36"/>
      <c r="D289" s="35"/>
      <c r="E289" s="32"/>
      <c r="F289" s="32"/>
      <c r="J289" s="33"/>
    </row>
    <row r="290" spans="1:10">
      <c r="B290" s="33"/>
      <c r="C290" s="10"/>
      <c r="D290" s="22"/>
      <c r="E290" s="22"/>
      <c r="F290" s="22"/>
      <c r="H290" s="26"/>
      <c r="I290" s="26"/>
      <c r="J290" s="25"/>
    </row>
    <row r="291" spans="1:10">
      <c r="H291" s="12"/>
      <c r="I291" s="17"/>
      <c r="J291" s="34"/>
    </row>
    <row r="292" spans="1:10">
      <c r="D292" s="21"/>
      <c r="E292" s="20"/>
      <c r="H292" s="12"/>
      <c r="I292" s="17"/>
      <c r="J292" s="34"/>
    </row>
    <row r="293" spans="1:10">
      <c r="D293" s="21"/>
      <c r="E293" s="20"/>
      <c r="H293" s="12"/>
      <c r="I293" s="17"/>
      <c r="J293" s="34"/>
    </row>
    <row r="294" spans="1:10">
      <c r="D294"/>
    </row>
    <row r="295" spans="1:10">
      <c r="C295" s="35"/>
      <c r="D295"/>
      <c r="E295" s="35"/>
    </row>
    <row r="296" spans="1:10">
      <c r="B296" s="77"/>
      <c r="C296" s="35"/>
      <c r="D296"/>
      <c r="E296" s="35"/>
    </row>
    <row r="297" spans="1:10">
      <c r="B297" s="77"/>
      <c r="C297" s="35"/>
      <c r="D297"/>
      <c r="E297" s="35"/>
    </row>
    <row r="298" spans="1:10">
      <c r="C298" s="35"/>
      <c r="D298"/>
      <c r="E298" s="35"/>
    </row>
    <row r="299" spans="1:10">
      <c r="C299" s="35"/>
      <c r="D299"/>
      <c r="E299" s="35"/>
    </row>
    <row r="300" spans="1:10">
      <c r="C300" s="35"/>
      <c r="D300"/>
      <c r="E300" s="35"/>
    </row>
    <row r="301" spans="1:10">
      <c r="C301" s="35"/>
      <c r="D301"/>
      <c r="E301" s="35"/>
    </row>
  </sheetData>
  <mergeCells count="4">
    <mergeCell ref="A150:A215"/>
    <mergeCell ref="A2:A32"/>
    <mergeCell ref="A38:A68"/>
    <mergeCell ref="A235:A241"/>
  </mergeCells>
  <pageMargins left="0.2" right="0.22" top="0.63" bottom="0.34" header="0.19" footer="0.17"/>
  <pageSetup paperSize="5" scale="34" fitToHeight="0" orientation="landscape" r:id="rId1"/>
  <headerFooter>
    <oddHeader>&amp;C&amp;12
Disposal Fee Staff Calculations</oddHeader>
    <oddFooter>&amp;L&amp;F - &amp;A&amp;C&amp;D&amp;R&amp;P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0175-D5A6-4031-B7C5-5F6ABEC82FAD}">
  <sheetPr>
    <tabColor rgb="FFFF0000"/>
  </sheetPr>
  <dimension ref="A1:AV112"/>
  <sheetViews>
    <sheetView workbookViewId="0">
      <selection activeCell="O3" sqref="O3"/>
    </sheetView>
  </sheetViews>
  <sheetFormatPr defaultColWidth="15.88671875" defaultRowHeight="15"/>
  <cols>
    <col min="1" max="1" width="7.109375" style="94" customWidth="1"/>
    <col min="2" max="2" width="31.88671875" style="244" bestFit="1" customWidth="1"/>
    <col min="3" max="3" width="20.21875" style="244" customWidth="1"/>
    <col min="4" max="4" width="20.21875" style="244" hidden="1" customWidth="1"/>
    <col min="5" max="5" width="6.88671875" style="244" customWidth="1"/>
    <col min="6" max="6" width="5.44140625" style="94" customWidth="1"/>
    <col min="7" max="7" width="8.109375" style="94" customWidth="1"/>
    <col min="8" max="8" width="14.21875" style="94" customWidth="1"/>
    <col min="9" max="9" width="16.88671875" style="94" customWidth="1"/>
    <col min="10" max="10" width="12.6640625" style="94" customWidth="1"/>
    <col min="11" max="11" width="14.44140625" style="94" bestFit="1" customWidth="1"/>
    <col min="12" max="13" width="19.33203125" style="94" customWidth="1"/>
    <col min="14" max="14" width="2.33203125" style="94" customWidth="1"/>
    <col min="15" max="15" width="39.109375" style="244" customWidth="1"/>
    <col min="16" max="16" width="38.44140625" style="244" customWidth="1"/>
    <col min="17" max="17" width="15.88671875" style="95"/>
    <col min="18" max="18" width="13.21875" style="103" customWidth="1"/>
    <col min="19" max="19" width="15.88671875" style="94"/>
    <col min="20" max="20" width="12.77734375" style="94" customWidth="1"/>
    <col min="21" max="21" width="14.88671875" style="94" customWidth="1"/>
    <col min="22" max="22" width="15.88671875" style="94"/>
    <col min="23" max="26" width="16.88671875" style="94" customWidth="1"/>
    <col min="27" max="27" width="15.21875" style="94" customWidth="1"/>
    <col min="28" max="28" width="15.88671875" style="94"/>
    <col min="29" max="29" width="15.109375" style="94" customWidth="1"/>
    <col min="30" max="31" width="15.88671875" style="94"/>
    <col min="32" max="32" width="15.6640625" style="94" customWidth="1"/>
    <col min="33" max="33" width="16.44140625" style="94" customWidth="1"/>
    <col min="34" max="34" width="19.6640625" style="94" customWidth="1"/>
    <col min="35" max="35" width="17.21875" style="94" customWidth="1"/>
    <col min="36" max="36" width="15.6640625" style="94" customWidth="1"/>
    <col min="37" max="37" width="15.88671875" style="94"/>
    <col min="38" max="38" width="13.21875" style="94" customWidth="1"/>
    <col min="39" max="39" width="15.6640625" style="94" customWidth="1"/>
    <col min="40" max="51" width="14.44140625" style="94" customWidth="1"/>
    <col min="52" max="16384" width="15.88671875" style="94"/>
  </cols>
  <sheetData>
    <row r="1" spans="1:37" s="89" customFormat="1" ht="15.6" thickBot="1">
      <c r="A1" s="84"/>
      <c r="B1" s="85"/>
      <c r="C1" s="85"/>
      <c r="D1" s="85"/>
      <c r="E1" s="85"/>
      <c r="F1" s="85"/>
      <c r="G1" s="85"/>
      <c r="H1" s="85"/>
      <c r="I1" s="86"/>
      <c r="J1" s="86"/>
      <c r="K1" s="86"/>
      <c r="L1" s="86"/>
      <c r="M1" s="86"/>
      <c r="N1" s="86"/>
      <c r="O1" s="85"/>
      <c r="P1" s="85"/>
      <c r="Q1" s="87"/>
      <c r="R1" s="88"/>
    </row>
    <row r="2" spans="1:37" ht="18.600000000000001" thickBot="1">
      <c r="A2" s="84"/>
      <c r="B2" s="293" t="s">
        <v>149</v>
      </c>
      <c r="C2" s="293"/>
      <c r="D2" s="84"/>
      <c r="E2" s="84"/>
      <c r="F2" s="90" t="s">
        <v>150</v>
      </c>
      <c r="G2" s="91"/>
      <c r="H2" s="91"/>
      <c r="I2" s="92" t="s">
        <v>151</v>
      </c>
      <c r="J2" s="91"/>
      <c r="K2" s="91"/>
      <c r="L2" s="91"/>
      <c r="M2" s="93" t="s">
        <v>150</v>
      </c>
      <c r="O2" s="84"/>
      <c r="P2" s="85"/>
      <c r="R2" s="96" t="s">
        <v>152</v>
      </c>
      <c r="S2" s="97"/>
      <c r="T2" s="98"/>
      <c r="AH2" s="294" t="s">
        <v>153</v>
      </c>
      <c r="AI2" s="295"/>
      <c r="AJ2" s="295"/>
      <c r="AK2" s="296"/>
    </row>
    <row r="3" spans="1:37" ht="52.5" customHeight="1" thickBot="1">
      <c r="A3" s="84"/>
      <c r="B3" s="84"/>
      <c r="C3" s="84"/>
      <c r="D3" s="84"/>
      <c r="E3" s="84"/>
      <c r="F3" s="99"/>
      <c r="G3" s="100"/>
      <c r="H3" s="101"/>
      <c r="I3" s="101"/>
      <c r="J3" s="101"/>
      <c r="K3" s="102" t="s">
        <v>154</v>
      </c>
      <c r="L3" s="101"/>
      <c r="M3" s="102" t="s">
        <v>155</v>
      </c>
      <c r="O3" s="261"/>
      <c r="P3" s="85"/>
      <c r="R3" s="94"/>
      <c r="T3" s="94" t="s">
        <v>156</v>
      </c>
      <c r="V3" s="103" t="s">
        <v>156</v>
      </c>
      <c r="W3" s="103" t="s">
        <v>156</v>
      </c>
      <c r="X3" s="103" t="s">
        <v>156</v>
      </c>
      <c r="Y3" s="103"/>
      <c r="Z3" s="103" t="s">
        <v>157</v>
      </c>
      <c r="AA3" s="103" t="s">
        <v>158</v>
      </c>
      <c r="AB3" s="103" t="s">
        <v>158</v>
      </c>
      <c r="AC3" s="103" t="s">
        <v>158</v>
      </c>
      <c r="AD3" s="103" t="s">
        <v>158</v>
      </c>
      <c r="AE3" s="103" t="s">
        <v>158</v>
      </c>
      <c r="AF3" s="103" t="s">
        <v>158</v>
      </c>
      <c r="AG3" s="103" t="s">
        <v>159</v>
      </c>
      <c r="AH3" s="103" t="s">
        <v>160</v>
      </c>
      <c r="AI3" s="103" t="s">
        <v>161</v>
      </c>
      <c r="AJ3" s="103"/>
    </row>
    <row r="4" spans="1:37" ht="18.600000000000001" thickBot="1">
      <c r="A4" s="84"/>
      <c r="B4" s="104" t="s">
        <v>162</v>
      </c>
      <c r="C4" s="92"/>
      <c r="D4" s="105"/>
      <c r="E4" s="84"/>
      <c r="F4" s="106"/>
      <c r="G4" s="100"/>
      <c r="H4" s="101" t="s">
        <v>163</v>
      </c>
      <c r="I4" s="101" t="s">
        <v>164</v>
      </c>
      <c r="J4" s="101" t="s">
        <v>165</v>
      </c>
      <c r="K4" s="101" t="s">
        <v>166</v>
      </c>
      <c r="L4" s="101" t="s">
        <v>167</v>
      </c>
      <c r="M4" s="101" t="s">
        <v>168</v>
      </c>
      <c r="O4" s="107"/>
      <c r="P4" s="85"/>
      <c r="R4" s="94"/>
      <c r="T4" s="103" t="s">
        <v>169</v>
      </c>
      <c r="V4" s="103" t="s">
        <v>170</v>
      </c>
      <c r="W4" s="103" t="s">
        <v>157</v>
      </c>
      <c r="X4" s="103" t="s">
        <v>171</v>
      </c>
      <c r="Y4" s="103" t="s">
        <v>172</v>
      </c>
      <c r="Z4" s="103" t="s">
        <v>171</v>
      </c>
      <c r="AA4" s="103" t="s">
        <v>173</v>
      </c>
      <c r="AB4" s="103" t="s">
        <v>173</v>
      </c>
      <c r="AC4" s="103" t="s">
        <v>173</v>
      </c>
      <c r="AD4" s="103" t="s">
        <v>157</v>
      </c>
      <c r="AE4" s="103" t="s">
        <v>169</v>
      </c>
      <c r="AF4" s="103" t="s">
        <v>169</v>
      </c>
      <c r="AG4" s="103" t="s">
        <v>174</v>
      </c>
      <c r="AH4" s="103" t="s">
        <v>175</v>
      </c>
      <c r="AI4" s="103" t="s">
        <v>176</v>
      </c>
      <c r="AJ4" s="103" t="s">
        <v>177</v>
      </c>
      <c r="AK4" s="103" t="s">
        <v>178</v>
      </c>
    </row>
    <row r="5" spans="1:37" ht="15.6">
      <c r="A5" s="84"/>
      <c r="B5" s="108" t="s">
        <v>179</v>
      </c>
      <c r="C5" s="109">
        <f>SUM('[1]LG Public 2018 V5.2c MSW:LG Public 2018 V5.2c MF RCY'!C5)</f>
        <v>3203825.4899999998</v>
      </c>
      <c r="D5" s="105"/>
      <c r="E5" s="84"/>
      <c r="F5" s="110" t="s">
        <v>180</v>
      </c>
      <c r="G5" s="111"/>
      <c r="H5" s="111"/>
      <c r="I5" s="101" t="s">
        <v>181</v>
      </c>
      <c r="J5" s="101" t="s">
        <v>160</v>
      </c>
      <c r="K5" s="112" t="s">
        <v>182</v>
      </c>
      <c r="L5" s="113" t="s">
        <v>183</v>
      </c>
      <c r="M5" s="112" t="s">
        <v>160</v>
      </c>
      <c r="O5" s="114"/>
      <c r="P5" s="85"/>
      <c r="R5" s="115"/>
      <c r="T5" s="103" t="s">
        <v>184</v>
      </c>
      <c r="U5" s="103" t="s">
        <v>185</v>
      </c>
      <c r="V5" s="103" t="s">
        <v>186</v>
      </c>
      <c r="W5" s="103" t="s">
        <v>187</v>
      </c>
      <c r="X5" s="103" t="s">
        <v>188</v>
      </c>
      <c r="Y5" s="103" t="s">
        <v>189</v>
      </c>
      <c r="Z5" s="103" t="s">
        <v>188</v>
      </c>
      <c r="AA5" s="103" t="s">
        <v>190</v>
      </c>
      <c r="AB5" s="103" t="s">
        <v>191</v>
      </c>
      <c r="AC5" s="103" t="s">
        <v>192</v>
      </c>
      <c r="AD5" s="103" t="s">
        <v>193</v>
      </c>
      <c r="AE5" s="103" t="s">
        <v>184</v>
      </c>
      <c r="AF5" s="103" t="s">
        <v>194</v>
      </c>
      <c r="AG5" s="103" t="s">
        <v>195</v>
      </c>
      <c r="AH5" s="103" t="s">
        <v>196</v>
      </c>
      <c r="AI5" s="103" t="s">
        <v>196</v>
      </c>
      <c r="AJ5" s="103" t="s">
        <v>195</v>
      </c>
      <c r="AK5" s="103" t="s">
        <v>159</v>
      </c>
    </row>
    <row r="6" spans="1:37" ht="15.6">
      <c r="A6" s="84"/>
      <c r="B6" s="108" t="s">
        <v>197</v>
      </c>
      <c r="C6" s="109">
        <f>SUM('[1]LG Public 2018 V5.2c MSW:LG Public 2018 V5.2c MF RCY'!C6)</f>
        <v>3058283.394037507</v>
      </c>
      <c r="D6" s="105"/>
      <c r="E6" s="84"/>
      <c r="F6" s="116" t="s">
        <v>198</v>
      </c>
      <c r="G6" s="111"/>
      <c r="H6" s="111"/>
      <c r="I6" s="117"/>
      <c r="J6" s="118" t="s">
        <v>199</v>
      </c>
      <c r="K6" s="119"/>
      <c r="L6" s="118" t="s">
        <v>200</v>
      </c>
      <c r="M6" s="118" t="s">
        <v>201</v>
      </c>
      <c r="O6" s="114"/>
      <c r="P6" s="85"/>
      <c r="R6" s="120">
        <v>1</v>
      </c>
      <c r="S6" s="121">
        <f>Revenue/Investment*100</f>
        <v>179.54617863307664</v>
      </c>
      <c r="T6" s="122">
        <f>EXP(y_inter1-(slope*LN(+S6)))</f>
        <v>8.7938890621843644</v>
      </c>
      <c r="U6" s="123">
        <f>(+S6*T6/100)/100</f>
        <v>0.15789091764384128</v>
      </c>
      <c r="V6" s="123">
        <f>regDebt_weighted</f>
        <v>3.5860000000000003E-2</v>
      </c>
      <c r="W6" s="123">
        <f>+U6-V6</f>
        <v>0.12203091764384127</v>
      </c>
      <c r="X6" s="123">
        <f>+((W6*(1-0.34))-Pfd_weighted)/Equity_percent</f>
        <v>0.21613490013062567</v>
      </c>
      <c r="Y6" s="123">
        <f>+C15</f>
        <v>2.5000000000000001E-3</v>
      </c>
      <c r="Z6" s="123">
        <f>+X6+Y6</f>
        <v>0.21863490013062567</v>
      </c>
      <c r="AA6" s="123">
        <f>Z6*equityP</f>
        <v>0.10352243904553315</v>
      </c>
      <c r="AB6" s="123">
        <f>+AA6/(1-taxrate)</f>
        <v>0.13104106208295335</v>
      </c>
      <c r="AC6" s="123">
        <f>debtP*Debt_Rate</f>
        <v>1.3045639029238797E-2</v>
      </c>
      <c r="AD6" s="123">
        <f>AC6+AB6</f>
        <v>0.14408670111219216</v>
      </c>
      <c r="AE6" s="123">
        <f>AD6/(S6/100)</f>
        <v>8.0250497230938009E-2</v>
      </c>
      <c r="AF6" s="123">
        <f>1-AE6</f>
        <v>0.91974950276906198</v>
      </c>
      <c r="AG6" s="124">
        <f>expenses/(AF6)</f>
        <v>3325126.4445699896</v>
      </c>
      <c r="AH6" s="125">
        <f>+AG6-Revenue</f>
        <v>121300.95456998982</v>
      </c>
      <c r="AI6" s="126">
        <f ca="1">+AH6/$J$49</f>
        <v>145557.68481351962</v>
      </c>
      <c r="AJ6" s="126">
        <f ca="1">+AI6*$J$47</f>
        <v>13208.346056535982</v>
      </c>
      <c r="AK6" s="124">
        <f ca="1">ROUND(+AJ6+AG6,5)</f>
        <v>3338334.7906300002</v>
      </c>
    </row>
    <row r="7" spans="1:37" ht="15.6">
      <c r="A7" s="84"/>
      <c r="B7" s="108" t="s">
        <v>202</v>
      </c>
      <c r="C7" s="109">
        <f>SUM('[1]LG Public 2018 V5.2c MSW:LG Public 2018 V5.2c MF RCY'!C7)</f>
        <v>1784401.9373686516</v>
      </c>
      <c r="D7" s="105"/>
      <c r="E7" s="84"/>
      <c r="F7" s="127">
        <v>1</v>
      </c>
      <c r="G7" s="111"/>
      <c r="H7" s="128" t="s">
        <v>179</v>
      </c>
      <c r="I7" s="129">
        <f>IF(A64=TRUE,C5,0)</f>
        <v>3203825.4899999998</v>
      </c>
      <c r="J7" s="129">
        <f ca="1">(+$I8/($R50))-I7</f>
        <v>106614.08658606792</v>
      </c>
      <c r="K7" s="129">
        <f ca="1">+I7+J7</f>
        <v>3310439.5765860677</v>
      </c>
      <c r="L7" s="129">
        <f ca="1">((+J7/J49*K35)-J7)</f>
        <v>11609.106911996772</v>
      </c>
      <c r="M7" s="129">
        <f ca="1">IFERROR(+K7+L7,0.00001)</f>
        <v>3322048.6834980645</v>
      </c>
      <c r="O7" s="114"/>
      <c r="P7" s="85"/>
      <c r="R7" s="130">
        <v>2</v>
      </c>
      <c r="S7" s="131">
        <f>Revenue/Investment*100</f>
        <v>179.54617863307664</v>
      </c>
      <c r="T7" s="132">
        <f>EXP(y_inter1-(slope*LN(+S7)))</f>
        <v>8.7938890621843644</v>
      </c>
      <c r="U7" s="133">
        <f>(+S7*T7/100)/100</f>
        <v>0.15789091764384128</v>
      </c>
      <c r="V7" s="133">
        <f>regDebt_weighted</f>
        <v>3.5860000000000003E-2</v>
      </c>
      <c r="W7" s="133">
        <f>+U7-V7</f>
        <v>0.12203091764384127</v>
      </c>
      <c r="X7" s="133">
        <f>+((W7*(1-0.34))-Pfd_weighted)/Equity_percent</f>
        <v>0.21613490013062567</v>
      </c>
      <c r="Y7" s="133">
        <f>+Y6</f>
        <v>2.5000000000000001E-3</v>
      </c>
      <c r="Z7" s="133">
        <f>+X7+Y7</f>
        <v>0.21863490013062567</v>
      </c>
      <c r="AA7" s="133">
        <f>Z7*equityP</f>
        <v>0.10352243904553315</v>
      </c>
      <c r="AB7" s="133">
        <f>+AA7/(1-taxrate)</f>
        <v>0.13104106208295335</v>
      </c>
      <c r="AC7" s="133">
        <f>debtP*Debt_Rate</f>
        <v>1.3045639029238797E-2</v>
      </c>
      <c r="AD7" s="133">
        <f>AC7+AB7</f>
        <v>0.14408670111219216</v>
      </c>
      <c r="AE7" s="133">
        <f>AD7/(S7/100)</f>
        <v>8.0250497230938009E-2</v>
      </c>
      <c r="AF7" s="133">
        <f>1-AE7</f>
        <v>0.91974950276906198</v>
      </c>
      <c r="AG7" s="134">
        <f>expenses/(AF7)</f>
        <v>3325126.4445699896</v>
      </c>
      <c r="AH7" s="135">
        <f>+AG7-Revenue</f>
        <v>121300.95456998982</v>
      </c>
      <c r="AI7" s="136">
        <f ca="1">+AH7/$J$49</f>
        <v>145557.68481351962</v>
      </c>
      <c r="AJ7" s="136">
        <f ca="1">+AI7*$J$47</f>
        <v>13208.346056535982</v>
      </c>
      <c r="AK7" s="134">
        <f ca="1">ROUND(+AJ7+AG7,5)</f>
        <v>3338334.7906300002</v>
      </c>
    </row>
    <row r="8" spans="1:37" ht="15.6">
      <c r="A8" s="84"/>
      <c r="B8" s="108" t="s">
        <v>203</v>
      </c>
      <c r="C8" s="137">
        <f>'[1]RS Cap Struct.'!$B$40</f>
        <v>0.52650542532924705</v>
      </c>
      <c r="D8" s="105"/>
      <c r="E8" s="84"/>
      <c r="F8" s="138">
        <f>+F7+1</f>
        <v>2</v>
      </c>
      <c r="G8" s="111"/>
      <c r="H8" s="128" t="s">
        <v>197</v>
      </c>
      <c r="I8" s="129">
        <f>IF(A64=TRUE,C6,0)</f>
        <v>3058283.394037507</v>
      </c>
      <c r="J8" s="100"/>
      <c r="K8" s="129">
        <f>+I8</f>
        <v>3058283.394037507</v>
      </c>
      <c r="L8" s="129">
        <f ca="1">+L7</f>
        <v>11609.106911996772</v>
      </c>
      <c r="M8" s="129">
        <f ca="1">IFERROR(+K8+L8,0.00001)</f>
        <v>3069892.5009495039</v>
      </c>
      <c r="O8" s="114"/>
      <c r="P8" s="85"/>
      <c r="R8" s="139">
        <v>3</v>
      </c>
      <c r="S8" s="131">
        <f>Revenue/Investment*100</f>
        <v>179.54617863307664</v>
      </c>
      <c r="T8" s="132">
        <f>EXP(y_inter1-(slope*LN(+S8)))</f>
        <v>8.7938890621843644</v>
      </c>
      <c r="U8" s="133">
        <f>(+S8*T8/100)/100</f>
        <v>0.15789091764384128</v>
      </c>
      <c r="V8" s="133">
        <f>regDebt_weighted</f>
        <v>3.5860000000000003E-2</v>
      </c>
      <c r="W8" s="133">
        <f>+U8-V8</f>
        <v>0.12203091764384127</v>
      </c>
      <c r="X8" s="133">
        <f>+((W8*(1-0.34))-Pfd_weighted)/Equity_percent</f>
        <v>0.21613490013062567</v>
      </c>
      <c r="Y8" s="133">
        <f>+Y7</f>
        <v>2.5000000000000001E-3</v>
      </c>
      <c r="Z8" s="133">
        <f>+X8+Y8</f>
        <v>0.21863490013062567</v>
      </c>
      <c r="AA8" s="133">
        <f>Z8*equityP</f>
        <v>0.10352243904553315</v>
      </c>
      <c r="AB8" s="133">
        <f>+AA8/(1-taxrate)</f>
        <v>0.13104106208295335</v>
      </c>
      <c r="AC8" s="133">
        <f>debtP*Debt_Rate</f>
        <v>1.3045639029238797E-2</v>
      </c>
      <c r="AD8" s="133">
        <f>AC8+AB8</f>
        <v>0.14408670111219216</v>
      </c>
      <c r="AE8" s="133">
        <f>AD8/(S8/100)</f>
        <v>8.0250497230938009E-2</v>
      </c>
      <c r="AF8" s="133">
        <f>1-AE8</f>
        <v>0.91974950276906198</v>
      </c>
      <c r="AG8" s="134">
        <f>expenses/(AF8)</f>
        <v>3325126.4445699896</v>
      </c>
      <c r="AH8" s="135">
        <f>+AG8-Revenue</f>
        <v>121300.95456998982</v>
      </c>
      <c r="AI8" s="136">
        <f ca="1">+AH8/$J$49</f>
        <v>145557.68481351962</v>
      </c>
      <c r="AJ8" s="136">
        <f ca="1">+AI8*$J$47</f>
        <v>13208.346056535982</v>
      </c>
      <c r="AK8" s="134">
        <f ca="1">ROUND(+AJ8+AG8,5)</f>
        <v>3338334.7906300002</v>
      </c>
    </row>
    <row r="9" spans="1:37" ht="15.6">
      <c r="A9" s="84"/>
      <c r="B9" s="108" t="s">
        <v>204</v>
      </c>
      <c r="C9" s="137">
        <f>'[1]RS Cap Struct.'!$B$51</f>
        <v>2.4777786517737748E-2</v>
      </c>
      <c r="D9" s="105"/>
      <c r="E9" s="84"/>
      <c r="F9" s="138">
        <f t="shared" ref="F9:F49" si="0">+F8+1</f>
        <v>3</v>
      </c>
      <c r="G9" s="111"/>
      <c r="H9" s="128" t="s">
        <v>205</v>
      </c>
      <c r="I9" s="140">
        <f>+I7-I8</f>
        <v>145542.09596249275</v>
      </c>
      <c r="J9" s="100"/>
      <c r="K9" s="140">
        <f ca="1">+K7-K8</f>
        <v>252156.18254856067</v>
      </c>
      <c r="L9" s="111"/>
      <c r="M9" s="141">
        <f ca="1">+M7-M8</f>
        <v>252156.18254856067</v>
      </c>
      <c r="O9" s="114"/>
      <c r="P9" s="85"/>
      <c r="R9" s="142">
        <v>4</v>
      </c>
      <c r="S9" s="131">
        <f>Revenue/Investment*100</f>
        <v>179.54617863307664</v>
      </c>
      <c r="T9" s="132">
        <f>EXP(y_inter1-(slope*LN(+S9)))</f>
        <v>8.7938890621843644</v>
      </c>
      <c r="U9" s="133">
        <f>(+S9*T9/100)/100</f>
        <v>0.15789091764384128</v>
      </c>
      <c r="V9" s="133">
        <f>regDebt_weighted</f>
        <v>3.5860000000000003E-2</v>
      </c>
      <c r="W9" s="133">
        <f>+U9-V9</f>
        <v>0.12203091764384127</v>
      </c>
      <c r="X9" s="133">
        <f>+((W9*(1-0.34))-Pfd_weighted)/Equity_percent</f>
        <v>0.21613490013062567</v>
      </c>
      <c r="Y9" s="133">
        <f>+Y8</f>
        <v>2.5000000000000001E-3</v>
      </c>
      <c r="Z9" s="133">
        <f>+X9+Y9</f>
        <v>0.21863490013062567</v>
      </c>
      <c r="AA9" s="133">
        <f>Z9*equityP</f>
        <v>0.10352243904553315</v>
      </c>
      <c r="AB9" s="133">
        <f>+AA9/(1-taxrate)</f>
        <v>0.13104106208295335</v>
      </c>
      <c r="AC9" s="133">
        <f>debtP*Debt_Rate</f>
        <v>1.3045639029238797E-2</v>
      </c>
      <c r="AD9" s="133">
        <f>AC9+AB9</f>
        <v>0.14408670111219216</v>
      </c>
      <c r="AE9" s="133">
        <f>AD9/(S9/100)</f>
        <v>8.0250497230938009E-2</v>
      </c>
      <c r="AF9" s="133">
        <f>1-AE9</f>
        <v>0.91974950276906198</v>
      </c>
      <c r="AG9" s="134">
        <f>expenses/(AF9)</f>
        <v>3325126.4445699896</v>
      </c>
      <c r="AH9" s="135">
        <f>+AG9-Revenue</f>
        <v>121300.95456998982</v>
      </c>
      <c r="AI9" s="136">
        <f ca="1">+AH9/$J$49</f>
        <v>145557.68481351962</v>
      </c>
      <c r="AJ9" s="136">
        <f ca="1">+AI9*$J$47</f>
        <v>13208.346056535982</v>
      </c>
      <c r="AK9" s="134">
        <f ca="1">ROUND(+AJ9+AG9,5)</f>
        <v>3338334.7906300002</v>
      </c>
    </row>
    <row r="10" spans="1:37" ht="15.6">
      <c r="A10" s="84"/>
      <c r="B10" s="143" t="s">
        <v>206</v>
      </c>
      <c r="C10" s="137">
        <v>0.21</v>
      </c>
      <c r="D10" s="105"/>
      <c r="E10" s="84"/>
      <c r="F10" s="138">
        <f t="shared" si="0"/>
        <v>4</v>
      </c>
      <c r="G10" s="111"/>
      <c r="H10" s="111"/>
      <c r="I10" s="100"/>
      <c r="J10" s="100"/>
      <c r="K10" s="129"/>
      <c r="L10" s="111"/>
      <c r="M10" s="111"/>
      <c r="O10" s="114"/>
      <c r="P10" s="84"/>
      <c r="R10" s="103" t="s">
        <v>207</v>
      </c>
    </row>
    <row r="11" spans="1:37" ht="15.6">
      <c r="A11" s="84"/>
      <c r="B11" s="108" t="s">
        <v>208</v>
      </c>
      <c r="C11" s="144">
        <v>1.7500000000000002E-2</v>
      </c>
      <c r="D11" s="105"/>
      <c r="E11" s="84"/>
      <c r="F11" s="138">
        <f t="shared" si="0"/>
        <v>5</v>
      </c>
      <c r="G11" s="111"/>
      <c r="H11" s="128" t="s">
        <v>209</v>
      </c>
      <c r="I11" s="129">
        <f>+K11</f>
        <v>23278.663557985805</v>
      </c>
      <c r="J11" s="100"/>
      <c r="K11" s="129">
        <f>+M27</f>
        <v>23278.663557985805</v>
      </c>
      <c r="L11" s="111"/>
      <c r="M11" s="129">
        <f>+K11</f>
        <v>23278.663557985805</v>
      </c>
      <c r="O11" s="114"/>
      <c r="P11" s="84"/>
      <c r="R11" s="120">
        <v>1</v>
      </c>
      <c r="S11" s="121">
        <f ca="1">IF((AK6/Investment*100)&gt;0,(AK6/Investment*100),0)</f>
        <v>187.0842393027682</v>
      </c>
      <c r="T11" s="122">
        <f ca="1">EXP(y_inter1-(slope*LN(S11)))</f>
        <v>8.5500750721010661</v>
      </c>
      <c r="U11" s="123">
        <f ca="1">(+S11*T11/100)/100</f>
        <v>0.15995842908455887</v>
      </c>
      <c r="V11" s="123">
        <f>regDebt_weighted</f>
        <v>3.5860000000000003E-2</v>
      </c>
      <c r="W11" s="123">
        <f ca="1">+U11-V11</f>
        <v>0.12409842908455887</v>
      </c>
      <c r="X11" s="123">
        <f ca="1">+((W11*(1-0.34))-Pfd_weighted)/Equity_percent</f>
        <v>0.22010163719711873</v>
      </c>
      <c r="Y11" s="123">
        <f>+Y9</f>
        <v>2.5000000000000001E-3</v>
      </c>
      <c r="Z11" s="123">
        <f ca="1">+X11+Y11</f>
        <v>0.22260163719711873</v>
      </c>
      <c r="AA11" s="123">
        <f ca="1">Z11*equityP</f>
        <v>0.10540066752566299</v>
      </c>
      <c r="AB11" s="123">
        <f ca="1">+AA11/(1-taxrate)</f>
        <v>0.13341856648818098</v>
      </c>
      <c r="AC11" s="123">
        <f>debtP*Debt_Rate</f>
        <v>1.3045639029238797E-2</v>
      </c>
      <c r="AD11" s="123">
        <f ca="1">+AC11+AB11</f>
        <v>0.14646420551741979</v>
      </c>
      <c r="AE11" s="123">
        <f ca="1">+AD11/(S11/100)</f>
        <v>7.828783764109018E-2</v>
      </c>
      <c r="AF11" s="123">
        <f ca="1">1-AE11</f>
        <v>0.92171216235890985</v>
      </c>
      <c r="AG11" s="124">
        <f ca="1">expenses/(AF11)</f>
        <v>3318046.0440171859</v>
      </c>
      <c r="AH11" s="125">
        <f ca="1">+AG11-Revenue</f>
        <v>114220.55401718616</v>
      </c>
      <c r="AI11" s="126">
        <f ca="1">+AH11/$J$49</f>
        <v>137061.40615131165</v>
      </c>
      <c r="AJ11" s="126">
        <f ca="1">+AI11*$J$47</f>
        <v>12437.367946331922</v>
      </c>
      <c r="AK11" s="124">
        <f ca="1">ROUND(+AJ11+AG11,5)</f>
        <v>3330483.4119600002</v>
      </c>
    </row>
    <row r="12" spans="1:37" ht="15.6">
      <c r="A12" s="84"/>
      <c r="B12" s="108" t="s">
        <v>210</v>
      </c>
      <c r="C12" s="144">
        <v>5.1000000000000004E-3</v>
      </c>
      <c r="D12" s="105"/>
      <c r="E12" s="84"/>
      <c r="F12" s="138">
        <f t="shared" si="0"/>
        <v>6</v>
      </c>
      <c r="G12" s="111"/>
      <c r="H12" s="128" t="s">
        <v>211</v>
      </c>
      <c r="I12" s="129">
        <f>(I9-I11)*taxrate</f>
        <v>25675.320804946459</v>
      </c>
      <c r="J12" s="129">
        <f ca="1">+K12-I12</f>
        <v>22388.958183074261</v>
      </c>
      <c r="K12" s="129">
        <f ca="1">+(K9-K11)*taxrate</f>
        <v>48064.27898802072</v>
      </c>
      <c r="L12" s="111"/>
      <c r="M12" s="129">
        <f ca="1">+K12</f>
        <v>48064.27898802072</v>
      </c>
      <c r="O12" s="114"/>
      <c r="P12" s="84"/>
      <c r="R12" s="130">
        <v>2</v>
      </c>
      <c r="S12" s="131">
        <f ca="1">IF((AK7/Investment*100)&gt;0,(AK7/Investment*100),0)</f>
        <v>187.0842393027682</v>
      </c>
      <c r="T12" s="145">
        <f ca="1">EXP(y_inter2-(slope*LN(+S12)))</f>
        <v>8.4284261922402397</v>
      </c>
      <c r="U12" s="133">
        <f ca="1">(+S12*T12/100)/100</f>
        <v>0.15768257026947924</v>
      </c>
      <c r="V12" s="133">
        <f>regDebt_weighted</f>
        <v>3.5860000000000003E-2</v>
      </c>
      <c r="W12" s="133">
        <f ca="1">+U12-V12</f>
        <v>0.12182257026947924</v>
      </c>
      <c r="X12" s="133">
        <f ca="1">+((W12*(1-0.34))-Pfd_weighted)/Equity_percent</f>
        <v>0.21573516388911712</v>
      </c>
      <c r="Y12" s="133">
        <f>+Y11</f>
        <v>2.5000000000000001E-3</v>
      </c>
      <c r="Z12" s="133">
        <f ca="1">+X12+Y12</f>
        <v>0.21823516388911712</v>
      </c>
      <c r="AA12" s="133">
        <f ca="1">Z12*equityP</f>
        <v>0.10333316610387958</v>
      </c>
      <c r="AB12" s="133">
        <f ca="1">+AA12/(1-taxrate)</f>
        <v>0.13080147608086021</v>
      </c>
      <c r="AC12" s="133">
        <f>debtP*Debt_Rate</f>
        <v>1.3045639029238797E-2</v>
      </c>
      <c r="AD12" s="133">
        <f ca="1">+AC12+AB12</f>
        <v>0.14384711511009901</v>
      </c>
      <c r="AE12" s="133">
        <f ca="1">+AD12/(S12/100)</f>
        <v>7.6888954219870811E-2</v>
      </c>
      <c r="AF12" s="133">
        <f ca="1">1-AE12</f>
        <v>0.92311104578012915</v>
      </c>
      <c r="AG12" s="134">
        <f ca="1">expenses/(AF12)</f>
        <v>3313017.8736545453</v>
      </c>
      <c r="AH12" s="135">
        <f ca="1">+AG12-Revenue</f>
        <v>109192.38365454553</v>
      </c>
      <c r="AI12" s="136">
        <f ca="1">+AH12/$J$49</f>
        <v>131027.74516794625</v>
      </c>
      <c r="AJ12" s="136">
        <f ca="1">+AI12*$J$47</f>
        <v>11889.855237825946</v>
      </c>
      <c r="AK12" s="134">
        <f ca="1">ROUND(+AJ12+AG12,5)</f>
        <v>3324907.7288899999</v>
      </c>
    </row>
    <row r="13" spans="1:37" ht="15.6">
      <c r="A13" s="84"/>
      <c r="B13" s="108" t="s">
        <v>90</v>
      </c>
      <c r="C13" s="144">
        <v>6.3799999999999996E-2</v>
      </c>
      <c r="D13" s="105"/>
      <c r="E13" s="84"/>
      <c r="F13" s="138">
        <f t="shared" si="0"/>
        <v>7</v>
      </c>
      <c r="G13" s="111"/>
      <c r="H13" s="111"/>
      <c r="I13" s="100"/>
      <c r="J13" s="100"/>
      <c r="K13" s="129"/>
      <c r="L13" s="111"/>
      <c r="M13" s="111"/>
      <c r="O13" s="114"/>
      <c r="P13" s="84"/>
      <c r="R13" s="139">
        <v>3</v>
      </c>
      <c r="S13" s="131">
        <f ca="1">IF((AK8/Investment*100)&gt;0,(AK8/Investment*100),0)</f>
        <v>187.0842393027682</v>
      </c>
      <c r="T13" s="132">
        <f ca="1">EXP(y_inter3-(slope*LN(S13)))</f>
        <v>8.3464814203737632</v>
      </c>
      <c r="U13" s="133">
        <f ca="1">(+S13*T13/100)/100</f>
        <v>0.15614951273853137</v>
      </c>
      <c r="V13" s="133">
        <f>regDebt_weighted</f>
        <v>3.5860000000000003E-2</v>
      </c>
      <c r="W13" s="133">
        <f ca="1">+U13-V13</f>
        <v>0.12028951273853136</v>
      </c>
      <c r="X13" s="133">
        <f ca="1">+((W13*(1-0.34))-Pfd_weighted)/Equity_percent</f>
        <v>0.21279383257974038</v>
      </c>
      <c r="Y13" s="133">
        <f>+Y12</f>
        <v>2.5000000000000001E-3</v>
      </c>
      <c r="Z13" s="133">
        <f ca="1">+X13+Y13</f>
        <v>0.21529383257974039</v>
      </c>
      <c r="AA13" s="133">
        <f ca="1">Z13*equityP</f>
        <v>0.10194046168658047</v>
      </c>
      <c r="AB13" s="133">
        <f ca="1">+AA13/(1-taxrate)</f>
        <v>0.12903855909693729</v>
      </c>
      <c r="AC13" s="133">
        <f>debtP*Debt_Rate</f>
        <v>1.3045639029238797E-2</v>
      </c>
      <c r="AD13" s="133">
        <f ca="1">+AC13+AB13</f>
        <v>0.14208419812617609</v>
      </c>
      <c r="AE13" s="133">
        <f ca="1">+AD13/(S13/100)</f>
        <v>7.5946642355176591E-2</v>
      </c>
      <c r="AF13" s="133">
        <f ca="1">1-AE13</f>
        <v>0.92405335764482344</v>
      </c>
      <c r="AG13" s="134">
        <f ca="1">expenses/(AF13)</f>
        <v>3309639.3933704132</v>
      </c>
      <c r="AH13" s="135">
        <f ca="1">+AG13-Revenue</f>
        <v>105813.90337041346</v>
      </c>
      <c r="AI13" s="136">
        <f ca="1">+AH13/$J$49</f>
        <v>126973.66521375561</v>
      </c>
      <c r="AJ13" s="136">
        <f ca="1">+AI13*$J$47</f>
        <v>11521.975719513892</v>
      </c>
      <c r="AK13" s="134">
        <f ca="1">ROUND(+AJ13+AG13,5)</f>
        <v>3321161.3690900002</v>
      </c>
    </row>
    <row r="14" spans="1:37" ht="16.2" thickBot="1">
      <c r="A14" s="84"/>
      <c r="B14" s="146" t="s">
        <v>35</v>
      </c>
      <c r="C14" s="144">
        <f>[1]Proforma!O373</f>
        <v>4.3430347869147408E-3</v>
      </c>
      <c r="D14" s="105"/>
      <c r="E14" s="84"/>
      <c r="F14" s="138">
        <f t="shared" si="0"/>
        <v>8</v>
      </c>
      <c r="G14" s="111"/>
      <c r="H14" s="111" t="s">
        <v>212</v>
      </c>
      <c r="I14" s="262">
        <f>+I9-SUM(I11:I13)</f>
        <v>96588.111599560478</v>
      </c>
      <c r="J14" s="100"/>
      <c r="K14" s="262">
        <f ca="1">+K9-SUM(K11:K13)</f>
        <v>180813.24000255414</v>
      </c>
      <c r="L14" s="111"/>
      <c r="M14" s="262">
        <f ca="1">+M9-SUM(M11:M13)</f>
        <v>180813.24000255414</v>
      </c>
      <c r="O14" s="114"/>
      <c r="P14" s="84"/>
      <c r="R14" s="142">
        <v>4</v>
      </c>
      <c r="S14" s="131">
        <f ca="1">IF((AK9/Investment*100)&gt;0,(AK9/Investment*100),0)</f>
        <v>187.0842393027682</v>
      </c>
      <c r="T14" s="147">
        <f ca="1">EXP(y_inter4-(slope*LN(S14)))</f>
        <v>8.2940638760609033</v>
      </c>
      <c r="U14" s="133">
        <f ca="1">(+S14*T14/100)/100</f>
        <v>0.15516886309814232</v>
      </c>
      <c r="V14" s="133">
        <f>regDebt_weighted</f>
        <v>3.5860000000000003E-2</v>
      </c>
      <c r="W14" s="133">
        <f ca="1">+U14-V14</f>
        <v>0.11930886309814231</v>
      </c>
      <c r="X14" s="133">
        <f ca="1">+((W14*(1-0.34))-Pfd_weighted)/Equity_percent</f>
        <v>0.21091235361852884</v>
      </c>
      <c r="Y14" s="133">
        <f>+Y13</f>
        <v>2.5000000000000001E-3</v>
      </c>
      <c r="Z14" s="133">
        <f ca="1">+X14+Y14</f>
        <v>0.21341235361852884</v>
      </c>
      <c r="AA14" s="133">
        <f ca="1">Z14*equityP</f>
        <v>0.10104959160608963</v>
      </c>
      <c r="AB14" s="133">
        <f ca="1">+AA14/(1-taxrate)</f>
        <v>0.12791087545074636</v>
      </c>
      <c r="AC14" s="133">
        <f>debtP*Debt_Rate</f>
        <v>1.3045639029238797E-2</v>
      </c>
      <c r="AD14" s="133">
        <f ca="1">+AC14+AB14</f>
        <v>0.14095651447998517</v>
      </c>
      <c r="AE14" s="133">
        <f ca="1">+AD14/(S14/100)</f>
        <v>7.5343874505573866E-2</v>
      </c>
      <c r="AF14" s="133">
        <f ca="1">1-AE14</f>
        <v>0.92465612549442611</v>
      </c>
      <c r="AG14" s="134">
        <f ca="1">expenses/(AF14)</f>
        <v>3307481.8948527505</v>
      </c>
      <c r="AH14" s="135">
        <f ca="1">+AG14-Revenue</f>
        <v>103656.40485275071</v>
      </c>
      <c r="AI14" s="136">
        <f ca="1">+AH14/$J$49</f>
        <v>124384.72854517901</v>
      </c>
      <c r="AJ14" s="136">
        <f ca="1">+AI14*$J$47</f>
        <v>11287.047749336125</v>
      </c>
      <c r="AK14" s="134">
        <f ca="1">ROUND(+AJ14+AG14,5)</f>
        <v>3318768.9426000002</v>
      </c>
    </row>
    <row r="15" spans="1:37" ht="16.2" thickTop="1">
      <c r="A15" s="84"/>
      <c r="B15" s="146" t="s">
        <v>213</v>
      </c>
      <c r="C15" s="263">
        <v>2.5000000000000001E-3</v>
      </c>
      <c r="D15" s="84"/>
      <c r="E15" s="84"/>
      <c r="F15" s="138">
        <f t="shared" si="0"/>
        <v>9</v>
      </c>
      <c r="G15" s="100"/>
      <c r="H15" s="100"/>
      <c r="I15" s="100"/>
      <c r="J15" s="100"/>
      <c r="K15" s="148"/>
      <c r="L15" s="100"/>
      <c r="M15" s="100"/>
      <c r="O15" s="114"/>
      <c r="P15" s="84"/>
      <c r="R15" s="103" t="s">
        <v>214</v>
      </c>
    </row>
    <row r="16" spans="1:37" ht="15.6">
      <c r="A16" s="84"/>
      <c r="B16" s="84"/>
      <c r="C16" s="84"/>
      <c r="D16" s="105" t="s">
        <v>215</v>
      </c>
      <c r="E16" s="84"/>
      <c r="F16" s="138">
        <f t="shared" si="0"/>
        <v>10</v>
      </c>
      <c r="G16" s="100"/>
      <c r="H16" s="128" t="s">
        <v>216</v>
      </c>
      <c r="I16" s="149">
        <f>+I8/I7</f>
        <v>0.9545724021433849</v>
      </c>
      <c r="J16" s="150"/>
      <c r="K16" s="149">
        <f ca="1">+K8/K7</f>
        <v>0.92383000000000004</v>
      </c>
      <c r="L16" s="151"/>
      <c r="M16" s="149">
        <f ca="1">+M8/M7</f>
        <v>0.92409618082928147</v>
      </c>
      <c r="O16" s="114"/>
      <c r="P16" s="84"/>
      <c r="R16" s="264">
        <v>1</v>
      </c>
      <c r="S16" s="265">
        <f ca="1">AK11/Investment*100</f>
        <v>186.64423873419798</v>
      </c>
      <c r="T16" s="266">
        <f ca="1">EXP(y_inter1-(slope*LN(+S16)))</f>
        <v>8.5638501259368542</v>
      </c>
      <c r="U16" s="267">
        <f ca="1">(+S16*T16/100)/100</f>
        <v>0.15983932873892498</v>
      </c>
      <c r="V16" s="267">
        <f>regDebt_weighted</f>
        <v>3.5860000000000003E-2</v>
      </c>
      <c r="W16" s="267">
        <f ca="1">+U16-V16</f>
        <v>0.12397932873892498</v>
      </c>
      <c r="X16" s="267">
        <f ca="1">+((W16*(1-0.34))-Pfd_weighted)/Equity_percent</f>
        <v>0.21987313072003045</v>
      </c>
      <c r="Y16" s="267">
        <f>+Y14</f>
        <v>2.5000000000000001E-3</v>
      </c>
      <c r="Z16" s="267">
        <f ca="1">+X16+Y16</f>
        <v>0.22237313072003045</v>
      </c>
      <c r="AA16" s="267">
        <f ca="1">Z16*equityP</f>
        <v>0.10529247094848457</v>
      </c>
      <c r="AB16" s="267">
        <f ca="1">+AA16/(1-taxrate)</f>
        <v>0.13328160879555007</v>
      </c>
      <c r="AC16" s="267">
        <f>debtP*Debt_Rate</f>
        <v>1.3045639029238797E-2</v>
      </c>
      <c r="AD16" s="267">
        <f ca="1">+AC16+AB16</f>
        <v>0.14632724782478887</v>
      </c>
      <c r="AE16" s="267">
        <f ca="1">+AD16/(S16/100)</f>
        <v>7.8399016662483237E-2</v>
      </c>
      <c r="AF16" s="267">
        <f ca="1">1-AE16</f>
        <v>0.92160098333751672</v>
      </c>
      <c r="AG16" s="268">
        <f ca="1">expenses/(AF16)</f>
        <v>3318446.3225745885</v>
      </c>
      <c r="AH16" s="269">
        <f ca="1">+AG16-Revenue</f>
        <v>114620.83257458871</v>
      </c>
      <c r="AI16" s="270">
        <f ca="1">+AH16/$J$49</f>
        <v>137541.72900039848</v>
      </c>
      <c r="AJ16" s="270">
        <f ca="1">+AI16*$J$47</f>
        <v>12480.95389933556</v>
      </c>
      <c r="AK16" s="268">
        <f ca="1">ROUND(+AJ16+AG16,5)</f>
        <v>3330927.2764699999</v>
      </c>
    </row>
    <row r="17" spans="1:37" ht="15.6">
      <c r="A17" s="84"/>
      <c r="B17" s="271" t="s">
        <v>217</v>
      </c>
      <c r="C17" s="152"/>
      <c r="D17" s="84" t="s">
        <v>218</v>
      </c>
      <c r="E17" s="84"/>
      <c r="F17" s="138">
        <f t="shared" si="0"/>
        <v>11</v>
      </c>
      <c r="G17" s="100"/>
      <c r="H17" s="100"/>
      <c r="I17" s="100"/>
      <c r="K17" s="100"/>
      <c r="L17" s="128"/>
      <c r="M17" s="128"/>
      <c r="N17" s="149"/>
      <c r="O17" s="84"/>
      <c r="P17" s="84"/>
      <c r="R17" s="130">
        <v>2</v>
      </c>
      <c r="S17" s="131">
        <f ca="1">AK12/Investment*100</f>
        <v>186.33177084491615</v>
      </c>
      <c r="T17" s="145">
        <f ca="1">EXP(y_inter2-(slope*LN(+S17)))</f>
        <v>8.4516812492352607</v>
      </c>
      <c r="U17" s="133">
        <f ca="1">(+S17*T17/100)/100</f>
        <v>0.15748167337867791</v>
      </c>
      <c r="V17" s="133">
        <f>regDebt_weighted</f>
        <v>3.5860000000000003E-2</v>
      </c>
      <c r="W17" s="133">
        <f ca="1">+U17-V17</f>
        <v>0.12162167337867791</v>
      </c>
      <c r="X17" s="133">
        <f ca="1">+((W17*(1-0.34))-Pfd_weighted)/Equity_percent</f>
        <v>0.21534972218002157</v>
      </c>
      <c r="Y17" s="133">
        <f>+Y16</f>
        <v>2.5000000000000001E-3</v>
      </c>
      <c r="Z17" s="133">
        <f ca="1">+X17+Y17</f>
        <v>0.21784972218002158</v>
      </c>
      <c r="AA17" s="133">
        <f ca="1">Z17*equityP</f>
        <v>0.10315066154577102</v>
      </c>
      <c r="AB17" s="133">
        <f ca="1">+AA17/(1-taxrate)</f>
        <v>0.1305704576528747</v>
      </c>
      <c r="AC17" s="133">
        <f>debtP*Debt_Rate</f>
        <v>1.3045639029238797E-2</v>
      </c>
      <c r="AD17" s="133">
        <f ca="1">+AC17+AB17</f>
        <v>0.1436160966821135</v>
      </c>
      <c r="AE17" s="133">
        <f ca="1">+AD17/(S17/100)</f>
        <v>7.7075474585407727E-2</v>
      </c>
      <c r="AF17" s="133">
        <f ca="1">1-AE17</f>
        <v>0.92292452541459225</v>
      </c>
      <c r="AG17" s="134">
        <f ca="1">expenses/(AF17)</f>
        <v>3313687.4249426601</v>
      </c>
      <c r="AH17" s="135">
        <f ca="1">+AG17-Revenue</f>
        <v>109861.93494266039</v>
      </c>
      <c r="AI17" s="136">
        <f ca="1">+AH17/$J$49</f>
        <v>131831.18761163845</v>
      </c>
      <c r="AJ17" s="136">
        <f ca="1">+AI17*$J$47</f>
        <v>11962.762043443192</v>
      </c>
      <c r="AK17" s="134">
        <f ca="1">ROUND(+AJ17+AG17,5)</f>
        <v>3325650.1869899998</v>
      </c>
    </row>
    <row r="18" spans="1:37" ht="15.6">
      <c r="A18" s="84"/>
      <c r="B18" s="297"/>
      <c r="C18" s="297"/>
      <c r="D18" s="84"/>
      <c r="E18" s="84"/>
      <c r="F18" s="138">
        <f t="shared" si="0"/>
        <v>12</v>
      </c>
      <c r="G18" s="100"/>
      <c r="H18" s="272" t="s">
        <v>219</v>
      </c>
      <c r="I18" s="273"/>
      <c r="J18" s="273"/>
      <c r="K18" s="273"/>
      <c r="L18" s="273"/>
      <c r="M18" s="274"/>
      <c r="O18" s="84"/>
      <c r="P18" s="84"/>
      <c r="R18" s="139">
        <v>3</v>
      </c>
      <c r="S18" s="131">
        <f ca="1">AK13/Investment*100</f>
        <v>186.12182040036976</v>
      </c>
      <c r="T18" s="132">
        <f ca="1">EXP(y_inter3-(slope*LN(S18)))</f>
        <v>8.3759637824029891</v>
      </c>
      <c r="U18" s="133">
        <f ca="1">(+S18*T18/100)/100</f>
        <v>0.15589496267884109</v>
      </c>
      <c r="V18" s="133">
        <f>regDebt_weighted</f>
        <v>3.5860000000000003E-2</v>
      </c>
      <c r="W18" s="133">
        <f ca="1">+U18-V18</f>
        <v>0.12003496267884109</v>
      </c>
      <c r="X18" s="133">
        <f ca="1">+((W18*(1-0.34))-Pfd_weighted)/Equity_percent</f>
        <v>0.21230545165126485</v>
      </c>
      <c r="Y18" s="133">
        <f>+Y17</f>
        <v>2.5000000000000001E-3</v>
      </c>
      <c r="Z18" s="133">
        <f ca="1">+X18+Y18</f>
        <v>0.21480545165126486</v>
      </c>
      <c r="AA18" s="133">
        <f ca="1">Z18*equityP</f>
        <v>0.10170921596657465</v>
      </c>
      <c r="AB18" s="133">
        <f ca="1">+AA18/(1-taxrate)</f>
        <v>0.12874584299566411</v>
      </c>
      <c r="AC18" s="133">
        <f>debtP*Debt_Rate</f>
        <v>1.3045639029238797E-2</v>
      </c>
      <c r="AD18" s="133">
        <f ca="1">+AC18+AB18</f>
        <v>0.14179148202490291</v>
      </c>
      <c r="AE18" s="133">
        <f ca="1">+AD18/(S18/100)</f>
        <v>7.6182084249924537E-2</v>
      </c>
      <c r="AF18" s="133">
        <f ca="1">1-AE18</f>
        <v>0.92381791575007544</v>
      </c>
      <c r="AG18" s="134">
        <f ca="1">expenses/(AF18)</f>
        <v>3310482.8796856524</v>
      </c>
      <c r="AH18" s="135">
        <f ca="1">+AG18-Revenue</f>
        <v>106657.38968565268</v>
      </c>
      <c r="AI18" s="136">
        <f ca="1">+AH18/$J$49</f>
        <v>127985.82472769634</v>
      </c>
      <c r="AJ18" s="136">
        <f ca="1">+AI18*$J$47</f>
        <v>11613.822145497321</v>
      </c>
      <c r="AK18" s="134">
        <f ca="1">ROUND(+AJ18+AG18,5)</f>
        <v>3322096.7018300002</v>
      </c>
    </row>
    <row r="19" spans="1:37" ht="15.6">
      <c r="A19" s="84"/>
      <c r="B19" s="298" t="s">
        <v>220</v>
      </c>
      <c r="C19" s="298"/>
      <c r="D19" s="84"/>
      <c r="E19" s="84"/>
      <c r="F19" s="138">
        <f t="shared" si="0"/>
        <v>13</v>
      </c>
      <c r="G19" s="100"/>
      <c r="H19" s="106"/>
      <c r="I19" s="128" t="s">
        <v>221</v>
      </c>
      <c r="J19" s="129">
        <f>+Revenue</f>
        <v>3203825.4899999998</v>
      </c>
      <c r="K19" s="153"/>
      <c r="L19" s="128" t="s">
        <v>222</v>
      </c>
      <c r="M19" s="154">
        <f ca="1">+J7</f>
        <v>106614.08658606792</v>
      </c>
      <c r="O19" s="84"/>
      <c r="P19" s="84"/>
      <c r="R19" s="142">
        <v>4</v>
      </c>
      <c r="S19" s="131">
        <f ca="1">AK14/Investment*100</f>
        <v>185.9877459836199</v>
      </c>
      <c r="T19" s="147">
        <f ca="1">EXP(y_inter4-(slope*LN(S19)))</f>
        <v>8.3274627211684766</v>
      </c>
      <c r="U19" s="133">
        <f ca="1">(+S19*T19/100)/100</f>
        <v>0.1548806021272747</v>
      </c>
      <c r="V19" s="133">
        <f>regDebt_weighted</f>
        <v>3.5860000000000003E-2</v>
      </c>
      <c r="W19" s="133">
        <f ca="1">+U19-V19</f>
        <v>0.11902060212727469</v>
      </c>
      <c r="X19" s="133">
        <f ca="1">+((W19*(1-0.34))-Pfd_weighted)/Equity_percent</f>
        <v>0.21035929477907353</v>
      </c>
      <c r="Y19" s="133">
        <f>+Y18</f>
        <v>2.5000000000000001E-3</v>
      </c>
      <c r="Z19" s="133">
        <f ca="1">+X19+Y19</f>
        <v>0.21285929477907353</v>
      </c>
      <c r="AA19" s="133">
        <f ca="1">Z19*equityP</f>
        <v>0.10078772124613385</v>
      </c>
      <c r="AB19" s="133">
        <f ca="1">+AA19/(1-taxrate)</f>
        <v>0.12757939398244791</v>
      </c>
      <c r="AC19" s="133">
        <f>debtP*Debt_Rate</f>
        <v>1.3045639029238797E-2</v>
      </c>
      <c r="AD19" s="133">
        <f ca="1">+AC19+AB19</f>
        <v>0.14062503301168672</v>
      </c>
      <c r="AE19" s="133">
        <f ca="1">+AD19/(S19/100)</f>
        <v>7.5609837770748436E-2</v>
      </c>
      <c r="AF19" s="133">
        <f ca="1">1-AE19</f>
        <v>0.92439016222925152</v>
      </c>
      <c r="AG19" s="134">
        <f ca="1">expenses/(AF19)</f>
        <v>3308433.5154132065</v>
      </c>
      <c r="AH19" s="135">
        <f ca="1">+AG19-Revenue</f>
        <v>104608.02541320678</v>
      </c>
      <c r="AI19" s="136">
        <f ca="1">+AH19/$J$49</f>
        <v>125526.64606835075</v>
      </c>
      <c r="AJ19" s="136">
        <f ca="1">+AI19*$J$47</f>
        <v>11390.668810865087</v>
      </c>
      <c r="AK19" s="134">
        <f ca="1">ROUND(+AJ19+AG19,5)</f>
        <v>3319824.1842200002</v>
      </c>
    </row>
    <row r="20" spans="1:37" ht="15.6">
      <c r="A20" s="84"/>
      <c r="B20" s="152"/>
      <c r="C20" s="84"/>
      <c r="D20" s="84"/>
      <c r="E20" s="84"/>
      <c r="F20" s="138">
        <f t="shared" si="0"/>
        <v>14</v>
      </c>
      <c r="G20" s="100"/>
      <c r="H20" s="106"/>
      <c r="I20" s="128" t="s">
        <v>223</v>
      </c>
      <c r="J20" s="129">
        <f ca="1">+J21-J19</f>
        <v>118223.19349806476</v>
      </c>
      <c r="K20" s="155"/>
      <c r="L20" s="128" t="s">
        <v>224</v>
      </c>
      <c r="M20" s="154">
        <f ca="1">+L8</f>
        <v>11609.106911996772</v>
      </c>
      <c r="O20" s="84"/>
      <c r="P20" s="84"/>
      <c r="R20" s="103" t="s">
        <v>225</v>
      </c>
    </row>
    <row r="21" spans="1:37" ht="16.2" thickBot="1">
      <c r="A21" s="84"/>
      <c r="B21" s="152"/>
      <c r="C21" s="152"/>
      <c r="D21" s="84"/>
      <c r="E21" s="84"/>
      <c r="F21" s="138">
        <f t="shared" si="0"/>
        <v>15</v>
      </c>
      <c r="G21" s="100"/>
      <c r="H21" s="106"/>
      <c r="I21" s="156" t="s">
        <v>219</v>
      </c>
      <c r="J21" s="157">
        <f ca="1">+M7</f>
        <v>3322048.6834980645</v>
      </c>
      <c r="L21" s="156" t="s">
        <v>223</v>
      </c>
      <c r="M21" s="158">
        <f ca="1">+M19+M20</f>
        <v>118223.19349806469</v>
      </c>
      <c r="O21" s="84"/>
      <c r="P21" s="84"/>
      <c r="R21" s="264">
        <v>1</v>
      </c>
      <c r="S21" s="265">
        <f ca="1">AK16/Investment*100</f>
        <v>186.66911342754506</v>
      </c>
      <c r="T21" s="266">
        <f ca="1">EXP(y_inter1-(slope*LN(+S21)))</f>
        <v>8.5630699186434693</v>
      </c>
      <c r="U21" s="267">
        <f ca="1">(+S21*T21/100)/100</f>
        <v>0.15984606699312567</v>
      </c>
      <c r="V21" s="267">
        <f>regDebt_weighted</f>
        <v>3.5860000000000003E-2</v>
      </c>
      <c r="W21" s="267">
        <f ca="1">+U21-V21</f>
        <v>0.12398606699312567</v>
      </c>
      <c r="X21" s="267">
        <f ca="1">+((W21*(1-0.34))-Pfd_weighted)/Equity_percent</f>
        <v>0.21988605876588063</v>
      </c>
      <c r="Y21" s="267">
        <f>+Y19</f>
        <v>2.5000000000000001E-3</v>
      </c>
      <c r="Z21" s="267">
        <f ca="1">+X21+Y21</f>
        <v>0.22238605876588063</v>
      </c>
      <c r="AA21" s="267">
        <f ca="1">Z21*equityP</f>
        <v>0.10529859230805572</v>
      </c>
      <c r="AB21" s="267">
        <f ca="1">+AA21/(1-taxrate)</f>
        <v>0.13328935735196926</v>
      </c>
      <c r="AC21" s="267">
        <f>debtP*Debt_Rate</f>
        <v>1.3045639029238797E-2</v>
      </c>
      <c r="AD21" s="267">
        <f ca="1">+AC21+AB21</f>
        <v>0.14633499638120806</v>
      </c>
      <c r="AE21" s="267">
        <f ca="1">+AD21/(S21/100)</f>
        <v>7.8392720517209427E-2</v>
      </c>
      <c r="AF21" s="267">
        <f ca="1">1-AE21</f>
        <v>0.92160727948279053</v>
      </c>
      <c r="AG21" s="268">
        <f ca="1">expenses/(AF21)</f>
        <v>3318423.6519418848</v>
      </c>
      <c r="AH21" s="269">
        <f ca="1">+AG21-Revenue</f>
        <v>114598.16194188502</v>
      </c>
      <c r="AI21" s="270">
        <f ca="1">+AH21/$J$49</f>
        <v>137514.52488793866</v>
      </c>
      <c r="AJ21" s="270">
        <f ca="1">+AI21*$J$47</f>
        <v>12478.485315612272</v>
      </c>
      <c r="AK21" s="268">
        <f ca="1">ROUND(+AJ21+AG21,5)</f>
        <v>3330902.1372600002</v>
      </c>
    </row>
    <row r="22" spans="1:37" ht="21" customHeight="1" thickTop="1">
      <c r="A22" s="84"/>
      <c r="B22" s="152"/>
      <c r="C22" s="84"/>
      <c r="D22" s="84"/>
      <c r="E22" s="84"/>
      <c r="F22" s="138">
        <f t="shared" si="0"/>
        <v>16</v>
      </c>
      <c r="G22" s="100"/>
      <c r="H22" s="159"/>
      <c r="I22" s="160"/>
      <c r="J22" s="161" t="s">
        <v>226</v>
      </c>
      <c r="K22" s="162">
        <f ca="1">+(J21/J19)-1</f>
        <v>3.6900634528026277E-2</v>
      </c>
      <c r="L22" s="160"/>
      <c r="M22" s="163"/>
      <c r="O22" s="84"/>
      <c r="P22" s="84"/>
      <c r="R22" s="130">
        <v>2</v>
      </c>
      <c r="S22" s="131">
        <f ca="1">AK17/Investment*100</f>
        <v>186.37337907703312</v>
      </c>
      <c r="T22" s="145">
        <f ca="1">EXP(y_inter2-(slope*LN(+S22)))</f>
        <v>8.450391217621668</v>
      </c>
      <c r="U22" s="133">
        <f ca="1">(+S22*T22/100)/100</f>
        <v>0.15749279657510346</v>
      </c>
      <c r="V22" s="133">
        <f>regDebt_weighted</f>
        <v>3.5860000000000003E-2</v>
      </c>
      <c r="W22" s="133">
        <f ca="1">+U22-V22</f>
        <v>0.12163279657510345</v>
      </c>
      <c r="X22" s="133">
        <f ca="1">+((W22*(1-0.34))-Pfd_weighted)/Equity_percent</f>
        <v>0.21537106319641938</v>
      </c>
      <c r="Y22" s="133">
        <f>+Y21</f>
        <v>2.5000000000000001E-3</v>
      </c>
      <c r="Z22" s="133">
        <f ca="1">+X22+Y22</f>
        <v>0.21787106319641938</v>
      </c>
      <c r="AA22" s="133">
        <f ca="1">Z22*equityP</f>
        <v>0.10316076640125334</v>
      </c>
      <c r="AB22" s="133">
        <f ca="1">+AA22/(1-taxrate)</f>
        <v>0.13058324860918144</v>
      </c>
      <c r="AC22" s="133">
        <f>debtP*Debt_Rate</f>
        <v>1.3045639029238797E-2</v>
      </c>
      <c r="AD22" s="133">
        <f ca="1">+AC22+AB22</f>
        <v>0.14362888763842024</v>
      </c>
      <c r="AE22" s="133">
        <f ca="1">+AD22/(S22/100)</f>
        <v>7.7065130411706789E-2</v>
      </c>
      <c r="AF22" s="133">
        <f ca="1">1-AE22</f>
        <v>0.92293486958829318</v>
      </c>
      <c r="AG22" s="134">
        <f ca="1">expenses/(AF22)</f>
        <v>3313650.2854223717</v>
      </c>
      <c r="AH22" s="135">
        <f ca="1">+AG22-Revenue</f>
        <v>109824.79542237194</v>
      </c>
      <c r="AI22" s="136">
        <f ca="1">+AH22/$J$49</f>
        <v>131786.6212468688</v>
      </c>
      <c r="AJ22" s="136">
        <f ca="1">+AI22*$J$47</f>
        <v>11958.717956254573</v>
      </c>
      <c r="AK22" s="134">
        <f ca="1">ROUND(+AJ22+AG22,5)</f>
        <v>3325609.0033800001</v>
      </c>
    </row>
    <row r="23" spans="1:37" ht="15.6">
      <c r="A23" s="84"/>
      <c r="B23" s="164" t="s">
        <v>227</v>
      </c>
      <c r="C23" s="165"/>
      <c r="D23" s="165"/>
      <c r="E23" s="165"/>
      <c r="F23" s="138">
        <f t="shared" si="0"/>
        <v>17</v>
      </c>
      <c r="H23" s="100"/>
      <c r="I23" s="100"/>
      <c r="J23" s="100"/>
      <c r="K23" s="100"/>
      <c r="L23" s="100"/>
      <c r="M23" s="100"/>
      <c r="N23" s="100"/>
      <c r="O23" s="84"/>
      <c r="P23" s="84"/>
      <c r="R23" s="139">
        <v>3</v>
      </c>
      <c r="S23" s="131">
        <f ca="1">AK18/Investment*100</f>
        <v>186.17423755596752</v>
      </c>
      <c r="T23" s="132">
        <f ca="1">EXP(y_inter3-(slope*LN(S23)))</f>
        <v>8.3743514502231893</v>
      </c>
      <c r="U23" s="133">
        <f ca="1">(+S23*T23/100)/100</f>
        <v>0.1559088496271013</v>
      </c>
      <c r="V23" s="133">
        <f>regDebt_weighted</f>
        <v>3.5860000000000003E-2</v>
      </c>
      <c r="W23" s="133">
        <f ca="1">+U23-V23</f>
        <v>0.1200488496271013</v>
      </c>
      <c r="X23" s="133">
        <f ca="1">+((W23*(1-0.34))-Pfd_weighted)/Equity_percent</f>
        <v>0.21233209521478738</v>
      </c>
      <c r="Y23" s="133">
        <f>+Y22</f>
        <v>2.5000000000000001E-3</v>
      </c>
      <c r="Z23" s="133">
        <f ca="1">+X23+Y23</f>
        <v>0.21483209521478738</v>
      </c>
      <c r="AA23" s="133">
        <f ca="1">Z23*equityP</f>
        <v>0.10172183154935245</v>
      </c>
      <c r="AB23" s="133">
        <f ca="1">+AA23/(1-taxrate)</f>
        <v>0.12876181208778792</v>
      </c>
      <c r="AC23" s="133">
        <f>debtP*Debt_Rate</f>
        <v>1.3045639029238797E-2</v>
      </c>
      <c r="AD23" s="133">
        <f ca="1">+AC23+AB23</f>
        <v>0.14180745111702672</v>
      </c>
      <c r="AE23" s="133">
        <f ca="1">+AD23/(S23/100)</f>
        <v>7.6169212764680569E-2</v>
      </c>
      <c r="AF23" s="133">
        <f ca="1">1-AE23</f>
        <v>0.92383078723531942</v>
      </c>
      <c r="AG23" s="134">
        <f ca="1">expenses/(AF23)</f>
        <v>3310436.7556203743</v>
      </c>
      <c r="AH23" s="135">
        <f ca="1">+AG23-Revenue</f>
        <v>106611.26562037459</v>
      </c>
      <c r="AI23" s="136">
        <f ca="1">+AH23/$J$49</f>
        <v>127930.47716526481</v>
      </c>
      <c r="AJ23" s="136">
        <f ca="1">+AI23*$J$47</f>
        <v>11608.799739714226</v>
      </c>
      <c r="AK23" s="134">
        <f ca="1">ROUND(+AJ23+AG23,5)</f>
        <v>3322045.5553600001</v>
      </c>
    </row>
    <row r="24" spans="1:37" ht="15.6">
      <c r="A24" s="84"/>
      <c r="B24" s="166" t="s">
        <v>228</v>
      </c>
      <c r="C24" s="165"/>
      <c r="D24" s="165"/>
      <c r="E24" s="165"/>
      <c r="F24" s="138">
        <f t="shared" si="0"/>
        <v>18</v>
      </c>
      <c r="H24" s="167" t="s">
        <v>229</v>
      </c>
      <c r="K24" s="168" t="s">
        <v>230</v>
      </c>
      <c r="L24" s="168"/>
      <c r="M24" s="168"/>
      <c r="N24" s="168"/>
      <c r="O24" s="84"/>
      <c r="P24" s="84"/>
      <c r="R24" s="142">
        <v>4</v>
      </c>
      <c r="S24" s="131">
        <f ca="1">AK19/Investment*100</f>
        <v>186.0468829750063</v>
      </c>
      <c r="T24" s="147">
        <f ca="1">EXP(y_inter4-(slope*LN(S24)))</f>
        <v>8.325652974089417</v>
      </c>
      <c r="U24" s="133">
        <f ca="1">(+S24*T24/100)/100</f>
        <v>0.15489617845609269</v>
      </c>
      <c r="V24" s="133">
        <f>regDebt_weighted</f>
        <v>3.5860000000000003E-2</v>
      </c>
      <c r="W24" s="133">
        <f ca="1">+U24-V24</f>
        <v>0.11903617845609268</v>
      </c>
      <c r="X24" s="133">
        <f ca="1">+((W24*(1-0.34))-Pfd_weighted)/Equity_percent</f>
        <v>0.21038917959599179</v>
      </c>
      <c r="Y24" s="133">
        <f>+Y23</f>
        <v>2.5000000000000001E-3</v>
      </c>
      <c r="Z24" s="133">
        <f ca="1">+X24+Y24</f>
        <v>0.2128891795959918</v>
      </c>
      <c r="AA24" s="133">
        <f ca="1">Z24*equityP</f>
        <v>0.10080187154480967</v>
      </c>
      <c r="AB24" s="133">
        <f ca="1">+AA24/(1-taxrate)</f>
        <v>0.12759730575292363</v>
      </c>
      <c r="AC24" s="133">
        <f>debtP*Debt_Rate</f>
        <v>1.3045639029238797E-2</v>
      </c>
      <c r="AD24" s="133">
        <f ca="1">+AC24+AB24</f>
        <v>0.14064294478216244</v>
      </c>
      <c r="AE24" s="133">
        <f ca="1">+AD24/(S24/100)</f>
        <v>7.559543193263632E-2</v>
      </c>
      <c r="AF24" s="133">
        <f ca="1">1-AE24</f>
        <v>0.92440456806736371</v>
      </c>
      <c r="AG24" s="134">
        <f ca="1">expenses/(AF24)</f>
        <v>3308381.957081201</v>
      </c>
      <c r="AH24" s="135">
        <f ca="1">+AG24-Revenue</f>
        <v>104556.46708120126</v>
      </c>
      <c r="AI24" s="136">
        <f ca="1">+AH24/$J$49</f>
        <v>125464.77754088388</v>
      </c>
      <c r="AJ24" s="136">
        <f ca="1">+AI24*$J$47</f>
        <v>11385.054672924945</v>
      </c>
      <c r="AK24" s="134">
        <f ca="1">ROUND(+AJ24+AG24,5)</f>
        <v>3319767.0117500001</v>
      </c>
    </row>
    <row r="25" spans="1:37" ht="15.6">
      <c r="A25" s="84"/>
      <c r="B25" s="166" t="s">
        <v>231</v>
      </c>
      <c r="C25" s="165"/>
      <c r="D25" s="165"/>
      <c r="E25" s="165"/>
      <c r="F25" s="138">
        <f t="shared" si="0"/>
        <v>19</v>
      </c>
      <c r="H25" s="169" t="s">
        <v>232</v>
      </c>
      <c r="I25" s="170" t="s">
        <v>233</v>
      </c>
      <c r="J25" s="171" t="s">
        <v>234</v>
      </c>
      <c r="K25" s="169" t="s">
        <v>235</v>
      </c>
      <c r="L25" s="171" t="s">
        <v>236</v>
      </c>
      <c r="M25" s="171" t="s">
        <v>234</v>
      </c>
      <c r="O25" s="84"/>
      <c r="P25" s="84"/>
      <c r="R25" s="103" t="s">
        <v>237</v>
      </c>
      <c r="W25" s="172"/>
      <c r="X25" s="173"/>
      <c r="Y25" s="173"/>
      <c r="Z25" s="173"/>
      <c r="AA25" s="132"/>
      <c r="AB25" s="132"/>
      <c r="AC25" s="173"/>
      <c r="AE25" s="173"/>
      <c r="AF25" s="173"/>
      <c r="AG25" s="132"/>
      <c r="AH25" s="172"/>
    </row>
    <row r="26" spans="1:37" ht="15.6">
      <c r="A26" s="84"/>
      <c r="B26" s="166" t="s">
        <v>238</v>
      </c>
      <c r="C26" s="165"/>
      <c r="D26" s="165"/>
      <c r="E26" s="165"/>
      <c r="F26" s="138">
        <f t="shared" si="0"/>
        <v>20</v>
      </c>
      <c r="H26" s="128" t="s">
        <v>190</v>
      </c>
      <c r="I26" s="174">
        <f>1-I27</f>
        <v>0.47349457467075295</v>
      </c>
      <c r="J26" s="175">
        <f>+I26*J28</f>
        <v>844904.63637603726</v>
      </c>
      <c r="K26" s="149">
        <f ca="1">+K34</f>
        <v>0.21400431743172557</v>
      </c>
      <c r="L26" s="174">
        <f ca="1">+K26*I26</f>
        <v>0.10132988326003971</v>
      </c>
      <c r="M26" s="129">
        <f ca="1">+J26*K26</f>
        <v>180813.24000255414</v>
      </c>
      <c r="O26" s="84"/>
      <c r="P26" s="84"/>
      <c r="R26" s="264">
        <v>1</v>
      </c>
      <c r="S26" s="265">
        <f ca="1">AK21/Investment*100</f>
        <v>186.66770459641384</v>
      </c>
      <c r="T26" s="266">
        <f ca="1">EXP(y_inter1-(slope*LN(+S26)))</f>
        <v>8.5631141026655708</v>
      </c>
      <c r="U26" s="267">
        <f ca="1">(+S26*T26/100)/100</f>
        <v>0.15984568537417623</v>
      </c>
      <c r="V26" s="267">
        <f>regDebt_weighted</f>
        <v>3.5860000000000003E-2</v>
      </c>
      <c r="W26" s="267">
        <f ca="1">+U26-V26</f>
        <v>0.12398568537417623</v>
      </c>
      <c r="X26" s="267">
        <f ca="1">+((W26*(1-0.34))-Pfd_weighted)/Equity_percent</f>
        <v>0.21988532658998924</v>
      </c>
      <c r="Y26" s="267">
        <f>+Y24</f>
        <v>2.5000000000000001E-3</v>
      </c>
      <c r="Z26" s="267">
        <f ca="1">+X26+Y26</f>
        <v>0.22238532658998925</v>
      </c>
      <c r="AA26" s="267">
        <f ca="1">Z26*equityP</f>
        <v>0.10529824562674345</v>
      </c>
      <c r="AB26" s="267">
        <f ca="1">+AA26/(1-taxrate)</f>
        <v>0.13328891851486513</v>
      </c>
      <c r="AC26" s="267">
        <f>debtP*Debt_Rate</f>
        <v>1.3045639029238797E-2</v>
      </c>
      <c r="AD26" s="267">
        <f ca="1">+AC26+AB26</f>
        <v>0.14633455754410393</v>
      </c>
      <c r="AE26" s="267">
        <f ca="1">+AD26/(S26/100)</f>
        <v>7.8393077078055651E-2</v>
      </c>
      <c r="AF26" s="267">
        <f ca="1">1-AE26</f>
        <v>0.92160692292194435</v>
      </c>
      <c r="AG26" s="268">
        <f ca="1">expenses/(AF26)</f>
        <v>3318424.9358080495</v>
      </c>
      <c r="AH26" s="269">
        <f ca="1">+AG26-Revenue</f>
        <v>114599.44580804976</v>
      </c>
      <c r="AI26" s="270">
        <f ca="1">+AH26/$J$49</f>
        <v>137516.06549070813</v>
      </c>
      <c r="AJ26" s="270">
        <f ca="1">+AI26*$J$47</f>
        <v>12478.625114582974</v>
      </c>
      <c r="AK26" s="268">
        <f ca="1">ROUND(+AJ26+AG26,5)</f>
        <v>3330903.5609200001</v>
      </c>
    </row>
    <row r="27" spans="1:37" ht="15.6">
      <c r="A27" s="84"/>
      <c r="B27" s="166" t="s">
        <v>239</v>
      </c>
      <c r="C27" s="165"/>
      <c r="D27" s="165"/>
      <c r="E27" s="165"/>
      <c r="F27" s="138">
        <f t="shared" si="0"/>
        <v>21</v>
      </c>
      <c r="H27" s="128" t="s">
        <v>192</v>
      </c>
      <c r="I27" s="174">
        <f>IF(A64=TRUE,C8,0)</f>
        <v>0.52650542532924705</v>
      </c>
      <c r="J27" s="176">
        <f>+I27*J28</f>
        <v>939497.30099261436</v>
      </c>
      <c r="K27" s="149">
        <f>IF(A64=TRUE,C9,0)</f>
        <v>2.4777786517737748E-2</v>
      </c>
      <c r="L27" s="174">
        <f>+K27*I27</f>
        <v>1.3045639029238797E-2</v>
      </c>
      <c r="M27" s="129">
        <f>+K27*J27</f>
        <v>23278.663557985805</v>
      </c>
      <c r="O27" s="84"/>
      <c r="P27" s="84"/>
      <c r="R27" s="130">
        <v>2</v>
      </c>
      <c r="S27" s="131">
        <f ca="1">AK22/Investment*100</f>
        <v>186.37107109870504</v>
      </c>
      <c r="T27" s="145">
        <f ca="1">EXP(y_inter2-(slope*LN(+S27)))</f>
        <v>8.4504627620327657</v>
      </c>
      <c r="U27" s="133">
        <f ca="1">(+S27*T27/100)/100</f>
        <v>0.1574921796239768</v>
      </c>
      <c r="V27" s="133">
        <f>regDebt_weighted</f>
        <v>3.5860000000000003E-2</v>
      </c>
      <c r="W27" s="133">
        <f ca="1">+U27-V27</f>
        <v>0.12163217962397679</v>
      </c>
      <c r="X27" s="133">
        <f ca="1">+((W27*(1-0.34))-Pfd_weighted)/Equity_percent</f>
        <v>0.21536987951111825</v>
      </c>
      <c r="Y27" s="133">
        <f>+Y26</f>
        <v>2.5000000000000001E-3</v>
      </c>
      <c r="Z27" s="133">
        <f ca="1">+X27+Y27</f>
        <v>0.21786987951111825</v>
      </c>
      <c r="AA27" s="133">
        <f ca="1">Z27*equityP</f>
        <v>0.10316020593268513</v>
      </c>
      <c r="AB27" s="133">
        <f ca="1">+AA27/(1-taxrate)</f>
        <v>0.13058253915529763</v>
      </c>
      <c r="AC27" s="133">
        <f>debtP*Debt_Rate</f>
        <v>1.3045639029238797E-2</v>
      </c>
      <c r="AD27" s="133">
        <f ca="1">+AC27+AB27</f>
        <v>0.14362817818453644</v>
      </c>
      <c r="AE27" s="133">
        <f ca="1">+AD27/(S27/100)</f>
        <v>7.7065704101935806E-2</v>
      </c>
      <c r="AF27" s="133">
        <f ca="1">1-AE27</f>
        <v>0.92293429589806419</v>
      </c>
      <c r="AG27" s="134">
        <f ca="1">expenses/(AF27)</f>
        <v>3313652.3451668187</v>
      </c>
      <c r="AH27" s="135">
        <f ca="1">+AG27-Revenue</f>
        <v>109826.85516681895</v>
      </c>
      <c r="AI27" s="136">
        <f ca="1">+AH27/$J$49</f>
        <v>131789.09288144149</v>
      </c>
      <c r="AJ27" s="136">
        <f ca="1">+AI27*$J$47</f>
        <v>11958.942239876584</v>
      </c>
      <c r="AK27" s="134">
        <f ca="1">ROUND(+AJ27+AG27,5)</f>
        <v>3325611.2874099999</v>
      </c>
    </row>
    <row r="28" spans="1:37" ht="16.2" thickBot="1">
      <c r="A28" s="84"/>
      <c r="B28" s="84"/>
      <c r="C28" s="84"/>
      <c r="D28" s="84"/>
      <c r="E28" s="84"/>
      <c r="F28" s="138">
        <f t="shared" si="0"/>
        <v>22</v>
      </c>
      <c r="H28" s="128" t="s">
        <v>9</v>
      </c>
      <c r="I28" s="174">
        <f>SUM(I26:I27)</f>
        <v>1</v>
      </c>
      <c r="J28" s="177">
        <f>IF(A64=TRUE,C7,0)</f>
        <v>1784401.9373686516</v>
      </c>
      <c r="K28" s="178"/>
      <c r="L28" s="179">
        <f ca="1">SUM(L26:L27)</f>
        <v>0.1143755222892785</v>
      </c>
      <c r="M28" s="177">
        <f ca="1">SUM(M26:M27)</f>
        <v>204091.90356053994</v>
      </c>
      <c r="O28" s="84"/>
      <c r="P28" s="84"/>
      <c r="R28" s="139">
        <v>3</v>
      </c>
      <c r="S28" s="131">
        <f ca="1">AK23/Investment*100</f>
        <v>186.17137124715398</v>
      </c>
      <c r="T28" s="132">
        <f ca="1">EXP(y_inter3-(slope*LN(S28)))</f>
        <v>8.3744395970596326</v>
      </c>
      <c r="U28" s="133">
        <f ca="1">(+S28*T28/100)/100</f>
        <v>0.15590809032110556</v>
      </c>
      <c r="V28" s="133">
        <f>regDebt_weighted</f>
        <v>3.5860000000000003E-2</v>
      </c>
      <c r="W28" s="133">
        <f ca="1">+U28-V28</f>
        <v>0.12004809032110556</v>
      </c>
      <c r="X28" s="133">
        <f ca="1">+((W28*(1-0.34))-Pfd_weighted)/Equity_percent</f>
        <v>0.21233063840677227</v>
      </c>
      <c r="Y28" s="133">
        <f>+Y27</f>
        <v>2.5000000000000001E-3</v>
      </c>
      <c r="Z28" s="133">
        <f ca="1">+X28+Y28</f>
        <v>0.21483063840677227</v>
      </c>
      <c r="AA28" s="133">
        <f ca="1">Z28*equityP</f>
        <v>0.10172114175866097</v>
      </c>
      <c r="AB28" s="133">
        <f ca="1">+AA28/(1-taxrate)</f>
        <v>0.12876093893501389</v>
      </c>
      <c r="AC28" s="133">
        <f>debtP*Debt_Rate</f>
        <v>1.3045639029238797E-2</v>
      </c>
      <c r="AD28" s="133">
        <f ca="1">+AC28+AB28</f>
        <v>0.14180657796425269</v>
      </c>
      <c r="AE28" s="133">
        <f ca="1">+AD28/(S28/100)</f>
        <v>7.61699164669071E-2</v>
      </c>
      <c r="AF28" s="133">
        <f ca="1">1-AE28</f>
        <v>0.92383008353309293</v>
      </c>
      <c r="AG28" s="134">
        <f ca="1">expenses/(AF28)</f>
        <v>3310439.277254771</v>
      </c>
      <c r="AH28" s="135">
        <f ca="1">+AG28-Revenue</f>
        <v>106613.78725477122</v>
      </c>
      <c r="AI28" s="136">
        <f ca="1">+AH28/$J$49</f>
        <v>127933.50305459948</v>
      </c>
      <c r="AJ28" s="136">
        <f ca="1">+AI28*$J$47</f>
        <v>11609.074318095385</v>
      </c>
      <c r="AK28" s="134">
        <f ca="1">ROUND(+AJ28+AG28,5)</f>
        <v>3322048.3515699999</v>
      </c>
    </row>
    <row r="29" spans="1:37" ht="16.2" thickTop="1">
      <c r="A29" s="84"/>
      <c r="B29" s="84"/>
      <c r="C29" s="84"/>
      <c r="D29" s="84"/>
      <c r="E29" s="84"/>
      <c r="F29" s="138">
        <f t="shared" si="0"/>
        <v>23</v>
      </c>
      <c r="G29" s="100"/>
      <c r="H29" s="100"/>
      <c r="I29" s="100"/>
      <c r="J29" s="100"/>
      <c r="K29" s="100"/>
      <c r="L29" s="100"/>
      <c r="M29" s="100"/>
      <c r="N29" s="100"/>
      <c r="O29" s="84"/>
      <c r="P29" s="84"/>
      <c r="R29" s="142">
        <v>4</v>
      </c>
      <c r="S29" s="131">
        <f ca="1">AK24/Investment*100</f>
        <v>186.04367896200881</v>
      </c>
      <c r="T29" s="147">
        <f ca="1">EXP(y_inter4-(slope*LN(S29)))</f>
        <v>8.3257510004762594</v>
      </c>
      <c r="U29" s="133">
        <f ca="1">(+S29*T29/100)/100</f>
        <v>0.15489533462502289</v>
      </c>
      <c r="V29" s="133">
        <f>regDebt_weighted</f>
        <v>3.5860000000000003E-2</v>
      </c>
      <c r="W29" s="133">
        <f ca="1">+U29-V29</f>
        <v>0.11903533462502289</v>
      </c>
      <c r="X29" s="133">
        <f ca="1">+((W29*(1-0.34))-Pfd_weighted)/Equity_percent</f>
        <v>0.21038756061777644</v>
      </c>
      <c r="Y29" s="133">
        <f>+Y28</f>
        <v>2.5000000000000001E-3</v>
      </c>
      <c r="Z29" s="133">
        <f ca="1">+X29+Y29</f>
        <v>0.21288756061777644</v>
      </c>
      <c r="AA29" s="133">
        <f ca="1">Z29*equityP</f>
        <v>0.1008011049674082</v>
      </c>
      <c r="AB29" s="133">
        <f ca="1">+AA29/(1-taxrate)</f>
        <v>0.12759633540178253</v>
      </c>
      <c r="AC29" s="133">
        <f>debtP*Debt_Rate</f>
        <v>1.3045639029238797E-2</v>
      </c>
      <c r="AD29" s="133">
        <f ca="1">+AC29+AB29</f>
        <v>0.14064197443102133</v>
      </c>
      <c r="AE29" s="133">
        <f ca="1">+AD29/(S29/100)</f>
        <v>7.5596212252791034E-2</v>
      </c>
      <c r="AF29" s="133">
        <f ca="1">1-AE29</f>
        <v>0.92440378774720899</v>
      </c>
      <c r="AG29" s="134">
        <f ca="1">expenses/(AF29)</f>
        <v>3308384.7497970625</v>
      </c>
      <c r="AH29" s="135">
        <f ca="1">+AG29-Revenue</f>
        <v>104559.25979706272</v>
      </c>
      <c r="AI29" s="136">
        <f ca="1">+AH29/$J$49</f>
        <v>125468.1287202425</v>
      </c>
      <c r="AJ29" s="136">
        <f ca="1">+AI29*$J$47</f>
        <v>11385.358769110062</v>
      </c>
      <c r="AK29" s="134">
        <f ca="1">ROUND(+AJ29+AG29,5)</f>
        <v>3319770.1085700002</v>
      </c>
    </row>
    <row r="30" spans="1:37" ht="15.6">
      <c r="A30" s="84"/>
      <c r="B30" s="180" t="s">
        <v>240</v>
      </c>
      <c r="C30" s="180"/>
      <c r="D30" s="181"/>
      <c r="E30" s="84"/>
      <c r="F30" s="138">
        <f t="shared" si="0"/>
        <v>24</v>
      </c>
      <c r="G30" s="100"/>
      <c r="H30" s="100"/>
      <c r="I30" s="100"/>
      <c r="J30" s="182" t="s">
        <v>241</v>
      </c>
      <c r="K30" s="182" t="s">
        <v>242</v>
      </c>
      <c r="L30" s="100"/>
      <c r="M30" s="100"/>
      <c r="N30" s="100"/>
      <c r="O30" s="84"/>
      <c r="P30" s="84"/>
      <c r="R30" s="103" t="s">
        <v>243</v>
      </c>
      <c r="W30" s="172"/>
      <c r="X30" s="173"/>
      <c r="Z30" s="173"/>
      <c r="AA30" s="132"/>
      <c r="AB30" s="132"/>
      <c r="AC30" s="173"/>
      <c r="AE30" s="173"/>
      <c r="AF30" s="173"/>
      <c r="AG30" s="132"/>
      <c r="AH30" s="172"/>
      <c r="AJ30" s="132"/>
    </row>
    <row r="31" spans="1:37" ht="15.6">
      <c r="A31" s="84"/>
      <c r="B31" s="84" t="s">
        <v>244</v>
      </c>
      <c r="C31" s="183">
        <f ca="1">+J7</f>
        <v>106614.08658606792</v>
      </c>
      <c r="D31" s="181"/>
      <c r="E31" s="84"/>
      <c r="F31" s="138">
        <f t="shared" si="0"/>
        <v>25</v>
      </c>
      <c r="G31" s="100"/>
      <c r="H31" s="184" t="s">
        <v>245</v>
      </c>
      <c r="I31" s="185"/>
      <c r="J31" s="186" t="s">
        <v>246</v>
      </c>
      <c r="K31" s="186" t="s">
        <v>246</v>
      </c>
      <c r="L31" s="299"/>
      <c r="M31" s="299"/>
      <c r="N31" s="299"/>
      <c r="O31" s="84"/>
      <c r="P31" s="84"/>
      <c r="R31" s="264">
        <v>1</v>
      </c>
      <c r="S31" s="265">
        <f ca="1">AK26/Investment*100</f>
        <v>186.66778438000799</v>
      </c>
      <c r="T31" s="266">
        <f ca="1">EXP(y_inter1-(slope*LN(+S31)))</f>
        <v>8.5631116004627579</v>
      </c>
      <c r="U31" s="267">
        <f ca="1">(+S31*T31/100)/100</f>
        <v>0.15984570698571271</v>
      </c>
      <c r="V31" s="267">
        <f>regDebt_weighted</f>
        <v>3.5860000000000003E-2</v>
      </c>
      <c r="W31" s="267">
        <f ca="1">+U31-V31</f>
        <v>0.12398570698571271</v>
      </c>
      <c r="X31" s="267">
        <f ca="1">+((W31*(1-0.34))-Pfd_weighted)/Equity_percent</f>
        <v>0.21988536805398368</v>
      </c>
      <c r="Y31" s="267">
        <f>+Y29</f>
        <v>2.5000000000000001E-3</v>
      </c>
      <c r="Z31" s="267">
        <f ca="1">+X31+Y31</f>
        <v>0.22238536805398368</v>
      </c>
      <c r="AA31" s="267">
        <f ca="1">Z31*equityP</f>
        <v>0.10529826525971986</v>
      </c>
      <c r="AB31" s="267">
        <f ca="1">+AA31/(1-taxrate)</f>
        <v>0.133288943366734</v>
      </c>
      <c r="AC31" s="267">
        <f>debtP*Debt_Rate</f>
        <v>1.3045639029238797E-2</v>
      </c>
      <c r="AD31" s="267">
        <f ca="1">+AC31+AB31</f>
        <v>0.1463345823959728</v>
      </c>
      <c r="AE31" s="267">
        <f ca="1">+AD31/(S31/100)</f>
        <v>7.839305688552714E-2</v>
      </c>
      <c r="AF31" s="267">
        <f ca="1">1-AE31</f>
        <v>0.92160694311447289</v>
      </c>
      <c r="AG31" s="268">
        <f ca="1">expenses/(AF31)</f>
        <v>3318424.8631009255</v>
      </c>
      <c r="AH31" s="269">
        <f ca="1">+AG31-Revenue</f>
        <v>114599.3731009257</v>
      </c>
      <c r="AI31" s="270">
        <f ca="1">+AH31/$J$49</f>
        <v>137515.97824423356</v>
      </c>
      <c r="AJ31" s="270">
        <f ca="1">+AI31*$J$47</f>
        <v>12478.617197573096</v>
      </c>
      <c r="AK31" s="268">
        <f ca="1">ROUND(+AJ31+AG31,5)</f>
        <v>3330903.4802999999</v>
      </c>
    </row>
    <row r="32" spans="1:37" ht="15.6">
      <c r="A32" s="84"/>
      <c r="B32" s="84" t="s">
        <v>247</v>
      </c>
      <c r="C32" s="183">
        <f ca="1">J7/12</f>
        <v>8884.5072155056605</v>
      </c>
      <c r="D32" s="181"/>
      <c r="E32" s="84"/>
      <c r="F32" s="138">
        <f t="shared" si="0"/>
        <v>26</v>
      </c>
      <c r="G32" s="100"/>
      <c r="H32" s="111"/>
      <c r="I32" s="111"/>
      <c r="J32" s="111"/>
      <c r="K32" s="111"/>
      <c r="L32" s="100"/>
      <c r="M32" s="100"/>
      <c r="N32" s="100"/>
      <c r="O32" s="84"/>
      <c r="P32" s="84"/>
      <c r="R32" s="130">
        <v>2</v>
      </c>
      <c r="S32" s="131">
        <f ca="1">AK27/Investment*100</f>
        <v>186.37119909845399</v>
      </c>
      <c r="T32" s="145">
        <f ca="1">EXP(y_inter2-(slope*LN(+S32)))</f>
        <v>8.4504587941632607</v>
      </c>
      <c r="U32" s="133">
        <f ca="1">(+S32*T32/100)/100</f>
        <v>0.15749221384002823</v>
      </c>
      <c r="V32" s="133">
        <f>regDebt_weighted</f>
        <v>3.5860000000000003E-2</v>
      </c>
      <c r="W32" s="133">
        <f ca="1">+U32-V32</f>
        <v>0.12163221384002823</v>
      </c>
      <c r="X32" s="133">
        <f ca="1">+((W32*(1-0.34))-Pfd_weighted)/Equity_percent</f>
        <v>0.21536994515819366</v>
      </c>
      <c r="Y32" s="133">
        <f>+Y31</f>
        <v>2.5000000000000001E-3</v>
      </c>
      <c r="Z32" s="133">
        <f ca="1">+X32+Y32</f>
        <v>0.21786994515819366</v>
      </c>
      <c r="AA32" s="133">
        <f ca="1">Z32*equityP</f>
        <v>0.10316023701621918</v>
      </c>
      <c r="AB32" s="133">
        <f ca="1">+AA32/(1-taxrate)</f>
        <v>0.13058257850154326</v>
      </c>
      <c r="AC32" s="133">
        <f>debtP*Debt_Rate</f>
        <v>1.3045639029238797E-2</v>
      </c>
      <c r="AD32" s="133">
        <f ca="1">+AC32+AB32</f>
        <v>0.14362821753078206</v>
      </c>
      <c r="AE32" s="133">
        <f ca="1">+AD32/(S32/100)</f>
        <v>7.7065672284969217E-2</v>
      </c>
      <c r="AF32" s="133">
        <f ca="1">1-AE32</f>
        <v>0.92293432771503081</v>
      </c>
      <c r="AG32" s="134">
        <f ca="1">expenses/(AF32)</f>
        <v>3313652.2309329421</v>
      </c>
      <c r="AH32" s="135">
        <f ca="1">+AG32-Revenue</f>
        <v>109826.74093294237</v>
      </c>
      <c r="AI32" s="136">
        <f ca="1">+AH32/$J$49</f>
        <v>131788.95580404863</v>
      </c>
      <c r="AJ32" s="136">
        <f ca="1">+AI32*$J$47</f>
        <v>11958.929801057955</v>
      </c>
      <c r="AK32" s="134">
        <f ca="1">ROUND(+AJ32+AG32,5)</f>
        <v>3325611.1607300001</v>
      </c>
    </row>
    <row r="33" spans="1:48" ht="15.6">
      <c r="A33" s="84"/>
      <c r="B33" s="84" t="s">
        <v>248</v>
      </c>
      <c r="C33" s="187">
        <f ca="1">J7/Revenue</f>
        <v>3.3277120404603538E-2</v>
      </c>
      <c r="D33" s="84"/>
      <c r="E33" s="84"/>
      <c r="F33" s="138">
        <f t="shared" si="0"/>
        <v>27</v>
      </c>
      <c r="G33" s="100"/>
      <c r="H33" s="111" t="s">
        <v>249</v>
      </c>
      <c r="I33" s="111"/>
      <c r="J33" s="188">
        <f ca="1">+K9/J28</f>
        <v>0.14131131404194727</v>
      </c>
      <c r="K33" s="188">
        <f ca="1">+(M14+M11)/J28</f>
        <v>0.1143755222892785</v>
      </c>
      <c r="L33" s="128"/>
      <c r="M33" s="128"/>
      <c r="N33" s="129"/>
      <c r="O33" s="84"/>
      <c r="P33" s="84"/>
      <c r="R33" s="139">
        <v>3</v>
      </c>
      <c r="S33" s="131">
        <f ca="1">AK28/Investment*100</f>
        <v>186.17152795007729</v>
      </c>
      <c r="T33" s="132">
        <f ca="1">EXP(y_inter3-(slope*LN(S33)))</f>
        <v>8.374434777957056</v>
      </c>
      <c r="U33" s="133">
        <f ca="1">(+S33*T33/100)/100</f>
        <v>0.15590813183305313</v>
      </c>
      <c r="V33" s="133">
        <f>regDebt_weighted</f>
        <v>3.5860000000000003E-2</v>
      </c>
      <c r="W33" s="133">
        <f ca="1">+U33-V33</f>
        <v>0.12004813183305313</v>
      </c>
      <c r="X33" s="133">
        <f ca="1">+((W33*(1-0.34))-Pfd_weighted)/Equity_percent</f>
        <v>0.21233071805178799</v>
      </c>
      <c r="Y33" s="133">
        <f>+Y32</f>
        <v>2.5000000000000001E-3</v>
      </c>
      <c r="Z33" s="133">
        <f ca="1">+X33+Y33</f>
        <v>0.21483071805178799</v>
      </c>
      <c r="AA33" s="133">
        <f ca="1">Z33*equityP</f>
        <v>0.10172117947014381</v>
      </c>
      <c r="AB33" s="133">
        <f ca="1">+AA33/(1-taxrate)</f>
        <v>0.12876098667106811</v>
      </c>
      <c r="AC33" s="133">
        <f>debtP*Debt_Rate</f>
        <v>1.3045639029238797E-2</v>
      </c>
      <c r="AD33" s="133">
        <f ca="1">+AC33+AB33</f>
        <v>0.14180662570030692</v>
      </c>
      <c r="AE33" s="133">
        <f ca="1">+AD33/(S33/100)</f>
        <v>7.6169877994627072E-2</v>
      </c>
      <c r="AF33" s="133">
        <f ca="1">1-AE33</f>
        <v>0.92383012200537296</v>
      </c>
      <c r="AG33" s="134">
        <f ca="1">expenses/(AF33)</f>
        <v>3310439.1393937687</v>
      </c>
      <c r="AH33" s="135">
        <f ca="1">+AG33-Revenue</f>
        <v>106613.64939376898</v>
      </c>
      <c r="AI33" s="136">
        <f ca="1">+AH33/$J$49</f>
        <v>127933.33762532992</v>
      </c>
      <c r="AJ33" s="136">
        <f ca="1">+AI33*$J$47</f>
        <v>11609.059306541421</v>
      </c>
      <c r="AK33" s="134">
        <f ca="1">ROUND(+AJ33+AG33,5)</f>
        <v>3322048.1987000001</v>
      </c>
    </row>
    <row r="34" spans="1:48" ht="15.6">
      <c r="A34" s="84"/>
      <c r="B34" s="84"/>
      <c r="C34" s="84"/>
      <c r="D34" s="84"/>
      <c r="E34" s="84"/>
      <c r="F34" s="138">
        <f t="shared" si="0"/>
        <v>28</v>
      </c>
      <c r="G34" s="100"/>
      <c r="H34" s="111" t="s">
        <v>250</v>
      </c>
      <c r="I34" s="111"/>
      <c r="J34" s="188">
        <f ca="1">+(M9-M11)/J26</f>
        <v>0.27089154105281715</v>
      </c>
      <c r="K34" s="188">
        <f ca="1">+M14/J26</f>
        <v>0.21400431743172557</v>
      </c>
      <c r="L34" s="128"/>
      <c r="M34" s="128"/>
      <c r="N34" s="129"/>
      <c r="O34" s="189"/>
      <c r="P34" s="84"/>
      <c r="R34" s="142">
        <v>4</v>
      </c>
      <c r="S34" s="131">
        <f ca="1">AK29/Investment*100</f>
        <v>186.04385251147295</v>
      </c>
      <c r="T34" s="147">
        <f ca="1">EXP(y_inter4-(slope*LN(S34)))</f>
        <v>8.3257456906787635</v>
      </c>
      <c r="U34" s="133">
        <f ca="1">(+S34*T34/100)/100</f>
        <v>0.15489538033246714</v>
      </c>
      <c r="V34" s="133">
        <f>regDebt_weighted</f>
        <v>3.5860000000000003E-2</v>
      </c>
      <c r="W34" s="133">
        <f ca="1">+U34-V34</f>
        <v>0.11903538033246713</v>
      </c>
      <c r="X34" s="133">
        <f ca="1">+((W34*(1-0.34))-Pfd_weighted)/Equity_percent</f>
        <v>0.21038764831229156</v>
      </c>
      <c r="Y34" s="133">
        <f>+Y33</f>
        <v>2.5000000000000001E-3</v>
      </c>
      <c r="Z34" s="133">
        <f ca="1">+X34+Y34</f>
        <v>0.21288764831229157</v>
      </c>
      <c r="AA34" s="133">
        <f ca="1">Z34*equityP</f>
        <v>0.10080114649028533</v>
      </c>
      <c r="AB34" s="133">
        <f ca="1">+AA34/(1-taxrate)</f>
        <v>0.12759638796238648</v>
      </c>
      <c r="AC34" s="133">
        <f>debtP*Debt_Rate</f>
        <v>1.3045639029238797E-2</v>
      </c>
      <c r="AD34" s="133">
        <f ca="1">+AC34+AB34</f>
        <v>0.14064202699162529</v>
      </c>
      <c r="AE34" s="133">
        <f ca="1">+AD34/(S34/100)</f>
        <v>7.5596169985220105E-2</v>
      </c>
      <c r="AF34" s="133">
        <f ca="1">1-AE34</f>
        <v>0.92440383001477988</v>
      </c>
      <c r="AG34" s="134">
        <f ca="1">expenses/(AF34)</f>
        <v>3308384.5985240126</v>
      </c>
      <c r="AH34" s="135">
        <f ca="1">+AG34-Revenue</f>
        <v>104559.10852401285</v>
      </c>
      <c r="AI34" s="136">
        <f ca="1">+AH34/$J$49</f>
        <v>125467.94719689841</v>
      </c>
      <c r="AJ34" s="136">
        <f ca="1">+AI34*$J$47</f>
        <v>11385.342297130936</v>
      </c>
      <c r="AK34" s="134">
        <f ca="1">ROUND(+AJ34+AG34,5)</f>
        <v>3319769.9408200001</v>
      </c>
    </row>
    <row r="35" spans="1:48" ht="15.6">
      <c r="A35" s="84"/>
      <c r="B35" s="84"/>
      <c r="C35" s="84"/>
      <c r="D35" s="84"/>
      <c r="E35" s="84"/>
      <c r="F35" s="138">
        <f t="shared" si="0"/>
        <v>29</v>
      </c>
      <c r="G35" s="100"/>
      <c r="H35" s="190" t="s">
        <v>194</v>
      </c>
      <c r="I35" s="111"/>
      <c r="J35" s="188">
        <f ca="1">+K8/K7</f>
        <v>0.92383000000000004</v>
      </c>
      <c r="K35" s="188">
        <f ca="1">+M8/M7</f>
        <v>0.92409618082928147</v>
      </c>
      <c r="L35" s="128"/>
      <c r="M35" s="128"/>
      <c r="N35" s="129"/>
      <c r="O35" s="84"/>
      <c r="P35" s="84"/>
      <c r="R35" s="103" t="s">
        <v>251</v>
      </c>
      <c r="X35" s="173"/>
      <c r="Y35" s="173"/>
      <c r="Z35" s="173"/>
      <c r="AA35" s="191"/>
      <c r="AB35" s="132"/>
      <c r="AC35" s="173"/>
      <c r="AE35" s="173"/>
      <c r="AF35" s="173"/>
      <c r="AG35" s="132"/>
      <c r="AH35" s="172"/>
      <c r="AJ35" s="132"/>
    </row>
    <row r="36" spans="1:48" ht="15.6">
      <c r="A36" s="84"/>
      <c r="B36" s="84"/>
      <c r="C36" s="84"/>
      <c r="D36" s="84"/>
      <c r="E36" s="84"/>
      <c r="F36" s="138">
        <f t="shared" si="0"/>
        <v>30</v>
      </c>
      <c r="G36" s="100"/>
      <c r="H36" s="111" t="s">
        <v>252</v>
      </c>
      <c r="I36" s="111"/>
      <c r="J36" s="188">
        <f ca="1">+K9/K7</f>
        <v>7.6169999999999974E-2</v>
      </c>
      <c r="K36" s="188">
        <f ca="1">+J36</f>
        <v>7.6169999999999974E-2</v>
      </c>
      <c r="L36" s="100"/>
      <c r="M36" s="100"/>
      <c r="N36" s="129"/>
      <c r="O36" s="84"/>
      <c r="P36" s="84"/>
      <c r="R36" s="264">
        <v>1</v>
      </c>
      <c r="S36" s="265">
        <f ca="1">AK31/Investment*100</f>
        <v>186.66777986196763</v>
      </c>
      <c r="T36" s="266">
        <f ca="1">EXP(y_inter1-(slope*LN(+S36)))</f>
        <v>8.5631117421591814</v>
      </c>
      <c r="U36" s="267">
        <f ca="1">(+S36*T36/100)/100</f>
        <v>0.15984570576188001</v>
      </c>
      <c r="V36" s="267">
        <f>regDebt_weighted</f>
        <v>3.5860000000000003E-2</v>
      </c>
      <c r="W36" s="267">
        <f ca="1">+U36-V36</f>
        <v>0.12398570576188001</v>
      </c>
      <c r="X36" s="267">
        <f ca="1">+((W36*(1-0.34))-Pfd_weighted)/Equity_percent</f>
        <v>0.21988536570593253</v>
      </c>
      <c r="Y36" s="267">
        <f>+Y34</f>
        <v>2.5000000000000001E-3</v>
      </c>
      <c r="Z36" s="267">
        <f ca="1">+X36+Y36</f>
        <v>0.22238536570593254</v>
      </c>
      <c r="AA36" s="267">
        <f ca="1">Z36*equityP</f>
        <v>0.10529826414793038</v>
      </c>
      <c r="AB36" s="267">
        <f ca="1">+AA36/(1-taxrate)</f>
        <v>0.13328894195940555</v>
      </c>
      <c r="AC36" s="267">
        <f>debtP*Debt_Rate</f>
        <v>1.3045639029238797E-2</v>
      </c>
      <c r="AD36" s="267">
        <f ca="1">+AC36+AB36</f>
        <v>0.14633458098864435</v>
      </c>
      <c r="AE36" s="267">
        <f ca="1">+AD36/(S36/100)</f>
        <v>7.839305802900326E-2</v>
      </c>
      <c r="AF36" s="267">
        <f ca="1">1-AE36</f>
        <v>0.92160694197099668</v>
      </c>
      <c r="AG36" s="268">
        <f ca="1">expenses/(AF36)</f>
        <v>3318424.8672182336</v>
      </c>
      <c r="AH36" s="269">
        <f ca="1">+AG36-Revenue</f>
        <v>114599.37721823389</v>
      </c>
      <c r="AI36" s="270">
        <f ca="1">+AH36/$J$49</f>
        <v>137515.98318488593</v>
      </c>
      <c r="AJ36" s="270">
        <f ca="1">+AI36*$J$47</f>
        <v>12478.617645902887</v>
      </c>
      <c r="AK36" s="268">
        <f ca="1">ROUND(+AJ36+AG36,5)</f>
        <v>3330903.4848600002</v>
      </c>
    </row>
    <row r="37" spans="1:48" ht="15.6">
      <c r="A37" s="84"/>
      <c r="B37" s="84"/>
      <c r="C37" s="84"/>
      <c r="D37" s="114"/>
      <c r="E37" s="84"/>
      <c r="F37" s="138">
        <f t="shared" si="0"/>
        <v>31</v>
      </c>
      <c r="G37" s="100"/>
      <c r="H37" s="111" t="s">
        <v>253</v>
      </c>
      <c r="I37" s="192"/>
      <c r="J37" s="193">
        <f ca="1">+S39/100</f>
        <v>1.8604384311056408</v>
      </c>
      <c r="K37" s="193">
        <f ca="1">+J37</f>
        <v>1.8604384311056408</v>
      </c>
      <c r="L37" s="100"/>
      <c r="M37" s="100"/>
      <c r="N37" s="100"/>
      <c r="O37" s="84"/>
      <c r="P37" s="84"/>
      <c r="R37" s="130">
        <v>2</v>
      </c>
      <c r="S37" s="131">
        <f ca="1">AK32/Investment*100</f>
        <v>186.37119199915662</v>
      </c>
      <c r="T37" s="145">
        <f ca="1">EXP(y_inter2-(slope*LN(+S37)))</f>
        <v>8.4504590142345517</v>
      </c>
      <c r="U37" s="133">
        <f ca="1">(+S37*T37/100)/100</f>
        <v>0.15749221194229115</v>
      </c>
      <c r="V37" s="133">
        <f>regDebt_weighted</f>
        <v>3.5860000000000003E-2</v>
      </c>
      <c r="W37" s="133">
        <f ca="1">+U37-V37</f>
        <v>0.12163221194229115</v>
      </c>
      <c r="X37" s="133">
        <f ca="1">+((W37*(1-0.34))-Pfd_weighted)/Equity_percent</f>
        <v>0.21536994151718647</v>
      </c>
      <c r="Y37" s="133">
        <f>+Y36</f>
        <v>2.5000000000000001E-3</v>
      </c>
      <c r="Z37" s="133">
        <f ca="1">+X37+Y37</f>
        <v>0.21786994151718647</v>
      </c>
      <c r="AA37" s="133">
        <f ca="1">Z37*equityP</f>
        <v>0.10316023529222203</v>
      </c>
      <c r="AB37" s="133">
        <f ca="1">+AA37/(1-taxrate)</f>
        <v>0.1305825763192684</v>
      </c>
      <c r="AC37" s="133">
        <f>debtP*Debt_Rate</f>
        <v>1.3045639029238797E-2</v>
      </c>
      <c r="AD37" s="133">
        <f ca="1">+AC37+AB37</f>
        <v>0.1436282153485072</v>
      </c>
      <c r="AE37" s="133">
        <f ca="1">+AD37/(S37/100)</f>
        <v>7.7065674049644511E-2</v>
      </c>
      <c r="AF37" s="133">
        <f ca="1">1-AE37</f>
        <v>0.92293432595035552</v>
      </c>
      <c r="AG37" s="134">
        <f ca="1">expenses/(AF37)</f>
        <v>3313652.2372687347</v>
      </c>
      <c r="AH37" s="135">
        <f ca="1">+AG37-Revenue</f>
        <v>109826.74726873497</v>
      </c>
      <c r="AI37" s="136">
        <f ca="1">+AH37/$J$49</f>
        <v>131788.96340681901</v>
      </c>
      <c r="AJ37" s="136">
        <f ca="1">+AI37*$J$47</f>
        <v>11958.930490956411</v>
      </c>
      <c r="AK37" s="134">
        <f ca="1">ROUND(+AJ37+AG37,5)</f>
        <v>3325611.1677600001</v>
      </c>
    </row>
    <row r="38" spans="1:48" ht="15.6">
      <c r="A38" s="84"/>
      <c r="B38" s="84"/>
      <c r="C38" s="84"/>
      <c r="D38" s="114"/>
      <c r="E38" s="84"/>
      <c r="F38" s="138">
        <f t="shared" si="0"/>
        <v>32</v>
      </c>
      <c r="G38" s="100"/>
      <c r="H38" s="111" t="s">
        <v>254</v>
      </c>
      <c r="I38" s="100"/>
      <c r="J38" s="188">
        <f>+C10</f>
        <v>0.21</v>
      </c>
      <c r="K38" s="188">
        <f>+J38</f>
        <v>0.21</v>
      </c>
      <c r="L38" s="100"/>
      <c r="M38" s="100"/>
      <c r="N38" s="100"/>
      <c r="O38" s="84"/>
      <c r="P38" s="84"/>
      <c r="Q38" s="194"/>
      <c r="R38" s="139">
        <v>3</v>
      </c>
      <c r="S38" s="131">
        <f ca="1">AK33/Investment*100</f>
        <v>186.17151938306128</v>
      </c>
      <c r="T38" s="132">
        <f ca="1">EXP(y_inter3-(slope*LN(S38)))</f>
        <v>8.3744350414192805</v>
      </c>
      <c r="U38" s="133">
        <f ca="1">(+S38*T38/100)/100</f>
        <v>0.15590812956357772</v>
      </c>
      <c r="V38" s="133">
        <f>regDebt_weighted</f>
        <v>3.5860000000000003E-2</v>
      </c>
      <c r="W38" s="133">
        <f ca="1">+U38-V38</f>
        <v>0.12004812956357772</v>
      </c>
      <c r="X38" s="133">
        <f ca="1">+((W38*(1-0.34))-Pfd_weighted)/Equity_percent</f>
        <v>0.2123307136975619</v>
      </c>
      <c r="Y38" s="133">
        <f>+Y37</f>
        <v>2.5000000000000001E-3</v>
      </c>
      <c r="Z38" s="133">
        <f ca="1">+X38+Y38</f>
        <v>0.2148307136975619</v>
      </c>
      <c r="AA38" s="133">
        <f ca="1">Z38*equityP</f>
        <v>0.10172117740844137</v>
      </c>
      <c r="AB38" s="133">
        <f ca="1">+AA38/(1-taxrate)</f>
        <v>0.1287609840613182</v>
      </c>
      <c r="AC38" s="133">
        <f>debtP*Debt_Rate</f>
        <v>1.3045639029238797E-2</v>
      </c>
      <c r="AD38" s="133">
        <f ca="1">+AC38+AB38</f>
        <v>0.141806623090557</v>
      </c>
      <c r="AE38" s="133">
        <f ca="1">+AD38/(S38/100)</f>
        <v>7.6169880097921791E-2</v>
      </c>
      <c r="AF38" s="133">
        <f ca="1">1-AE38</f>
        <v>0.9238301199020782</v>
      </c>
      <c r="AG38" s="134">
        <f ca="1">expenses/(AF38)</f>
        <v>3310439.1469306839</v>
      </c>
      <c r="AH38" s="135">
        <f ca="1">+AG38-Revenue</f>
        <v>106613.65693068411</v>
      </c>
      <c r="AI38" s="136">
        <f ca="1">+AH38/$J$49</f>
        <v>127933.34666941305</v>
      </c>
      <c r="AJ38" s="136">
        <f ca="1">+AI38*$J$47</f>
        <v>11609.060127228971</v>
      </c>
      <c r="AK38" s="134">
        <f ca="1">ROUND(+AJ38+AG38,5)</f>
        <v>3322048.2070599999</v>
      </c>
    </row>
    <row r="39" spans="1:48" ht="15.6">
      <c r="A39" s="84"/>
      <c r="B39" s="84"/>
      <c r="C39" s="84"/>
      <c r="D39" s="181"/>
      <c r="E39" s="84"/>
      <c r="F39" s="138">
        <f t="shared" si="0"/>
        <v>33</v>
      </c>
      <c r="G39" s="100"/>
      <c r="H39" s="100"/>
      <c r="I39" s="100"/>
      <c r="J39" s="100"/>
      <c r="K39" s="100"/>
      <c r="L39" s="100"/>
      <c r="M39" s="100"/>
      <c r="N39" s="100"/>
      <c r="O39" s="84"/>
      <c r="P39" s="84"/>
      <c r="R39" s="142">
        <v>4</v>
      </c>
      <c r="S39" s="131">
        <f ca="1">AK34/Investment*100</f>
        <v>186.04384311056407</v>
      </c>
      <c r="T39" s="147">
        <f ca="1">EXP(y_inter4-(slope*LN(S39)))</f>
        <v>8.3257459783021552</v>
      </c>
      <c r="U39" s="133">
        <f ca="1">(+S39*T39/100)/100</f>
        <v>0.1548953778565656</v>
      </c>
      <c r="V39" s="133">
        <f>regDebt_weighted</f>
        <v>3.5860000000000003E-2</v>
      </c>
      <c r="W39" s="133">
        <f ca="1">+U39-V39</f>
        <v>0.11903537785656559</v>
      </c>
      <c r="X39" s="133">
        <f ca="1">+((W39*(1-0.34))-Pfd_weighted)/Equity_percent</f>
        <v>0.21038764356201536</v>
      </c>
      <c r="Y39" s="133">
        <f>+Y38</f>
        <v>2.5000000000000001E-3</v>
      </c>
      <c r="Z39" s="133">
        <f ca="1">+X39+Y39</f>
        <v>0.21288764356201537</v>
      </c>
      <c r="AA39" s="133">
        <f ca="1">Z39*equityP</f>
        <v>0.10080114424105532</v>
      </c>
      <c r="AB39" s="133">
        <f ca="1">+AA39/(1-taxrate)</f>
        <v>0.12759638511525989</v>
      </c>
      <c r="AC39" s="133">
        <f>debtP*Debt_Rate</f>
        <v>1.3045639029238797E-2</v>
      </c>
      <c r="AD39" s="133">
        <f ca="1">+AC39+AB39</f>
        <v>0.1406420241444987</v>
      </c>
      <c r="AE39" s="133">
        <f ca="1">+AD39/(S39/100)</f>
        <v>7.5596172274788195E-2</v>
      </c>
      <c r="AF39" s="133">
        <f ca="1">1-AE39</f>
        <v>0.92440382772521179</v>
      </c>
      <c r="AG39" s="134">
        <f ca="1">expenses/(AF39)</f>
        <v>3308384.6067182361</v>
      </c>
      <c r="AH39" s="135">
        <f ca="1">+AG39-Revenue</f>
        <v>104559.11671823636</v>
      </c>
      <c r="AI39" s="136">
        <f ca="1">+AH39/$J$49</f>
        <v>125467.95702973285</v>
      </c>
      <c r="AJ39" s="136">
        <f ca="1">+AI39*$J$47</f>
        <v>11385.343189392172</v>
      </c>
      <c r="AK39" s="134">
        <f ca="1">ROUND(+AJ39+AG39,5)</f>
        <v>3319769.94991</v>
      </c>
    </row>
    <row r="40" spans="1:48" ht="15.6">
      <c r="A40" s="84"/>
      <c r="B40" s="84"/>
      <c r="C40" s="84"/>
      <c r="D40" s="84"/>
      <c r="E40" s="84"/>
      <c r="F40" s="138">
        <f t="shared" si="0"/>
        <v>34</v>
      </c>
      <c r="G40" s="192"/>
      <c r="H40" s="100"/>
      <c r="I40" s="100"/>
      <c r="J40" s="100"/>
      <c r="K40" s="100"/>
      <c r="L40" s="100"/>
      <c r="M40" s="100"/>
      <c r="N40" s="100"/>
      <c r="O40" s="84"/>
      <c r="P40" s="84"/>
      <c r="X40" s="173"/>
      <c r="Y40" s="173"/>
      <c r="Z40" s="173"/>
      <c r="AA40" s="191"/>
      <c r="AB40" s="132"/>
      <c r="AC40" s="173"/>
      <c r="AE40" s="173"/>
      <c r="AF40" s="173"/>
      <c r="AG40" s="132"/>
      <c r="AH40" s="172"/>
      <c r="AJ40" s="132"/>
    </row>
    <row r="41" spans="1:48" ht="15.6">
      <c r="A41" s="84"/>
      <c r="B41" s="84"/>
      <c r="C41" s="84"/>
      <c r="D41" s="84"/>
      <c r="E41" s="84"/>
      <c r="F41" s="138">
        <f t="shared" si="0"/>
        <v>35</v>
      </c>
      <c r="G41" s="100"/>
      <c r="H41" s="184" t="s">
        <v>255</v>
      </c>
      <c r="I41" s="195"/>
      <c r="J41" s="100"/>
      <c r="K41" s="100"/>
      <c r="L41" s="100"/>
      <c r="M41" s="100"/>
      <c r="N41" s="100"/>
      <c r="O41" s="84"/>
      <c r="P41" s="84"/>
      <c r="R41" s="275" t="s">
        <v>256</v>
      </c>
      <c r="S41" s="276"/>
      <c r="T41" s="273"/>
      <c r="U41" s="273"/>
      <c r="V41" s="274"/>
      <c r="X41" s="196"/>
      <c r="Y41" s="196"/>
      <c r="Z41" s="196"/>
      <c r="AA41" s="191"/>
      <c r="AB41" s="132"/>
      <c r="AC41" s="173"/>
      <c r="AE41" s="173"/>
      <c r="AF41" s="173"/>
      <c r="AG41" s="132"/>
      <c r="AH41" s="172"/>
      <c r="AJ41" s="132"/>
    </row>
    <row r="42" spans="1:48" ht="15.6">
      <c r="A42" s="84"/>
      <c r="B42" s="84"/>
      <c r="C42" s="84"/>
      <c r="D42" s="84"/>
      <c r="E42" s="84"/>
      <c r="F42" s="138">
        <f t="shared" si="0"/>
        <v>36</v>
      </c>
      <c r="G42" s="100"/>
      <c r="H42" s="100"/>
      <c r="I42" s="100"/>
      <c r="J42" s="197" t="s">
        <v>257</v>
      </c>
      <c r="K42" s="198" t="s">
        <v>195</v>
      </c>
      <c r="L42" s="100"/>
      <c r="M42" s="100"/>
      <c r="N42" s="100"/>
      <c r="O42" s="84"/>
      <c r="P42" s="84"/>
      <c r="R42" s="199" t="s">
        <v>258</v>
      </c>
      <c r="S42" s="200"/>
      <c r="V42" s="201"/>
      <c r="X42" s="173"/>
      <c r="Y42" s="173"/>
      <c r="Z42" s="173"/>
      <c r="AA42" s="191"/>
      <c r="AB42" s="132"/>
      <c r="AC42" s="173"/>
      <c r="AE42" s="173"/>
      <c r="AF42" s="173"/>
      <c r="AG42" s="132"/>
      <c r="AJ42" s="132"/>
    </row>
    <row r="43" spans="1:48" ht="15.6">
      <c r="A43" s="84"/>
      <c r="B43" s="84"/>
      <c r="C43" s="84"/>
      <c r="D43" s="84"/>
      <c r="E43" s="84"/>
      <c r="F43" s="138">
        <f t="shared" si="0"/>
        <v>37</v>
      </c>
      <c r="G43" s="100"/>
      <c r="H43" s="111" t="s">
        <v>259</v>
      </c>
      <c r="I43" s="202"/>
      <c r="J43" s="203">
        <f>IF(A64=TRUE,C11,0)</f>
        <v>1.7500000000000002E-2</v>
      </c>
      <c r="K43" s="204">
        <f ca="1">+J43*($J$7/$J$49)</f>
        <v>2238.8425892632754</v>
      </c>
      <c r="L43" s="100"/>
      <c r="M43" s="100"/>
      <c r="N43" s="100"/>
      <c r="O43" s="84"/>
      <c r="P43" s="84"/>
      <c r="R43" s="139">
        <v>0</v>
      </c>
      <c r="S43" s="205">
        <v>1</v>
      </c>
      <c r="U43" s="206" t="s">
        <v>252</v>
      </c>
      <c r="V43" s="207">
        <f ca="1">VLOOKUP(R48,R36:AG39,14)</f>
        <v>7.6169880097921791E-2</v>
      </c>
      <c r="AC43" s="173"/>
      <c r="AE43" s="173"/>
      <c r="AJ43" s="132"/>
      <c r="AN43" s="173"/>
      <c r="AO43" s="173"/>
      <c r="AP43" s="173"/>
      <c r="AQ43" s="173"/>
      <c r="AR43" s="173"/>
      <c r="AS43" s="173"/>
      <c r="AT43" s="173"/>
      <c r="AU43" s="173"/>
      <c r="AV43" s="173"/>
    </row>
    <row r="44" spans="1:48" ht="15.6">
      <c r="A44" s="84"/>
      <c r="B44" s="84"/>
      <c r="C44" s="84"/>
      <c r="D44" s="84"/>
      <c r="E44" s="84"/>
      <c r="F44" s="138">
        <f t="shared" si="0"/>
        <v>38</v>
      </c>
      <c r="G44" s="100"/>
      <c r="H44" s="111" t="s">
        <v>260</v>
      </c>
      <c r="I44" s="202"/>
      <c r="J44" s="203">
        <f>IF(A64=TRUE,C12,0)</f>
        <v>5.1000000000000004E-3</v>
      </c>
      <c r="K44" s="204">
        <f ca="1">+J44*($J$7/$J$49)</f>
        <v>652.46269744244023</v>
      </c>
      <c r="L44" s="100"/>
      <c r="M44" s="100"/>
      <c r="N44" s="100"/>
      <c r="O44" s="84"/>
      <c r="P44" s="84"/>
      <c r="R44" s="139">
        <v>50</v>
      </c>
      <c r="S44" s="205">
        <v>2</v>
      </c>
      <c r="U44" s="206" t="s">
        <v>194</v>
      </c>
      <c r="V44" s="207">
        <f ca="1">ROUND(1-V43,6)</f>
        <v>0.92383000000000004</v>
      </c>
      <c r="AA44" s="208"/>
      <c r="AB44" s="103"/>
      <c r="AC44" s="103"/>
      <c r="AE44" s="173"/>
      <c r="AH44" s="172"/>
      <c r="AJ44" s="132"/>
      <c r="AN44" s="173"/>
      <c r="AO44" s="173"/>
      <c r="AP44" s="173"/>
      <c r="AQ44" s="173"/>
      <c r="AR44" s="173"/>
      <c r="AS44" s="173"/>
      <c r="AT44" s="173"/>
      <c r="AU44" s="173"/>
      <c r="AV44" s="173"/>
    </row>
    <row r="45" spans="1:48" ht="15.6">
      <c r="A45" s="84"/>
      <c r="B45" s="84"/>
      <c r="C45" s="84"/>
      <c r="D45" s="84"/>
      <c r="E45" s="84"/>
      <c r="F45" s="138">
        <f t="shared" si="0"/>
        <v>39</v>
      </c>
      <c r="G45" s="100"/>
      <c r="H45" s="111" t="s">
        <v>261</v>
      </c>
      <c r="I45" s="202"/>
      <c r="J45" s="203">
        <f>IF(A64=TRUE,C13,0)</f>
        <v>6.3799999999999996E-2</v>
      </c>
      <c r="K45" s="204">
        <f ca="1">+J45*($J$7/$J$49)</f>
        <v>8162.1804111426818</v>
      </c>
      <c r="L45" s="100"/>
      <c r="M45" s="100"/>
      <c r="N45" s="100"/>
      <c r="O45" s="84"/>
      <c r="P45" s="84"/>
      <c r="R45" s="139">
        <v>125</v>
      </c>
      <c r="S45" s="205">
        <v>3</v>
      </c>
      <c r="U45" s="94" t="s">
        <v>262</v>
      </c>
      <c r="V45" s="209">
        <f ca="1">+M7/Revenue-1</f>
        <v>3.6900634528026277E-2</v>
      </c>
      <c r="W45" s="136"/>
      <c r="X45" s="173"/>
      <c r="Y45" s="173"/>
      <c r="Z45" s="173"/>
      <c r="AA45" s="208"/>
      <c r="AB45" s="132"/>
      <c r="AC45" s="173"/>
      <c r="AE45" s="173"/>
      <c r="AF45" s="173"/>
      <c r="AG45" s="132"/>
      <c r="AH45" s="172"/>
      <c r="AJ45" s="132"/>
      <c r="AN45" s="173"/>
      <c r="AO45" s="173"/>
      <c r="AP45" s="173"/>
      <c r="AQ45" s="173"/>
      <c r="AR45" s="173"/>
      <c r="AS45" s="173"/>
      <c r="AT45" s="173"/>
      <c r="AU45" s="173"/>
      <c r="AV45" s="173"/>
    </row>
    <row r="46" spans="1:48" ht="15.6">
      <c r="A46" s="84"/>
      <c r="B46" s="84"/>
      <c r="C46" s="84"/>
      <c r="D46" s="84"/>
      <c r="E46" s="84"/>
      <c r="F46" s="138">
        <f t="shared" si="0"/>
        <v>40</v>
      </c>
      <c r="G46" s="100"/>
      <c r="H46" s="111" t="s">
        <v>263</v>
      </c>
      <c r="I46" s="202"/>
      <c r="J46" s="203">
        <f>IF(A64=TRUE,C14,0)</f>
        <v>4.3430347869147408E-3</v>
      </c>
      <c r="K46" s="204">
        <f ca="1">+J46*($J$7/$J$49)</f>
        <v>555.62121414838134</v>
      </c>
      <c r="L46" s="100"/>
      <c r="M46" s="100"/>
      <c r="N46" s="100"/>
      <c r="O46" s="84"/>
      <c r="P46" s="84"/>
      <c r="R46" s="142">
        <v>401</v>
      </c>
      <c r="S46" s="210">
        <v>4</v>
      </c>
      <c r="T46" s="160"/>
      <c r="U46" s="160"/>
      <c r="V46" s="163"/>
      <c r="X46" s="173"/>
      <c r="Y46" s="173"/>
      <c r="Z46" s="173"/>
      <c r="AA46" s="191"/>
      <c r="AB46" s="132"/>
      <c r="AC46" s="173"/>
      <c r="AE46" s="173"/>
      <c r="AF46" s="173"/>
      <c r="AG46" s="132"/>
      <c r="AH46" s="172"/>
      <c r="AJ46" s="132"/>
      <c r="AN46" s="173"/>
      <c r="AO46" s="173"/>
      <c r="AP46" s="173"/>
      <c r="AQ46" s="173"/>
      <c r="AR46" s="173"/>
      <c r="AS46" s="173"/>
      <c r="AT46" s="173"/>
      <c r="AU46" s="173"/>
      <c r="AV46" s="173"/>
    </row>
    <row r="47" spans="1:48" ht="16.2" thickBot="1">
      <c r="A47" s="84"/>
      <c r="B47" s="84"/>
      <c r="C47" s="84"/>
      <c r="D47" s="84"/>
      <c r="E47" s="84"/>
      <c r="F47" s="138">
        <f t="shared" si="0"/>
        <v>41</v>
      </c>
      <c r="G47" s="100"/>
      <c r="H47" s="111" t="s">
        <v>264</v>
      </c>
      <c r="I47" s="192"/>
      <c r="J47" s="211">
        <f>SUM(J43:J46)</f>
        <v>9.0743034786914742E-2</v>
      </c>
      <c r="K47" s="177">
        <f ca="1">+K43+K44+K45+K46</f>
        <v>11609.10691199678</v>
      </c>
      <c r="L47" s="100"/>
      <c r="M47" s="100"/>
      <c r="N47" s="100"/>
      <c r="O47" s="84"/>
      <c r="P47" s="84"/>
      <c r="R47" s="265">
        <f ca="1">VLOOKUP(R48,R36:S39,2)</f>
        <v>186.17151938306128</v>
      </c>
      <c r="S47" s="277" t="s">
        <v>265</v>
      </c>
      <c r="T47" s="274"/>
      <c r="X47" s="94" t="s">
        <v>266</v>
      </c>
      <c r="AE47" s="173"/>
      <c r="AH47" s="172"/>
      <c r="AJ47" s="132"/>
    </row>
    <row r="48" spans="1:48" ht="16.2" thickTop="1">
      <c r="A48" s="84"/>
      <c r="B48" s="84"/>
      <c r="C48" s="84"/>
      <c r="D48" s="84"/>
      <c r="E48" s="84"/>
      <c r="F48" s="138">
        <f t="shared" si="0"/>
        <v>42</v>
      </c>
      <c r="G48" s="100"/>
      <c r="H48" s="100"/>
      <c r="I48" s="100"/>
      <c r="J48" s="212"/>
      <c r="K48" s="100"/>
      <c r="L48" s="100"/>
      <c r="M48" s="100"/>
      <c r="N48" s="100"/>
      <c r="O48" s="84"/>
      <c r="P48" s="84"/>
      <c r="R48" s="139">
        <f ca="1">VLOOKUP(S36,R43:S46,2)</f>
        <v>3</v>
      </c>
      <c r="S48" s="213" t="s">
        <v>267</v>
      </c>
      <c r="T48" s="201"/>
      <c r="X48" s="94" t="s">
        <v>268</v>
      </c>
      <c r="AC48" s="103"/>
      <c r="AE48" s="173"/>
      <c r="AJ48" s="132"/>
    </row>
    <row r="49" spans="1:48" ht="15.6">
      <c r="A49" s="84"/>
      <c r="B49" s="84"/>
      <c r="C49" s="84"/>
      <c r="D49" s="84"/>
      <c r="E49" s="84"/>
      <c r="F49" s="138">
        <f t="shared" si="0"/>
        <v>43</v>
      </c>
      <c r="G49" s="106"/>
      <c r="H49" s="111" t="s">
        <v>269</v>
      </c>
      <c r="I49" s="100"/>
      <c r="J49" s="188">
        <f ca="1">((K35)-J47)</f>
        <v>0.83335314604236677</v>
      </c>
      <c r="K49" s="100"/>
      <c r="L49" s="100"/>
      <c r="M49" s="100"/>
      <c r="N49" s="100"/>
      <c r="O49" s="84"/>
      <c r="P49" s="84"/>
      <c r="R49" s="139"/>
      <c r="S49" s="213"/>
      <c r="T49" s="201"/>
      <c r="X49" s="94" t="s">
        <v>270</v>
      </c>
      <c r="AC49" s="173"/>
      <c r="AE49" s="173"/>
      <c r="AF49" s="173"/>
      <c r="AG49" s="132"/>
      <c r="AJ49" s="132"/>
    </row>
    <row r="50" spans="1:48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214"/>
      <c r="L50" s="84"/>
      <c r="M50" s="84"/>
      <c r="N50" s="215"/>
      <c r="O50" s="84"/>
      <c r="P50" s="84"/>
      <c r="R50" s="216">
        <f ca="1">+V44</f>
        <v>0.92383000000000004</v>
      </c>
      <c r="S50" s="217" t="s">
        <v>194</v>
      </c>
      <c r="T50" s="218"/>
      <c r="X50" s="94" t="s">
        <v>271</v>
      </c>
      <c r="AC50" s="173"/>
      <c r="AE50" s="173"/>
      <c r="AF50" s="173"/>
      <c r="AG50" s="132"/>
      <c r="AH50" s="173"/>
      <c r="AJ50" s="132"/>
      <c r="AN50" s="173"/>
      <c r="AO50" s="173"/>
      <c r="AP50" s="173"/>
      <c r="AQ50" s="173"/>
      <c r="AR50" s="173"/>
      <c r="AS50" s="173"/>
      <c r="AT50" s="173"/>
      <c r="AU50" s="173"/>
      <c r="AV50" s="173"/>
    </row>
    <row r="51" spans="1:48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R51" s="94"/>
      <c r="AB51" s="132"/>
      <c r="AC51" s="173"/>
      <c r="AE51" s="173"/>
      <c r="AF51" s="173"/>
      <c r="AG51" s="132"/>
      <c r="AH51" s="172"/>
      <c r="AJ51" s="132"/>
      <c r="AN51" s="173"/>
      <c r="AO51" s="173"/>
      <c r="AP51" s="173"/>
      <c r="AQ51" s="173"/>
      <c r="AR51" s="173"/>
      <c r="AS51" s="173"/>
      <c r="AT51" s="173"/>
      <c r="AU51" s="173"/>
      <c r="AV51" s="173"/>
    </row>
    <row r="52" spans="1:48">
      <c r="A52" s="84"/>
      <c r="B52" s="84"/>
      <c r="C52" s="84"/>
      <c r="D52" s="84"/>
      <c r="E52" s="84"/>
      <c r="F52" s="84"/>
      <c r="G52" s="84"/>
      <c r="H52" s="84"/>
      <c r="I52" s="84"/>
      <c r="J52" s="219"/>
      <c r="K52" s="219"/>
      <c r="L52" s="219"/>
      <c r="M52" s="219"/>
      <c r="N52" s="84"/>
      <c r="O52" s="84"/>
      <c r="P52" s="84"/>
      <c r="R52" s="94"/>
      <c r="AB52" s="132"/>
      <c r="AC52" s="173"/>
      <c r="AE52" s="173"/>
      <c r="AF52" s="173"/>
      <c r="AG52" s="132"/>
      <c r="AH52" s="172"/>
      <c r="AJ52" s="132"/>
      <c r="AN52" s="173"/>
      <c r="AO52" s="173"/>
      <c r="AP52" s="173"/>
      <c r="AQ52" s="173"/>
      <c r="AR52" s="173"/>
      <c r="AS52" s="173"/>
      <c r="AT52" s="173"/>
      <c r="AU52" s="173"/>
      <c r="AV52" s="173"/>
    </row>
    <row r="53" spans="1:48" ht="15.6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219"/>
      <c r="L53" s="219"/>
      <c r="M53" s="219"/>
      <c r="N53" s="84"/>
      <c r="O53" s="84"/>
      <c r="P53" s="84"/>
      <c r="R53" s="94"/>
      <c r="S53" s="94" t="s">
        <v>272</v>
      </c>
      <c r="T53" s="173"/>
      <c r="U53" s="220"/>
      <c r="W53" s="221" t="s">
        <v>273</v>
      </c>
      <c r="X53" s="222"/>
      <c r="Y53" s="222"/>
      <c r="Z53" s="222"/>
      <c r="AA53" s="222"/>
      <c r="AB53" s="222"/>
      <c r="AE53" s="173"/>
      <c r="AH53" s="172"/>
      <c r="AJ53" s="132"/>
      <c r="AN53" s="173"/>
      <c r="AO53" s="173"/>
      <c r="AP53" s="173"/>
      <c r="AQ53" s="173"/>
      <c r="AR53" s="173"/>
      <c r="AS53" s="173"/>
      <c r="AT53" s="173"/>
      <c r="AU53" s="173"/>
      <c r="AV53" s="173"/>
    </row>
    <row r="54" spans="1:48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223"/>
      <c r="M54" s="223"/>
      <c r="N54" s="84"/>
      <c r="O54" s="84"/>
      <c r="P54" s="84"/>
      <c r="R54" s="278"/>
      <c r="S54" s="279" t="s">
        <v>233</v>
      </c>
      <c r="T54" s="279" t="s">
        <v>274</v>
      </c>
      <c r="U54" s="280" t="s">
        <v>236</v>
      </c>
      <c r="W54" s="281" t="s">
        <v>275</v>
      </c>
      <c r="X54" s="282">
        <v>5.7225999999999999</v>
      </c>
      <c r="Y54" s="283" t="s">
        <v>276</v>
      </c>
      <c r="Z54" s="284">
        <v>5.6985000000000001</v>
      </c>
      <c r="AC54" s="103"/>
      <c r="AE54" s="173"/>
      <c r="AJ54" s="132"/>
    </row>
    <row r="55" spans="1:48">
      <c r="A55" s="84"/>
      <c r="B55" s="84"/>
      <c r="C55" s="84"/>
      <c r="D55" s="84"/>
      <c r="E55" s="84"/>
      <c r="F55" s="84"/>
      <c r="G55" s="84"/>
      <c r="H55" s="84"/>
      <c r="I55" s="84"/>
      <c r="J55" s="223"/>
      <c r="K55" s="84"/>
      <c r="L55" s="223"/>
      <c r="M55" s="223"/>
      <c r="N55" s="84"/>
      <c r="O55" s="84"/>
      <c r="P55" s="84"/>
      <c r="R55" s="95" t="s">
        <v>192</v>
      </c>
      <c r="S55" s="208">
        <v>0.56200000000000006</v>
      </c>
      <c r="T55" s="208">
        <v>6.3799999999999996E-2</v>
      </c>
      <c r="U55" s="224">
        <f>ROUND(+S55*T55,5)</f>
        <v>3.5860000000000003E-2</v>
      </c>
      <c r="W55" s="225" t="s">
        <v>277</v>
      </c>
      <c r="X55" s="226">
        <v>5.7082699999999997</v>
      </c>
      <c r="Y55" s="227" t="s">
        <v>278</v>
      </c>
      <c r="Z55" s="228">
        <v>5.6921999999999997</v>
      </c>
      <c r="AC55" s="173"/>
      <c r="AE55" s="173"/>
      <c r="AF55" s="173"/>
      <c r="AG55" s="132"/>
      <c r="AJ55" s="132"/>
    </row>
    <row r="56" spans="1:48" ht="15.6">
      <c r="A56" s="84"/>
      <c r="B56" s="84"/>
      <c r="C56" s="84"/>
      <c r="D56" s="84"/>
      <c r="E56" s="219"/>
      <c r="F56" s="84"/>
      <c r="G56" s="84"/>
      <c r="H56" s="84"/>
      <c r="I56" s="84"/>
      <c r="J56" s="223"/>
      <c r="K56" s="84"/>
      <c r="L56" s="223"/>
      <c r="M56" s="223"/>
      <c r="N56" s="84"/>
      <c r="O56" s="84"/>
      <c r="P56" s="84"/>
      <c r="R56" s="95" t="s">
        <v>279</v>
      </c>
      <c r="S56" s="208">
        <v>9.4E-2</v>
      </c>
      <c r="T56" s="208">
        <v>6.59E-2</v>
      </c>
      <c r="U56" s="224">
        <f>ROUND(+S56*T56,5)</f>
        <v>6.1900000000000002E-3</v>
      </c>
      <c r="W56" s="95"/>
      <c r="Y56" s="229"/>
      <c r="Z56" s="230"/>
      <c r="AC56" s="173"/>
      <c r="AE56" s="173"/>
      <c r="AF56" s="173"/>
      <c r="AG56" s="132"/>
      <c r="AH56" s="172"/>
      <c r="AJ56" s="132"/>
      <c r="AN56" s="173"/>
    </row>
    <row r="57" spans="1:48">
      <c r="A57" s="84"/>
      <c r="B57" s="84"/>
      <c r="C57" s="84"/>
      <c r="D57" s="84"/>
      <c r="E57" s="219"/>
      <c r="F57" s="219"/>
      <c r="G57" s="219"/>
      <c r="H57" s="231"/>
      <c r="I57" s="219"/>
      <c r="J57" s="223"/>
      <c r="K57" s="84"/>
      <c r="L57" s="84"/>
      <c r="M57" s="84"/>
      <c r="N57" s="84"/>
      <c r="O57" s="84"/>
      <c r="P57" s="84"/>
      <c r="R57" s="95" t="s">
        <v>190</v>
      </c>
      <c r="S57" s="232">
        <v>0.34399999999999997</v>
      </c>
      <c r="T57" s="233"/>
      <c r="U57" s="234"/>
      <c r="W57" s="159"/>
      <c r="X57" s="235" t="s">
        <v>280</v>
      </c>
      <c r="Y57" s="236">
        <v>0.68367</v>
      </c>
      <c r="Z57" s="237"/>
      <c r="AC57" s="173"/>
      <c r="AE57" s="173"/>
      <c r="AF57" s="173"/>
      <c r="AG57" s="132"/>
      <c r="AH57" s="172"/>
      <c r="AJ57" s="132"/>
    </row>
    <row r="58" spans="1:48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R58" s="159"/>
      <c r="S58" s="232">
        <f>SUM(S55:S57)</f>
        <v>1</v>
      </c>
      <c r="T58" s="238"/>
      <c r="U58" s="239"/>
      <c r="X58" s="173"/>
      <c r="Y58" s="173"/>
      <c r="Z58" s="173"/>
      <c r="AA58" s="191"/>
      <c r="AB58" s="132"/>
      <c r="AC58" s="173"/>
      <c r="AE58" s="173"/>
      <c r="AF58" s="173"/>
      <c r="AG58" s="132"/>
      <c r="AH58" s="172"/>
      <c r="AJ58" s="132"/>
    </row>
    <row r="59" spans="1:48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X59" s="240"/>
      <c r="Y59" s="240"/>
      <c r="Z59" s="240"/>
      <c r="AE59" s="173"/>
      <c r="AH59" s="172"/>
      <c r="AJ59" s="132"/>
      <c r="AN59" s="172"/>
      <c r="AO59" s="172"/>
      <c r="AP59" s="172"/>
      <c r="AQ59" s="172"/>
      <c r="AR59" s="172"/>
      <c r="AS59" s="172"/>
      <c r="AT59" s="172"/>
      <c r="AU59" s="172"/>
      <c r="AV59" s="172"/>
    </row>
    <row r="60" spans="1:48">
      <c r="A60" s="84"/>
      <c r="B60" s="84"/>
      <c r="C60" s="84"/>
      <c r="D60" s="84"/>
      <c r="E60" s="219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R60" s="94"/>
      <c r="S60" s="241"/>
      <c r="W60" s="278"/>
      <c r="X60" s="285" t="s">
        <v>245</v>
      </c>
      <c r="Y60" s="285" t="s">
        <v>281</v>
      </c>
      <c r="Z60" s="286" t="s">
        <v>171</v>
      </c>
      <c r="AE60" s="173"/>
      <c r="AJ60" s="132"/>
      <c r="AN60" s="172"/>
      <c r="AO60" s="172"/>
      <c r="AP60" s="172"/>
      <c r="AQ60" s="172"/>
      <c r="AR60" s="172"/>
      <c r="AS60" s="172"/>
      <c r="AT60" s="172"/>
      <c r="AU60" s="172"/>
      <c r="AV60" s="172"/>
    </row>
    <row r="61" spans="1:48">
      <c r="A61" s="84"/>
      <c r="B61" s="84"/>
      <c r="C61" s="84"/>
      <c r="D61" s="84"/>
      <c r="E61" s="84"/>
      <c r="F61" s="219"/>
      <c r="G61" s="219"/>
      <c r="H61" s="219"/>
      <c r="I61" s="219"/>
      <c r="J61" s="219"/>
      <c r="K61" s="219"/>
      <c r="L61" s="219"/>
      <c r="M61" s="219"/>
      <c r="N61" s="219"/>
      <c r="O61" s="84"/>
      <c r="P61" s="84"/>
      <c r="R61" s="94"/>
      <c r="W61" s="95"/>
      <c r="X61" s="242"/>
      <c r="Y61" s="242"/>
      <c r="Z61" s="243"/>
      <c r="AE61" s="173"/>
      <c r="AF61" s="173"/>
      <c r="AG61" s="132"/>
      <c r="AJ61" s="132"/>
      <c r="AN61" s="172"/>
      <c r="AO61" s="172"/>
      <c r="AP61" s="172"/>
      <c r="AQ61" s="172"/>
      <c r="AR61" s="172"/>
      <c r="AS61" s="172"/>
      <c r="AT61" s="172"/>
      <c r="AU61" s="172"/>
      <c r="AV61" s="172"/>
    </row>
    <row r="62" spans="1:48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R62" s="94"/>
      <c r="S62" s="241"/>
      <c r="W62" s="95"/>
      <c r="X62" s="206" t="s">
        <v>249</v>
      </c>
      <c r="Y62" s="207">
        <f t="shared" ref="Y62:Z67" ca="1" si="1">+J33</f>
        <v>0.14131131404194727</v>
      </c>
      <c r="Z62" s="207">
        <f t="shared" ca="1" si="1"/>
        <v>0.1143755222892785</v>
      </c>
      <c r="AE62" s="173"/>
      <c r="AF62" s="173"/>
      <c r="AG62" s="132"/>
      <c r="AH62" s="172"/>
      <c r="AJ62" s="132"/>
      <c r="AN62" s="172"/>
      <c r="AO62" s="172"/>
      <c r="AP62" s="172"/>
      <c r="AQ62" s="172"/>
      <c r="AR62" s="172"/>
      <c r="AS62" s="172"/>
      <c r="AT62" s="172"/>
      <c r="AU62" s="172"/>
      <c r="AV62" s="172"/>
    </row>
    <row r="63" spans="1:48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R63" s="94"/>
      <c r="W63" s="95"/>
      <c r="X63" s="206" t="s">
        <v>250</v>
      </c>
      <c r="Y63" s="207">
        <f t="shared" ca="1" si="1"/>
        <v>0.27089154105281715</v>
      </c>
      <c r="Z63" s="207">
        <f t="shared" ca="1" si="1"/>
        <v>0.21400431743172557</v>
      </c>
      <c r="AE63" s="173"/>
      <c r="AF63" s="173"/>
      <c r="AG63" s="132"/>
      <c r="AH63" s="172"/>
      <c r="AJ63" s="132"/>
    </row>
    <row r="64" spans="1:48">
      <c r="A64" s="94" t="b">
        <v>1</v>
      </c>
      <c r="B64" s="84"/>
      <c r="C64" s="84"/>
      <c r="F64" s="84"/>
      <c r="G64" s="84"/>
      <c r="H64" s="84"/>
      <c r="I64" s="84"/>
      <c r="J64" s="84"/>
      <c r="K64" s="84"/>
      <c r="L64" s="84"/>
      <c r="M64" s="84"/>
      <c r="N64" s="84"/>
      <c r="R64" s="94"/>
      <c r="S64" s="241"/>
      <c r="W64" s="95"/>
      <c r="X64" s="206" t="s">
        <v>194</v>
      </c>
      <c r="Y64" s="207">
        <f t="shared" ca="1" si="1"/>
        <v>0.92383000000000004</v>
      </c>
      <c r="Z64" s="207">
        <f t="shared" ca="1" si="1"/>
        <v>0.92409618082928147</v>
      </c>
      <c r="AE64" s="173"/>
      <c r="AF64" s="173"/>
      <c r="AG64" s="132"/>
      <c r="AH64" s="172"/>
      <c r="AJ64" s="132"/>
    </row>
    <row r="65" spans="8:40">
      <c r="H65" s="172"/>
      <c r="I65" s="172"/>
      <c r="J65" s="172"/>
      <c r="K65" s="172"/>
      <c r="L65" s="172"/>
      <c r="M65" s="172"/>
      <c r="N65" s="172"/>
      <c r="O65" s="172"/>
      <c r="R65" s="94"/>
      <c r="W65" s="95"/>
      <c r="X65" s="206" t="s">
        <v>252</v>
      </c>
      <c r="Y65" s="207">
        <f t="shared" ca="1" si="1"/>
        <v>7.6169999999999974E-2</v>
      </c>
      <c r="Z65" s="207">
        <f t="shared" ca="1" si="1"/>
        <v>7.6169999999999974E-2</v>
      </c>
      <c r="AE65" s="173"/>
      <c r="AH65" s="172"/>
      <c r="AJ65" s="132"/>
      <c r="AN65" s="172"/>
    </row>
    <row r="66" spans="8:40">
      <c r="H66" s="172"/>
      <c r="I66" s="172"/>
      <c r="J66" s="172"/>
      <c r="K66" s="172"/>
      <c r="L66" s="172"/>
      <c r="M66" s="172"/>
      <c r="N66" s="172"/>
      <c r="O66" s="172"/>
      <c r="R66" s="94"/>
      <c r="S66" s="241"/>
      <c r="W66" s="95"/>
      <c r="X66" s="206" t="s">
        <v>253</v>
      </c>
      <c r="Y66" s="207">
        <f t="shared" ca="1" si="1"/>
        <v>1.8604384311056408</v>
      </c>
      <c r="Z66" s="207">
        <f t="shared" ca="1" si="1"/>
        <v>1.8604384311056408</v>
      </c>
      <c r="AE66" s="173"/>
      <c r="AJ66" s="132"/>
    </row>
    <row r="67" spans="8:40">
      <c r="O67" s="172"/>
      <c r="W67" s="159"/>
      <c r="X67" s="245" t="s">
        <v>254</v>
      </c>
      <c r="Y67" s="246">
        <f t="shared" si="1"/>
        <v>0.21</v>
      </c>
      <c r="Z67" s="246">
        <f t="shared" si="1"/>
        <v>0.21</v>
      </c>
      <c r="AE67" s="173"/>
      <c r="AF67" s="173"/>
      <c r="AG67" s="132"/>
      <c r="AJ67" s="132"/>
    </row>
    <row r="68" spans="8:40">
      <c r="O68" s="172"/>
      <c r="W68" s="206"/>
      <c r="AE68" s="173"/>
      <c r="AF68" s="173"/>
      <c r="AG68" s="132"/>
      <c r="AH68" s="172"/>
      <c r="AJ68" s="132"/>
    </row>
    <row r="69" spans="8:40">
      <c r="O69" s="172"/>
      <c r="X69" s="173"/>
      <c r="Y69" s="173"/>
      <c r="Z69" s="173"/>
      <c r="AA69" s="191"/>
      <c r="AB69" s="132"/>
      <c r="AC69" s="173"/>
      <c r="AE69" s="173"/>
      <c r="AF69" s="173"/>
      <c r="AG69" s="132"/>
      <c r="AH69" s="172"/>
      <c r="AJ69" s="132"/>
    </row>
    <row r="70" spans="8:40">
      <c r="X70" s="173"/>
      <c r="Y70" s="173"/>
      <c r="Z70" s="173"/>
      <c r="AA70" s="191"/>
      <c r="AB70" s="132"/>
      <c r="AC70" s="173"/>
      <c r="AE70" s="173"/>
      <c r="AF70" s="173"/>
      <c r="AG70" s="132"/>
      <c r="AH70" s="172"/>
      <c r="AJ70" s="132"/>
    </row>
    <row r="71" spans="8:40">
      <c r="AE71" s="173"/>
      <c r="AH71" s="172"/>
      <c r="AJ71" s="132"/>
    </row>
    <row r="72" spans="8:40">
      <c r="AA72" s="103"/>
      <c r="AB72" s="103"/>
      <c r="AC72" s="103"/>
      <c r="AE72" s="173"/>
      <c r="AJ72" s="132"/>
    </row>
    <row r="73" spans="8:40">
      <c r="X73" s="173"/>
      <c r="Y73" s="173"/>
      <c r="Z73" s="173"/>
      <c r="AA73" s="191"/>
      <c r="AB73" s="132"/>
      <c r="AC73" s="173"/>
      <c r="AE73" s="173"/>
      <c r="AF73" s="173"/>
      <c r="AG73" s="132"/>
      <c r="AJ73" s="132"/>
    </row>
    <row r="74" spans="8:40">
      <c r="X74" s="173"/>
      <c r="Y74" s="173"/>
      <c r="Z74" s="173"/>
      <c r="AA74" s="191"/>
      <c r="AB74" s="132"/>
      <c r="AC74" s="173"/>
      <c r="AE74" s="173"/>
      <c r="AF74" s="173"/>
      <c r="AG74" s="132"/>
      <c r="AH74" s="172"/>
      <c r="AJ74" s="132"/>
    </row>
    <row r="75" spans="8:40">
      <c r="X75" s="173"/>
      <c r="Y75" s="173"/>
      <c r="Z75" s="173"/>
      <c r="AA75" s="191"/>
      <c r="AB75" s="132"/>
      <c r="AC75" s="173"/>
      <c r="AE75" s="173"/>
      <c r="AF75" s="173"/>
      <c r="AG75" s="132"/>
      <c r="AH75" s="172"/>
      <c r="AJ75" s="132"/>
    </row>
    <row r="76" spans="8:40">
      <c r="X76" s="173"/>
      <c r="Y76" s="173"/>
      <c r="Z76" s="173"/>
      <c r="AA76" s="191"/>
      <c r="AB76" s="132"/>
      <c r="AC76" s="173"/>
      <c r="AE76" s="173"/>
      <c r="AF76" s="173"/>
      <c r="AG76" s="132"/>
      <c r="AH76" s="172"/>
      <c r="AJ76" s="132"/>
    </row>
    <row r="77" spans="8:40">
      <c r="AE77" s="173"/>
      <c r="AH77" s="172"/>
      <c r="AJ77" s="132"/>
    </row>
    <row r="79" spans="8:40">
      <c r="X79" s="173"/>
      <c r="Y79" s="173"/>
      <c r="Z79" s="173"/>
      <c r="AA79" s="191"/>
      <c r="AB79" s="132"/>
      <c r="AC79" s="173"/>
      <c r="AF79" s="173"/>
      <c r="AG79" s="132"/>
    </row>
    <row r="80" spans="8:40">
      <c r="X80" s="173"/>
      <c r="Y80" s="173"/>
      <c r="Z80" s="173"/>
      <c r="AA80" s="191"/>
      <c r="AB80" s="132"/>
      <c r="AC80" s="173"/>
      <c r="AF80" s="173"/>
      <c r="AG80" s="132"/>
      <c r="AH80" s="172"/>
    </row>
    <row r="81" spans="24:34">
      <c r="X81" s="173"/>
      <c r="Y81" s="173"/>
      <c r="Z81" s="173"/>
      <c r="AA81" s="191"/>
      <c r="AB81" s="132"/>
      <c r="AC81" s="173"/>
      <c r="AF81" s="173"/>
      <c r="AG81" s="132"/>
      <c r="AH81" s="172"/>
    </row>
    <row r="82" spans="24:34">
      <c r="X82" s="173"/>
      <c r="Y82" s="173"/>
      <c r="Z82" s="173"/>
      <c r="AA82" s="191"/>
      <c r="AB82" s="132"/>
      <c r="AC82" s="173"/>
      <c r="AF82" s="173"/>
      <c r="AG82" s="132"/>
      <c r="AH82" s="172"/>
    </row>
    <row r="83" spans="24:34">
      <c r="AH83" s="172"/>
    </row>
    <row r="85" spans="24:34">
      <c r="X85" s="173"/>
      <c r="Y85" s="173"/>
      <c r="Z85" s="173"/>
      <c r="AA85" s="191"/>
      <c r="AB85" s="132"/>
      <c r="AC85" s="173"/>
      <c r="AF85" s="173"/>
      <c r="AG85" s="132"/>
    </row>
    <row r="86" spans="24:34">
      <c r="X86" s="173"/>
      <c r="Y86" s="173"/>
      <c r="Z86" s="173"/>
      <c r="AA86" s="191"/>
      <c r="AB86" s="132"/>
      <c r="AC86" s="173"/>
      <c r="AF86" s="173"/>
      <c r="AG86" s="132"/>
      <c r="AH86" s="172"/>
    </row>
    <row r="87" spans="24:34">
      <c r="X87" s="173"/>
      <c r="Y87" s="173"/>
      <c r="Z87" s="173"/>
      <c r="AA87" s="191"/>
      <c r="AB87" s="132"/>
      <c r="AC87" s="173"/>
      <c r="AF87" s="173"/>
      <c r="AG87" s="132"/>
      <c r="AH87" s="172"/>
    </row>
    <row r="88" spans="24:34">
      <c r="X88" s="173"/>
      <c r="Y88" s="173"/>
      <c r="Z88" s="173"/>
      <c r="AA88" s="191"/>
      <c r="AB88" s="132"/>
      <c r="AC88" s="173"/>
      <c r="AF88" s="173"/>
      <c r="AG88" s="132"/>
      <c r="AH88" s="172"/>
    </row>
    <row r="89" spans="24:34">
      <c r="AH89" s="172"/>
    </row>
    <row r="91" spans="24:34">
      <c r="X91" s="173"/>
      <c r="Y91" s="173"/>
      <c r="Z91" s="173"/>
      <c r="AA91" s="191"/>
      <c r="AB91" s="132"/>
      <c r="AC91" s="173"/>
      <c r="AF91" s="173"/>
      <c r="AG91" s="132"/>
    </row>
    <row r="92" spans="24:34">
      <c r="X92" s="173"/>
      <c r="Y92" s="173"/>
      <c r="Z92" s="173"/>
      <c r="AA92" s="191"/>
      <c r="AB92" s="132"/>
      <c r="AC92" s="173"/>
      <c r="AF92" s="173"/>
      <c r="AG92" s="132"/>
      <c r="AH92" s="172"/>
    </row>
    <row r="93" spans="24:34">
      <c r="X93" s="173"/>
      <c r="Y93" s="173"/>
      <c r="Z93" s="173"/>
      <c r="AA93" s="191"/>
      <c r="AB93" s="132"/>
      <c r="AC93" s="173"/>
      <c r="AF93" s="173"/>
      <c r="AG93" s="132"/>
      <c r="AH93" s="172"/>
    </row>
    <row r="94" spans="24:34">
      <c r="X94" s="173"/>
      <c r="Y94" s="173"/>
      <c r="Z94" s="173"/>
      <c r="AA94" s="191"/>
      <c r="AB94" s="132"/>
      <c r="AC94" s="173"/>
      <c r="AF94" s="173"/>
      <c r="AG94" s="132"/>
      <c r="AH94" s="172"/>
    </row>
    <row r="95" spans="24:34">
      <c r="AH95" s="172"/>
    </row>
    <row r="97" spans="24:34">
      <c r="X97" s="173"/>
      <c r="Y97" s="173"/>
      <c r="Z97" s="173"/>
      <c r="AA97" s="191"/>
      <c r="AB97" s="132"/>
      <c r="AC97" s="173"/>
      <c r="AF97" s="173"/>
      <c r="AG97" s="132"/>
    </row>
    <row r="98" spans="24:34">
      <c r="X98" s="173"/>
      <c r="Y98" s="173"/>
      <c r="Z98" s="173"/>
      <c r="AA98" s="191"/>
      <c r="AB98" s="132"/>
      <c r="AC98" s="173"/>
      <c r="AF98" s="173"/>
      <c r="AG98" s="132"/>
      <c r="AH98" s="172"/>
    </row>
    <row r="99" spans="24:34">
      <c r="X99" s="173"/>
      <c r="Y99" s="173"/>
      <c r="Z99" s="173"/>
      <c r="AA99" s="191"/>
      <c r="AB99" s="132"/>
      <c r="AC99" s="173"/>
      <c r="AF99" s="173"/>
      <c r="AG99" s="132"/>
      <c r="AH99" s="172"/>
    </row>
    <row r="100" spans="24:34">
      <c r="X100" s="173"/>
      <c r="Y100" s="173"/>
      <c r="Z100" s="173"/>
      <c r="AA100" s="191"/>
      <c r="AB100" s="132"/>
      <c r="AC100" s="173"/>
      <c r="AF100" s="173"/>
      <c r="AG100" s="132"/>
      <c r="AH100" s="172"/>
    </row>
    <row r="101" spans="24:34">
      <c r="AH101" s="172"/>
    </row>
    <row r="103" spans="24:34">
      <c r="X103" s="173"/>
      <c r="Y103" s="173"/>
      <c r="Z103" s="173"/>
      <c r="AA103" s="191"/>
      <c r="AB103" s="132"/>
      <c r="AC103" s="173"/>
      <c r="AF103" s="173"/>
      <c r="AG103" s="132"/>
    </row>
    <row r="104" spans="24:34">
      <c r="X104" s="173"/>
      <c r="Y104" s="173"/>
      <c r="Z104" s="173"/>
      <c r="AA104" s="191"/>
      <c r="AB104" s="132"/>
      <c r="AC104" s="173"/>
      <c r="AF104" s="173"/>
      <c r="AG104" s="132"/>
      <c r="AH104" s="172"/>
    </row>
    <row r="105" spans="24:34">
      <c r="X105" s="173"/>
      <c r="Y105" s="173"/>
      <c r="Z105" s="173"/>
      <c r="AA105" s="191"/>
      <c r="AB105" s="132"/>
      <c r="AC105" s="173"/>
      <c r="AF105" s="173"/>
      <c r="AG105" s="132"/>
      <c r="AH105" s="172"/>
    </row>
    <row r="106" spans="24:34">
      <c r="X106" s="173"/>
      <c r="Y106" s="173"/>
      <c r="Z106" s="173"/>
      <c r="AA106" s="191"/>
      <c r="AB106" s="132"/>
      <c r="AC106" s="173"/>
      <c r="AF106" s="173"/>
      <c r="AG106" s="132"/>
      <c r="AH106" s="172"/>
    </row>
    <row r="107" spans="24:34">
      <c r="AH107" s="172"/>
    </row>
    <row r="109" spans="24:34">
      <c r="X109" s="173"/>
      <c r="Y109" s="173"/>
      <c r="Z109" s="173"/>
      <c r="AA109" s="191"/>
      <c r="AB109" s="132"/>
      <c r="AC109" s="173"/>
      <c r="AF109" s="173"/>
      <c r="AG109" s="132"/>
    </row>
    <row r="110" spans="24:34">
      <c r="X110" s="173"/>
      <c r="Y110" s="173"/>
      <c r="Z110" s="173"/>
      <c r="AA110" s="191"/>
      <c r="AB110" s="132"/>
      <c r="AC110" s="173"/>
      <c r="AF110" s="173"/>
      <c r="AG110" s="132"/>
    </row>
    <row r="111" spans="24:34">
      <c r="X111" s="173"/>
      <c r="Y111" s="173"/>
      <c r="Z111" s="173"/>
      <c r="AA111" s="191"/>
      <c r="AB111" s="132"/>
      <c r="AC111" s="173"/>
      <c r="AF111" s="173"/>
      <c r="AG111" s="132"/>
    </row>
    <row r="112" spans="24:34">
      <c r="X112" s="173"/>
      <c r="Y112" s="173"/>
      <c r="Z112" s="173"/>
      <c r="AA112" s="191"/>
      <c r="AB112" s="132"/>
      <c r="AC112" s="173"/>
      <c r="AF112" s="173"/>
      <c r="AG112" s="132"/>
    </row>
  </sheetData>
  <mergeCells count="5">
    <mergeCell ref="B2:C2"/>
    <mergeCell ref="AH2:AK2"/>
    <mergeCell ref="B18:C18"/>
    <mergeCell ref="B19:C19"/>
    <mergeCell ref="L31:N31"/>
  </mergeCells>
  <pageMargins left="0.25" right="0.25" top="0.3" bottom="0.44" header="0.23" footer="0.21"/>
  <pageSetup scale="91" orientation="portrait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02E2ECB70CB5EB4EA0AA1561036EEF49" ma:contentTypeVersion="19" ma:contentTypeDescription="" ma:contentTypeScope="" ma:versionID="63b69541978047d912d60df3a64f3c6a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2025-09-17T07:00:00+00:00</OpenedDate>
    <SignificantOrder xmlns="dc463f71-b30c-4ab2-9473-d307f9d35888">false</SignificantOrder>
    <Date1 xmlns="dc463f71-b30c-4ab2-9473-d307f9d35888">2025-09-17T07:00:00+00:00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RABANCO LTD.            </CaseCompanyNames>
    <Nickname xmlns="http://schemas.microsoft.com/sharepoint/v3" xsi:nil="true"/>
    <DocketNumber xmlns="dc463f71-b30c-4ab2-9473-d307f9d35888">250726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A7CCDAC-5E1F-495F-8818-BFE4B0691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B6349-7113-45A5-BBAC-B6C7BF269DF4}"/>
</file>

<file path=customXml/itemProps3.xml><?xml version="1.0" encoding="utf-8"?>
<ds:datastoreItem xmlns:ds="http://schemas.openxmlformats.org/officeDocument/2006/customXml" ds:itemID="{B67946F6-253B-40F3-ADF9-DBD760147FC0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7429f450-94b4-4416-870d-2c1407281566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FDE6BC8-79D8-468D-B6EC-621A820928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References</vt:lpstr>
      <vt:lpstr>Rate Impact Calcs </vt:lpstr>
      <vt:lpstr>LG Public 2018 V5.2c (2)</vt:lpstr>
      <vt:lpstr>'LG Public 2018 V5.2c (2)'!Debt_Rate</vt:lpstr>
      <vt:lpstr>'LG Public 2018 V5.2c (2)'!debtP</vt:lpstr>
      <vt:lpstr>'LG Public 2018 V5.2c (2)'!Equity_percent</vt:lpstr>
      <vt:lpstr>'LG Public 2018 V5.2c (2)'!equityP</vt:lpstr>
      <vt:lpstr>'LG Public 2018 V5.2c (2)'!expenses</vt:lpstr>
      <vt:lpstr>'LG Public 2018 V5.2c (2)'!Investment</vt:lpstr>
      <vt:lpstr>'LG Public 2018 V5.2c (2)'!Pfd_weighted</vt:lpstr>
      <vt:lpstr>'LG Public 2018 V5.2c (2)'!Print_Area</vt:lpstr>
      <vt:lpstr>'LG Public 2018 V5.2c (2)'!regDebt_weighted</vt:lpstr>
      <vt:lpstr>'LG Public 2018 V5.2c (2)'!Revenue</vt:lpstr>
      <vt:lpstr>'LG Public 2018 V5.2c (2)'!slope</vt:lpstr>
      <vt:lpstr>'LG Public 2018 V5.2c (2)'!taxrate</vt:lpstr>
      <vt:lpstr>'LG Public 2018 V5.2c (2)'!y_inter1</vt:lpstr>
      <vt:lpstr>'LG Public 2018 V5.2c (2)'!y_inter2</vt:lpstr>
      <vt:lpstr>'LG Public 2018 V5.2c (2)'!y_inter3</vt:lpstr>
      <vt:lpstr>'LG Public 2018 V5.2c (2)'!y_inter4</vt:lpstr>
    </vt:vector>
  </TitlesOfParts>
  <Company>Washington Utilities and Transportation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 Calcualtions</dc:title>
  <dc:creator>Mike Young</dc:creator>
  <cp:lastModifiedBy>Easley, Maria</cp:lastModifiedBy>
  <cp:lastPrinted>2016-12-19T19:27:45Z</cp:lastPrinted>
  <dcterms:created xsi:type="dcterms:W3CDTF">2013-10-29T22:33:54Z</dcterms:created>
  <dcterms:modified xsi:type="dcterms:W3CDTF">2025-09-17T23:39:39Z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0x0101006E56B4D1795A2E4DB2F0B01679ED314A0002E2ECB70CB5EB4EA0AA1561036EEF49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_docset_NoMedatataSyncRequired">
    <vt:lpwstr>False</vt:lpwstr>
  </property>
</Properties>
</file>