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nx.org\Regions\Western Region\2000 Western Region Office\WUTC\WUTC-Waste Control 2032\Misc Filings\B&amp;O Tax Increase 10.2025\"/>
    </mc:Choice>
  </mc:AlternateContent>
  <xr:revisionPtr revIDLastSave="0" documentId="13_ncr:1_{F3DBD621-022A-49D0-B89E-E0763DA95941}" xr6:coauthVersionLast="47" xr6:coauthVersionMax="47" xr10:uidLastSave="{00000000-0000-0000-0000-000000000000}"/>
  <bookViews>
    <workbookView xWindow="-108" yWindow="-108" windowWidth="23256" windowHeight="12576" activeTab="1" xr2:uid="{B18308E4-E073-4739-935C-543CD47D5A32}"/>
  </bookViews>
  <sheets>
    <sheet name="Rate Sheet" sheetId="2" r:id="rId1"/>
    <sheet name="Staff Price Out" sheetId="1" r:id="rId2"/>
    <sheet name="LG Public" sheetId="3" r:id="rId3"/>
  </sheets>
  <definedNames>
    <definedName name="\A">#REF!</definedName>
    <definedName name="\c">#REF!</definedName>
    <definedName name="\D">#REF!</definedName>
    <definedName name="\E">#REF!</definedName>
    <definedName name="\R">#REF!</definedName>
    <definedName name="\S">#REF!</definedName>
    <definedName name="\Y">#REF!</definedName>
    <definedName name="\z">#REF!</definedName>
    <definedName name="______________CYA1">#REF!</definedName>
    <definedName name="______________CYA10">#REF!</definedName>
    <definedName name="______________CYA11">#REF!</definedName>
    <definedName name="______________CYA2">#REF!</definedName>
    <definedName name="______________CYA3">#REF!</definedName>
    <definedName name="______________CYA4">#REF!</definedName>
    <definedName name="______________CYA5">#REF!</definedName>
    <definedName name="______________CYA6">#REF!</definedName>
    <definedName name="______________CYA7">#REF!</definedName>
    <definedName name="______________CYA8">#REF!</definedName>
    <definedName name="______________CYA9">#REF!</definedName>
    <definedName name="______________LYA12">#REF!</definedName>
    <definedName name="_____________CYA1">#REF!</definedName>
    <definedName name="_____________CYA10">#REF!</definedName>
    <definedName name="_____________CYA11">#REF!</definedName>
    <definedName name="_____________CYA2">#REF!</definedName>
    <definedName name="_____________CYA3">#REF!</definedName>
    <definedName name="_____________CYA4">#REF!</definedName>
    <definedName name="_____________CYA5">#REF!</definedName>
    <definedName name="_____________CYA6">#REF!</definedName>
    <definedName name="_____________CYA7">#REF!</definedName>
    <definedName name="_____________CYA8">#REF!</definedName>
    <definedName name="_____________CYA9">#REF!</definedName>
    <definedName name="_____________LYA12">#REF!</definedName>
    <definedName name="____________CYA1">#REF!</definedName>
    <definedName name="____________CYA10">#REF!</definedName>
    <definedName name="____________CYA11">#REF!</definedName>
    <definedName name="____________CYA2">#REF!</definedName>
    <definedName name="____________CYA3">#REF!</definedName>
    <definedName name="____________CYA4">#REF!</definedName>
    <definedName name="____________CYA5">#REF!</definedName>
    <definedName name="____________CYA6">#REF!</definedName>
    <definedName name="____________CYA7">#REF!</definedName>
    <definedName name="____________CYA8">#REF!</definedName>
    <definedName name="____________CYA9">#REF!</definedName>
    <definedName name="____________LYA12">#REF!</definedName>
    <definedName name="___________CYA1">#REF!</definedName>
    <definedName name="___________CYA10">#REF!</definedName>
    <definedName name="___________CYA11">#REF!</definedName>
    <definedName name="___________CYA2">#REF!</definedName>
    <definedName name="___________CYA3">#REF!</definedName>
    <definedName name="___________CYA4">#REF!</definedName>
    <definedName name="___________CYA5">#REF!</definedName>
    <definedName name="___________CYA6">#REF!</definedName>
    <definedName name="___________CYA7">#REF!</definedName>
    <definedName name="___________CYA8">#REF!</definedName>
    <definedName name="___________CYA9">#REF!</definedName>
    <definedName name="___________LYA12">#REF!</definedName>
    <definedName name="__________CYA1">#REF!</definedName>
    <definedName name="__________CYA10">#REF!</definedName>
    <definedName name="__________CYA11">#REF!</definedName>
    <definedName name="__________CYA2">#REF!</definedName>
    <definedName name="__________CYA3">#REF!</definedName>
    <definedName name="__________CYA4">#REF!</definedName>
    <definedName name="__________CYA5">#REF!</definedName>
    <definedName name="__________CYA6">#REF!</definedName>
    <definedName name="__________CYA7">#REF!</definedName>
    <definedName name="__________CYA8">#REF!</definedName>
    <definedName name="__________CYA9">#REF!</definedName>
    <definedName name="__________LYA12">#REF!</definedName>
    <definedName name="_________CYA1">#REF!</definedName>
    <definedName name="_________CYA10">#REF!</definedName>
    <definedName name="_________CYA11">#REF!</definedName>
    <definedName name="_________CYA2">#REF!</definedName>
    <definedName name="_________CYA3">#REF!</definedName>
    <definedName name="_________CYA4">#REF!</definedName>
    <definedName name="_________CYA5">#REF!</definedName>
    <definedName name="_________CYA6">#REF!</definedName>
    <definedName name="_________CYA7">#REF!</definedName>
    <definedName name="_________CYA8">#REF!</definedName>
    <definedName name="_________CYA9">#REF!</definedName>
    <definedName name="_________LYA12">#REF!</definedName>
    <definedName name="________CYA1">#REF!</definedName>
    <definedName name="________CYA10">#REF!</definedName>
    <definedName name="________CYA11">#REF!</definedName>
    <definedName name="________CYA2">#REF!</definedName>
    <definedName name="________CYA3">#REF!</definedName>
    <definedName name="________CYA4">#REF!</definedName>
    <definedName name="________CYA5">#REF!</definedName>
    <definedName name="________CYA6">#REF!</definedName>
    <definedName name="________CYA7">#REF!</definedName>
    <definedName name="________CYA8">#REF!</definedName>
    <definedName name="________CYA9">#REF!</definedName>
    <definedName name="________LYA12">#REF!</definedName>
    <definedName name="_______CYA1">#REF!</definedName>
    <definedName name="_______CYA10">#REF!</definedName>
    <definedName name="_______CYA11">#REF!</definedName>
    <definedName name="_______CYA2">#REF!</definedName>
    <definedName name="_______CYA3">#REF!</definedName>
    <definedName name="_______CYA4">#REF!</definedName>
    <definedName name="_______CYA5">#REF!</definedName>
    <definedName name="_______CYA6">#REF!</definedName>
    <definedName name="_______CYA7">#REF!</definedName>
    <definedName name="_______CYA8">#REF!</definedName>
    <definedName name="_______CYA9">#REF!</definedName>
    <definedName name="_______LYA12">#REF!</definedName>
    <definedName name="______ACT1">#REF!</definedName>
    <definedName name="______ACT2">#REF!</definedName>
    <definedName name="______ACT3">#REF!</definedName>
    <definedName name="______CYA1">#REF!</definedName>
    <definedName name="______CYA10">#REF!</definedName>
    <definedName name="______CYA11">#REF!</definedName>
    <definedName name="______CYA2">#REF!</definedName>
    <definedName name="______CYA3">#REF!</definedName>
    <definedName name="______CYA4">#REF!</definedName>
    <definedName name="______CYA5">#REF!</definedName>
    <definedName name="______CYA6">#REF!</definedName>
    <definedName name="______CYA7">#REF!</definedName>
    <definedName name="______CYA8">#REF!</definedName>
    <definedName name="______CYA9">#REF!</definedName>
    <definedName name="______LYA12">#REF!</definedName>
    <definedName name="_____ACT1">#REF!</definedName>
    <definedName name="_____ACT2">#REF!</definedName>
    <definedName name="_____ACT3">#REF!</definedName>
    <definedName name="_____CYA1">#REF!</definedName>
    <definedName name="_____CYA10">#REF!</definedName>
    <definedName name="_____CYA11">#REF!</definedName>
    <definedName name="_____CYA2">#REF!</definedName>
    <definedName name="_____CYA3">#REF!</definedName>
    <definedName name="_____CYA4">#REF!</definedName>
    <definedName name="_____CYA5">#REF!</definedName>
    <definedName name="_____CYA6">#REF!</definedName>
    <definedName name="_____CYA7">#REF!</definedName>
    <definedName name="_____CYA8">#REF!</definedName>
    <definedName name="_____CYA9">#REF!</definedName>
    <definedName name="_____LYA12">#REF!</definedName>
    <definedName name="____ACT1">#REF!</definedName>
    <definedName name="____ACT2">#REF!</definedName>
    <definedName name="____ACT3">#REF!</definedName>
    <definedName name="____CYA1">#REF!</definedName>
    <definedName name="____CYA10">#REF!</definedName>
    <definedName name="____CYA11">#REF!</definedName>
    <definedName name="____CYA2">#REF!</definedName>
    <definedName name="____CYA3">#REF!</definedName>
    <definedName name="____CYA4">#REF!</definedName>
    <definedName name="____CYA5">#REF!</definedName>
    <definedName name="____CYA6">#REF!</definedName>
    <definedName name="____CYA7">#REF!</definedName>
    <definedName name="____CYA8">#REF!</definedName>
    <definedName name="____CYA9">#REF!</definedName>
    <definedName name="____LYA12">#REF!</definedName>
    <definedName name="___ACT1">#REF!</definedName>
    <definedName name="___ACT2">#REF!</definedName>
    <definedName name="___ACT3">#REF!</definedName>
    <definedName name="___CYA1">#REF!</definedName>
    <definedName name="___CYA10">#REF!</definedName>
    <definedName name="___CYA11">#REF!</definedName>
    <definedName name="___CYA2">#REF!</definedName>
    <definedName name="___CYA3">#REF!</definedName>
    <definedName name="___CYA4">#REF!</definedName>
    <definedName name="___CYA5">#REF!</definedName>
    <definedName name="___CYA6">#REF!</definedName>
    <definedName name="___CYA7">#REF!</definedName>
    <definedName name="___CYA8">#REF!</definedName>
    <definedName name="___CYA9">#REF!</definedName>
    <definedName name="___LYA12">#REF!</definedName>
    <definedName name="__ACT1">#REF!</definedName>
    <definedName name="__ACT2">#REF!</definedName>
    <definedName name="__ACT3">#REF!</definedName>
    <definedName name="__CYA1">#REF!</definedName>
    <definedName name="__CYA10">#REF!</definedName>
    <definedName name="__CYA11">#REF!</definedName>
    <definedName name="__CYA2">#REF!</definedName>
    <definedName name="__CYA3">#REF!</definedName>
    <definedName name="__CYA4">#REF!</definedName>
    <definedName name="__CYA5">#REF!</definedName>
    <definedName name="__CYA6">#REF!</definedName>
    <definedName name="__CYA7">#REF!</definedName>
    <definedName name="__CYA8">#REF!</definedName>
    <definedName name="__CYA9">#REF!</definedName>
    <definedName name="__LYA1">#REF!</definedName>
    <definedName name="__LYA10">#REF!</definedName>
    <definedName name="__LYA11">#REF!</definedName>
    <definedName name="__LYA12">#REF!</definedName>
    <definedName name="__LYA2">#REF!</definedName>
    <definedName name="__LYA3">#REF!</definedName>
    <definedName name="__LYA4">#REF!</definedName>
    <definedName name="__LYA5">#REF!</definedName>
    <definedName name="__LYA6">#REF!</definedName>
    <definedName name="__LYA7">#REF!</definedName>
    <definedName name="__LYA8">#REF!</definedName>
    <definedName name="__LYA9">#REF!</definedName>
    <definedName name="_123Graph_g" hidden="1">#REF!</definedName>
    <definedName name="_13054">#REF!</definedName>
    <definedName name="_132" hidden="1">#REF!</definedName>
    <definedName name="_132Graph_h" hidden="1">#REF!</definedName>
    <definedName name="_ACT1">#REF!</definedName>
    <definedName name="_ACT2">#REF!</definedName>
    <definedName name="_ACT3">#REF!</definedName>
    <definedName name="_ACT4">#REF!</definedName>
    <definedName name="_BUN1">#REF!</definedName>
    <definedName name="_BUN3">#REF!</definedName>
    <definedName name="_COS1">#REF!</definedName>
    <definedName name="_COS2">#REF!</definedName>
    <definedName name="_CYA1">#REF!</definedName>
    <definedName name="_CYA10">#REF!</definedName>
    <definedName name="_CYA11">#REF!</definedName>
    <definedName name="_CYA2">#REF!</definedName>
    <definedName name="_CYA3">#REF!</definedName>
    <definedName name="_CYA4">#REF!</definedName>
    <definedName name="_CYA5">#REF!</definedName>
    <definedName name="_CYA6">#REF!</definedName>
    <definedName name="_CYA7">#REF!</definedName>
    <definedName name="_CYA8">#REF!</definedName>
    <definedName name="_CYA9">#REF!</definedName>
    <definedName name="_Fill" hidden="1">#REF!</definedName>
    <definedName name="_Key1" hidden="1">#REF!</definedName>
    <definedName name="_Key2" hidden="1">#REF!</definedName>
    <definedName name="_key5" hidden="1">#REF!</definedName>
    <definedName name="_LYA1">#REF!</definedName>
    <definedName name="_LYA10">#REF!</definedName>
    <definedName name="_LYA11">#REF!</definedName>
    <definedName name="_LYA12">#REF!</definedName>
    <definedName name="_LYA2">#REF!</definedName>
    <definedName name="_LYA3">#REF!</definedName>
    <definedName name="_LYA4">#REF!</definedName>
    <definedName name="_LYA5">#REF!</definedName>
    <definedName name="_LYA6">#REF!</definedName>
    <definedName name="_LYA7">#REF!</definedName>
    <definedName name="_LYA8">#REF!</definedName>
    <definedName name="_LYA9">#REF!</definedName>
    <definedName name="_max" hidden="1">#REF!</definedName>
    <definedName name="_Mon" hidden="1">#REF!</definedName>
    <definedName name="_Order1" hidden="1">255</definedName>
    <definedName name="_Order2" hidden="1">255</definedName>
    <definedName name="_Order3" hidden="1">0</definedName>
    <definedName name="_PER1">#REF!</definedName>
    <definedName name="_PER2">#REF!</definedName>
    <definedName name="_PER3">#REF!</definedName>
    <definedName name="_PER4">#REF!</definedName>
    <definedName name="_PER5">#REF!</definedName>
    <definedName name="_Regression_Int">0</definedName>
    <definedName name="_SFD1">#REF!</definedName>
    <definedName name="_SFD3">#REF!</definedName>
    <definedName name="_SFV1">#REF!</definedName>
    <definedName name="_SFV4">#REF!</definedName>
    <definedName name="_Sort" hidden="1">#REF!</definedName>
    <definedName name="_Sort1" hidden="1">#REF!</definedName>
    <definedName name="_sort3" hidden="1">#REF!</definedName>
    <definedName name="a">#REF!</definedName>
    <definedName name="aaaaaaa">rank</definedName>
    <definedName name="Accounts">#REF!</definedName>
    <definedName name="ACCT">#REF!</definedName>
    <definedName name="ACCT.ConsolSum">#REF!</definedName>
    <definedName name="AcctName">#REF!</definedName>
    <definedName name="ACT_CUR">#REF!</definedName>
    <definedName name="ACT_YTD">#REF!</definedName>
    <definedName name="AD">#REF!</definedName>
    <definedName name="adfd">rank</definedName>
    <definedName name="ADK">#REF!</definedName>
    <definedName name="afsdfsdfsd">#REF!</definedName>
    <definedName name="AmountCount">#REF!</definedName>
    <definedName name="AmountCount1">#REF!</definedName>
    <definedName name="AmountFrom">#REF!</definedName>
    <definedName name="AmountTo">#REF!</definedName>
    <definedName name="AmountTotal">#REF!</definedName>
    <definedName name="AmountTotal1">#REF!</definedName>
    <definedName name="AOK">#REF!</definedName>
    <definedName name="APA">#REF!</definedName>
    <definedName name="APN">#REF!</definedName>
    <definedName name="ASD">#REF!</definedName>
    <definedName name="AST">#REF!</definedName>
    <definedName name="BaseMonthDate">#REF!</definedName>
    <definedName name="BaseMonthDate2">#REF!</definedName>
    <definedName name="BaseMonthDate3">#REF!</definedName>
    <definedName name="BaseYear">#REF!</definedName>
    <definedName name="BEGCELL">#REF!</definedName>
    <definedName name="begin">#REF!</definedName>
    <definedName name="BookRev">#REF!</definedName>
    <definedName name="BookRev_com">#REF!</definedName>
    <definedName name="BookRev_mfr">#REF!</definedName>
    <definedName name="BookRev_ro">#REF!</definedName>
    <definedName name="BookRev_rr">#REF!</definedName>
    <definedName name="BookRev_yw">#REF!</definedName>
    <definedName name="BREMAIR_COST_of_SERVICE_STUDY">#REF!</definedName>
    <definedName name="Brokerage">#REF!</definedName>
    <definedName name="BUD_CUR">#REF!</definedName>
    <definedName name="BUD_YTD">#REF!</definedName>
    <definedName name="BUN">#REF!</definedName>
    <definedName name="BusUnitCode">#REF!</definedName>
    <definedName name="BusUnitName">#REF!</definedName>
    <definedName name="BUV">#REF!</definedName>
    <definedName name="Calc">#REF!</definedName>
    <definedName name="Calc0">#REF!</definedName>
    <definedName name="Calc1">#REF!</definedName>
    <definedName name="Calc10">#REF!</definedName>
    <definedName name="Calc11">#REF!</definedName>
    <definedName name="Calc12">#REF!</definedName>
    <definedName name="Calc13">#REF!</definedName>
    <definedName name="Calc14">#REF!</definedName>
    <definedName name="Calc15">#REF!</definedName>
    <definedName name="Calc16">#REF!</definedName>
    <definedName name="Calc17">#REF!</definedName>
    <definedName name="Calc18">#REF!</definedName>
    <definedName name="Calc2">#REF!</definedName>
    <definedName name="Calc3">#REF!</definedName>
    <definedName name="Calc4">#REF!</definedName>
    <definedName name="Calc5">#REF!</definedName>
    <definedName name="Calc6">#REF!</definedName>
    <definedName name="Calc7">#REF!</definedName>
    <definedName name="Calc8">#REF!</definedName>
    <definedName name="Calc9">#REF!</definedName>
    <definedName name="CalRecyTons">#REF!</definedName>
    <definedName name="CanCartTons">#REF!</definedName>
    <definedName name="CheckTotals">#REF!</definedName>
    <definedName name="clear">#REF!</definedName>
    <definedName name="CoCanTons">#REF!</definedName>
    <definedName name="CoComYd">#REF!</definedName>
    <definedName name="CoCustCnt">#REF!</definedName>
    <definedName name="colgroup">#REF!</definedName>
    <definedName name="colsegment">#REF!</definedName>
    <definedName name="Comments">#REF!:INDEX(#REF!,SUMPRODUCT(--(#REF!&lt;&gt;"")))</definedName>
    <definedName name="CommlStaffPriceOut">#REF!</definedName>
    <definedName name="CoMultiYd">#REF!</definedName>
    <definedName name="ContainerTons">#REF!</definedName>
    <definedName name="ControlNumber">#REF!</definedName>
    <definedName name="COST_OF_SERVICE_STUDY">#REF!</definedName>
    <definedName name="Coststudy">#REF!</definedName>
    <definedName name="CoXtraYds">#REF!</definedName>
    <definedName name="CR">#REF!</definedName>
    <definedName name="CRCTable">#REF!</definedName>
    <definedName name="CRCTableOLD">#REF!</definedName>
    <definedName name="CriteriaType">#REF!</definedName>
    <definedName name="CtyCanTons">#REF!</definedName>
    <definedName name="CtyComYd">#REF!</definedName>
    <definedName name="CtyCustCnt">#REF!</definedName>
    <definedName name="CtyMultiYd">#REF!</definedName>
    <definedName name="CtyXtraYds">#REF!</definedName>
    <definedName name="CUR">#REF!</definedName>
    <definedName name="Currency">#REF!</definedName>
    <definedName name="CurrentMonth">#REF!</definedName>
    <definedName name="Cutomers">#REF!</definedName>
    <definedName name="CWR">#REF!</definedName>
    <definedName name="CWRS">#REF!</definedName>
    <definedName name="CYear">#REF!</definedName>
    <definedName name="dasd">rank</definedName>
    <definedName name="Data_End_Test">#REF!</definedName>
    <definedName name="Data_Start_Test">#REF!</definedName>
    <definedName name="_xlnm.Database">#REF!</definedName>
    <definedName name="Database_MI">#REF!</definedName>
    <definedName name="Database1">#REF!</definedName>
    <definedName name="DateFrom">#REF!</definedName>
    <definedName name="DateRange">#REF!</definedName>
    <definedName name="DateTo">#REF!</definedName>
    <definedName name="DAY">#REF!</definedName>
    <definedName name="DBxStaffPriceOut">#REF!</definedName>
    <definedName name="DEBITS">#REF!</definedName>
    <definedName name="Debt_Rate" localSheetId="2">'LG Public'!$K$27</definedName>
    <definedName name="debtP" localSheetId="2">'LG Public'!$I$27</definedName>
    <definedName name="debtP">#REF!</definedName>
    <definedName name="DeleteCMReconBook">#REF!</definedName>
    <definedName name="deletion">#REF!</definedName>
    <definedName name="DEPT">#REF!</definedName>
    <definedName name="Detail">#REF!</definedName>
    <definedName name="DetailBudYear">#REF!</definedName>
    <definedName name="DetailDistrict">#REF!</definedName>
    <definedName name="DispRates">#REF!</definedName>
    <definedName name="Dist">#REF!</definedName>
    <definedName name="District">#REF!</definedName>
    <definedName name="District_1">#REF!</definedName>
    <definedName name="DistrictName">#REF!</definedName>
    <definedName name="DistrictNum">#REF!</definedName>
    <definedName name="Districts">#REF!</definedName>
    <definedName name="DistrictSelection">#REF!</definedName>
    <definedName name="DistStaffSignOffStatus">#REF!</definedName>
    <definedName name="DivisionSignOffReq">#REF!</definedName>
    <definedName name="DivSignOffStatus">#REF!</definedName>
    <definedName name="dOG">#REF!</definedName>
    <definedName name="drlFilter">#REF!</definedName>
    <definedName name="End">#REF!</definedName>
    <definedName name="EndTime">#REF!</definedName>
    <definedName name="EntrieShownLimit">#REF!</definedName>
    <definedName name="Equity_percent" localSheetId="2">'LG Public'!$S$57</definedName>
    <definedName name="equityP" localSheetId="2">'LG Public'!$I$26</definedName>
    <definedName name="ExcludeIC">#REF!</definedName>
    <definedName name="ExcludeIC_1">#REF!</definedName>
    <definedName name="expenses" localSheetId="2">'LG Public'!$I$8</definedName>
    <definedName name="expenses">#REF!</definedName>
    <definedName name="ExpensesPF1">#REF!</definedName>
    <definedName name="EXT">#REF!</definedName>
    <definedName name="FBTable">#REF!</definedName>
    <definedName name="FBTableOld">#REF!</definedName>
    <definedName name="filter">#REF!</definedName>
    <definedName name="Financial">#REF!</definedName>
    <definedName name="FirstColCriteria">#REF!</definedName>
    <definedName name="FirstHeaderCriteria">#REF!</definedName>
    <definedName name="flag">#REF!</definedName>
    <definedName name="Format_Column">#REF!</definedName>
    <definedName name="formata">#REF!</definedName>
    <definedName name="formatb">#REF!</definedName>
    <definedName name="FromMonth">#REF!</definedName>
    <definedName name="FundsApprPend">#REF!</definedName>
    <definedName name="FundsBudUnbud">#REF!</definedName>
    <definedName name="FY">#REF!</definedName>
    <definedName name="GLMappingStart">#REF!</definedName>
    <definedName name="GLMappingStart1">#REF!</definedName>
    <definedName name="GRETABLE">#REF!</definedName>
    <definedName name="HeaderReturnMessage">#REF!</definedName>
    <definedName name="Heading1">#REF!</definedName>
    <definedName name="IDN">#REF!</definedName>
    <definedName name="IFN">#REF!</definedName>
    <definedName name="Import_Range">#REF!</definedName>
    <definedName name="IncomeStmnt">#REF!</definedName>
    <definedName name="INPUT" localSheetId="2">'LG Public'!#REF!</definedName>
    <definedName name="INPUT">#REF!</definedName>
    <definedName name="INPUTc" localSheetId="2">#REF!</definedName>
    <definedName name="INPUTc">#REF!</definedName>
    <definedName name="InsertColRange">#REF!</definedName>
    <definedName name="Insurance">#REF!</definedName>
    <definedName name="Investment" localSheetId="2">'LG Public'!$J$28</definedName>
    <definedName name="Invoice_Start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EDetail">#REF!</definedName>
    <definedName name="JEDetail1">#REF!</definedName>
    <definedName name="JEType">#REF!</definedName>
    <definedName name="JEType1">#REF!</definedName>
    <definedName name="Juris1CanCount">#REF!</definedName>
    <definedName name="Juris1CanTons">#REF!</definedName>
    <definedName name="Juris1ComYd">#REF!</definedName>
    <definedName name="Juris1CustCnt">#REF!</definedName>
    <definedName name="Juris1MultiYd">#REF!</definedName>
    <definedName name="Juris1SeasonalYds">#REF!</definedName>
    <definedName name="Juris1XtraYds">#REF!</definedName>
    <definedName name="Juris2CanCount">#REF!</definedName>
    <definedName name="Juris2CanTons">#REF!</definedName>
    <definedName name="Juris2ComYd">#REF!</definedName>
    <definedName name="Juris2CustCnt">#REF!</definedName>
    <definedName name="Juris2MultiYd">#REF!</definedName>
    <definedName name="Juris2SeasonalYds">#REF!</definedName>
    <definedName name="Juris2XtraYds">#REF!</definedName>
    <definedName name="Juris3CanCount">#REF!</definedName>
    <definedName name="Juris3CanTons">#REF!</definedName>
    <definedName name="Juris3ComYd">#REF!</definedName>
    <definedName name="Juris3CustCnt">#REF!</definedName>
    <definedName name="Juris3MultiYd">#REF!</definedName>
    <definedName name="Juris3SeasonalYds">#REF!</definedName>
    <definedName name="Juris3XtraYds">#REF!</definedName>
    <definedName name="Juris4CanCount">#REF!</definedName>
    <definedName name="Juris4CanTons">#REF!</definedName>
    <definedName name="Juris4ComYd">#REF!</definedName>
    <definedName name="Juris4CustCnt">#REF!</definedName>
    <definedName name="Juris4MultiYd">#REF!</definedName>
    <definedName name="Juris4SeasonalYds">#REF!</definedName>
    <definedName name="Juris4XtraYds">#REF!</definedName>
    <definedName name="Juris5CanCount">#REF!</definedName>
    <definedName name="Juris5CanTons">#REF!</definedName>
    <definedName name="Juris5ComYD">#REF!</definedName>
    <definedName name="Juris5CustCnt">#REF!</definedName>
    <definedName name="Juris5MultiYd">#REF!</definedName>
    <definedName name="Juris5SeasonalYds">#REF!</definedName>
    <definedName name="Juris5XtraYds">#REF!</definedName>
    <definedName name="Jurisdiction_1">#REF!</definedName>
    <definedName name="Jurisdiction_2">#REF!</definedName>
    <definedName name="Jurisdiction_3">#REF!</definedName>
    <definedName name="Jurisdiction_4">#REF!</definedName>
    <definedName name="Jurisdiction_5">#REF!</definedName>
    <definedName name="LAST_ROW">#REF!</definedName>
    <definedName name="LastExecutedFor">#REF!</definedName>
    <definedName name="LastSavedOn">#REF!</definedName>
    <definedName name="lblBillAreaStatus">#REF!</definedName>
    <definedName name="lblBillCycleStatus">#REF!</definedName>
    <definedName name="lblCategoryStatus">#REF!</definedName>
    <definedName name="lblCompanyStatus">#REF!</definedName>
    <definedName name="lblDatabaseStatus">#REF!</definedName>
    <definedName name="lblPullStatus">#REF!</definedName>
    <definedName name="lllllllllllllllllllll">#REF!</definedName>
    <definedName name="LOB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U_Line">#REF!</definedName>
    <definedName name="Lurito">#REF!</definedName>
    <definedName name="LYN">#REF!</definedName>
    <definedName name="MainDataEnd">#REF!</definedName>
    <definedName name="MainDataStart">#REF!</definedName>
    <definedName name="MapKeyStart">#REF!</definedName>
    <definedName name="master_def">#REF!</definedName>
    <definedName name="MATRIX">#REF!</definedName>
    <definedName name="MemoAttachment">#REF!</definedName>
    <definedName name="MetaSet">#REF!</definedName>
    <definedName name="MFStaffPriceOut">#REF!</definedName>
    <definedName name="MILTON">#REF!</definedName>
    <definedName name="MissingAccountList">#REF!</definedName>
    <definedName name="Month">#REF!</definedName>
    <definedName name="MonthList">#REF!</definedName>
    <definedName name="MthValue">#REF!</definedName>
    <definedName name="NarrThreshold_Doll">#REF!</definedName>
    <definedName name="NarrThreshold_Perc">#REF!</definedName>
    <definedName name="New">#REF!</definedName>
    <definedName name="NewAccountCheck">#REF!</definedName>
    <definedName name="NewLob">#REF!</definedName>
    <definedName name="NewOnlyOrg">#N/A</definedName>
    <definedName name="NewSource">#REF!</definedName>
    <definedName name="nn">#REF!</definedName>
    <definedName name="NONRECAP">#REF!</definedName>
    <definedName name="NOTES">#REF!</definedName>
    <definedName name="NR">#REF!</definedName>
    <definedName name="NvsASD">"V2008-12-31"</definedName>
    <definedName name="NvsAutoDrillOk">"VN"</definedName>
    <definedName name="NvsElapsedTime">0.000729166669771075</definedName>
    <definedName name="NvsEndTime">39896.5868402778</definedName>
    <definedName name="NvsEndTime2">39823.1371643519</definedName>
    <definedName name="NvsEndTime3">39918.4137268519</definedName>
    <definedName name="NvsEndTime4">39825.0263078704</definedName>
    <definedName name="NvsEndTime5">39822.9425347222</definedName>
    <definedName name="NvsInstanceHook">rank</definedName>
    <definedName name="NvsInstanceHook1">rank</definedName>
    <definedName name="NvsInstLang">"VENG"</definedName>
    <definedName name="NvsInstSpec">"%,FBUSINESS_UNIT,V01815"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"V1950-01-01"</definedName>
    <definedName name="NvsPanelSetid">"VWASTE"</definedName>
    <definedName name="NvsReqBU">"V01815"</definedName>
    <definedName name="NvsReqBUOnly">"VY"</definedName>
    <definedName name="NvsTransLed">"VN"</definedName>
    <definedName name="NvsTreeASD">"V2008-12-31"</definedName>
    <definedName name="NvsValTbl.ACCOUNT">"GL_ACCOUNT_TBL"</definedName>
    <definedName name="NvsValTbl.ACCOUNT_SUM">"ZGL_SACCT_VW"</definedName>
    <definedName name="NvsValTbl.ASSET_CLASS">"ASSET_CLASS_TBL"</definedName>
    <definedName name="NvsValTbl.BUSINESS_UNIT">"BUS_UNIT_TBL_GL"</definedName>
    <definedName name="NvsValTbl.CURRENCY_CD">"CURRENCY_CD_TBL"</definedName>
    <definedName name="NvsValTbl.DEPTID">"DEPT_TBL"</definedName>
    <definedName name="NvsValTbl.OPERATING_UNIT">"OPER_UNIT_TBL"</definedName>
    <definedName name="NvsValTbl.PRODUCT">"PRODUCT_TBL"</definedName>
    <definedName name="OfficerSalary">#N/A</definedName>
    <definedName name="OffsetAcctBil">#REF!</definedName>
    <definedName name="OffsetAcctPmt">#REF!</definedName>
    <definedName name="Operations">#REF!</definedName>
    <definedName name="OPR">#REF!</definedName>
    <definedName name="Org11_13">#N/A</definedName>
    <definedName name="Org7_10">#N/A</definedName>
    <definedName name="ORIG2GALWT_">#REF!</definedName>
    <definedName name="ORIG2OH">#REF!</definedName>
    <definedName name="OthCanTons">#REF!</definedName>
    <definedName name="OthComYd">#REF!</definedName>
    <definedName name="OthCustCnt">#REF!</definedName>
    <definedName name="OthMultiYd">#REF!</definedName>
    <definedName name="OthXtraYds">#REF!</definedName>
    <definedName name="p">#REF!</definedName>
    <definedName name="PAGE_1">#REF!</definedName>
    <definedName name="Page10">#REF!</definedName>
    <definedName name="Page10a">#REF!</definedName>
    <definedName name="page11">#REF!</definedName>
    <definedName name="page12">#REF!</definedName>
    <definedName name="Page16">#REF!</definedName>
    <definedName name="Page17">#REF!</definedName>
    <definedName name="Page18">#REF!</definedName>
    <definedName name="Page20">#REF!</definedName>
    <definedName name="page7">#REF!</definedName>
    <definedName name="Page7a">#REF!</definedName>
    <definedName name="pBatchID">#REF!</definedName>
    <definedName name="pBillArea">#REF!</definedName>
    <definedName name="pBillCycle">#REF!</definedName>
    <definedName name="pCategory">#REF!</definedName>
    <definedName name="pCompany">#REF!</definedName>
    <definedName name="pCustomerNumber">#REF!</definedName>
    <definedName name="pDatabase">#REF!</definedName>
    <definedName name="PED">#REF!</definedName>
    <definedName name="pEndPostDate">#REF!</definedName>
    <definedName name="PER">#REF!</definedName>
    <definedName name="Period">#REF!</definedName>
    <definedName name="Pfd_weighted" localSheetId="2">'LG Public'!$U$56</definedName>
    <definedName name="PFREVB4">#REF!</definedName>
    <definedName name="pMonth">#REF!</definedName>
    <definedName name="pOnlyShowLastTranx">#REF!</definedName>
    <definedName name="Posting">#REF!</definedName>
    <definedName name="POTruckSubTypeLookup">#REF!</definedName>
    <definedName name="primtbl">#REF!</definedName>
    <definedName name="_xlnm.Print_Area" localSheetId="2">'LG Public'!$F$2:$N$49</definedName>
    <definedName name="_xlnm.Print_Area" localSheetId="0">'Rate Sheet'!$A$1:$M$420</definedName>
    <definedName name="_xlnm.Print_Area">#REF!</definedName>
    <definedName name="Print_Area_MI" localSheetId="2">#REF!</definedName>
    <definedName name="Print_Area_MI">#REF!</definedName>
    <definedName name="Print_Area_MIc" localSheetId="2">#REF!</definedName>
    <definedName name="Print_Area_MIc">#REF!</definedName>
    <definedName name="Print_Area1">#REF!</definedName>
    <definedName name="Print_Area11">#REF!</definedName>
    <definedName name="Print_Area2">#REF!</definedName>
    <definedName name="Print_Area3">#REF!</definedName>
    <definedName name="Print_Area5">#REF!</definedName>
    <definedName name="Print_Titles_MI">#REF!</definedName>
    <definedName name="Print1">#REF!</definedName>
    <definedName name="Print2">#REF!</definedName>
    <definedName name="Print5">#REF!</definedName>
    <definedName name="Prnit_Range">#REF!</definedName>
    <definedName name="ProRev">#REF!</definedName>
    <definedName name="ProRev_com">#REF!</definedName>
    <definedName name="ProRev_mfr">#REF!</definedName>
    <definedName name="ProRev_ro">#REF!</definedName>
    <definedName name="ProRev_rr">#REF!</definedName>
    <definedName name="ProRev_yw">#REF!</definedName>
    <definedName name="pServer">#REF!</definedName>
    <definedName name="pServiceCode">#REF!</definedName>
    <definedName name="pShowAllUnposted">#REF!</definedName>
    <definedName name="pShowCustomerDetail">#REF!</definedName>
    <definedName name="pSortOption">#REF!</definedName>
    <definedName name="pStartPostDate">#REF!</definedName>
    <definedName name="pTransType">#REF!</definedName>
    <definedName name="PYear">#REF!</definedName>
    <definedName name="QtrValue">#REF!</definedName>
    <definedName name="Quarter_Budget">#REF!</definedName>
    <definedName name="Quarter_Month">#REF!</definedName>
    <definedName name="RBU">#REF!</definedName>
    <definedName name="RCW_81.04.080">#N/A</definedName>
    <definedName name="RECAP">#REF!</definedName>
    <definedName name="RECAP2">#REF!</definedName>
    <definedName name="ReconMonth">#REF!</definedName>
    <definedName name="_xlnm.Recorder">#REF!</definedName>
    <definedName name="RecyDisposal">#N/A</definedName>
    <definedName name="Reg_Cust_Billed_Percent">#REF!</definedName>
    <definedName name="Reg_Cust_Percent">#REF!</definedName>
    <definedName name="Reg_Drive_Percent">#REF!</definedName>
    <definedName name="Reg_Haul_Rev_Percent">#REF!</definedName>
    <definedName name="Reg_Lab_Percent">#REF!</definedName>
    <definedName name="Reg_Steel_Cont_Percent">#REF!</definedName>
    <definedName name="regDebt_weighted" localSheetId="2">'LG Public'!$U$55</definedName>
    <definedName name="RegionSignOffReq">#REF!</definedName>
    <definedName name="RegionSignOffStatus">#REF!</definedName>
    <definedName name="RegulatedIS">#REF!</definedName>
    <definedName name="RelatedSalary">#N/A</definedName>
    <definedName name="report_type">#REF!</definedName>
    <definedName name="Reporting_Jurisdiction">#REF!</definedName>
    <definedName name="ReportNames">#REF!</definedName>
    <definedName name="ReportVersion">#REF!</definedName>
    <definedName name="ReslStaffPriceOut">#REF!</definedName>
    <definedName name="RetainedEarnings">#REF!</definedName>
    <definedName name="RevCust">#REF!</definedName>
    <definedName name="RevCustomer">#REF!</definedName>
    <definedName name="REVDETAIL">#REF!</definedName>
    <definedName name="Revenue" localSheetId="2">'LG Public'!$I$7</definedName>
    <definedName name="Revenue">#REF!</definedName>
    <definedName name="RevenuePF1">#REF!</definedName>
    <definedName name="REVMAT">#REF!</definedName>
    <definedName name="RID">#REF!</definedName>
    <definedName name="rngBodyText">#REF!</definedName>
    <definedName name="RngBottomRight">#REF!</definedName>
    <definedName name="rngColDelChars">#REF!</definedName>
    <definedName name="rngColumnDelete">#REF!</definedName>
    <definedName name="rngCreateLog">#REF!</definedName>
    <definedName name="rngDeleteColumns">#REF!</definedName>
    <definedName name="rngDeleteRows">#REF!</definedName>
    <definedName name="rngEmail">#REF!</definedName>
    <definedName name="rngFileDir">#REF!</definedName>
    <definedName name="rngFileFormat">#REF!</definedName>
    <definedName name="rngFileName">#REF!</definedName>
    <definedName name="rngFilePassword">#REF!</definedName>
    <definedName name="rngPassword">#REF!</definedName>
    <definedName name="rngPasswordProtect">#REF!</definedName>
    <definedName name="rngPrint">#REF!</definedName>
    <definedName name="rngRetainFormulas">#REF!</definedName>
    <definedName name="rngSaveFile">#REF!</definedName>
    <definedName name="rngSourceTab">#REF!</definedName>
    <definedName name="rngSubjectLine">#REF!</definedName>
    <definedName name="rngTabName">#REF!</definedName>
    <definedName name="rngTopLeft">#REF!</definedName>
    <definedName name="ROCE">#REF!,#REF!</definedName>
    <definedName name="ROW_SUPRESS">#REF!</definedName>
    <definedName name="rowgroup">#REF!</definedName>
    <definedName name="rowsegment">#REF!</definedName>
    <definedName name="RptEmailAddress">#REF!</definedName>
    <definedName name="rtr">#REF!</definedName>
    <definedName name="RTT">#REF!</definedName>
    <definedName name="sale">#REF!</definedName>
    <definedName name="SALES_TAX_RETURN">#REF!</definedName>
    <definedName name="Sbst">#REF!</definedName>
    <definedName name="SCN">#REF!</definedName>
    <definedName name="seffasfasdfsd">#REF!</definedName>
    <definedName name="SEPARATE">#REF!</definedName>
    <definedName name="Separation">#REF!</definedName>
    <definedName name="Sequential_Group">#REF!</definedName>
    <definedName name="Sequential_Segment">#REF!</definedName>
    <definedName name="Sequential_sort">#REF!</definedName>
    <definedName name="Setting_DeprFactor">#REF!</definedName>
    <definedName name="Setting_LFDeplUnitAcct">#REF!</definedName>
    <definedName name="Setting_LFUnitCost">#REF!</definedName>
    <definedName name="Setting_LFUnitCostNY">#REF!</definedName>
    <definedName name="Setting_LFUnitRow">#REF!</definedName>
    <definedName name="SFD">#REF!</definedName>
    <definedName name="SFD_BU">#REF!</definedName>
    <definedName name="SFD_DEPTID">#REF!</definedName>
    <definedName name="SFD_OP">#REF!</definedName>
    <definedName name="SFD_PROD">#REF!</definedName>
    <definedName name="SFD_PROJ">#REF!</definedName>
    <definedName name="sfdbusunit">#REF!</definedName>
    <definedName name="SFV">#REF!</definedName>
    <definedName name="SFV_BU">#REF!</definedName>
    <definedName name="SFV_CUR">#REF!</definedName>
    <definedName name="SFV_CUR1">#REF!</definedName>
    <definedName name="SFV_CUR5">#REF!</definedName>
    <definedName name="SFV_DEPTID">#REF!</definedName>
    <definedName name="SFV_OP">#REF!</definedName>
    <definedName name="SFV_PROD">#REF!</definedName>
    <definedName name="SFV_PROJ">#REF!</definedName>
    <definedName name="SIC_Table">#REF!</definedName>
    <definedName name="slope" localSheetId="2">'LG Public'!$Y$57</definedName>
    <definedName name="slope">#REF!</definedName>
    <definedName name="sort">#REF!</definedName>
    <definedName name="Sort1">#REF!</definedName>
    <definedName name="sortcol">#REF!</definedName>
    <definedName name="Source">#REF!</definedName>
    <definedName name="SPWS_WBID">"115966228744984"</definedName>
    <definedName name="sSRCDate">#REF!</definedName>
    <definedName name="start">#REF!</definedName>
    <definedName name="Stop">#REF!</definedName>
    <definedName name="SubSystem">#REF!</definedName>
    <definedName name="SubSystems">#REF!</definedName>
    <definedName name="SubtypeToTruckType">#REF!</definedName>
    <definedName name="SUMMARY">#REF!</definedName>
    <definedName name="Summary_DistrictName">#REF!</definedName>
    <definedName name="Summary_DistrictNo">#REF!</definedName>
    <definedName name="Supplemental_filter">#REF!</definedName>
    <definedName name="SWDisposal">#N/A</definedName>
    <definedName name="Syst">#REF!</definedName>
    <definedName name="System">#REF!</definedName>
    <definedName name="System_1">#REF!</definedName>
    <definedName name="Systems">#REF!</definedName>
    <definedName name="Table_SIC">#REF!</definedName>
    <definedName name="TargetMonths">#REF!</definedName>
    <definedName name="taxrate" localSheetId="2">'LG Public'!$J$38</definedName>
    <definedName name="TemplateEnd">#REF!</definedName>
    <definedName name="TemplateStart">#REF!</definedName>
    <definedName name="test">#REF!</definedName>
    <definedName name="TheTable">#REF!</definedName>
    <definedName name="TheTableOLD">#REF!</definedName>
    <definedName name="timeseries">#REF!</definedName>
    <definedName name="Title2">#REF!</definedName>
    <definedName name="ToMonth">#REF!</definedName>
    <definedName name="Tons">#REF!</definedName>
    <definedName name="TOP">#REF!</definedName>
    <definedName name="Total_Comm">#REF!</definedName>
    <definedName name="Total_DB">#REF!</definedName>
    <definedName name="Total_Interest">#REF!</definedName>
    <definedName name="Total_Resi">#REF!</definedName>
    <definedName name="TotalYards">#REF!</definedName>
    <definedName name="TOTCONT">#REF!</definedName>
    <definedName name="TOTCRECCONT">#REF!</definedName>
    <definedName name="TOTCRECCUST">#REF!</definedName>
    <definedName name="TOTCRECDH">#REF!</definedName>
    <definedName name="TOTCRECREV">#REF!</definedName>
    <definedName name="TOTCRECTDEP">#REF!</definedName>
    <definedName name="TOTCRECTH">#REF!</definedName>
    <definedName name="TOTCRECTV">#REF!</definedName>
    <definedName name="TOTCUST">#REF!</definedName>
    <definedName name="TOTDBCONT">#REF!</definedName>
    <definedName name="TOTDBCUST">#REF!</definedName>
    <definedName name="TOTDBDH">#REF!</definedName>
    <definedName name="TOTDBREV">#REF!</definedName>
    <definedName name="TOTDBTDEP">#REF!</definedName>
    <definedName name="TOTDBTH">#REF!</definedName>
    <definedName name="TOTDBTV">#REF!</definedName>
    <definedName name="TOTDEBCONT">#REF!</definedName>
    <definedName name="TOTDEBCUST">#REF!</definedName>
    <definedName name="TOTDEBDH">#REF!</definedName>
    <definedName name="TOTDEBREV">#REF!</definedName>
    <definedName name="TOTDEBTH">#REF!</definedName>
    <definedName name="TOTDH">#REF!</definedName>
    <definedName name="TOTFELCONT">#REF!</definedName>
    <definedName name="TOTFELCUST">#REF!</definedName>
    <definedName name="TOTFELDH">#REF!</definedName>
    <definedName name="TOTFELREV">#REF!</definedName>
    <definedName name="TOTFELTDEP">#REF!</definedName>
    <definedName name="TOTFELTH">#REF!</definedName>
    <definedName name="TOTFELTV">#REF!</definedName>
    <definedName name="TOTRESCONT">#REF!</definedName>
    <definedName name="TOTRESCUST">#REF!</definedName>
    <definedName name="TOTRESDH">#REF!</definedName>
    <definedName name="TOTRESRCONT">#REF!</definedName>
    <definedName name="TOTRESRCUST">#REF!</definedName>
    <definedName name="TOTRESRDH">#REF!</definedName>
    <definedName name="TOTRESREV">#REF!</definedName>
    <definedName name="TOTRESRREV">#REF!</definedName>
    <definedName name="TOTRESRTDEP">#REF!</definedName>
    <definedName name="TOTRESRTH">#REF!</definedName>
    <definedName name="TOTRESRTV">#REF!</definedName>
    <definedName name="TOTRESTDEP">#REF!</definedName>
    <definedName name="TOTRESTH">#REF!</definedName>
    <definedName name="TOTRESTV">#REF!</definedName>
    <definedName name="TOTREV">#REF!</definedName>
    <definedName name="TOTTDEP">#REF!</definedName>
    <definedName name="TOTTH">#REF!</definedName>
    <definedName name="TOTTV">#REF!</definedName>
    <definedName name="Transactions">#REF!</definedName>
    <definedName name="UnformattedIS">#REF!</definedName>
    <definedName name="UnregulatedIS">#REF!</definedName>
    <definedName name="UserTestMode">#REF!</definedName>
    <definedName name="ValidFormats">#REF!</definedName>
    <definedName name="Variables">#REF!</definedName>
    <definedName name="VarianceStatus">#REF!</definedName>
    <definedName name="VarianceTolerance">#REF!</definedName>
    <definedName name="VendorCode">#REF!</definedName>
    <definedName name="Version">#REF!</definedName>
    <definedName name="Waste_Management__Inc.">#REF!</definedName>
    <definedName name="WksInYr">#REF!</definedName>
    <definedName name="WM">#REF!</definedName>
    <definedName name="wrn.PrintReview.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2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PDXAM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nPg1_Pg11.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wrn.test." hidden="1">{"Page1",#N/A,TRUE,"SUMM";"Page2",#N/A,TRUE,"Rev";"Page3",#N/A,TRUE,"Dir_Costs"}</definedName>
    <definedName name="WTable">#REF!</definedName>
    <definedName name="WTableOld">#REF!</definedName>
    <definedName name="ww">#REF!</definedName>
    <definedName name="x">rank</definedName>
    <definedName name="xperiod">#REF!</definedName>
    <definedName name="xtabin">#REF!</definedName>
    <definedName name="xx">#REF!</definedName>
    <definedName name="xxx">#REF!</definedName>
    <definedName name="xxxx">#REF!</definedName>
    <definedName name="y_inter1" localSheetId="2">'LG Public'!$X$54</definedName>
    <definedName name="y_inter1">#REF!</definedName>
    <definedName name="y_inter2" localSheetId="2">'LG Public'!$X$55</definedName>
    <definedName name="y_inter2">#REF!</definedName>
    <definedName name="y_inter3" localSheetId="2">'LG Public'!$Z$54</definedName>
    <definedName name="y_inter3">#REF!</definedName>
    <definedName name="y_inter4" localSheetId="2">'LG Public'!$Z$55</definedName>
    <definedName name="y_inter4">#REF!</definedName>
    <definedName name="Year">#REF!</definedName>
    <definedName name="Year_of_Review">#REF!</definedName>
    <definedName name="YEAR4">#REF!</definedName>
    <definedName name="YearMonth">#REF!</definedName>
    <definedName name="YearMonth_1">#REF!</definedName>
    <definedName name="YearMonthDate">#REF!</definedName>
    <definedName name="YearMonthDate2">#REF!</definedName>
    <definedName name="YearMonthDate3">#REF!</definedName>
    <definedName name="YearMonthDate4">#REF!</definedName>
    <definedName name="YearMonthDate5">#REF!</definedName>
    <definedName name="yrCur">#REF!</definedName>
    <definedName name="yrNext">#REF!</definedName>
    <definedName name="YWMedWasteDisp">#N/A</definedName>
    <definedName name="yy">#REF!</definedName>
    <definedName name="Zero_Format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 s="1"/>
  <c r="S58" i="3"/>
  <c r="U56" i="3"/>
  <c r="U55" i="3"/>
  <c r="V33" i="3" s="1"/>
  <c r="J47" i="3"/>
  <c r="J46" i="3"/>
  <c r="J44" i="3"/>
  <c r="J43" i="3"/>
  <c r="V37" i="3"/>
  <c r="V34" i="3"/>
  <c r="AC32" i="3"/>
  <c r="V32" i="3"/>
  <c r="V31" i="3"/>
  <c r="V29" i="3"/>
  <c r="V28" i="3"/>
  <c r="V27" i="3"/>
  <c r="V24" i="3"/>
  <c r="AC23" i="3"/>
  <c r="V23" i="3"/>
  <c r="V22" i="3"/>
  <c r="V21" i="3"/>
  <c r="V19" i="3"/>
  <c r="V18" i="3"/>
  <c r="V17" i="3"/>
  <c r="V16" i="3"/>
  <c r="V14" i="3"/>
  <c r="F14" i="3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V13" i="3"/>
  <c r="J45" i="3"/>
  <c r="AC12" i="3"/>
  <c r="V12" i="3"/>
  <c r="AC11" i="3"/>
  <c r="V11" i="3"/>
  <c r="J38" i="3"/>
  <c r="AC9" i="3"/>
  <c r="V9" i="3"/>
  <c r="K27" i="3"/>
  <c r="L27" i="3" s="1"/>
  <c r="V8" i="3"/>
  <c r="F8" i="3"/>
  <c r="F9" i="3" s="1"/>
  <c r="F10" i="3" s="1"/>
  <c r="F11" i="3" s="1"/>
  <c r="F12" i="3" s="1"/>
  <c r="F13" i="3" s="1"/>
  <c r="I27" i="3"/>
  <c r="AC7" i="3"/>
  <c r="V7" i="3"/>
  <c r="J28" i="3"/>
  <c r="AC6" i="3"/>
  <c r="Y6" i="3"/>
  <c r="Y7" i="3" s="1"/>
  <c r="Y8" i="3" s="1"/>
  <c r="Y9" i="3" s="1"/>
  <c r="Y11" i="3" s="1"/>
  <c r="Y12" i="3" s="1"/>
  <c r="Y13" i="3" s="1"/>
  <c r="Y14" i="3" s="1"/>
  <c r="Y16" i="3" s="1"/>
  <c r="Y17" i="3" s="1"/>
  <c r="Y18" i="3" s="1"/>
  <c r="Y19" i="3" s="1"/>
  <c r="Y21" i="3" s="1"/>
  <c r="Y22" i="3" s="1"/>
  <c r="Y23" i="3" s="1"/>
  <c r="Y24" i="3" s="1"/>
  <c r="Y26" i="3" s="1"/>
  <c r="Y27" i="3" s="1"/>
  <c r="Y28" i="3" s="1"/>
  <c r="Y29" i="3" s="1"/>
  <c r="Y31" i="3" s="1"/>
  <c r="Y32" i="3" s="1"/>
  <c r="Y33" i="3" s="1"/>
  <c r="Y34" i="3" s="1"/>
  <c r="Y36" i="3" s="1"/>
  <c r="Y37" i="3" s="1"/>
  <c r="Y38" i="3" s="1"/>
  <c r="Y39" i="3" s="1"/>
  <c r="V6" i="3"/>
  <c r="I8" i="3"/>
  <c r="I7" i="3"/>
  <c r="S7" i="3" s="1"/>
  <c r="G140" i="1"/>
  <c r="G131" i="1"/>
  <c r="G122" i="1"/>
  <c r="G118" i="1"/>
  <c r="D101" i="1"/>
  <c r="D99" i="1"/>
  <c r="D98" i="1"/>
  <c r="D97" i="1"/>
  <c r="D95" i="1"/>
  <c r="D94" i="1"/>
  <c r="D93" i="1"/>
  <c r="D92" i="1"/>
  <c r="D91" i="1"/>
  <c r="D90" i="1"/>
  <c r="F83" i="1"/>
  <c r="G83" i="1" s="1"/>
  <c r="F82" i="1"/>
  <c r="G82" i="1" s="1"/>
  <c r="F81" i="1"/>
  <c r="G81" i="1" s="1"/>
  <c r="F80" i="1"/>
  <c r="G80" i="1" s="1"/>
  <c r="D55" i="1"/>
  <c r="D54" i="1"/>
  <c r="D52" i="1"/>
  <c r="D51" i="1"/>
  <c r="D50" i="1"/>
  <c r="D48" i="1"/>
  <c r="D47" i="1"/>
  <c r="D46" i="1"/>
  <c r="D43" i="1"/>
  <c r="D41" i="1"/>
  <c r="D39" i="1"/>
  <c r="D37" i="1"/>
  <c r="D35" i="1"/>
  <c r="D34" i="1"/>
  <c r="G26" i="1"/>
  <c r="D12" i="1"/>
  <c r="D11" i="1"/>
  <c r="D10" i="1"/>
  <c r="D8" i="1"/>
  <c r="H5" i="2" l="1"/>
  <c r="T7" i="3"/>
  <c r="U7" i="3" s="1"/>
  <c r="W7" i="3" s="1"/>
  <c r="X7" i="3" s="1"/>
  <c r="Z7" i="3" s="1"/>
  <c r="AA7" i="3" s="1"/>
  <c r="AB7" i="3" s="1"/>
  <c r="AD7" i="3" s="1"/>
  <c r="AE7" i="3" s="1"/>
  <c r="AF7" i="3" s="1"/>
  <c r="AG7" i="3" s="1"/>
  <c r="AH7" i="3" s="1"/>
  <c r="S9" i="3"/>
  <c r="S8" i="3"/>
  <c r="J19" i="3"/>
  <c r="I9" i="3"/>
  <c r="S6" i="3"/>
  <c r="I16" i="3"/>
  <c r="Y67" i="3"/>
  <c r="K38" i="3"/>
  <c r="Z67" i="3" s="1"/>
  <c r="K8" i="3"/>
  <c r="AC24" i="3"/>
  <c r="AC34" i="3"/>
  <c r="AC39" i="3"/>
  <c r="AC37" i="3"/>
  <c r="AC29" i="3"/>
  <c r="AC28" i="3"/>
  <c r="AC27" i="3"/>
  <c r="I26" i="3"/>
  <c r="AC33" i="3"/>
  <c r="AC26" i="3"/>
  <c r="AC38" i="3"/>
  <c r="AC22" i="3"/>
  <c r="AC18" i="3"/>
  <c r="AC17" i="3"/>
  <c r="AC16" i="3"/>
  <c r="AC13" i="3"/>
  <c r="AC36" i="3"/>
  <c r="J27" i="3"/>
  <c r="M27" i="3" s="1"/>
  <c r="K11" i="3" s="1"/>
  <c r="AC21" i="3"/>
  <c r="AC19" i="3"/>
  <c r="AC8" i="3"/>
  <c r="AC14" i="3"/>
  <c r="AC31" i="3"/>
  <c r="V36" i="3"/>
  <c r="V38" i="3"/>
  <c r="V39" i="3"/>
  <c r="V26" i="3"/>
  <c r="M11" i="3" l="1"/>
  <c r="I11" i="3"/>
  <c r="I28" i="3"/>
  <c r="J26" i="3"/>
  <c r="T8" i="3"/>
  <c r="U8" i="3" s="1"/>
  <c r="W8" i="3" s="1"/>
  <c r="X8" i="3" s="1"/>
  <c r="Z8" i="3" s="1"/>
  <c r="AA8" i="3" s="1"/>
  <c r="AB8" i="3" s="1"/>
  <c r="AD8" i="3" s="1"/>
  <c r="AE8" i="3" s="1"/>
  <c r="AF8" i="3" s="1"/>
  <c r="AG8" i="3" s="1"/>
  <c r="AH8" i="3" s="1"/>
  <c r="U6" i="3"/>
  <c r="W6" i="3" s="1"/>
  <c r="X6" i="3" s="1"/>
  <c r="Z6" i="3" s="1"/>
  <c r="AA6" i="3" s="1"/>
  <c r="AB6" i="3" s="1"/>
  <c r="AD6" i="3" s="1"/>
  <c r="AE6" i="3" s="1"/>
  <c r="AF6" i="3" s="1"/>
  <c r="AG6" i="3" s="1"/>
  <c r="AH6" i="3" s="1"/>
  <c r="T6" i="3"/>
  <c r="U9" i="3"/>
  <c r="W9" i="3" s="1"/>
  <c r="X9" i="3" s="1"/>
  <c r="Z9" i="3" s="1"/>
  <c r="AA9" i="3" s="1"/>
  <c r="AB9" i="3" s="1"/>
  <c r="AD9" i="3" s="1"/>
  <c r="AE9" i="3" s="1"/>
  <c r="AF9" i="3" s="1"/>
  <c r="AG9" i="3" s="1"/>
  <c r="AH9" i="3" s="1"/>
  <c r="T9" i="3"/>
  <c r="F110" i="2" l="1"/>
  <c r="F111" i="2"/>
  <c r="F112" i="2"/>
  <c r="F113" i="2"/>
  <c r="F114" i="2"/>
  <c r="F115" i="2"/>
  <c r="F116" i="2"/>
  <c r="F117" i="2"/>
  <c r="F118" i="2"/>
  <c r="F119" i="2"/>
  <c r="F120" i="2"/>
  <c r="AI6" i="3"/>
  <c r="AJ6" i="3"/>
  <c r="AK6" i="3"/>
  <c r="J7" i="3"/>
  <c r="K7" i="3"/>
  <c r="L7" i="3"/>
  <c r="M7" i="3"/>
  <c r="AI7" i="3"/>
  <c r="AJ7" i="3"/>
  <c r="AK7" i="3"/>
  <c r="L8" i="3"/>
  <c r="M8" i="3"/>
  <c r="AI8" i="3"/>
  <c r="AJ8" i="3"/>
  <c r="AK8" i="3"/>
  <c r="K9" i="3"/>
  <c r="M9" i="3"/>
  <c r="AI9" i="3"/>
  <c r="AJ9" i="3"/>
  <c r="AK9" i="3"/>
  <c r="S11" i="3"/>
  <c r="T11" i="3"/>
  <c r="U11" i="3"/>
  <c r="W11" i="3"/>
  <c r="X11" i="3"/>
  <c r="Z11" i="3"/>
  <c r="AA11" i="3"/>
  <c r="AB11" i="3"/>
  <c r="AD11" i="3"/>
  <c r="AE11" i="3"/>
  <c r="AF11" i="3"/>
  <c r="AG11" i="3"/>
  <c r="AH11" i="3"/>
  <c r="AI11" i="3"/>
  <c r="AJ11" i="3"/>
  <c r="AK11" i="3"/>
  <c r="I12" i="3"/>
  <c r="J12" i="3"/>
  <c r="K12" i="3"/>
  <c r="M12" i="3"/>
  <c r="S12" i="3"/>
  <c r="T12" i="3"/>
  <c r="U12" i="3"/>
  <c r="W12" i="3"/>
  <c r="X12" i="3"/>
  <c r="Z12" i="3"/>
  <c r="AA12" i="3"/>
  <c r="AB12" i="3"/>
  <c r="AD12" i="3"/>
  <c r="AE12" i="3"/>
  <c r="AF12" i="3"/>
  <c r="AG12" i="3"/>
  <c r="AH12" i="3"/>
  <c r="AI12" i="3"/>
  <c r="AJ12" i="3"/>
  <c r="AK12" i="3"/>
  <c r="S13" i="3"/>
  <c r="T13" i="3"/>
  <c r="U13" i="3"/>
  <c r="W13" i="3"/>
  <c r="X13" i="3"/>
  <c r="Z13" i="3"/>
  <c r="AA13" i="3"/>
  <c r="AB13" i="3"/>
  <c r="AD13" i="3"/>
  <c r="AE13" i="3"/>
  <c r="AF13" i="3"/>
  <c r="AG13" i="3"/>
  <c r="AH13" i="3"/>
  <c r="AI13" i="3"/>
  <c r="AJ13" i="3"/>
  <c r="AK13" i="3"/>
  <c r="I14" i="3"/>
  <c r="K14" i="3"/>
  <c r="M14" i="3"/>
  <c r="S14" i="3"/>
  <c r="T14" i="3"/>
  <c r="U14" i="3"/>
  <c r="W14" i="3"/>
  <c r="X14" i="3"/>
  <c r="Z14" i="3"/>
  <c r="AA14" i="3"/>
  <c r="AB14" i="3"/>
  <c r="AD14" i="3"/>
  <c r="AE14" i="3"/>
  <c r="AF14" i="3"/>
  <c r="AG14" i="3"/>
  <c r="AH14" i="3"/>
  <c r="AI14" i="3"/>
  <c r="AJ14" i="3"/>
  <c r="AK14" i="3"/>
  <c r="K16" i="3"/>
  <c r="M16" i="3"/>
  <c r="S16" i="3"/>
  <c r="T16" i="3"/>
  <c r="U16" i="3"/>
  <c r="W16" i="3"/>
  <c r="X16" i="3"/>
  <c r="Z16" i="3"/>
  <c r="AA16" i="3"/>
  <c r="AB16" i="3"/>
  <c r="AD16" i="3"/>
  <c r="AE16" i="3"/>
  <c r="AF16" i="3"/>
  <c r="AG16" i="3"/>
  <c r="AH16" i="3"/>
  <c r="AI16" i="3"/>
  <c r="AJ16" i="3"/>
  <c r="AK16" i="3"/>
  <c r="S17" i="3"/>
  <c r="T17" i="3"/>
  <c r="U17" i="3"/>
  <c r="W17" i="3"/>
  <c r="X17" i="3"/>
  <c r="Z17" i="3"/>
  <c r="AA17" i="3"/>
  <c r="AB17" i="3"/>
  <c r="AD17" i="3"/>
  <c r="AE17" i="3"/>
  <c r="AF17" i="3"/>
  <c r="AG17" i="3"/>
  <c r="AH17" i="3"/>
  <c r="AI17" i="3"/>
  <c r="AJ17" i="3"/>
  <c r="AK17" i="3"/>
  <c r="S18" i="3"/>
  <c r="T18" i="3"/>
  <c r="U18" i="3"/>
  <c r="W18" i="3"/>
  <c r="X18" i="3"/>
  <c r="Z18" i="3"/>
  <c r="AA18" i="3"/>
  <c r="AB18" i="3"/>
  <c r="AD18" i="3"/>
  <c r="AE18" i="3"/>
  <c r="AF18" i="3"/>
  <c r="AG18" i="3"/>
  <c r="AH18" i="3"/>
  <c r="AI18" i="3"/>
  <c r="AJ18" i="3"/>
  <c r="AK18" i="3"/>
  <c r="M19" i="3"/>
  <c r="S19" i="3"/>
  <c r="T19" i="3"/>
  <c r="U19" i="3"/>
  <c r="W19" i="3"/>
  <c r="X19" i="3"/>
  <c r="Z19" i="3"/>
  <c r="AA19" i="3"/>
  <c r="AB19" i="3"/>
  <c r="AD19" i="3"/>
  <c r="AE19" i="3"/>
  <c r="AF19" i="3"/>
  <c r="AG19" i="3"/>
  <c r="AH19" i="3"/>
  <c r="AI19" i="3"/>
  <c r="AJ19" i="3"/>
  <c r="AK19" i="3"/>
  <c r="J20" i="3"/>
  <c r="M20" i="3"/>
  <c r="J21" i="3"/>
  <c r="K21" i="3"/>
  <c r="M21" i="3"/>
  <c r="S21" i="3"/>
  <c r="T21" i="3"/>
  <c r="U21" i="3"/>
  <c r="W21" i="3"/>
  <c r="X21" i="3"/>
  <c r="Z21" i="3"/>
  <c r="AA21" i="3"/>
  <c r="AB21" i="3"/>
  <c r="AD21" i="3"/>
  <c r="AE21" i="3"/>
  <c r="AF21" i="3"/>
  <c r="AG21" i="3"/>
  <c r="AH21" i="3"/>
  <c r="AI21" i="3"/>
  <c r="AJ21" i="3"/>
  <c r="AK21" i="3"/>
  <c r="K22" i="3"/>
  <c r="S22" i="3"/>
  <c r="T22" i="3"/>
  <c r="U22" i="3"/>
  <c r="W22" i="3"/>
  <c r="X22" i="3"/>
  <c r="Z22" i="3"/>
  <c r="AA22" i="3"/>
  <c r="AB22" i="3"/>
  <c r="AD22" i="3"/>
  <c r="AE22" i="3"/>
  <c r="AF22" i="3"/>
  <c r="AG22" i="3"/>
  <c r="AH22" i="3"/>
  <c r="AI22" i="3"/>
  <c r="AJ22" i="3"/>
  <c r="AK22" i="3"/>
  <c r="S23" i="3"/>
  <c r="T23" i="3"/>
  <c r="U23" i="3"/>
  <c r="W23" i="3"/>
  <c r="X23" i="3"/>
  <c r="Z23" i="3"/>
  <c r="AA23" i="3"/>
  <c r="AB23" i="3"/>
  <c r="AD23" i="3"/>
  <c r="AE23" i="3"/>
  <c r="AF23" i="3"/>
  <c r="AG23" i="3"/>
  <c r="AH23" i="3"/>
  <c r="AI23" i="3"/>
  <c r="AJ23" i="3"/>
  <c r="AK23" i="3"/>
  <c r="S24" i="3"/>
  <c r="T24" i="3"/>
  <c r="U24" i="3"/>
  <c r="W24" i="3"/>
  <c r="X24" i="3"/>
  <c r="Z24" i="3"/>
  <c r="AA24" i="3"/>
  <c r="AB24" i="3"/>
  <c r="AD24" i="3"/>
  <c r="AE24" i="3"/>
  <c r="AF24" i="3"/>
  <c r="AG24" i="3"/>
  <c r="AH24" i="3"/>
  <c r="AI24" i="3"/>
  <c r="AJ24" i="3"/>
  <c r="AK24" i="3"/>
  <c r="K26" i="3"/>
  <c r="L26" i="3"/>
  <c r="M26" i="3"/>
  <c r="S26" i="3"/>
  <c r="T26" i="3"/>
  <c r="U26" i="3"/>
  <c r="W26" i="3"/>
  <c r="X26" i="3"/>
  <c r="Z26" i="3"/>
  <c r="AA26" i="3"/>
  <c r="AB26" i="3"/>
  <c r="AD26" i="3"/>
  <c r="AE26" i="3"/>
  <c r="AF26" i="3"/>
  <c r="AG26" i="3"/>
  <c r="AH26" i="3"/>
  <c r="AI26" i="3"/>
  <c r="AJ26" i="3"/>
  <c r="AK26" i="3"/>
  <c r="S27" i="3"/>
  <c r="T27" i="3"/>
  <c r="U27" i="3"/>
  <c r="W27" i="3"/>
  <c r="X27" i="3"/>
  <c r="Z27" i="3"/>
  <c r="AA27" i="3"/>
  <c r="AB27" i="3"/>
  <c r="AD27" i="3"/>
  <c r="AE27" i="3"/>
  <c r="AF27" i="3"/>
  <c r="AG27" i="3"/>
  <c r="AH27" i="3"/>
  <c r="AI27" i="3"/>
  <c r="AJ27" i="3"/>
  <c r="AK27" i="3"/>
  <c r="L28" i="3"/>
  <c r="M28" i="3"/>
  <c r="S28" i="3"/>
  <c r="T28" i="3"/>
  <c r="U28" i="3"/>
  <c r="W28" i="3"/>
  <c r="X28" i="3"/>
  <c r="Z28" i="3"/>
  <c r="AA28" i="3"/>
  <c r="AB28" i="3"/>
  <c r="AD28" i="3"/>
  <c r="AE28" i="3"/>
  <c r="AF28" i="3"/>
  <c r="AG28" i="3"/>
  <c r="AH28" i="3"/>
  <c r="AI28" i="3"/>
  <c r="AJ28" i="3"/>
  <c r="AK28" i="3"/>
  <c r="S29" i="3"/>
  <c r="T29" i="3"/>
  <c r="U29" i="3"/>
  <c r="W29" i="3"/>
  <c r="X29" i="3"/>
  <c r="Z29" i="3"/>
  <c r="AA29" i="3"/>
  <c r="AB29" i="3"/>
  <c r="AD29" i="3"/>
  <c r="AE29" i="3"/>
  <c r="AF29" i="3"/>
  <c r="AG29" i="3"/>
  <c r="AH29" i="3"/>
  <c r="AI29" i="3"/>
  <c r="AJ29" i="3"/>
  <c r="AK29" i="3"/>
  <c r="S31" i="3"/>
  <c r="T31" i="3"/>
  <c r="U31" i="3"/>
  <c r="W31" i="3"/>
  <c r="X31" i="3"/>
  <c r="Z31" i="3"/>
  <c r="AA31" i="3"/>
  <c r="AB31" i="3"/>
  <c r="AD31" i="3"/>
  <c r="AE31" i="3"/>
  <c r="AF31" i="3"/>
  <c r="AG31" i="3"/>
  <c r="AH31" i="3"/>
  <c r="AI31" i="3"/>
  <c r="AJ31" i="3"/>
  <c r="AK31" i="3"/>
  <c r="S32" i="3"/>
  <c r="T32" i="3"/>
  <c r="U32" i="3"/>
  <c r="W32" i="3"/>
  <c r="X32" i="3"/>
  <c r="Z32" i="3"/>
  <c r="AA32" i="3"/>
  <c r="AB32" i="3"/>
  <c r="AD32" i="3"/>
  <c r="AE32" i="3"/>
  <c r="AF32" i="3"/>
  <c r="AG32" i="3"/>
  <c r="AH32" i="3"/>
  <c r="AI32" i="3"/>
  <c r="AJ32" i="3"/>
  <c r="AK32" i="3"/>
  <c r="J33" i="3"/>
  <c r="K33" i="3"/>
  <c r="S33" i="3"/>
  <c r="T33" i="3"/>
  <c r="U33" i="3"/>
  <c r="W33" i="3"/>
  <c r="X33" i="3"/>
  <c r="Z33" i="3"/>
  <c r="AA33" i="3"/>
  <c r="AB33" i="3"/>
  <c r="AD33" i="3"/>
  <c r="AE33" i="3"/>
  <c r="AF33" i="3"/>
  <c r="AG33" i="3"/>
  <c r="AH33" i="3"/>
  <c r="AI33" i="3"/>
  <c r="AJ33" i="3"/>
  <c r="AK33" i="3"/>
  <c r="J34" i="3"/>
  <c r="K34" i="3"/>
  <c r="S34" i="3"/>
  <c r="T34" i="3"/>
  <c r="U34" i="3"/>
  <c r="W34" i="3"/>
  <c r="X34" i="3"/>
  <c r="Z34" i="3"/>
  <c r="AA34" i="3"/>
  <c r="AB34" i="3"/>
  <c r="AD34" i="3"/>
  <c r="AE34" i="3"/>
  <c r="AF34" i="3"/>
  <c r="AG34" i="3"/>
  <c r="AH34" i="3"/>
  <c r="AI34" i="3"/>
  <c r="AJ34" i="3"/>
  <c r="AK34" i="3"/>
  <c r="J35" i="3"/>
  <c r="K35" i="3"/>
  <c r="J36" i="3"/>
  <c r="K36" i="3"/>
  <c r="S36" i="3"/>
  <c r="T36" i="3"/>
  <c r="U36" i="3"/>
  <c r="W36" i="3"/>
  <c r="X36" i="3"/>
  <c r="Z36" i="3"/>
  <c r="AA36" i="3"/>
  <c r="AB36" i="3"/>
  <c r="AD36" i="3"/>
  <c r="AE36" i="3"/>
  <c r="AF36" i="3"/>
  <c r="AG36" i="3"/>
  <c r="AH36" i="3"/>
  <c r="AI36" i="3"/>
  <c r="AJ36" i="3"/>
  <c r="AK36" i="3"/>
  <c r="J37" i="3"/>
  <c r="K37" i="3"/>
  <c r="S37" i="3"/>
  <c r="T37" i="3"/>
  <c r="U37" i="3"/>
  <c r="W37" i="3"/>
  <c r="X37" i="3"/>
  <c r="Z37" i="3"/>
  <c r="AA37" i="3"/>
  <c r="AB37" i="3"/>
  <c r="AD37" i="3"/>
  <c r="AE37" i="3"/>
  <c r="AF37" i="3"/>
  <c r="AG37" i="3"/>
  <c r="AH37" i="3"/>
  <c r="AI37" i="3"/>
  <c r="AJ37" i="3"/>
  <c r="AK37" i="3"/>
  <c r="S38" i="3"/>
  <c r="T38" i="3"/>
  <c r="U38" i="3"/>
  <c r="W38" i="3"/>
  <c r="X38" i="3"/>
  <c r="Z38" i="3"/>
  <c r="AA38" i="3"/>
  <c r="AB38" i="3"/>
  <c r="AD38" i="3"/>
  <c r="AE38" i="3"/>
  <c r="AF38" i="3"/>
  <c r="AG38" i="3"/>
  <c r="AH38" i="3"/>
  <c r="AI38" i="3"/>
  <c r="AJ38" i="3"/>
  <c r="AK38" i="3"/>
  <c r="S39" i="3"/>
  <c r="T39" i="3"/>
  <c r="U39" i="3"/>
  <c r="W39" i="3"/>
  <c r="X39" i="3"/>
  <c r="Z39" i="3"/>
  <c r="AA39" i="3"/>
  <c r="AB39" i="3"/>
  <c r="AD39" i="3"/>
  <c r="AE39" i="3"/>
  <c r="AF39" i="3"/>
  <c r="AG39" i="3"/>
  <c r="AH39" i="3"/>
  <c r="AI39" i="3"/>
  <c r="AJ39" i="3"/>
  <c r="AK39" i="3"/>
  <c r="K43" i="3"/>
  <c r="V43" i="3"/>
  <c r="K44" i="3"/>
  <c r="V44" i="3"/>
  <c r="K45" i="3"/>
  <c r="V45" i="3"/>
  <c r="K46" i="3"/>
  <c r="K47" i="3"/>
  <c r="R47" i="3"/>
  <c r="R48" i="3"/>
  <c r="J49" i="3"/>
  <c r="R50" i="3"/>
  <c r="Y62" i="3"/>
  <c r="Z62" i="3"/>
  <c r="Y63" i="3"/>
  <c r="Z63" i="3"/>
  <c r="Y64" i="3"/>
  <c r="Z64" i="3"/>
  <c r="Y65" i="3"/>
  <c r="Z65" i="3"/>
  <c r="Y66" i="3"/>
  <c r="Z66" i="3"/>
  <c r="H6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E69" i="2"/>
  <c r="F69" i="2"/>
  <c r="E70" i="2"/>
  <c r="F70" i="2"/>
  <c r="E71" i="2"/>
  <c r="F71" i="2"/>
  <c r="E72" i="2"/>
  <c r="F72" i="2"/>
  <c r="E73" i="2"/>
  <c r="F73" i="2"/>
  <c r="E74" i="2"/>
  <c r="F74" i="2"/>
  <c r="E75" i="2"/>
  <c r="F75" i="2"/>
  <c r="E76" i="2"/>
  <c r="F76" i="2"/>
  <c r="E77" i="2"/>
  <c r="F77" i="2"/>
  <c r="E78" i="2"/>
  <c r="F78" i="2"/>
  <c r="E79" i="2"/>
  <c r="F79" i="2"/>
  <c r="E80" i="2"/>
  <c r="F80" i="2"/>
  <c r="E81" i="2"/>
  <c r="F81" i="2"/>
  <c r="E82" i="2"/>
  <c r="F82" i="2"/>
  <c r="E83" i="2"/>
  <c r="F83" i="2"/>
  <c r="E84" i="2"/>
  <c r="F84" i="2"/>
  <c r="E85" i="2"/>
  <c r="F85" i="2"/>
  <c r="E86" i="2"/>
  <c r="F86" i="2"/>
  <c r="E87" i="2"/>
  <c r="F87" i="2"/>
  <c r="E88" i="2"/>
  <c r="F88" i="2"/>
  <c r="E89" i="2"/>
  <c r="F89" i="2"/>
  <c r="E90" i="2"/>
  <c r="F90" i="2"/>
  <c r="E91" i="2"/>
  <c r="F91" i="2"/>
  <c r="E92" i="2"/>
  <c r="F92" i="2"/>
  <c r="E93" i="2"/>
  <c r="F93" i="2"/>
  <c r="E94" i="2"/>
  <c r="F94" i="2"/>
  <c r="E95" i="2"/>
  <c r="F95" i="2"/>
  <c r="E96" i="2"/>
  <c r="F96" i="2"/>
  <c r="E97" i="2"/>
  <c r="F97" i="2"/>
  <c r="E98" i="2"/>
  <c r="F98" i="2"/>
  <c r="E99" i="2"/>
  <c r="F99" i="2"/>
  <c r="E100" i="2"/>
  <c r="F100" i="2"/>
  <c r="E101" i="2"/>
  <c r="F101" i="2"/>
  <c r="E102" i="2"/>
  <c r="F102" i="2"/>
  <c r="E103" i="2"/>
  <c r="F103" i="2"/>
  <c r="E104" i="2"/>
  <c r="F104" i="2"/>
  <c r="E105" i="2"/>
  <c r="F105" i="2"/>
  <c r="E106" i="2"/>
  <c r="F106" i="2"/>
  <c r="E107" i="2"/>
  <c r="F107" i="2"/>
  <c r="E108" i="2"/>
  <c r="F108" i="2"/>
  <c r="E109" i="2"/>
  <c r="F109" i="2"/>
  <c r="E121" i="2"/>
  <c r="F121" i="2"/>
  <c r="E122" i="2"/>
  <c r="F122" i="2"/>
  <c r="E123" i="2"/>
  <c r="F123" i="2"/>
  <c r="E124" i="2"/>
  <c r="F124" i="2"/>
  <c r="E125" i="2"/>
  <c r="F125" i="2"/>
  <c r="E126" i="2"/>
  <c r="F126" i="2"/>
  <c r="E127" i="2"/>
  <c r="F127" i="2"/>
  <c r="E128" i="2"/>
  <c r="F128" i="2"/>
  <c r="E129" i="2"/>
  <c r="F129" i="2"/>
  <c r="E130" i="2"/>
  <c r="F130" i="2"/>
  <c r="E131" i="2"/>
  <c r="F131" i="2"/>
  <c r="E132" i="2"/>
  <c r="F132" i="2"/>
  <c r="E133" i="2"/>
  <c r="F133" i="2"/>
  <c r="E134" i="2"/>
  <c r="F134" i="2"/>
  <c r="E135" i="2"/>
  <c r="F135" i="2"/>
  <c r="E136" i="2"/>
  <c r="F136" i="2"/>
  <c r="E137" i="2"/>
  <c r="F137" i="2"/>
  <c r="E138" i="2"/>
  <c r="F138" i="2"/>
  <c r="E139" i="2"/>
  <c r="F139" i="2"/>
  <c r="E140" i="2"/>
  <c r="F140" i="2"/>
  <c r="E141" i="2"/>
  <c r="F141" i="2"/>
  <c r="E142" i="2"/>
  <c r="F142" i="2"/>
  <c r="E143" i="2"/>
  <c r="F143" i="2"/>
  <c r="E144" i="2"/>
  <c r="F144" i="2"/>
  <c r="E145" i="2"/>
  <c r="F145" i="2"/>
  <c r="E146" i="2"/>
  <c r="F146" i="2"/>
  <c r="E147" i="2"/>
  <c r="F147" i="2"/>
  <c r="E148" i="2"/>
  <c r="F148" i="2"/>
  <c r="E149" i="2"/>
  <c r="F149" i="2"/>
  <c r="E150" i="2"/>
  <c r="F150" i="2"/>
  <c r="E151" i="2"/>
  <c r="F151" i="2"/>
  <c r="E152" i="2"/>
  <c r="F152" i="2"/>
  <c r="E153" i="2"/>
  <c r="F153" i="2"/>
  <c r="E154" i="2"/>
  <c r="F154" i="2"/>
  <c r="E155" i="2"/>
  <c r="F155" i="2"/>
  <c r="E156" i="2"/>
  <c r="F156" i="2"/>
  <c r="E157" i="2"/>
  <c r="F157" i="2"/>
  <c r="E158" i="2"/>
  <c r="F158" i="2"/>
  <c r="E159" i="2"/>
  <c r="F159" i="2"/>
  <c r="E160" i="2"/>
  <c r="F160" i="2"/>
  <c r="E161" i="2"/>
  <c r="F161" i="2"/>
  <c r="E162" i="2"/>
  <c r="F162" i="2"/>
  <c r="E163" i="2"/>
  <c r="F163" i="2"/>
  <c r="E164" i="2"/>
  <c r="F164" i="2"/>
  <c r="E165" i="2"/>
  <c r="F165" i="2"/>
  <c r="E166" i="2"/>
  <c r="F166" i="2"/>
  <c r="E167" i="2"/>
  <c r="F167" i="2"/>
  <c r="E168" i="2"/>
  <c r="F168" i="2"/>
  <c r="E169" i="2"/>
  <c r="F169" i="2"/>
  <c r="E170" i="2"/>
  <c r="F170" i="2"/>
  <c r="E171" i="2"/>
  <c r="F171" i="2"/>
  <c r="E172" i="2"/>
  <c r="F172" i="2"/>
  <c r="E173" i="2"/>
  <c r="F173" i="2"/>
  <c r="E174" i="2"/>
  <c r="F174" i="2"/>
  <c r="E175" i="2"/>
  <c r="F175" i="2"/>
  <c r="E176" i="2"/>
  <c r="F176" i="2"/>
  <c r="E177" i="2"/>
  <c r="F177" i="2"/>
  <c r="E178" i="2"/>
  <c r="F178" i="2"/>
  <c r="E179" i="2"/>
  <c r="F179" i="2"/>
  <c r="E180" i="2"/>
  <c r="F180" i="2"/>
  <c r="E181" i="2"/>
  <c r="F181" i="2"/>
  <c r="E182" i="2"/>
  <c r="F182" i="2"/>
  <c r="E183" i="2"/>
  <c r="F183" i="2"/>
  <c r="E184" i="2"/>
  <c r="F184" i="2"/>
  <c r="E185" i="2"/>
  <c r="F185" i="2"/>
  <c r="E186" i="2"/>
  <c r="F186" i="2"/>
  <c r="E187" i="2"/>
  <c r="F187" i="2"/>
  <c r="E188" i="2"/>
  <c r="F188" i="2"/>
  <c r="E189" i="2"/>
  <c r="F189" i="2"/>
  <c r="E190" i="2"/>
  <c r="F190" i="2"/>
  <c r="E191" i="2"/>
  <c r="F191" i="2"/>
  <c r="E192" i="2"/>
  <c r="F192" i="2"/>
  <c r="E193" i="2"/>
  <c r="F193" i="2"/>
  <c r="E194" i="2"/>
  <c r="F194" i="2"/>
  <c r="E195" i="2"/>
  <c r="F195" i="2"/>
  <c r="E196" i="2"/>
  <c r="F196" i="2"/>
  <c r="E197" i="2"/>
  <c r="F197" i="2"/>
  <c r="E198" i="2"/>
  <c r="F198" i="2"/>
  <c r="E199" i="2"/>
  <c r="F199" i="2"/>
  <c r="E200" i="2"/>
  <c r="F200" i="2"/>
  <c r="E201" i="2"/>
  <c r="F201" i="2"/>
  <c r="E202" i="2"/>
  <c r="F202" i="2"/>
  <c r="E203" i="2"/>
  <c r="F203" i="2"/>
  <c r="E204" i="2"/>
  <c r="F204" i="2"/>
  <c r="E205" i="2"/>
  <c r="F205" i="2"/>
  <c r="E206" i="2"/>
  <c r="F206" i="2"/>
  <c r="E207" i="2"/>
  <c r="F207" i="2"/>
  <c r="E208" i="2"/>
  <c r="F208" i="2"/>
  <c r="E209" i="2"/>
  <c r="F209" i="2"/>
  <c r="E210" i="2"/>
  <c r="F210" i="2"/>
  <c r="E211" i="2"/>
  <c r="F211" i="2"/>
  <c r="E212" i="2"/>
  <c r="F212" i="2"/>
  <c r="E213" i="2"/>
  <c r="F213" i="2"/>
  <c r="E214" i="2"/>
  <c r="F214" i="2"/>
  <c r="E215" i="2"/>
  <c r="F215" i="2"/>
  <c r="E216" i="2"/>
  <c r="F216" i="2"/>
  <c r="E217" i="2"/>
  <c r="F217" i="2"/>
  <c r="E218" i="2"/>
  <c r="F218" i="2"/>
  <c r="E219" i="2"/>
  <c r="F219" i="2"/>
  <c r="E220" i="2"/>
  <c r="F220" i="2"/>
  <c r="E221" i="2"/>
  <c r="F221" i="2"/>
  <c r="E222" i="2"/>
  <c r="F222" i="2"/>
  <c r="E223" i="2"/>
  <c r="F223" i="2"/>
  <c r="E224" i="2"/>
  <c r="F224" i="2"/>
  <c r="E225" i="2"/>
  <c r="F225" i="2"/>
  <c r="E226" i="2"/>
  <c r="F226" i="2"/>
  <c r="E227" i="2"/>
  <c r="F227" i="2"/>
  <c r="E228" i="2"/>
  <c r="F228" i="2"/>
  <c r="E229" i="2"/>
  <c r="F229" i="2"/>
  <c r="E230" i="2"/>
  <c r="F230" i="2"/>
  <c r="E231" i="2"/>
  <c r="F231" i="2"/>
  <c r="E232" i="2"/>
  <c r="F232" i="2"/>
  <c r="E233" i="2"/>
  <c r="F233" i="2"/>
  <c r="E234" i="2"/>
  <c r="F234" i="2"/>
  <c r="E235" i="2"/>
  <c r="F235" i="2"/>
  <c r="E236" i="2"/>
  <c r="F236" i="2"/>
  <c r="E237" i="2"/>
  <c r="F237" i="2"/>
  <c r="E238" i="2"/>
  <c r="F238" i="2"/>
  <c r="E239" i="2"/>
  <c r="F239" i="2"/>
  <c r="E240" i="2"/>
  <c r="F240" i="2"/>
  <c r="E241" i="2"/>
  <c r="F241" i="2"/>
  <c r="E242" i="2"/>
  <c r="F242" i="2"/>
  <c r="E243" i="2"/>
  <c r="F243" i="2"/>
  <c r="E244" i="2"/>
  <c r="F244" i="2"/>
  <c r="E245" i="2"/>
  <c r="F245" i="2"/>
  <c r="E246" i="2"/>
  <c r="F246" i="2"/>
  <c r="E247" i="2"/>
  <c r="F247" i="2"/>
  <c r="E248" i="2"/>
  <c r="F248" i="2"/>
  <c r="E249" i="2"/>
  <c r="F249" i="2"/>
  <c r="E250" i="2"/>
  <c r="F250" i="2"/>
  <c r="E251" i="2"/>
  <c r="F251" i="2"/>
  <c r="E252" i="2"/>
  <c r="F252" i="2"/>
  <c r="E253" i="2"/>
  <c r="F253" i="2"/>
  <c r="E254" i="2"/>
  <c r="F254" i="2"/>
  <c r="E255" i="2"/>
  <c r="F255" i="2"/>
  <c r="E256" i="2"/>
  <c r="F256" i="2"/>
  <c r="E257" i="2"/>
  <c r="F257" i="2"/>
  <c r="E258" i="2"/>
  <c r="F258" i="2"/>
  <c r="E259" i="2"/>
  <c r="F259" i="2"/>
  <c r="E260" i="2"/>
  <c r="F260" i="2"/>
  <c r="E261" i="2"/>
  <c r="F261" i="2"/>
  <c r="E262" i="2"/>
  <c r="F262" i="2"/>
  <c r="E263" i="2"/>
  <c r="F263" i="2"/>
  <c r="E264" i="2"/>
  <c r="F264" i="2"/>
  <c r="E265" i="2"/>
  <c r="F265" i="2"/>
  <c r="E266" i="2"/>
  <c r="F266" i="2"/>
  <c r="E267" i="2"/>
  <c r="F267" i="2"/>
  <c r="E268" i="2"/>
  <c r="F268" i="2"/>
  <c r="E269" i="2"/>
  <c r="F269" i="2"/>
  <c r="E270" i="2"/>
  <c r="F270" i="2"/>
  <c r="E271" i="2"/>
  <c r="F271" i="2"/>
  <c r="E272" i="2"/>
  <c r="F272" i="2"/>
  <c r="E273" i="2"/>
  <c r="F273" i="2"/>
  <c r="E274" i="2"/>
  <c r="F274" i="2"/>
  <c r="E275" i="2"/>
  <c r="F275" i="2"/>
  <c r="E276" i="2"/>
  <c r="F276" i="2"/>
  <c r="E277" i="2"/>
  <c r="F277" i="2"/>
  <c r="E278" i="2"/>
  <c r="F278" i="2"/>
  <c r="E279" i="2"/>
  <c r="F279" i="2"/>
  <c r="E280" i="2"/>
  <c r="F280" i="2"/>
  <c r="E281" i="2"/>
  <c r="F281" i="2"/>
  <c r="E282" i="2"/>
  <c r="F282" i="2"/>
  <c r="E283" i="2"/>
  <c r="F283" i="2"/>
  <c r="E284" i="2"/>
  <c r="F284" i="2"/>
  <c r="E285" i="2"/>
  <c r="F285" i="2"/>
  <c r="E286" i="2"/>
  <c r="F286" i="2"/>
  <c r="E287" i="2"/>
  <c r="F287" i="2"/>
  <c r="E288" i="2"/>
  <c r="F288" i="2"/>
  <c r="E289" i="2"/>
  <c r="F289" i="2"/>
  <c r="E290" i="2"/>
  <c r="F290" i="2"/>
  <c r="E291" i="2"/>
  <c r="F291" i="2"/>
  <c r="E292" i="2"/>
  <c r="F292" i="2"/>
  <c r="E293" i="2"/>
  <c r="F293" i="2"/>
  <c r="E294" i="2"/>
  <c r="F294" i="2"/>
  <c r="E295" i="2"/>
  <c r="F295" i="2"/>
  <c r="E296" i="2"/>
  <c r="F296" i="2"/>
  <c r="E297" i="2"/>
  <c r="F297" i="2"/>
  <c r="E298" i="2"/>
  <c r="F298" i="2"/>
  <c r="E299" i="2"/>
  <c r="F299" i="2"/>
  <c r="E300" i="2"/>
  <c r="F300" i="2"/>
  <c r="E301" i="2"/>
  <c r="F301" i="2"/>
  <c r="E302" i="2"/>
  <c r="F302" i="2"/>
  <c r="E303" i="2"/>
  <c r="F303" i="2"/>
  <c r="E304" i="2"/>
  <c r="F304" i="2"/>
  <c r="E305" i="2"/>
  <c r="F305" i="2"/>
  <c r="E306" i="2"/>
  <c r="F306" i="2"/>
  <c r="E307" i="2"/>
  <c r="F307" i="2"/>
  <c r="E308" i="2"/>
  <c r="F308" i="2"/>
  <c r="E309" i="2"/>
  <c r="F309" i="2"/>
  <c r="E310" i="2"/>
  <c r="F310" i="2"/>
  <c r="E311" i="2"/>
  <c r="F311" i="2"/>
  <c r="E312" i="2"/>
  <c r="F312" i="2"/>
  <c r="E313" i="2"/>
  <c r="F313" i="2"/>
  <c r="E314" i="2"/>
  <c r="F314" i="2"/>
  <c r="E315" i="2"/>
  <c r="F315" i="2"/>
  <c r="E316" i="2"/>
  <c r="F316" i="2"/>
  <c r="E317" i="2"/>
  <c r="F317" i="2"/>
  <c r="E318" i="2"/>
  <c r="F318" i="2"/>
  <c r="E319" i="2"/>
  <c r="F319" i="2"/>
  <c r="E320" i="2"/>
  <c r="F320" i="2"/>
  <c r="E321" i="2"/>
  <c r="F321" i="2"/>
  <c r="E322" i="2"/>
  <c r="F322" i="2"/>
  <c r="E323" i="2"/>
  <c r="F323" i="2"/>
  <c r="E324" i="2"/>
  <c r="F324" i="2"/>
  <c r="E325" i="2"/>
  <c r="F325" i="2"/>
  <c r="E326" i="2"/>
  <c r="F326" i="2"/>
  <c r="E327" i="2"/>
  <c r="F327" i="2"/>
  <c r="E328" i="2"/>
  <c r="F328" i="2"/>
  <c r="E329" i="2"/>
  <c r="F329" i="2"/>
  <c r="E330" i="2"/>
  <c r="F330" i="2"/>
  <c r="E331" i="2"/>
  <c r="F331" i="2"/>
  <c r="E332" i="2"/>
  <c r="F332" i="2"/>
  <c r="E333" i="2"/>
  <c r="F333" i="2"/>
  <c r="E334" i="2"/>
  <c r="F334" i="2"/>
  <c r="E335" i="2"/>
  <c r="F335" i="2"/>
  <c r="E336" i="2"/>
  <c r="F336" i="2"/>
  <c r="E337" i="2"/>
  <c r="F337" i="2"/>
  <c r="E338" i="2"/>
  <c r="F338" i="2"/>
  <c r="E339" i="2"/>
  <c r="F339" i="2"/>
  <c r="E340" i="2"/>
  <c r="F340" i="2"/>
  <c r="E341" i="2"/>
  <c r="F341" i="2"/>
  <c r="E342" i="2"/>
  <c r="F342" i="2"/>
  <c r="E343" i="2"/>
  <c r="F343" i="2"/>
  <c r="E344" i="2"/>
  <c r="F344" i="2"/>
  <c r="E345" i="2"/>
  <c r="F345" i="2"/>
  <c r="E346" i="2"/>
  <c r="F346" i="2"/>
  <c r="E347" i="2"/>
  <c r="F347" i="2"/>
  <c r="E348" i="2"/>
  <c r="F348" i="2"/>
  <c r="E349" i="2"/>
  <c r="F349" i="2"/>
  <c r="E350" i="2"/>
  <c r="F350" i="2"/>
  <c r="E351" i="2"/>
  <c r="F351" i="2"/>
  <c r="E352" i="2"/>
  <c r="F352" i="2"/>
  <c r="E353" i="2"/>
  <c r="F353" i="2"/>
  <c r="E354" i="2"/>
  <c r="F354" i="2"/>
  <c r="E355" i="2"/>
  <c r="F355" i="2"/>
  <c r="E356" i="2"/>
  <c r="F356" i="2"/>
  <c r="E357" i="2"/>
  <c r="F357" i="2"/>
  <c r="E358" i="2"/>
  <c r="F358" i="2"/>
  <c r="E359" i="2"/>
  <c r="F359" i="2"/>
  <c r="E360" i="2"/>
  <c r="F360" i="2"/>
  <c r="E361" i="2"/>
  <c r="F361" i="2"/>
  <c r="E362" i="2"/>
  <c r="F362" i="2"/>
  <c r="E363" i="2"/>
  <c r="F363" i="2"/>
  <c r="E364" i="2"/>
  <c r="F364" i="2"/>
  <c r="E365" i="2"/>
  <c r="F365" i="2"/>
  <c r="E366" i="2"/>
  <c r="F366" i="2"/>
  <c r="E367" i="2"/>
  <c r="F367" i="2"/>
  <c r="E368" i="2"/>
  <c r="F368" i="2"/>
  <c r="E369" i="2"/>
  <c r="F369" i="2"/>
  <c r="E370" i="2"/>
  <c r="F370" i="2"/>
  <c r="E371" i="2"/>
  <c r="F371" i="2"/>
  <c r="E372" i="2"/>
  <c r="F372" i="2"/>
  <c r="E373" i="2"/>
  <c r="F373" i="2"/>
  <c r="E374" i="2"/>
  <c r="F374" i="2"/>
  <c r="E375" i="2"/>
  <c r="F375" i="2"/>
  <c r="E376" i="2"/>
  <c r="F376" i="2"/>
  <c r="E377" i="2"/>
  <c r="F377" i="2"/>
  <c r="E378" i="2"/>
  <c r="F378" i="2"/>
  <c r="E379" i="2"/>
  <c r="F379" i="2"/>
  <c r="E380" i="2"/>
  <c r="F380" i="2"/>
  <c r="E381" i="2"/>
  <c r="F381" i="2"/>
  <c r="E382" i="2"/>
  <c r="F382" i="2"/>
  <c r="E383" i="2"/>
  <c r="F383" i="2"/>
  <c r="E384" i="2"/>
  <c r="F384" i="2"/>
  <c r="E385" i="2"/>
  <c r="F385" i="2"/>
  <c r="E386" i="2"/>
  <c r="F386" i="2"/>
  <c r="E387" i="2"/>
  <c r="F387" i="2"/>
  <c r="E388" i="2"/>
  <c r="F388" i="2"/>
  <c r="E389" i="2"/>
  <c r="F389" i="2"/>
  <c r="E390" i="2"/>
  <c r="F390" i="2"/>
  <c r="E391" i="2"/>
  <c r="F391" i="2"/>
  <c r="E392" i="2"/>
  <c r="F392" i="2"/>
  <c r="E393" i="2"/>
  <c r="F393" i="2"/>
  <c r="E394" i="2"/>
  <c r="F394" i="2"/>
  <c r="E395" i="2"/>
  <c r="F395" i="2"/>
  <c r="E396" i="2"/>
  <c r="F396" i="2"/>
  <c r="E397" i="2"/>
  <c r="F397" i="2"/>
  <c r="E398" i="2"/>
  <c r="F398" i="2"/>
  <c r="E399" i="2"/>
  <c r="F399" i="2"/>
  <c r="E400" i="2"/>
  <c r="F400" i="2"/>
  <c r="E401" i="2"/>
  <c r="F401" i="2"/>
  <c r="E402" i="2"/>
  <c r="F402" i="2"/>
  <c r="E403" i="2"/>
  <c r="F403" i="2"/>
  <c r="E404" i="2"/>
  <c r="F404" i="2"/>
  <c r="E405" i="2"/>
  <c r="F405" i="2"/>
  <c r="E406" i="2"/>
  <c r="F406" i="2"/>
  <c r="E407" i="2"/>
  <c r="F407" i="2"/>
  <c r="E408" i="2"/>
  <c r="F408" i="2"/>
  <c r="E409" i="2"/>
  <c r="F409" i="2"/>
  <c r="E410" i="2"/>
  <c r="F410" i="2"/>
  <c r="E411" i="2"/>
  <c r="F411" i="2"/>
  <c r="E412" i="2"/>
  <c r="F412" i="2"/>
  <c r="E413" i="2"/>
  <c r="F413" i="2"/>
  <c r="E414" i="2"/>
  <c r="F414" i="2"/>
  <c r="E415" i="2"/>
  <c r="F415" i="2"/>
  <c r="E416" i="2"/>
  <c r="F416" i="2"/>
  <c r="E417" i="2"/>
  <c r="F417" i="2"/>
  <c r="E418" i="2"/>
  <c r="F418" i="2"/>
  <c r="E419" i="2"/>
  <c r="F419" i="2"/>
  <c r="E420" i="2"/>
  <c r="F420" i="2"/>
  <c r="G1" i="1"/>
  <c r="J2" i="1"/>
  <c r="E3" i="1"/>
  <c r="E5" i="1"/>
  <c r="F5" i="1"/>
  <c r="G5" i="1"/>
  <c r="I5" i="1"/>
  <c r="J5" i="1"/>
  <c r="E6" i="1"/>
  <c r="F6" i="1"/>
  <c r="G6" i="1"/>
  <c r="I6" i="1"/>
  <c r="J6" i="1"/>
  <c r="E7" i="1"/>
  <c r="F7" i="1"/>
  <c r="G7" i="1"/>
  <c r="I7" i="1"/>
  <c r="J7" i="1"/>
  <c r="E8" i="1"/>
  <c r="F8" i="1"/>
  <c r="G8" i="1"/>
  <c r="I8" i="1"/>
  <c r="J8" i="1"/>
  <c r="E9" i="1"/>
  <c r="F9" i="1"/>
  <c r="G9" i="1"/>
  <c r="I9" i="1"/>
  <c r="J9" i="1"/>
  <c r="E10" i="1"/>
  <c r="F10" i="1"/>
  <c r="G10" i="1"/>
  <c r="I10" i="1"/>
  <c r="J10" i="1"/>
  <c r="E11" i="1"/>
  <c r="F11" i="1"/>
  <c r="G11" i="1"/>
  <c r="I11" i="1"/>
  <c r="J11" i="1"/>
  <c r="E12" i="1"/>
  <c r="F12" i="1"/>
  <c r="G12" i="1"/>
  <c r="I12" i="1"/>
  <c r="J12" i="1"/>
  <c r="E13" i="1"/>
  <c r="F13" i="1"/>
  <c r="G13" i="1"/>
  <c r="I13" i="1"/>
  <c r="J13" i="1"/>
  <c r="E14" i="1"/>
  <c r="F14" i="1"/>
  <c r="G14" i="1"/>
  <c r="I14" i="1"/>
  <c r="J14" i="1"/>
  <c r="E15" i="1"/>
  <c r="F15" i="1"/>
  <c r="G15" i="1"/>
  <c r="I15" i="1"/>
  <c r="J15" i="1"/>
  <c r="E16" i="1"/>
  <c r="F16" i="1"/>
  <c r="G16" i="1"/>
  <c r="I16" i="1"/>
  <c r="J16" i="1"/>
  <c r="E17" i="1"/>
  <c r="F17" i="1"/>
  <c r="G17" i="1"/>
  <c r="I17" i="1"/>
  <c r="J17" i="1"/>
  <c r="E18" i="1"/>
  <c r="F18" i="1"/>
  <c r="G18" i="1"/>
  <c r="I18" i="1"/>
  <c r="J18" i="1"/>
  <c r="E19" i="1"/>
  <c r="F19" i="1"/>
  <c r="G19" i="1"/>
  <c r="I19" i="1"/>
  <c r="J19" i="1"/>
  <c r="E20" i="1"/>
  <c r="F20" i="1"/>
  <c r="G20" i="1"/>
  <c r="I20" i="1"/>
  <c r="J20" i="1"/>
  <c r="E21" i="1"/>
  <c r="F21" i="1"/>
  <c r="G21" i="1"/>
  <c r="I21" i="1"/>
  <c r="J21" i="1"/>
  <c r="E22" i="1"/>
  <c r="F22" i="1"/>
  <c r="G22" i="1"/>
  <c r="I22" i="1"/>
  <c r="J22" i="1"/>
  <c r="G23" i="1"/>
  <c r="I23" i="1"/>
  <c r="I26" i="1"/>
  <c r="J26" i="1"/>
  <c r="E33" i="1"/>
  <c r="F33" i="1"/>
  <c r="G33" i="1"/>
  <c r="I33" i="1"/>
  <c r="J33" i="1"/>
  <c r="E34" i="1"/>
  <c r="F34" i="1"/>
  <c r="G34" i="1"/>
  <c r="I34" i="1"/>
  <c r="J34" i="1"/>
  <c r="E35" i="1"/>
  <c r="F35" i="1"/>
  <c r="G35" i="1"/>
  <c r="I35" i="1"/>
  <c r="J35" i="1"/>
  <c r="E36" i="1"/>
  <c r="F36" i="1"/>
  <c r="G36" i="1"/>
  <c r="I36" i="1"/>
  <c r="J36" i="1"/>
  <c r="E37" i="1"/>
  <c r="F37" i="1"/>
  <c r="G37" i="1"/>
  <c r="I37" i="1"/>
  <c r="J37" i="1"/>
  <c r="E38" i="1"/>
  <c r="F38" i="1"/>
  <c r="G38" i="1"/>
  <c r="I38" i="1"/>
  <c r="J38" i="1"/>
  <c r="E39" i="1"/>
  <c r="F39" i="1"/>
  <c r="G39" i="1"/>
  <c r="I39" i="1"/>
  <c r="J39" i="1"/>
  <c r="E40" i="1"/>
  <c r="F40" i="1"/>
  <c r="G40" i="1"/>
  <c r="I40" i="1"/>
  <c r="J40" i="1"/>
  <c r="E41" i="1"/>
  <c r="F41" i="1"/>
  <c r="G41" i="1"/>
  <c r="I41" i="1"/>
  <c r="J41" i="1"/>
  <c r="E42" i="1"/>
  <c r="F42" i="1"/>
  <c r="G42" i="1"/>
  <c r="I42" i="1"/>
  <c r="J42" i="1"/>
  <c r="E43" i="1"/>
  <c r="F43" i="1"/>
  <c r="G43" i="1"/>
  <c r="I43" i="1"/>
  <c r="J43" i="1"/>
  <c r="E44" i="1"/>
  <c r="F44" i="1"/>
  <c r="G44" i="1"/>
  <c r="I44" i="1"/>
  <c r="J44" i="1"/>
  <c r="E45" i="1"/>
  <c r="F45" i="1"/>
  <c r="G45" i="1"/>
  <c r="I45" i="1"/>
  <c r="J45" i="1"/>
  <c r="E46" i="1"/>
  <c r="F46" i="1"/>
  <c r="G46" i="1"/>
  <c r="I46" i="1"/>
  <c r="J46" i="1"/>
  <c r="E47" i="1"/>
  <c r="F47" i="1"/>
  <c r="G47" i="1"/>
  <c r="I47" i="1"/>
  <c r="J47" i="1"/>
  <c r="E48" i="1"/>
  <c r="F48" i="1"/>
  <c r="G48" i="1"/>
  <c r="I48" i="1"/>
  <c r="J48" i="1"/>
  <c r="E49" i="1"/>
  <c r="F49" i="1"/>
  <c r="G49" i="1"/>
  <c r="I49" i="1"/>
  <c r="J49" i="1"/>
  <c r="E50" i="1"/>
  <c r="F50" i="1"/>
  <c r="G50" i="1"/>
  <c r="I50" i="1"/>
  <c r="J50" i="1"/>
  <c r="E51" i="1"/>
  <c r="F51" i="1"/>
  <c r="G51" i="1"/>
  <c r="I51" i="1"/>
  <c r="J51" i="1"/>
  <c r="E52" i="1"/>
  <c r="F52" i="1"/>
  <c r="G52" i="1"/>
  <c r="I52" i="1"/>
  <c r="J52" i="1"/>
  <c r="E53" i="1"/>
  <c r="F53" i="1"/>
  <c r="G53" i="1"/>
  <c r="I53" i="1"/>
  <c r="J53" i="1"/>
  <c r="E54" i="1"/>
  <c r="F54" i="1"/>
  <c r="G54" i="1"/>
  <c r="I54" i="1"/>
  <c r="J54" i="1"/>
  <c r="E55" i="1"/>
  <c r="F55" i="1"/>
  <c r="G55" i="1"/>
  <c r="I55" i="1"/>
  <c r="J55" i="1"/>
  <c r="E56" i="1"/>
  <c r="F56" i="1"/>
  <c r="G56" i="1"/>
  <c r="I56" i="1"/>
  <c r="J56" i="1"/>
  <c r="E57" i="1"/>
  <c r="F57" i="1"/>
  <c r="G57" i="1"/>
  <c r="I57" i="1"/>
  <c r="J57" i="1"/>
  <c r="E58" i="1"/>
  <c r="F58" i="1"/>
  <c r="G58" i="1"/>
  <c r="I58" i="1"/>
  <c r="J58" i="1"/>
  <c r="E59" i="1"/>
  <c r="F59" i="1"/>
  <c r="G59" i="1"/>
  <c r="I59" i="1"/>
  <c r="J59" i="1"/>
  <c r="E60" i="1"/>
  <c r="F60" i="1"/>
  <c r="G60" i="1"/>
  <c r="I60" i="1"/>
  <c r="J60" i="1"/>
  <c r="E61" i="1"/>
  <c r="F61" i="1"/>
  <c r="G61" i="1"/>
  <c r="I61" i="1"/>
  <c r="J61" i="1"/>
  <c r="E62" i="1"/>
  <c r="F62" i="1"/>
  <c r="G62" i="1"/>
  <c r="I62" i="1"/>
  <c r="J62" i="1"/>
  <c r="E63" i="1"/>
  <c r="F63" i="1"/>
  <c r="G63" i="1"/>
  <c r="I63" i="1"/>
  <c r="J63" i="1"/>
  <c r="E64" i="1"/>
  <c r="F64" i="1"/>
  <c r="G64" i="1"/>
  <c r="I64" i="1"/>
  <c r="J64" i="1"/>
  <c r="E65" i="1"/>
  <c r="F65" i="1"/>
  <c r="G65" i="1"/>
  <c r="I65" i="1"/>
  <c r="J65" i="1"/>
  <c r="E66" i="1"/>
  <c r="F66" i="1"/>
  <c r="G66" i="1"/>
  <c r="I66" i="1"/>
  <c r="J66" i="1"/>
  <c r="E67" i="1"/>
  <c r="F67" i="1"/>
  <c r="G67" i="1"/>
  <c r="I67" i="1"/>
  <c r="J67" i="1"/>
  <c r="E68" i="1"/>
  <c r="F68" i="1"/>
  <c r="G68" i="1"/>
  <c r="I68" i="1"/>
  <c r="J68" i="1"/>
  <c r="E69" i="1"/>
  <c r="F69" i="1"/>
  <c r="G69" i="1"/>
  <c r="I69" i="1"/>
  <c r="J69" i="1"/>
  <c r="E70" i="1"/>
  <c r="F70" i="1"/>
  <c r="G70" i="1"/>
  <c r="I70" i="1"/>
  <c r="J70" i="1"/>
  <c r="E71" i="1"/>
  <c r="F71" i="1"/>
  <c r="G71" i="1"/>
  <c r="I71" i="1"/>
  <c r="J71" i="1"/>
  <c r="E72" i="1"/>
  <c r="F72" i="1"/>
  <c r="G72" i="1"/>
  <c r="I72" i="1"/>
  <c r="J72" i="1"/>
  <c r="E73" i="1"/>
  <c r="F73" i="1"/>
  <c r="G73" i="1"/>
  <c r="I73" i="1"/>
  <c r="J73" i="1"/>
  <c r="E74" i="1"/>
  <c r="F74" i="1"/>
  <c r="G74" i="1"/>
  <c r="I74" i="1"/>
  <c r="J74" i="1"/>
  <c r="E75" i="1"/>
  <c r="F75" i="1"/>
  <c r="G75" i="1"/>
  <c r="I75" i="1"/>
  <c r="J75" i="1"/>
  <c r="E76" i="1"/>
  <c r="F76" i="1"/>
  <c r="G76" i="1"/>
  <c r="G77" i="1"/>
  <c r="I77" i="1"/>
  <c r="I80" i="1"/>
  <c r="J80" i="1"/>
  <c r="I81" i="1"/>
  <c r="J81" i="1"/>
  <c r="I82" i="1"/>
  <c r="J82" i="1"/>
  <c r="I83" i="1"/>
  <c r="J83" i="1"/>
  <c r="E90" i="1"/>
  <c r="F90" i="1"/>
  <c r="G90" i="1"/>
  <c r="I90" i="1"/>
  <c r="J90" i="1"/>
  <c r="E91" i="1"/>
  <c r="F91" i="1"/>
  <c r="G91" i="1"/>
  <c r="I91" i="1"/>
  <c r="J91" i="1"/>
  <c r="E92" i="1"/>
  <c r="F92" i="1"/>
  <c r="G92" i="1"/>
  <c r="I92" i="1"/>
  <c r="J92" i="1"/>
  <c r="E93" i="1"/>
  <c r="F93" i="1"/>
  <c r="G93" i="1"/>
  <c r="I93" i="1"/>
  <c r="J93" i="1"/>
  <c r="E94" i="1"/>
  <c r="F94" i="1"/>
  <c r="G94" i="1"/>
  <c r="I94" i="1"/>
  <c r="J94" i="1"/>
  <c r="E95" i="1"/>
  <c r="F95" i="1"/>
  <c r="G95" i="1"/>
  <c r="I95" i="1"/>
  <c r="J95" i="1"/>
  <c r="E96" i="1"/>
  <c r="F96" i="1"/>
  <c r="G96" i="1"/>
  <c r="I96" i="1"/>
  <c r="J96" i="1"/>
  <c r="E97" i="1"/>
  <c r="F97" i="1"/>
  <c r="G97" i="1"/>
  <c r="I97" i="1"/>
  <c r="J97" i="1"/>
  <c r="E98" i="1"/>
  <c r="F98" i="1"/>
  <c r="G98" i="1"/>
  <c r="I98" i="1"/>
  <c r="J98" i="1"/>
  <c r="E99" i="1"/>
  <c r="F99" i="1"/>
  <c r="G99" i="1"/>
  <c r="I99" i="1"/>
  <c r="J99" i="1"/>
  <c r="E100" i="1"/>
  <c r="F100" i="1"/>
  <c r="G100" i="1"/>
  <c r="I100" i="1"/>
  <c r="J100" i="1"/>
  <c r="E101" i="1"/>
  <c r="F101" i="1"/>
  <c r="G101" i="1"/>
  <c r="I101" i="1"/>
  <c r="J101" i="1"/>
  <c r="E102" i="1"/>
  <c r="F102" i="1"/>
  <c r="G102" i="1"/>
  <c r="I102" i="1"/>
  <c r="J102" i="1"/>
  <c r="E103" i="1"/>
  <c r="F103" i="1"/>
  <c r="G103" i="1"/>
  <c r="I103" i="1"/>
  <c r="J103" i="1"/>
  <c r="E104" i="1"/>
  <c r="F104" i="1"/>
  <c r="G104" i="1"/>
  <c r="I104" i="1"/>
  <c r="J104" i="1"/>
  <c r="E105" i="1"/>
  <c r="F105" i="1"/>
  <c r="G105" i="1"/>
  <c r="I105" i="1"/>
  <c r="J105" i="1"/>
  <c r="E106" i="1"/>
  <c r="F106" i="1"/>
  <c r="G106" i="1"/>
  <c r="I106" i="1"/>
  <c r="J106" i="1"/>
  <c r="E107" i="1"/>
  <c r="F107" i="1"/>
  <c r="G107" i="1"/>
  <c r="I107" i="1"/>
  <c r="J107" i="1"/>
  <c r="E108" i="1"/>
  <c r="F108" i="1"/>
  <c r="G108" i="1"/>
  <c r="I108" i="1"/>
  <c r="J108" i="1"/>
  <c r="E109" i="1"/>
  <c r="F109" i="1"/>
  <c r="G109" i="1"/>
  <c r="I109" i="1"/>
  <c r="J109" i="1"/>
  <c r="E110" i="1"/>
  <c r="F110" i="1"/>
  <c r="G110" i="1"/>
  <c r="I110" i="1"/>
  <c r="J110" i="1"/>
  <c r="E111" i="1"/>
  <c r="F111" i="1"/>
  <c r="G111" i="1"/>
  <c r="I111" i="1"/>
  <c r="J111" i="1"/>
  <c r="E112" i="1"/>
  <c r="F112" i="1"/>
  <c r="G112" i="1"/>
  <c r="I112" i="1"/>
  <c r="J112" i="1"/>
  <c r="E113" i="1"/>
  <c r="F113" i="1"/>
  <c r="G113" i="1"/>
  <c r="I113" i="1"/>
  <c r="J113" i="1"/>
  <c r="E114" i="1"/>
  <c r="F114" i="1"/>
  <c r="G114" i="1"/>
  <c r="I114" i="1"/>
  <c r="J114" i="1"/>
  <c r="E115" i="1"/>
  <c r="F115" i="1"/>
  <c r="G115" i="1"/>
  <c r="I115" i="1"/>
  <c r="J115" i="1"/>
  <c r="E116" i="1"/>
  <c r="F116" i="1"/>
  <c r="G116" i="1"/>
  <c r="I116" i="1"/>
  <c r="J116" i="1"/>
  <c r="E117" i="1"/>
  <c r="F117" i="1"/>
  <c r="G117" i="1"/>
  <c r="I117" i="1"/>
  <c r="J117" i="1"/>
  <c r="G119" i="1"/>
  <c r="I119" i="1"/>
  <c r="I122" i="1"/>
  <c r="J122" i="1"/>
  <c r="I135" i="1"/>
  <c r="J135" i="1"/>
  <c r="I136" i="1"/>
  <c r="J136" i="1"/>
  <c r="I137" i="1"/>
  <c r="J137" i="1"/>
  <c r="I138" i="1"/>
  <c r="J138" i="1"/>
  <c r="G142" i="1"/>
  <c r="C144" i="1"/>
  <c r="G144" i="1"/>
  <c r="C145" i="1"/>
  <c r="G145" i="1"/>
  <c r="C146" i="1"/>
  <c r="G146" i="1"/>
</calcChain>
</file>

<file path=xl/sharedStrings.xml><?xml version="1.0" encoding="utf-8"?>
<sst xmlns="http://schemas.openxmlformats.org/spreadsheetml/2006/main" count="860" uniqueCount="662">
  <si>
    <t>true up</t>
  </si>
  <si>
    <t>lg %</t>
  </si>
  <si>
    <t>RESIDENTIAL SERVICES</t>
  </si>
  <si>
    <t>Customer Count</t>
  </si>
  <si>
    <t>Current Rate</t>
  </si>
  <si>
    <t>Increase</t>
  </si>
  <si>
    <t>Staff Proposed Rates</t>
  </si>
  <si>
    <t>Proposed Revenue</t>
  </si>
  <si>
    <t>RESIDENTIAL GARBAGE</t>
  </si>
  <si>
    <t>S90G1W1</t>
  </si>
  <si>
    <t>90 GL 1X WK 1</t>
  </si>
  <si>
    <t>S60G1W1</t>
  </si>
  <si>
    <t>60 GL 1X WK 1</t>
  </si>
  <si>
    <t>S32G1W1</t>
  </si>
  <si>
    <t>32 GL 1X WK 1</t>
  </si>
  <si>
    <t>90DELUXE</t>
  </si>
  <si>
    <t>DRIVEIN-RES</t>
  </si>
  <si>
    <t>DRIVE IN SERVICE - RES</t>
  </si>
  <si>
    <t>60DELUXE</t>
  </si>
  <si>
    <t>32DELUXE</t>
  </si>
  <si>
    <t>ROLL1RES</t>
  </si>
  <si>
    <t>CART ROLL OUT 1 - RES</t>
  </si>
  <si>
    <t>EXTRA-RES</t>
  </si>
  <si>
    <t>EXTRA TRASH - RES</t>
  </si>
  <si>
    <t>S32R-OC</t>
  </si>
  <si>
    <t>32 GL ON CALL - RES</t>
  </si>
  <si>
    <t>EP-RES</t>
  </si>
  <si>
    <t>EXTRA PICK UP - RES</t>
  </si>
  <si>
    <t>OW-RES</t>
  </si>
  <si>
    <t>OVERFILL / OVERWEIGHT CAN - RES</t>
  </si>
  <si>
    <t>REDEL-RES</t>
  </si>
  <si>
    <t>REDELIVER FEE - RES</t>
  </si>
  <si>
    <t>DEL-RES</t>
  </si>
  <si>
    <t>DELIVERY FEE - RES</t>
  </si>
  <si>
    <t>PERMINUTE</t>
  </si>
  <si>
    <t>SPECIAL PICK UP PERM MINUTE</t>
  </si>
  <si>
    <t>OC-RES</t>
  </si>
  <si>
    <t>ON CALL SERVICE - RES</t>
  </si>
  <si>
    <t>RETURNTRIP</t>
  </si>
  <si>
    <t>RETURN TRIP CHARGE</t>
  </si>
  <si>
    <t>EP90-RES</t>
  </si>
  <si>
    <t>EXTRA PICK UP 90 GL - RES</t>
  </si>
  <si>
    <t>TOTAL RESIDENTIAL GARBAGE</t>
  </si>
  <si>
    <t>RESIDENTIAL RECYCLING</t>
  </si>
  <si>
    <t>S60GEO1RREC</t>
  </si>
  <si>
    <t>TOTAL RESIDENTIAL RECYCLING</t>
  </si>
  <si>
    <t>COMMERCIAL SERVICES</t>
  </si>
  <si>
    <t>COMMERCIAL GARBAGE</t>
  </si>
  <si>
    <t>F1Y1W1</t>
  </si>
  <si>
    <t>1 YD 1X WK 1</t>
  </si>
  <si>
    <t>F1Y2W1</t>
  </si>
  <si>
    <t>1 YD 2X WK 1</t>
  </si>
  <si>
    <t>F1Y4W1</t>
  </si>
  <si>
    <t>1 YD 4X WK 1</t>
  </si>
  <si>
    <t>F1.5Y1W1</t>
  </si>
  <si>
    <t>1.5 YD 1X WK 1</t>
  </si>
  <si>
    <t>F1.5Y2W1</t>
  </si>
  <si>
    <t>1.5 YD 2X WK 1</t>
  </si>
  <si>
    <t>F2Y1W1</t>
  </si>
  <si>
    <t>2 YD 1X WK 1</t>
  </si>
  <si>
    <t>F2Y2W1</t>
  </si>
  <si>
    <t>2 YD 2X WK 1</t>
  </si>
  <si>
    <t>F3Y1W1</t>
  </si>
  <si>
    <t>3 YD 1X WK 1</t>
  </si>
  <si>
    <t>F3Y2W1</t>
  </si>
  <si>
    <t>3 YD 2X WK 1</t>
  </si>
  <si>
    <t>F300GW1</t>
  </si>
  <si>
    <t>300G GARB 1X WEEK</t>
  </si>
  <si>
    <t>F300GW2</t>
  </si>
  <si>
    <t>300G GARB 2X WEEK</t>
  </si>
  <si>
    <t>S32G1W1COM</t>
  </si>
  <si>
    <t>32 GL 1X WK COM 1</t>
  </si>
  <si>
    <t>F4Y1W1</t>
  </si>
  <si>
    <t>4 YD 1X WK 1</t>
  </si>
  <si>
    <t>F4Y2W1</t>
  </si>
  <si>
    <t>4 YD 2X WK 1</t>
  </si>
  <si>
    <t>F4Y2W1CP</t>
  </si>
  <si>
    <t>4 YD 2X WK COMP 1</t>
  </si>
  <si>
    <t>F4Y3W1</t>
  </si>
  <si>
    <t>4 YD 3X WK 1</t>
  </si>
  <si>
    <t>F5Y1W1</t>
  </si>
  <si>
    <t>5 YD 1X WK 1</t>
  </si>
  <si>
    <t>F5Y2W1</t>
  </si>
  <si>
    <t>5 YD 2X WK 1</t>
  </si>
  <si>
    <t>F5Y3W1</t>
  </si>
  <si>
    <t>5 YD 3X WK 1</t>
  </si>
  <si>
    <t>F5Y5W1</t>
  </si>
  <si>
    <t>5 YD 5X WK 1</t>
  </si>
  <si>
    <t>F6Y1W1</t>
  </si>
  <si>
    <t>6 YD 1X WK 1</t>
  </si>
  <si>
    <t>F6Y2W1</t>
  </si>
  <si>
    <t>6 YD 2X WK 1</t>
  </si>
  <si>
    <t>F6Y3W1</t>
  </si>
  <si>
    <t>6 YD 3X WK 1</t>
  </si>
  <si>
    <t>S60G1W1COM</t>
  </si>
  <si>
    <t>60 GL 1X WK COM 1</t>
  </si>
  <si>
    <t>S90G1W1COM</t>
  </si>
  <si>
    <t>90 GL 1X WK COM 1</t>
  </si>
  <si>
    <t>SPECPICTUB</t>
  </si>
  <si>
    <t>SPECIAL PICK TUB</t>
  </si>
  <si>
    <t>CACCESS</t>
  </si>
  <si>
    <t>ACCESS COMMERCIAL</t>
  </si>
  <si>
    <t>REMOVAL-COM</t>
  </si>
  <si>
    <t>CONTAINER REMOVAL FEE - COM</t>
  </si>
  <si>
    <t>DEL-COM</t>
  </si>
  <si>
    <t>DELIVERY FEE - COM</t>
  </si>
  <si>
    <t>DELTEMP-COM</t>
  </si>
  <si>
    <t>DELIVERY FEE TEMP - COM</t>
  </si>
  <si>
    <t>DRIVEIN-COM</t>
  </si>
  <si>
    <t>DRIVE IN SERVICE - COM</t>
  </si>
  <si>
    <t>EP-COM</t>
  </si>
  <si>
    <t>EXTRA PICK UP - COM</t>
  </si>
  <si>
    <t>AUTOEXTRAS-COM</t>
  </si>
  <si>
    <t>EP2-COM</t>
  </si>
  <si>
    <t>EXTRA PICK UP 2 YD - COM</t>
  </si>
  <si>
    <t>EP4-COM</t>
  </si>
  <si>
    <t>EXTRA PICK UP 4 YD - COM</t>
  </si>
  <si>
    <t>EP5-COM</t>
  </si>
  <si>
    <t>EXTRA PICK UP 5 YD - COM</t>
  </si>
  <si>
    <t>EXTRAYDG-COM</t>
  </si>
  <si>
    <t>EXTRA YARDAGE - COM</t>
  </si>
  <si>
    <t>LCKC</t>
  </si>
  <si>
    <t>INSTALL LOCK CHARGE -COM</t>
  </si>
  <si>
    <t>OW-COM</t>
  </si>
  <si>
    <t>OVERFILL / OVERWEIGHT CAN - COM</t>
  </si>
  <si>
    <t>RENTMO-COM</t>
  </si>
  <si>
    <t>RENTAL FEE COMMERCIAL MONTHLY</t>
  </si>
  <si>
    <t>RENTDAY-COM</t>
  </si>
  <si>
    <t>RENTAL FEE DAILY - COM</t>
  </si>
  <si>
    <t>RENTDAY-RES</t>
  </si>
  <si>
    <t>RENTAL FEE DAILY - RES</t>
  </si>
  <si>
    <t>RENTMO-RES</t>
  </si>
  <si>
    <t>RENTAL FEE MONTHLY - RES</t>
  </si>
  <si>
    <t>TOTAL COMMERCIAL SERVICES</t>
  </si>
  <si>
    <t>COMMERCIAL RECYCLING</t>
  </si>
  <si>
    <t>F4Y1W1REC</t>
  </si>
  <si>
    <t>4 YD 1X WK RECYCLE 1</t>
  </si>
  <si>
    <t>F4Y2W1REC</t>
  </si>
  <si>
    <t>4 YD 2X WK RECYCLE 1</t>
  </si>
  <si>
    <t>F4Y3W1REC</t>
  </si>
  <si>
    <t>4 YD 3X WK RECYCLE 1</t>
  </si>
  <si>
    <t>S90G1W1CREC</t>
  </si>
  <si>
    <t>90 GL 1X WK REC COM 1</t>
  </si>
  <si>
    <t>TOTAL COMMERCIAL Recycling</t>
  </si>
  <si>
    <t>DROP BOX SERVICES</t>
  </si>
  <si>
    <t>DROP BOX HAULS/RENTAL</t>
  </si>
  <si>
    <t>HAUL20-RO</t>
  </si>
  <si>
    <t>HAUL 20 YD - RO</t>
  </si>
  <si>
    <t>HAUL20P-RO</t>
  </si>
  <si>
    <t>HAUL 20 YD PERM - RO</t>
  </si>
  <si>
    <t>HAUL20TEMP-RO</t>
  </si>
  <si>
    <t>HAUL 20 YD TEMP - RO</t>
  </si>
  <si>
    <t>HAUL30-RO</t>
  </si>
  <si>
    <t>HAUL 30 YD - RO</t>
  </si>
  <si>
    <t>HAUL30P-RO</t>
  </si>
  <si>
    <t>HAUL 30 YD PERM - RO</t>
  </si>
  <si>
    <t>HAUL30TEMP-RO</t>
  </si>
  <si>
    <t>HAUL 30 YD TEMP - RO</t>
  </si>
  <si>
    <t>HAUL40-RO</t>
  </si>
  <si>
    <t>HAUL 40 YD - RO</t>
  </si>
  <si>
    <t>HAUL40PERM-RO</t>
  </si>
  <si>
    <t>HAUL 40 YD PERM - RO</t>
  </si>
  <si>
    <t>HAUL40TEMP-RO</t>
  </si>
  <si>
    <t>HAUL 40 YD TEMP - RO</t>
  </si>
  <si>
    <t>HAULPER</t>
  </si>
  <si>
    <t>HAUL FEE PER LOAD</t>
  </si>
  <si>
    <t>HAUL40-CP</t>
  </si>
  <si>
    <t>COMP HAUL 40 YD</t>
  </si>
  <si>
    <t>LINER-RO</t>
  </si>
  <si>
    <t>BOX LINER - RO</t>
  </si>
  <si>
    <t>BULKY-RO</t>
  </si>
  <si>
    <t>BULKY ITEM - RO</t>
  </si>
  <si>
    <t>DEL20-RO</t>
  </si>
  <si>
    <t>DELIVERY FEE 20 YD - RO</t>
  </si>
  <si>
    <t>DEL25-RO</t>
  </si>
  <si>
    <t>DELIVERY FEE 25 YD - RO</t>
  </si>
  <si>
    <t>DEL30-RO</t>
  </si>
  <si>
    <t>DELIVERY FEE 30 YD - RO</t>
  </si>
  <si>
    <t>DEL40-RO</t>
  </si>
  <si>
    <t>DELIVERY FEE 40 YD - RO</t>
  </si>
  <si>
    <t>DRYRUN-RO</t>
  </si>
  <si>
    <t>DRY RUN - RO</t>
  </si>
  <si>
    <t>MILE-RO</t>
  </si>
  <si>
    <t>MILEAGE FEE - RO</t>
  </si>
  <si>
    <t>RENTLIDMO-RO</t>
  </si>
  <si>
    <t>LIDDED ROLL OFF MONTHLY RENT</t>
  </si>
  <si>
    <t>RENTOTMO-RO</t>
  </si>
  <si>
    <t>OPEN TEMP RO MONTHLY RENT</t>
  </si>
  <si>
    <t>RENTDAY-RO</t>
  </si>
  <si>
    <t>RENTAL FEE DAILY - RO</t>
  </si>
  <si>
    <t>RENTMO-RO</t>
  </si>
  <si>
    <t>RENTAL FEE MONTHLY-RO</t>
  </si>
  <si>
    <t>RELO-RO</t>
  </si>
  <si>
    <t>RELOCATION FEE - RO</t>
  </si>
  <si>
    <t>REMOVAL-RO</t>
  </si>
  <si>
    <t>REMOVAL FEE - RO</t>
  </si>
  <si>
    <t>OW-RO</t>
  </si>
  <si>
    <t>TONNAGE OVER LIMIT FEE - RO</t>
  </si>
  <si>
    <t>WAITFEE</t>
  </si>
  <si>
    <t>WAIT TIME WHEN SERVICING</t>
  </si>
  <si>
    <t>TOTAL ROLL OFF SERVICES</t>
  </si>
  <si>
    <t>ROLL OFF RECYCLING SERVICES</t>
  </si>
  <si>
    <t>HAULREC-RO</t>
  </si>
  <si>
    <t>HAUL RECYCLE - RO</t>
  </si>
  <si>
    <t>TOTAL ROLL OFF RECYCLING SERVICES</t>
  </si>
  <si>
    <t>PASS THROUGH SERVICES</t>
  </si>
  <si>
    <t>LANDFILL-FEE</t>
  </si>
  <si>
    <t>LANDFILL FEE</t>
  </si>
  <si>
    <t>BULKY-RES</t>
  </si>
  <si>
    <t>BULKY ITEM PICK UP - RES</t>
  </si>
  <si>
    <t>TIRE-RO</t>
  </si>
  <si>
    <t>TIRE FEE - RO</t>
  </si>
  <si>
    <t>TOTAL PASS THROUGH SERVICES</t>
  </si>
  <si>
    <t>ADJ-FIN</t>
  </si>
  <si>
    <t>ADJUST BALANCE</t>
  </si>
  <si>
    <t>Manual FINCHG</t>
  </si>
  <si>
    <t>FINANCE CHARGE</t>
  </si>
  <si>
    <t>RETCKC</t>
  </si>
  <si>
    <t>RETURNED CHECK CHARGE</t>
  </si>
  <si>
    <t>ADJFIN-RES</t>
  </si>
  <si>
    <t>RETCK-CFREE</t>
  </si>
  <si>
    <t>FINCHG</t>
  </si>
  <si>
    <t>TOTAL SERVICE CHARGES</t>
  </si>
  <si>
    <t>Total Rev.</t>
  </si>
  <si>
    <t>test year rev.</t>
  </si>
  <si>
    <t>Priceout Proposed Rev Req.</t>
  </si>
  <si>
    <t>Rate IncreasePO</t>
  </si>
  <si>
    <t>Lg Rev Req</t>
  </si>
  <si>
    <t>Rate increaseLG</t>
  </si>
  <si>
    <t>difference</t>
  </si>
  <si>
    <t>Waste Control Inc</t>
  </si>
  <si>
    <t>Rate Sheet for Tariff</t>
  </si>
  <si>
    <t>Page</t>
  </si>
  <si>
    <t>Item</t>
  </si>
  <si>
    <t>Description</t>
  </si>
  <si>
    <t>New Rate</t>
  </si>
  <si>
    <t>Returned Check Fee</t>
  </si>
  <si>
    <t>Restart Fee - Residential</t>
  </si>
  <si>
    <t>Restart Fee - Commercial</t>
  </si>
  <si>
    <t>Restart Fee - Drop Box</t>
  </si>
  <si>
    <t>Redelivery Fee - Residential</t>
  </si>
  <si>
    <t>Redelivery Fee -Commercial</t>
  </si>
  <si>
    <t>Redelivery Fee - Drop Box</t>
  </si>
  <si>
    <t xml:space="preserve">Oversized </t>
  </si>
  <si>
    <t>Overweight</t>
  </si>
  <si>
    <t>Overtime Charge Per Hour</t>
  </si>
  <si>
    <t>Minimum Charge</t>
  </si>
  <si>
    <t>Return Trip - Litter Receptacle</t>
  </si>
  <si>
    <t>Return Trip - Drop Box</t>
  </si>
  <si>
    <t>Return Trip - Container</t>
  </si>
  <si>
    <t>Return Trip - Toter 30-35 gallons</t>
  </si>
  <si>
    <t>Return Trip - Toter 60- 65 gallons</t>
  </si>
  <si>
    <t>Return Trip - Toter 90- 100 gallons</t>
  </si>
  <si>
    <t>Carry Out Service - Residential - 125'-250'</t>
  </si>
  <si>
    <t>Carry Out Service - Commercial &amp; MF - 125'-250'</t>
  </si>
  <si>
    <t>Carry Out Service - Residential - 250'-1/10 mile</t>
  </si>
  <si>
    <t>Carry Out Service - Commercial &amp; MF - 250'-1/10 mile</t>
  </si>
  <si>
    <t>Carry Out Service - Residential - Each 1/10 mile over 1/10 mile</t>
  </si>
  <si>
    <t>Carry Out Service - Commercial &amp; MF - Each 1/10 mile over 1/10 mile</t>
  </si>
  <si>
    <t>Weekly Garbage - 30 - 35 gal</t>
  </si>
  <si>
    <t>Weekly Garbage - 60 - 65 gal</t>
  </si>
  <si>
    <t>Weekly Garbage - 90 - 100 gal</t>
  </si>
  <si>
    <t>Roll Off Per Cart, toter, or Pickup - Residential</t>
  </si>
  <si>
    <t>Occasional Extra  - 30 - 35 Gal</t>
  </si>
  <si>
    <t>Occasional Extra  - 60 - 65 Gal</t>
  </si>
  <si>
    <t>Occasional Extra  - 90 - 100 Gal</t>
  </si>
  <si>
    <t>Occasional Extra  - Bag</t>
  </si>
  <si>
    <t>Occasional Extra  - Other</t>
  </si>
  <si>
    <t>On Call - 32 Gal - Cowlitz County &amp; Castle Rock</t>
  </si>
  <si>
    <t>On Call - 32 Gal - Woodland</t>
  </si>
  <si>
    <t>Clean toter, pick-up and deliver</t>
  </si>
  <si>
    <t>Multifamily - 30-35 Gal - 20 Or More Carts - Initial Delivery</t>
  </si>
  <si>
    <t>Multifamily - 30-35 Gal - 20 Or More Carts - Monthly Pick-Up</t>
  </si>
  <si>
    <t>Multifamily - 30-35 Gal - 20 Or More Carts - Minimum Charge</t>
  </si>
  <si>
    <t>Multifamily - 30-35 Gal - 20 Or More Carts - Extra Pick-up Charge</t>
  </si>
  <si>
    <t>Multifamily - 60-65 Gal - 20 Or More Carts - Initial Delivery</t>
  </si>
  <si>
    <t>Multifamily - 60-65 Gal - 20 Or More Carts - Monthly Pick-Up</t>
  </si>
  <si>
    <t>Multifamily - 60-65 Gal - 20 Or More Carts - Minimum Charge</t>
  </si>
  <si>
    <t>Multifamily - 60-65 Gal - 20 Or More Carts - Extra Pick-up Charge</t>
  </si>
  <si>
    <t>Multifamily - 90-100 Gal - Any Number - Initial Delivery</t>
  </si>
  <si>
    <t>Multifamily - 90-100 Gal - Any Number - Monthly Pick-Up</t>
  </si>
  <si>
    <t>Multifamily - 90-100 Gal - Any Number - Minimum Charge</t>
  </si>
  <si>
    <t>Multifamily - 90-100 Gal - Any Number - Extra Pick-up Charge</t>
  </si>
  <si>
    <t>Multifamily - Occasional Extra - 30 -35 Gal Toter</t>
  </si>
  <si>
    <t>Multifamily - Occasional Extra - 60 -65 Gal Toter</t>
  </si>
  <si>
    <t>Multifamily - Occasional Extra - 90 -100 Gal Toter</t>
  </si>
  <si>
    <t>Multifamily - Occasional Extra - Bag</t>
  </si>
  <si>
    <t>Multifamily - Occasional Extra - Other</t>
  </si>
  <si>
    <t>On-call - 30-35 Gal Toter</t>
  </si>
  <si>
    <t>Bulky Materials - 1-4 Cubic Yards</t>
  </si>
  <si>
    <t>Loose Material - Customer Load - 1-4 Cubic Yards</t>
  </si>
  <si>
    <t>Loose Material - Company Load - 1-4 Cubic Yards</t>
  </si>
  <si>
    <t>Bulky Materials - Additional Cubic Yards</t>
  </si>
  <si>
    <t>Loose Material - Customer Load - Additional Cubic Yards</t>
  </si>
  <si>
    <t>Loose Material - Company Load - Additional Cubic Yards</t>
  </si>
  <si>
    <t>Bulky Materials - Minimum Charge</t>
  </si>
  <si>
    <t>Loose Material - Customer Load - Minimum Charge</t>
  </si>
  <si>
    <t>Loose Material - Company Load - Minimum Charge</t>
  </si>
  <si>
    <t>Bulky Materials - Carry Charpge Per Each 5ft over 8 ft</t>
  </si>
  <si>
    <t>Loose Material - Customer Load - Carry Charpge Per Each 5ft over 8 ft</t>
  </si>
  <si>
    <t>Loose Material - Company Load - Carry Charpge Per Each 5ft over 8 ft</t>
  </si>
  <si>
    <t>Single Rear - Non-packer truck - Truck &amp; Driver</t>
  </si>
  <si>
    <t>Single Rear - Packer - Truck &amp; Driver</t>
  </si>
  <si>
    <t>Tandem Rear - Packer - Truck &amp; Driver</t>
  </si>
  <si>
    <t>Tandem Rear - Drop Box - Truck &amp; Driver</t>
  </si>
  <si>
    <t>Single Rear - Non-packer truck - Each Extra Person</t>
  </si>
  <si>
    <t>Single Rear - Packer - Each Extra Person</t>
  </si>
  <si>
    <t>Tandem Rear - Packer - Each Extra Person</t>
  </si>
  <si>
    <t>Tandem Rear - Drop Box - Each Extra Person</t>
  </si>
  <si>
    <t>Roll Out Charges less than 25'</t>
  </si>
  <si>
    <t>Roll Out Charges more than 25'</t>
  </si>
  <si>
    <t>Roll Out Charges - Automated Cart or Toter</t>
  </si>
  <si>
    <t>Updated to match rate on item 100</t>
  </si>
  <si>
    <t>Overweight - 1 yd</t>
  </si>
  <si>
    <t>Overweight - 1.5 yds</t>
  </si>
  <si>
    <t>Overweight - 2 yds</t>
  </si>
  <si>
    <t>Overweight - 3 yds</t>
  </si>
  <si>
    <t>Overweight - 4 yds</t>
  </si>
  <si>
    <t>Overweight - 5 yds</t>
  </si>
  <si>
    <t>Overweight - 6 yds</t>
  </si>
  <si>
    <t>Overweight - 10 yds</t>
  </si>
  <si>
    <t>Overweight - 15 yds</t>
  </si>
  <si>
    <t>Overweight - 20 yds</t>
  </si>
  <si>
    <t>Overweight - 25 yds</t>
  </si>
  <si>
    <t>Overweight - 30 yds</t>
  </si>
  <si>
    <t>Overweight - 40 yds</t>
  </si>
  <si>
    <t>Overweight - 30 - 35 gal</t>
  </si>
  <si>
    <t>Overweight - 60 - 65 gal</t>
  </si>
  <si>
    <t>Overweight - 90 - 100 gal</t>
  </si>
  <si>
    <t>Washing Per Yard Minimum</t>
  </si>
  <si>
    <t>Washing Per Yard</t>
  </si>
  <si>
    <t>Sanitizing Per Yard Minimum</t>
  </si>
  <si>
    <t>Sanitizing Per Yar</t>
  </si>
  <si>
    <t>Pick Up &amp; Delivery Up to 8 Yds</t>
  </si>
  <si>
    <t>Pick Up &amp; Delivery Over to 8 Yds</t>
  </si>
  <si>
    <t>Compactor Rental - 2 Yds</t>
  </si>
  <si>
    <t>Compactor Rental - 3 Yds</t>
  </si>
  <si>
    <t>Compactor Rental - 4 Yds</t>
  </si>
  <si>
    <t>Compactor Rental - 5 Yds</t>
  </si>
  <si>
    <t>Compacted Sw</t>
  </si>
  <si>
    <t>Non-Compacted SW</t>
  </si>
  <si>
    <t>Wheel &amp; Tire</t>
  </si>
  <si>
    <t>1-10 Passenger tires</t>
  </si>
  <si>
    <t>Over 10 tires</t>
  </si>
  <si>
    <t>1-10 Truck Tires</t>
  </si>
  <si>
    <t>Over 10 truck tires</t>
  </si>
  <si>
    <t>Truck tire and rim</t>
  </si>
  <si>
    <t>Appliance Per</t>
  </si>
  <si>
    <t>Appliance Per Ton</t>
  </si>
  <si>
    <t>Solid Waste</t>
  </si>
  <si>
    <t>First Pickup - Permanent - 1 yd</t>
  </si>
  <si>
    <t>Monthly Fee - Permanent - 1 yd</t>
  </si>
  <si>
    <t>Each Additional Pickup - Permanent - 1 yd</t>
  </si>
  <si>
    <t>Initial Delivery and respot - Permanent - 1 yd</t>
  </si>
  <si>
    <t>Minimum Monthly Fee - Permanent - 1 yd</t>
  </si>
  <si>
    <t>Special Pick Up - Permanent - 1 yd</t>
  </si>
  <si>
    <t>Initial Delivery and respot - Temporary - 1 yd</t>
  </si>
  <si>
    <t>Pick-up Rate - Temporary - 1 yd</t>
  </si>
  <si>
    <t>Rent Per Month - Temporary - 1 yd</t>
  </si>
  <si>
    <t>First Pickup - Permanent - 1.5 yds</t>
  </si>
  <si>
    <t>Monthly Fee - Permanent - 1.5 yds</t>
  </si>
  <si>
    <t>Each Additional Pickup - Permanent - 1.5 yds</t>
  </si>
  <si>
    <t>Initial Delivery and respot - Permanent - 1.5 yds</t>
  </si>
  <si>
    <t>Minimum Monthly Fee - Permanent - 1.5 yds</t>
  </si>
  <si>
    <t>Special Pick Up - Permanent - 1.5 yds</t>
  </si>
  <si>
    <t>Initial Delivery and respot - Temporary - 1.5 yds</t>
  </si>
  <si>
    <t>Pick-up Rate - Temporary - 1.5 yds</t>
  </si>
  <si>
    <t>Rent Per Month - Temporary - 1.5 yds</t>
  </si>
  <si>
    <t>First Pickup - Permanent - 2 yds</t>
  </si>
  <si>
    <t>Monthly Fee - Permanent - 2 yds</t>
  </si>
  <si>
    <t>Each Additional Pickup - Permanent - 2 yds</t>
  </si>
  <si>
    <t>Initial Delivery and respot - Permanent - 2 yds</t>
  </si>
  <si>
    <t>Minimum Monthly Fee - Permanent - 2 yds</t>
  </si>
  <si>
    <t>Special Pick Up - Permanent - 2 yds</t>
  </si>
  <si>
    <t>Initial Delivery and respot - Temporary - 2 yds</t>
  </si>
  <si>
    <t>Pick-up Rate - Temporary - 2 yds</t>
  </si>
  <si>
    <t>Rent Per Month - Temporary - 2 yds</t>
  </si>
  <si>
    <t>First Pickup - Permanent - 3 yds</t>
  </si>
  <si>
    <t>Monthly Fee - Permanent - 3 yds</t>
  </si>
  <si>
    <t>Each Additional Pickup - Permanent - 3 yds</t>
  </si>
  <si>
    <t>Initial Delivery and respot - Permanent - 3 yds</t>
  </si>
  <si>
    <t>Minimum Monthly Fee - Permanent - 3 yds</t>
  </si>
  <si>
    <t>Special Pick Up - Permanent - 3 yds</t>
  </si>
  <si>
    <t>Initial Delivery and respot - Temporary - 3 yds</t>
  </si>
  <si>
    <t>Pick-up Rate - Temporary - 3 yds</t>
  </si>
  <si>
    <t>Rent Per Month - Temporary - 3 yds</t>
  </si>
  <si>
    <t>First Pickup - Permanent - 4 yds</t>
  </si>
  <si>
    <t>Monthly Fee - Permanent - 4 yds</t>
  </si>
  <si>
    <t>Each Additional Pickup - Permanent - 4 yds</t>
  </si>
  <si>
    <t>Initial Delivery and respot - Permanent - 4 yds</t>
  </si>
  <si>
    <t>Minimum Monthly Fee - Permanent - 4 yds</t>
  </si>
  <si>
    <t>Special Pick Up - Permanent - 4 yds</t>
  </si>
  <si>
    <t>Initial Delivery and respot - Temporary - 4 yds</t>
  </si>
  <si>
    <t>Pick-up Rate - Temporary - 4 yds</t>
  </si>
  <si>
    <t>Rent Per Month - Temporary - 4 yds</t>
  </si>
  <si>
    <t>First Pickup - Permanent - 5 yds</t>
  </si>
  <si>
    <t>Monthly Fee - Permanent - 5 yds</t>
  </si>
  <si>
    <t>Each Additional Pickup - Permanent - 5 yds</t>
  </si>
  <si>
    <t>Initial Delivery and respot - Permanent - 5 yds</t>
  </si>
  <si>
    <t>Minimum Monthly Fee - Permanent - 5 yds</t>
  </si>
  <si>
    <t>Special Pick Up - Permanent - 5 yds</t>
  </si>
  <si>
    <t>Initial Delivery and respot - Temporary - 5 yds</t>
  </si>
  <si>
    <t>Pick-up Rate - Temporary - 5 yds</t>
  </si>
  <si>
    <t>Rent Per Month - Temporary - 5 yds</t>
  </si>
  <si>
    <t>First Pickup - Permanent - 6 yds</t>
  </si>
  <si>
    <t>Monthly Fee - Permanent - 6 yds</t>
  </si>
  <si>
    <t>Each Additional Pickup - Permanent - 6 yds</t>
  </si>
  <si>
    <t>Initial Delivery and respot - Permanent - 6 yds</t>
  </si>
  <si>
    <t>Minimum Monthly Fee - Permanent - 6 yds</t>
  </si>
  <si>
    <t>Special Pick Up - Permanent - 6 yds</t>
  </si>
  <si>
    <t>Initial Delivery and respot - Temporary - 6 yds</t>
  </si>
  <si>
    <t>Pick-up Rate - Temporary - 6 yds</t>
  </si>
  <si>
    <t>Rent Per Month - Temporary - 6 yds</t>
  </si>
  <si>
    <t>Rent Per Calendar Day - Temporary - All</t>
  </si>
  <si>
    <t>Unlocking or Unlatching</t>
  </si>
  <si>
    <t>Gate Opening</t>
  </si>
  <si>
    <t>Delay Charges - Per Minute</t>
  </si>
  <si>
    <t>Rate per toter, per pick-up - 30 -35 Gal</t>
  </si>
  <si>
    <t>Minimum monthly rate - 30 -35 Gal</t>
  </si>
  <si>
    <t>Special Pick-up - 30 -35 Gal</t>
  </si>
  <si>
    <t>Clean toter, pick-up and delivery - 30 -35 Gal</t>
  </si>
  <si>
    <t>Rate per toter, per pick-up - 60 -65 Gal</t>
  </si>
  <si>
    <t>Minimum monthly rate - 60 -65 Gal</t>
  </si>
  <si>
    <t>Special Pick-up - 60 -65 Gal</t>
  </si>
  <si>
    <t>Clean toter, pick-up and delivery - 60 -65 Gal</t>
  </si>
  <si>
    <t>Rate per toter, per pick-up - 90 -100 Gal</t>
  </si>
  <si>
    <t>Minimum monthly rate - 90 -100 Gal</t>
  </si>
  <si>
    <t>Special Pick-up - 90 -100 Gal</t>
  </si>
  <si>
    <t>Clean toter, pick-up and delivery - 90 -100 Gal</t>
  </si>
  <si>
    <t>Occasional Extra - 30 -35 Gal</t>
  </si>
  <si>
    <t>Occasional Extra - 60 -65 Gal</t>
  </si>
  <si>
    <t>Occasional Extra - 90 -100 Gal</t>
  </si>
  <si>
    <t>Occasional Extra - Bag</t>
  </si>
  <si>
    <t>Occasional Extra - Other</t>
  </si>
  <si>
    <t>Respot container</t>
  </si>
  <si>
    <t>First Pick-up - Permanent - 2 yds</t>
  </si>
  <si>
    <t>Each Addional Pick-up - Permanent - 2 yds</t>
  </si>
  <si>
    <t>Special Pick-Up - Permanent - 2 yds</t>
  </si>
  <si>
    <t>First Pick-up - Permanent - 3 yds</t>
  </si>
  <si>
    <t>Each Addional Pick-up - Permanent - 3 yds</t>
  </si>
  <si>
    <t>Special Pick-Up - Permanent - 3 yds</t>
  </si>
  <si>
    <t>First Pick-up - Permanent - 4 yds</t>
  </si>
  <si>
    <t>Each Addional Pick-up - Permanent - 4 yds</t>
  </si>
  <si>
    <t>Special Pick-Up - Permanent - 4 yds</t>
  </si>
  <si>
    <t>First Pick-up - Permanent - 5 yds</t>
  </si>
  <si>
    <t>Each Addional Pick-up - Permanent - 5 yds</t>
  </si>
  <si>
    <t>Special Pick-Up - Permanent - 5 yds</t>
  </si>
  <si>
    <t>Each Schedule Pick-up - Permanent - 2 yds</t>
  </si>
  <si>
    <t>Monthly rate - Permanent - 2 yds</t>
  </si>
  <si>
    <t>Special Pick-up - Permanent - 2 yds</t>
  </si>
  <si>
    <t>Each Schedule Pick-up - Permanent - 3 yds</t>
  </si>
  <si>
    <t>Monthly rate - Permanent - 3 yds</t>
  </si>
  <si>
    <t>Special Pick-up - Permanent - 3 yds</t>
  </si>
  <si>
    <t>Each Schedule Pick-up - Permanent - 4 yds</t>
  </si>
  <si>
    <t>Monthly rate - Permanent - 4 yds</t>
  </si>
  <si>
    <t>Special Pick-up - Permanent - 4 yds</t>
  </si>
  <si>
    <t>Each Schedule Pick-up - Permanent - 5 yds</t>
  </si>
  <si>
    <t>Monthly rate - Permanent - 5 yds</t>
  </si>
  <si>
    <t>Special Pick-up - Permanent - 5 yds</t>
  </si>
  <si>
    <t>Monthly Rent (open top) - Permanent - 20 Yard</t>
  </si>
  <si>
    <t>Monthly Rent (with lid) - Permanent - 20 Yard</t>
  </si>
  <si>
    <t>First Pick-up - Permanent - 20 Yard</t>
  </si>
  <si>
    <t>Each Additional Pick-up - Permanent - 20 Yard</t>
  </si>
  <si>
    <t>Initial Delivery &amp; Respot - Permanent - 20 Yard</t>
  </si>
  <si>
    <t>Special Pick-ups - Permanent - 20 Yard</t>
  </si>
  <si>
    <t>Initial Delivery &amp; Respot - Temporary - 20 Yard</t>
  </si>
  <si>
    <t>Pick-up Rate - Temporary - 20 Yard</t>
  </si>
  <si>
    <t>Rent Per Month (open) - Temporary - 20 Yard</t>
  </si>
  <si>
    <t>Rent Per Month (solid lid) - Temporary - 20 Yard</t>
  </si>
  <si>
    <t>Monthly Rent (open top) - Permanent - 30 Yard</t>
  </si>
  <si>
    <t>Monthly Rent (with lid) - Permanent - 30 Yard</t>
  </si>
  <si>
    <t>First Pick-up - Permanent - 30 Yard</t>
  </si>
  <si>
    <t>Each Additional Pick-up - Permanent - 30 Yard</t>
  </si>
  <si>
    <t>Initial Delivery &amp; Respot - Permanent - 30 Yard</t>
  </si>
  <si>
    <t>Special Pick-ups - Permanent - 30 Yard</t>
  </si>
  <si>
    <t>Initial Delivery &amp; Respot - Temporary - 30 Yard</t>
  </si>
  <si>
    <t>Pick-up Rate - Temporary - 30 Yard</t>
  </si>
  <si>
    <t>Rent Per Month (open) - Temporary - 30 Yard</t>
  </si>
  <si>
    <t>Rent Per Month (solid lid) - Temporary - 30 Yard</t>
  </si>
  <si>
    <t>Monthly Rent (open top) - Permanent - 40 Yard</t>
  </si>
  <si>
    <t>Monthly Rent (with lid) - Permanent - 40 Yard</t>
  </si>
  <si>
    <t>First Pick-up - Permanent - 40 Yard</t>
  </si>
  <si>
    <t>Each Additional Pick-up - Permanent - 40 Yard</t>
  </si>
  <si>
    <t>Initial Delivery &amp; Respot - Permanent - 40 Yard</t>
  </si>
  <si>
    <t>Special Pick-ups - Permanent - 40 Yard</t>
  </si>
  <si>
    <t>Initial Delivery &amp; Respot - Temporary - 40 Yard</t>
  </si>
  <si>
    <t>Pick-up Rate - Temporary - 40 Yard</t>
  </si>
  <si>
    <t>Rent Per Month (open) - Temporary - 40 Yard</t>
  </si>
  <si>
    <t>Rent Per Month (solid lid) - Temporary - 40 Yard</t>
  </si>
  <si>
    <t>Rent Per Calendar Day (open) - Temporary - All</t>
  </si>
  <si>
    <t>Rent Per Calendar Day (lid) - Temporary - All</t>
  </si>
  <si>
    <t>Excess Miles</t>
  </si>
  <si>
    <t>Lining Box</t>
  </si>
  <si>
    <t>Rent Per Month (open) - Permanent - 20 Yard</t>
  </si>
  <si>
    <t>Rent Per Month (with lid) - Permanent - 20 Yard</t>
  </si>
  <si>
    <t>Rent Per Month (open) - Permanent - 30 Yard</t>
  </si>
  <si>
    <t>Rent Per Month (with lid) - Permanent - 30 Yard</t>
  </si>
  <si>
    <t>Rent Per Month (open) - Permanent - 40 Yard</t>
  </si>
  <si>
    <t>Rent Per Month (with lid) - Permanent - 40 Yard</t>
  </si>
  <si>
    <t>Each Scheduled Pick-up - Permanent - 10 Yard</t>
  </si>
  <si>
    <t>Respot Charge - Permanent - 10 Yard</t>
  </si>
  <si>
    <t>Special Pick-ups - Permanent - 10 Yard</t>
  </si>
  <si>
    <t>Pick-up Rate - Temporary - 10 Yard</t>
  </si>
  <si>
    <t>Each Scheduled Pick-up - Permanent - 15 Yard</t>
  </si>
  <si>
    <t>Respot Charge - Permanent - 15 Yard</t>
  </si>
  <si>
    <t>Special Pick-ups - Permanent - 15 Yard</t>
  </si>
  <si>
    <t>Pick-up Rate - Temporary - 15 Yard</t>
  </si>
  <si>
    <t>Each Scheduled Pick-up - Permanent - 20 Yard</t>
  </si>
  <si>
    <t>Respot Charge - Permanent - 20 Yard</t>
  </si>
  <si>
    <t>Each Scheduled Pick-up - Permanent - 30 Yard</t>
  </si>
  <si>
    <t>Respot Charge - Permanent - 30 Yard</t>
  </si>
  <si>
    <t>Each Scheduled Pick-up - Permanent - 40 Yard</t>
  </si>
  <si>
    <t>Respot Charge - Permanent - 40 Yard</t>
  </si>
  <si>
    <t>Monthly Rent (if applicable) - Permanent - 20 Yard</t>
  </si>
  <si>
    <t>Initial Delivery, respot - Permanent - 20 Yard</t>
  </si>
  <si>
    <t>Monthly Rent (if applicable) - Permanent - 30 Yard</t>
  </si>
  <si>
    <t>Initial Delivery, respot - Permanent - 30 Yard</t>
  </si>
  <si>
    <t>Monthly Rent (if applicable) - Permanent - 40 Yard</t>
  </si>
  <si>
    <t>Initial Delivery, respot - Permanent - 40 Yard</t>
  </si>
  <si>
    <t>Industrial Waste - Regularly Scheduled</t>
  </si>
  <si>
    <t>Industrial Waste - Emergency or on call</t>
  </si>
  <si>
    <t>Public Companies</t>
  </si>
  <si>
    <t>Public Co</t>
  </si>
  <si>
    <r>
      <t xml:space="preserve">LURITO - GALLAGHER FORMULA  MODEL 2018  </t>
    </r>
    <r>
      <rPr>
        <sz val="8"/>
        <color indexed="9"/>
        <rFont val="Calibri"/>
        <family val="2"/>
      </rPr>
      <t>V5.2c</t>
    </r>
  </si>
  <si>
    <t>CALCULATION TABLES</t>
  </si>
  <si>
    <t>Revenue Senstive Taxes (RevS)</t>
  </si>
  <si>
    <t>(b) + (c)</t>
  </si>
  <si>
    <t>(d) + (e)</t>
  </si>
  <si>
    <t>Regession</t>
  </si>
  <si>
    <t>Adjusted</t>
  </si>
  <si>
    <t>Hauler</t>
  </si>
  <si>
    <t>Revenue Req</t>
  </si>
  <si>
    <t>Revenue</t>
  </si>
  <si>
    <t xml:space="preserve">Revenue </t>
  </si>
  <si>
    <t>INPUTS - Test Year</t>
  </si>
  <si>
    <t>(a)</t>
  </si>
  <si>
    <t>(b)</t>
  </si>
  <si>
    <t>(c)</t>
  </si>
  <si>
    <t>(d)</t>
  </si>
  <si>
    <t>(e)</t>
  </si>
  <si>
    <t>(f)</t>
  </si>
  <si>
    <t>Before Tax</t>
  </si>
  <si>
    <t>Less</t>
  </si>
  <si>
    <t>After Tax</t>
  </si>
  <si>
    <t>Flotation Costs</t>
  </si>
  <si>
    <t>Weighted Cost</t>
  </si>
  <si>
    <t>Before RevS</t>
  </si>
  <si>
    <t xml:space="preserve"> Increase Before</t>
  </si>
  <si>
    <t>Increase After</t>
  </si>
  <si>
    <t xml:space="preserve">RevS </t>
  </si>
  <si>
    <t xml:space="preserve">Total </t>
  </si>
  <si>
    <t>Operating Revenue</t>
  </si>
  <si>
    <t>Line</t>
  </si>
  <si>
    <t>Historical</t>
  </si>
  <si>
    <t>Proforma</t>
  </si>
  <si>
    <t xml:space="preserve">Add: Revenue </t>
  </si>
  <si>
    <t>Profit Ratio</t>
  </si>
  <si>
    <t>BTROI</t>
  </si>
  <si>
    <t>WCDebt</t>
  </si>
  <si>
    <t>BTROE</t>
  </si>
  <si>
    <t>ROE</t>
  </si>
  <si>
    <t>Basis Points</t>
  </si>
  <si>
    <t>Equity</t>
  </si>
  <si>
    <t>Equity BFT</t>
  </si>
  <si>
    <t>Debt</t>
  </si>
  <si>
    <t>BTROR</t>
  </si>
  <si>
    <t>Operating Ratio</t>
  </si>
  <si>
    <t>Taxes</t>
  </si>
  <si>
    <t>RevS Taxes</t>
  </si>
  <si>
    <t>Operating Expenses</t>
  </si>
  <si>
    <t>No.</t>
  </si>
  <si>
    <t>Change</t>
  </si>
  <si>
    <t>Sensitive Taxes</t>
  </si>
  <si>
    <t>Requirement</t>
  </si>
  <si>
    <t>Investment</t>
  </si>
  <si>
    <t>Capital Structure-Debt %</t>
  </si>
  <si>
    <t>Capital Structure-Debt Rate</t>
  </si>
  <si>
    <t>Operating Income</t>
  </si>
  <si>
    <t>Federal Income Tax Rate</t>
  </si>
  <si>
    <t>2nd Iteration</t>
  </si>
  <si>
    <t>B&amp;O Tax Rate</t>
  </si>
  <si>
    <t>Interest Expense</t>
  </si>
  <si>
    <t>WUTC Fee</t>
  </si>
  <si>
    <t>Income Tax Expense</t>
  </si>
  <si>
    <t>City Tax</t>
  </si>
  <si>
    <t>Bad Debts</t>
  </si>
  <si>
    <t>Net Income</t>
  </si>
  <si>
    <t>Basis Points - Flotation</t>
  </si>
  <si>
    <t>3rd Iteration</t>
  </si>
  <si>
    <t>Yes</t>
  </si>
  <si>
    <t xml:space="preserve">Operating Ratio </t>
  </si>
  <si>
    <t>Check when input is complete</t>
  </si>
  <si>
    <t>No</t>
  </si>
  <si>
    <t>Revenue Requirement</t>
  </si>
  <si>
    <t>For Intial input: Uncheck Checkbox Until Completed</t>
  </si>
  <si>
    <t>Historical Revenue</t>
  </si>
  <si>
    <t>Revenue Increase before taxes</t>
  </si>
  <si>
    <t>Rate Increase</t>
  </si>
  <si>
    <t>Rev Sensitive Taxes</t>
  </si>
  <si>
    <t>4th Iteration</t>
  </si>
  <si>
    <t>Percent Increase</t>
  </si>
  <si>
    <t>2018 Version Update Changes</t>
  </si>
  <si>
    <t>● Allows Income Tax Rate Changes,</t>
  </si>
  <si>
    <t>Captial Structure Financing Investment</t>
  </si>
  <si>
    <t>Financing Cost</t>
  </si>
  <si>
    <t>● Minimizes impact of changes in test-year revenue from</t>
  </si>
  <si>
    <t>Type</t>
  </si>
  <si>
    <t>Percent</t>
  </si>
  <si>
    <t>Amount</t>
  </si>
  <si>
    <t>Cost of Capital</t>
  </si>
  <si>
    <t>Weighted</t>
  </si>
  <si>
    <t>5th Iteration</t>
  </si>
  <si>
    <t xml:space="preserve">   resulting revenue requirment,</t>
  </si>
  <si>
    <t>● Corrects interest rate transposition in LG.</t>
  </si>
  <si>
    <t>Total</t>
  </si>
  <si>
    <t>Before</t>
  </si>
  <si>
    <t>After</t>
  </si>
  <si>
    <t>6th Iteration</t>
  </si>
  <si>
    <t>Operating Statistics</t>
  </si>
  <si>
    <t>Income Tax</t>
  </si>
  <si>
    <t>Return on Investment</t>
  </si>
  <si>
    <t>Return on Equity</t>
  </si>
  <si>
    <t>7th Iteration</t>
  </si>
  <si>
    <t>Profit Margin</t>
  </si>
  <si>
    <t>Final turnover</t>
  </si>
  <si>
    <t>Tax Rate</t>
  </si>
  <si>
    <t>Revenue Sensitive Taxes Charges</t>
  </si>
  <si>
    <t>Curve</t>
  </si>
  <si>
    <t>Rate</t>
  </si>
  <si>
    <t>Lookup Table</t>
  </si>
  <si>
    <t xml:space="preserve"> B &amp; O Tax</t>
  </si>
  <si>
    <t xml:space="preserve"> WUTC Fee</t>
  </si>
  <si>
    <t xml:space="preserve"> City Tax</t>
  </si>
  <si>
    <t>Percent Chg</t>
  </si>
  <si>
    <t xml:space="preserve"> Bad Debts</t>
  </si>
  <si>
    <t>Revenue Sensitive</t>
  </si>
  <si>
    <t>Curve turnover</t>
  </si>
  <si>
    <t>@EXP(5.72260-(.68367*@LN(T)))</t>
  </si>
  <si>
    <t>Curve No. Used</t>
  </si>
  <si>
    <t>@EXP(5.70827-(.68367*@LN(T)))</t>
  </si>
  <si>
    <t>Conversion Factor</t>
  </si>
  <si>
    <t>@EXP(5.69850-(.68367*@LN(T)))</t>
  </si>
  <si>
    <t>@EXP(5.69220-(.68367*@LN(T)))</t>
  </si>
  <si>
    <t>Base Utility from LG Sample Study</t>
  </si>
  <si>
    <t>Regression Results</t>
  </si>
  <si>
    <t>Cost</t>
  </si>
  <si>
    <t>Y intercept (1)</t>
  </si>
  <si>
    <t>Y intercept (3)</t>
  </si>
  <si>
    <t>Y intercept (2)</t>
  </si>
  <si>
    <t>Y intercept (4)</t>
  </si>
  <si>
    <t>Pfd.</t>
  </si>
  <si>
    <t>Slope</t>
  </si>
  <si>
    <t>Pre-tax</t>
  </si>
  <si>
    <t>B&amp;O Increase Percentage</t>
  </si>
  <si>
    <t>Gross Up Factor</t>
  </si>
  <si>
    <t>Gross Up B&amp;O Increase Percentage</t>
  </si>
  <si>
    <t>Grossed Up for MSW</t>
  </si>
  <si>
    <t>October 1, 2025</t>
  </si>
  <si>
    <t>Rent Per Calendar Day</t>
  </si>
  <si>
    <t>B&amp;O Increase with Gross UP</t>
  </si>
  <si>
    <t>Revenue Increased</t>
  </si>
  <si>
    <t>Proposed Annual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</si>
</sst>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#,##0.0000_);\(#,##0.0000\)"/>
    <numFmt numFmtId="166" formatCode="#,##0.000_);\(#,##0.000\)"/>
    <numFmt numFmtId="167" formatCode="0.000%"/>
    <numFmt numFmtId="168" formatCode="_(* #,##0_);_(* \(#,##0\);_(* &quot;-&quot;??_);_(@_)"/>
    <numFmt numFmtId="169" formatCode="#,##0.00000_);\(#,##0.00000\)"/>
    <numFmt numFmtId="170" formatCode="0.00000"/>
    <numFmt numFmtId="171" formatCode="0.0000%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2"/>
      <name val="SWISS"/>
    </font>
    <font>
      <sz val="12"/>
      <color indexed="12"/>
      <name val="SWISS"/>
    </font>
    <font>
      <sz val="12"/>
      <name val="Helv"/>
    </font>
    <font>
      <b/>
      <sz val="12"/>
      <name val="SWISS"/>
    </font>
    <font>
      <sz val="8"/>
      <color indexed="9"/>
      <name val="Calibri"/>
      <family val="2"/>
    </font>
    <font>
      <sz val="14"/>
      <color indexed="9"/>
      <name val="Calibri"/>
      <family val="2"/>
    </font>
    <font>
      <sz val="9"/>
      <color indexed="9"/>
      <name val="Calibri"/>
      <family val="2"/>
    </font>
    <font>
      <b/>
      <sz val="14"/>
      <name val="SWISS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i/>
      <sz val="8"/>
      <color indexed="12"/>
      <name val="Times New Roman"/>
      <family val="1"/>
    </font>
    <font>
      <sz val="12"/>
      <color indexed="39"/>
      <name val="SWISS"/>
    </font>
    <font>
      <sz val="12"/>
      <color indexed="39"/>
      <name val="Times New Roman"/>
      <family val="1"/>
    </font>
    <font>
      <sz val="10"/>
      <name val="Times New Roman"/>
      <family val="1"/>
    </font>
    <font>
      <b/>
      <sz val="12"/>
      <color indexed="39"/>
      <name val="Times New Roman"/>
      <family val="1"/>
    </font>
    <font>
      <sz val="12"/>
      <color indexed="10"/>
      <name val="SWISS"/>
    </font>
    <font>
      <sz val="12"/>
      <color indexed="8"/>
      <name val="SWISS"/>
    </font>
    <font>
      <sz val="9"/>
      <color indexed="39"/>
      <name val="Times New Roman"/>
      <family val="1"/>
    </font>
    <font>
      <b/>
      <sz val="12"/>
      <name val="Times New Roman"/>
      <family val="1"/>
    </font>
    <font>
      <u/>
      <sz val="12"/>
      <color indexed="12"/>
      <name val="Times New Roman"/>
      <family val="1"/>
    </font>
    <font>
      <b/>
      <u/>
      <sz val="12"/>
      <color indexed="39"/>
      <name val="Times New Roman"/>
      <family val="1"/>
    </font>
    <font>
      <sz val="12"/>
      <color indexed="18"/>
      <name val="Times New Roman"/>
      <family val="1"/>
    </font>
    <font>
      <u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32"/>
      <name val="SWISS"/>
    </font>
    <font>
      <sz val="12"/>
      <color indexed="18"/>
      <name val="SWISS"/>
    </font>
    <font>
      <sz val="10"/>
      <name val="SWISS"/>
    </font>
    <font>
      <sz val="12"/>
      <color indexed="56"/>
      <name val="SWISS"/>
    </font>
    <font>
      <i/>
      <sz val="12"/>
      <name val="SWISS"/>
    </font>
    <font>
      <sz val="11"/>
      <name val="Times New Roman"/>
      <family val="1"/>
    </font>
    <font>
      <u/>
      <sz val="12"/>
      <name val="SWISS"/>
    </font>
    <font>
      <sz val="10"/>
      <color indexed="39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0" fontId="9" fillId="6" borderId="0"/>
    <xf numFmtId="164" fontId="11" fillId="0" borderId="0"/>
    <xf numFmtId="0" fontId="4" fillId="2" borderId="0" applyNumberFormat="0" applyBorder="0" applyAlignment="0" applyProtection="0"/>
    <xf numFmtId="41" fontId="22" fillId="9" borderId="0">
      <alignment horizontal="left"/>
    </xf>
    <xf numFmtId="9" fontId="11" fillId="0" borderId="0" applyFont="0" applyFill="0" applyBorder="0" applyAlignment="0" applyProtection="0"/>
    <xf numFmtId="10" fontId="22" fillId="9" borderId="0"/>
    <xf numFmtId="0" fontId="4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5">
    <xf numFmtId="0" fontId="0" fillId="0" borderId="0" xfId="0"/>
    <xf numFmtId="10" fontId="5" fillId="3" borderId="3" xfId="0" applyNumberFormat="1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0" fillId="0" borderId="8" xfId="0" applyBorder="1"/>
    <xf numFmtId="0" fontId="0" fillId="0" borderId="9" xfId="0" applyBorder="1"/>
    <xf numFmtId="1" fontId="0" fillId="0" borderId="0" xfId="2" applyNumberFormat="1" applyFont="1" applyBorder="1"/>
    <xf numFmtId="44" fontId="0" fillId="0" borderId="0" xfId="0" applyNumberFormat="1"/>
    <xf numFmtId="44" fontId="0" fillId="0" borderId="9" xfId="0" applyNumberFormat="1" applyBorder="1"/>
    <xf numFmtId="0" fontId="5" fillId="0" borderId="10" xfId="0" applyFont="1" applyBorder="1"/>
    <xf numFmtId="0" fontId="5" fillId="0" borderId="6" xfId="0" applyFont="1" applyBorder="1"/>
    <xf numFmtId="1" fontId="5" fillId="0" borderId="6" xfId="2" applyNumberFormat="1" applyFont="1" applyBorder="1"/>
    <xf numFmtId="44" fontId="5" fillId="0" borderId="7" xfId="0" applyNumberFormat="1" applyFont="1" applyBorder="1"/>
    <xf numFmtId="0" fontId="3" fillId="4" borderId="8" xfId="0" applyFont="1" applyFill="1" applyBorder="1"/>
    <xf numFmtId="0" fontId="3" fillId="4" borderId="0" xfId="0" applyFont="1" applyFill="1"/>
    <xf numFmtId="1" fontId="3" fillId="0" borderId="0" xfId="2" applyNumberFormat="1" applyFont="1" applyBorder="1"/>
    <xf numFmtId="0" fontId="3" fillId="0" borderId="0" xfId="0" applyFont="1"/>
    <xf numFmtId="0" fontId="3" fillId="0" borderId="9" xfId="0" applyFont="1" applyBorder="1"/>
    <xf numFmtId="44" fontId="0" fillId="0" borderId="9" xfId="2" applyFont="1" applyBorder="1"/>
    <xf numFmtId="0" fontId="3" fillId="0" borderId="4" xfId="0" applyFont="1" applyBorder="1"/>
    <xf numFmtId="44" fontId="3" fillId="0" borderId="11" xfId="0" applyNumberFormat="1" applyFont="1" applyBorder="1"/>
    <xf numFmtId="0" fontId="3" fillId="0" borderId="8" xfId="0" applyFont="1" applyBorder="1"/>
    <xf numFmtId="44" fontId="3" fillId="0" borderId="9" xfId="2" applyFont="1" applyBorder="1"/>
    <xf numFmtId="41" fontId="0" fillId="0" borderId="9" xfId="0" applyNumberFormat="1" applyBorder="1"/>
    <xf numFmtId="0" fontId="0" fillId="0" borderId="12" xfId="0" applyBorder="1"/>
    <xf numFmtId="0" fontId="6" fillId="0" borderId="12" xfId="0" applyFont="1" applyBorder="1"/>
    <xf numFmtId="44" fontId="6" fillId="0" borderId="13" xfId="0" applyNumberFormat="1" applyFont="1" applyBorder="1"/>
    <xf numFmtId="44" fontId="7" fillId="0" borderId="13" xfId="0" applyNumberFormat="1" applyFont="1" applyBorder="1"/>
    <xf numFmtId="0" fontId="3" fillId="0" borderId="0" xfId="0" quotePrefix="1" applyFont="1"/>
    <xf numFmtId="0" fontId="3" fillId="0" borderId="15" xfId="0" applyFont="1" applyBorder="1" applyAlignment="1">
      <alignment horizontal="center" wrapText="1"/>
    </xf>
    <xf numFmtId="43" fontId="0" fillId="0" borderId="0" xfId="1" applyFont="1"/>
    <xf numFmtId="0" fontId="2" fillId="0" borderId="0" xfId="0" applyFont="1"/>
    <xf numFmtId="0" fontId="9" fillId="7" borderId="0" xfId="5" applyFill="1"/>
    <xf numFmtId="0" fontId="10" fillId="7" borderId="0" xfId="5" applyFont="1" applyFill="1"/>
    <xf numFmtId="0" fontId="10" fillId="7" borderId="14" xfId="5" applyFont="1" applyFill="1" applyBorder="1"/>
    <xf numFmtId="0" fontId="10" fillId="0" borderId="16" xfId="5" applyFont="1" applyFill="1" applyBorder="1"/>
    <xf numFmtId="0" fontId="10" fillId="0" borderId="0" xfId="5" applyFont="1" applyFill="1" applyAlignment="1">
      <alignment horizontal="center"/>
    </xf>
    <xf numFmtId="0" fontId="10" fillId="0" borderId="0" xfId="5" applyFont="1" applyFill="1"/>
    <xf numFmtId="0" fontId="13" fillId="2" borderId="10" xfId="7" applyNumberFormat="1" applyFont="1" applyBorder="1" applyAlignment="1">
      <alignment horizontal="centerContinuous"/>
    </xf>
    <xf numFmtId="0" fontId="14" fillId="2" borderId="6" xfId="7" applyNumberFormat="1" applyFont="1" applyBorder="1" applyAlignment="1">
      <alignment horizontal="centerContinuous"/>
    </xf>
    <xf numFmtId="0" fontId="14" fillId="2" borderId="6" xfId="7" applyNumberFormat="1" applyFont="1" applyBorder="1" applyAlignment="1">
      <alignment horizontal="left"/>
    </xf>
    <xf numFmtId="0" fontId="15" fillId="2" borderId="7" xfId="7" applyNumberFormat="1" applyFont="1" applyBorder="1" applyAlignment="1">
      <alignment horizontal="centerContinuous"/>
    </xf>
    <xf numFmtId="0" fontId="9" fillId="6" borderId="0" xfId="5"/>
    <xf numFmtId="0" fontId="9" fillId="6" borderId="16" xfId="5" applyBorder="1"/>
    <xf numFmtId="0" fontId="16" fillId="6" borderId="17" xfId="5" applyFont="1" applyBorder="1" applyAlignment="1">
      <alignment horizontal="centerContinuous"/>
    </xf>
    <xf numFmtId="0" fontId="16" fillId="6" borderId="18" xfId="5" applyFont="1" applyBorder="1" applyAlignment="1">
      <alignment horizontal="centerContinuous"/>
    </xf>
    <xf numFmtId="0" fontId="9" fillId="6" borderId="18" xfId="5" applyBorder="1" applyAlignment="1">
      <alignment horizontal="centerContinuous"/>
    </xf>
    <xf numFmtId="0" fontId="17" fillId="6" borderId="19" xfId="5" applyFont="1" applyBorder="1"/>
    <xf numFmtId="0" fontId="17" fillId="6" borderId="0" xfId="5" applyFont="1"/>
    <xf numFmtId="0" fontId="18" fillId="8" borderId="0" xfId="5" applyFont="1" applyFill="1" applyAlignment="1">
      <alignment horizontal="center"/>
    </xf>
    <xf numFmtId="0" fontId="19" fillId="8" borderId="0" xfId="5" applyFont="1" applyFill="1" applyAlignment="1">
      <alignment horizontal="center"/>
    </xf>
    <xf numFmtId="0" fontId="9" fillId="6" borderId="0" xfId="5" applyAlignment="1">
      <alignment horizontal="center"/>
    </xf>
    <xf numFmtId="0" fontId="14" fillId="2" borderId="20" xfId="7" applyNumberFormat="1" applyFont="1" applyBorder="1" applyAlignment="1">
      <alignment horizontal="left"/>
    </xf>
    <xf numFmtId="0" fontId="9" fillId="5" borderId="0" xfId="5" applyFill="1"/>
    <xf numFmtId="0" fontId="17" fillId="6" borderId="16" xfId="5" applyFont="1" applyBorder="1"/>
    <xf numFmtId="0" fontId="20" fillId="7" borderId="0" xfId="5" applyFont="1" applyFill="1"/>
    <xf numFmtId="0" fontId="21" fillId="6" borderId="21" xfId="5" applyFont="1" applyBorder="1" applyAlignment="1">
      <alignment horizontal="right"/>
    </xf>
    <xf numFmtId="41" fontId="17" fillId="0" borderId="22" xfId="8" applyFont="1" applyFill="1" applyBorder="1">
      <alignment horizontal="left"/>
    </xf>
    <xf numFmtId="0" fontId="21" fillId="6" borderId="16" xfId="5" applyFont="1" applyBorder="1"/>
    <xf numFmtId="0" fontId="21" fillId="6" borderId="0" xfId="5" applyFont="1"/>
    <xf numFmtId="0" fontId="23" fillId="8" borderId="0" xfId="5" applyFont="1" applyFill="1" applyAlignment="1">
      <alignment horizontal="center"/>
    </xf>
    <xf numFmtId="0" fontId="23" fillId="8" borderId="0" xfId="6" applyNumberFormat="1" applyFont="1" applyFill="1" applyAlignment="1">
      <alignment horizontal="center"/>
    </xf>
    <xf numFmtId="41" fontId="9" fillId="7" borderId="0" xfId="5" applyNumberFormat="1" applyFill="1"/>
    <xf numFmtId="0" fontId="22" fillId="6" borderId="0" xfId="5" applyFont="1"/>
    <xf numFmtId="41" fontId="17" fillId="10" borderId="22" xfId="8" applyFont="1" applyFill="1" applyBorder="1">
      <alignment horizontal="left"/>
    </xf>
    <xf numFmtId="0" fontId="21" fillId="6" borderId="23" xfId="5" applyFont="1" applyBorder="1"/>
    <xf numFmtId="0" fontId="18" fillId="8" borderId="15" xfId="5" applyFont="1" applyFill="1" applyBorder="1"/>
    <xf numFmtId="0" fontId="23" fillId="8" borderId="15" xfId="5" applyFont="1" applyFill="1" applyBorder="1" applyAlignment="1">
      <alignment horizontal="center"/>
    </xf>
    <xf numFmtId="0" fontId="23" fillId="8" borderId="15" xfId="5" applyFont="1" applyFill="1" applyBorder="1"/>
    <xf numFmtId="0" fontId="9" fillId="6" borderId="24" xfId="5" applyBorder="1" applyAlignment="1">
      <alignment horizontal="center"/>
    </xf>
    <xf numFmtId="2" fontId="9" fillId="6" borderId="24" xfId="5" applyNumberFormat="1" applyBorder="1" applyAlignment="1">
      <alignment horizontal="center"/>
    </xf>
    <xf numFmtId="165" fontId="9" fillId="6" borderId="25" xfId="5" applyNumberFormat="1" applyBorder="1"/>
    <xf numFmtId="10" fontId="24" fillId="6" borderId="25" xfId="5" applyNumberFormat="1" applyFont="1" applyBorder="1"/>
    <xf numFmtId="41" fontId="9" fillId="6" borderId="26" xfId="5" applyNumberFormat="1" applyBorder="1"/>
    <xf numFmtId="41" fontId="9" fillId="6" borderId="24" xfId="5" applyNumberFormat="1" applyBorder="1"/>
    <xf numFmtId="41" fontId="9" fillId="6" borderId="25" xfId="5" applyNumberFormat="1" applyBorder="1"/>
    <xf numFmtId="0" fontId="21" fillId="6" borderId="27" xfId="5" applyFont="1" applyBorder="1" applyAlignment="1">
      <alignment horizontal="center"/>
    </xf>
    <xf numFmtId="0" fontId="21" fillId="6" borderId="0" xfId="5" applyFont="1" applyAlignment="1">
      <alignment horizontal="right"/>
    </xf>
    <xf numFmtId="41" fontId="21" fillId="6" borderId="0" xfId="5" applyNumberFormat="1" applyFont="1"/>
    <xf numFmtId="0" fontId="25" fillId="6" borderId="16" xfId="5" applyFont="1" applyBorder="1" applyAlignment="1">
      <alignment horizontal="center"/>
    </xf>
    <xf numFmtId="2" fontId="9" fillId="6" borderId="16" xfId="5" applyNumberFormat="1" applyBorder="1" applyAlignment="1">
      <alignment horizontal="center"/>
    </xf>
    <xf numFmtId="165" fontId="9" fillId="6" borderId="0" xfId="5" applyNumberFormat="1"/>
    <xf numFmtId="10" fontId="24" fillId="6" borderId="0" xfId="5" applyNumberFormat="1" applyFont="1"/>
    <xf numFmtId="41" fontId="9" fillId="6" borderId="28" xfId="5" applyNumberFormat="1" applyBorder="1"/>
    <xf numFmtId="41" fontId="9" fillId="6" borderId="16" xfId="5" applyNumberFormat="1" applyBorder="1"/>
    <xf numFmtId="41" fontId="9" fillId="6" borderId="0" xfId="5" applyNumberFormat="1"/>
    <xf numFmtId="10" fontId="17" fillId="0" borderId="22" xfId="8" applyNumberFormat="1" applyFont="1" applyFill="1" applyBorder="1" applyAlignment="1">
      <alignment horizontal="right"/>
    </xf>
    <xf numFmtId="0" fontId="21" fillId="6" borderId="21" xfId="5" applyFont="1" applyBorder="1" applyAlignment="1">
      <alignment horizontal="center"/>
    </xf>
    <xf numFmtId="0" fontId="9" fillId="6" borderId="16" xfId="5" applyBorder="1" applyAlignment="1">
      <alignment horizontal="center"/>
    </xf>
    <xf numFmtId="41" fontId="21" fillId="6" borderId="29" xfId="5" applyNumberFormat="1" applyFont="1" applyBorder="1"/>
    <xf numFmtId="5" fontId="21" fillId="6" borderId="29" xfId="5" applyNumberFormat="1" applyFont="1" applyBorder="1"/>
    <xf numFmtId="0" fontId="9" fillId="6" borderId="23" xfId="5" applyBorder="1" applyAlignment="1">
      <alignment horizontal="center"/>
    </xf>
    <xf numFmtId="0" fontId="23" fillId="6" borderId="21" xfId="5" applyFont="1" applyBorder="1" applyAlignment="1">
      <alignment horizontal="right"/>
    </xf>
    <xf numFmtId="165" fontId="25" fillId="6" borderId="0" xfId="5" applyNumberFormat="1" applyFont="1"/>
    <xf numFmtId="0" fontId="21" fillId="6" borderId="30" xfId="5" applyFont="1" applyBorder="1" applyAlignment="1">
      <alignment horizontal="right"/>
    </xf>
    <xf numFmtId="41" fontId="21" fillId="6" borderId="31" xfId="5" applyNumberFormat="1" applyFont="1" applyBorder="1"/>
    <xf numFmtId="165" fontId="9" fillId="6" borderId="15" xfId="5" applyNumberFormat="1" applyBorder="1"/>
    <xf numFmtId="41" fontId="17" fillId="6" borderId="0" xfId="5" applyNumberFormat="1" applyFont="1"/>
    <xf numFmtId="10" fontId="21" fillId="6" borderId="0" xfId="5" applyNumberFormat="1" applyFont="1" applyAlignment="1">
      <alignment horizontal="right"/>
    </xf>
    <xf numFmtId="41" fontId="17" fillId="9" borderId="0" xfId="8" applyFont="1" applyAlignment="1">
      <alignment horizontal="right"/>
    </xf>
    <xf numFmtId="0" fontId="9" fillId="6" borderId="0" xfId="5" applyAlignment="1">
      <alignment horizontal="right"/>
    </xf>
    <xf numFmtId="0" fontId="21" fillId="6" borderId="32" xfId="5" applyFont="1" applyBorder="1" applyAlignment="1">
      <alignment horizontal="right"/>
    </xf>
    <xf numFmtId="0" fontId="17" fillId="7" borderId="0" xfId="5" applyFont="1" applyFill="1"/>
    <xf numFmtId="0" fontId="18" fillId="8" borderId="24" xfId="5" applyFont="1" applyFill="1" applyBorder="1" applyAlignment="1">
      <alignment horizontal="left"/>
    </xf>
    <xf numFmtId="0" fontId="9" fillId="6" borderId="25" xfId="5" applyBorder="1"/>
    <xf numFmtId="0" fontId="9" fillId="6" borderId="26" xfId="5" applyBorder="1"/>
    <xf numFmtId="0" fontId="26" fillId="6" borderId="0" xfId="5" applyFont="1" applyAlignment="1">
      <alignment horizontal="left"/>
    </xf>
    <xf numFmtId="41" fontId="21" fillId="6" borderId="28" xfId="5" applyNumberFormat="1" applyFont="1" applyBorder="1"/>
    <xf numFmtId="10" fontId="26" fillId="6" borderId="0" xfId="9" applyNumberFormat="1" applyFont="1" applyFill="1" applyBorder="1" applyAlignment="1">
      <alignment horizontal="left"/>
    </xf>
    <xf numFmtId="0" fontId="23" fillId="6" borderId="0" xfId="5" applyFont="1" applyAlignment="1">
      <alignment horizontal="right"/>
    </xf>
    <xf numFmtId="41" fontId="23" fillId="6" borderId="33" xfId="5" applyNumberFormat="1" applyFont="1" applyBorder="1"/>
    <xf numFmtId="41" fontId="23" fillId="6" borderId="34" xfId="5" applyNumberFormat="1" applyFont="1" applyBorder="1"/>
    <xf numFmtId="0" fontId="9" fillId="6" borderId="23" xfId="5" applyBorder="1"/>
    <xf numFmtId="0" fontId="9" fillId="6" borderId="15" xfId="5" applyBorder="1"/>
    <xf numFmtId="0" fontId="21" fillId="6" borderId="15" xfId="5" applyFont="1" applyBorder="1" applyAlignment="1">
      <alignment horizontal="right" vertical="center"/>
    </xf>
    <xf numFmtId="10" fontId="23" fillId="6" borderId="15" xfId="5" applyNumberFormat="1" applyFont="1" applyBorder="1" applyAlignment="1">
      <alignment horizontal="center" vertical="center"/>
    </xf>
    <xf numFmtId="0" fontId="9" fillId="6" borderId="22" xfId="5" applyBorder="1"/>
    <xf numFmtId="0" fontId="27" fillId="7" borderId="0" xfId="6" applyNumberFormat="1" applyFont="1" applyFill="1"/>
    <xf numFmtId="0" fontId="11" fillId="7" borderId="0" xfId="6" applyNumberFormat="1" applyFill="1"/>
    <xf numFmtId="43" fontId="9" fillId="7" borderId="0" xfId="5" applyNumberFormat="1" applyFill="1"/>
    <xf numFmtId="0" fontId="17" fillId="7" borderId="0" xfId="6" applyNumberFormat="1" applyFont="1" applyFill="1"/>
    <xf numFmtId="0" fontId="18" fillId="8" borderId="0" xfId="5" applyFont="1" applyFill="1" applyAlignment="1">
      <alignment horizontal="left"/>
    </xf>
    <xf numFmtId="0" fontId="18" fillId="9" borderId="0" xfId="5" applyFont="1" applyFill="1" applyAlignment="1">
      <alignment horizontal="centerContinuous"/>
    </xf>
    <xf numFmtId="0" fontId="28" fillId="6" borderId="0" xfId="5" applyFont="1" applyAlignment="1">
      <alignment horizontal="right"/>
    </xf>
    <xf numFmtId="41" fontId="28" fillId="6" borderId="0" xfId="5" applyNumberFormat="1" applyFont="1" applyAlignment="1">
      <alignment horizontal="center"/>
    </xf>
    <xf numFmtId="0" fontId="28" fillId="6" borderId="0" xfId="5" applyFont="1" applyAlignment="1">
      <alignment horizontal="center"/>
    </xf>
    <xf numFmtId="37" fontId="9" fillId="6" borderId="0" xfId="5" applyNumberFormat="1"/>
    <xf numFmtId="39" fontId="9" fillId="6" borderId="0" xfId="5" applyNumberFormat="1"/>
    <xf numFmtId="10" fontId="21" fillId="6" borderId="0" xfId="5" applyNumberFormat="1" applyFont="1" applyAlignment="1">
      <alignment horizontal="center"/>
    </xf>
    <xf numFmtId="41" fontId="21" fillId="6" borderId="0" xfId="5" applyNumberFormat="1" applyFont="1" applyProtection="1">
      <protection locked="0"/>
    </xf>
    <xf numFmtId="41" fontId="21" fillId="6" borderId="15" xfId="5" applyNumberFormat="1" applyFont="1" applyBorder="1" applyProtection="1">
      <protection locked="0"/>
    </xf>
    <xf numFmtId="41" fontId="21" fillId="6" borderId="35" xfId="5" applyNumberFormat="1" applyFont="1" applyBorder="1"/>
    <xf numFmtId="0" fontId="17" fillId="6" borderId="0" xfId="5" applyFont="1" applyAlignment="1">
      <alignment horizontal="right"/>
    </xf>
    <xf numFmtId="10" fontId="21" fillId="6" borderId="35" xfId="5" applyNumberFormat="1" applyFont="1" applyBorder="1" applyAlignment="1">
      <alignment horizontal="center"/>
    </xf>
    <xf numFmtId="5" fontId="9" fillId="7" borderId="0" xfId="5" applyNumberFormat="1" applyFill="1"/>
    <xf numFmtId="0" fontId="23" fillId="6" borderId="0" xfId="5" applyFont="1" applyAlignment="1">
      <alignment horizontal="center"/>
    </xf>
    <xf numFmtId="0" fontId="29" fillId="6" borderId="0" xfId="5" applyFont="1"/>
    <xf numFmtId="0" fontId="23" fillId="6" borderId="0" xfId="5" applyFont="1"/>
    <xf numFmtId="0" fontId="29" fillId="6" borderId="0" xfId="5" applyFont="1" applyAlignment="1">
      <alignment horizontal="right"/>
    </xf>
    <xf numFmtId="10" fontId="21" fillId="6" borderId="0" xfId="5" applyNumberFormat="1" applyFont="1"/>
    <xf numFmtId="10" fontId="9" fillId="7" borderId="0" xfId="5" applyNumberFormat="1" applyFill="1"/>
    <xf numFmtId="0" fontId="21" fillId="6" borderId="0" xfId="5" quotePrefix="1" applyFont="1" applyAlignment="1">
      <alignment horizontal="left"/>
    </xf>
    <xf numFmtId="166" fontId="9" fillId="6" borderId="0" xfId="5" applyNumberFormat="1"/>
    <xf numFmtId="0" fontId="30" fillId="6" borderId="0" xfId="5" applyFont="1"/>
    <xf numFmtId="39" fontId="21" fillId="6" borderId="0" xfId="5" applyNumberFormat="1" applyFont="1"/>
    <xf numFmtId="0" fontId="9" fillId="6" borderId="21" xfId="5" applyBorder="1"/>
    <xf numFmtId="0" fontId="31" fillId="6" borderId="0" xfId="5" applyFont="1"/>
    <xf numFmtId="0" fontId="9" fillId="6" borderId="24" xfId="5" applyBorder="1" applyAlignment="1">
      <alignment horizontal="centerContinuous"/>
    </xf>
    <xf numFmtId="0" fontId="9" fillId="6" borderId="26" xfId="5" applyBorder="1" applyAlignment="1">
      <alignment horizontal="centerContinuous"/>
    </xf>
    <xf numFmtId="10" fontId="22" fillId="9" borderId="0" xfId="10"/>
    <xf numFmtId="0" fontId="23" fillId="6" borderId="15" xfId="5" applyFont="1" applyBorder="1" applyAlignment="1">
      <alignment horizontal="right"/>
    </xf>
    <xf numFmtId="0" fontId="23" fillId="6" borderId="15" xfId="5" applyFont="1" applyBorder="1" applyAlignment="1">
      <alignment horizontal="center"/>
    </xf>
    <xf numFmtId="0" fontId="9" fillId="6" borderId="16" xfId="5" applyBorder="1" applyAlignment="1">
      <alignment horizontal="centerContinuous"/>
    </xf>
    <xf numFmtId="0" fontId="9" fillId="6" borderId="28" xfId="5" applyBorder="1" applyAlignment="1">
      <alignment horizontal="centerContinuous"/>
    </xf>
    <xf numFmtId="0" fontId="9" fillId="6" borderId="28" xfId="5" applyBorder="1"/>
    <xf numFmtId="0" fontId="32" fillId="6" borderId="0" xfId="5" applyFont="1"/>
    <xf numFmtId="167" fontId="21" fillId="6" borderId="0" xfId="5" applyNumberFormat="1" applyFont="1"/>
    <xf numFmtId="168" fontId="21" fillId="6" borderId="0" xfId="5" applyNumberFormat="1" applyFont="1" applyProtection="1">
      <protection locked="0"/>
    </xf>
    <xf numFmtId="0" fontId="9" fillId="6" borderId="28" xfId="5" applyBorder="1" applyAlignment="1">
      <alignment horizontal="center"/>
    </xf>
    <xf numFmtId="0" fontId="9" fillId="6" borderId="0" xfId="5" quotePrefix="1" applyAlignment="1">
      <alignment horizontal="right"/>
    </xf>
    <xf numFmtId="10" fontId="9" fillId="6" borderId="28" xfId="5" applyNumberFormat="1" applyBorder="1"/>
    <xf numFmtId="10" fontId="9" fillId="6" borderId="0" xfId="5" applyNumberFormat="1" applyAlignment="1">
      <alignment horizontal="center"/>
    </xf>
    <xf numFmtId="10" fontId="9" fillId="6" borderId="28" xfId="9" applyNumberFormat="1" applyFont="1" applyFill="1" applyBorder="1"/>
    <xf numFmtId="0" fontId="9" fillId="6" borderId="22" xfId="5" applyBorder="1" applyAlignment="1">
      <alignment horizontal="center"/>
    </xf>
    <xf numFmtId="167" fontId="21" fillId="6" borderId="35" xfId="5" applyNumberFormat="1" applyFont="1" applyBorder="1"/>
    <xf numFmtId="0" fontId="9" fillId="6" borderId="25" xfId="5" quotePrefix="1" applyBorder="1" applyAlignment="1">
      <alignment horizontal="left"/>
    </xf>
    <xf numFmtId="167" fontId="17" fillId="6" borderId="0" xfId="5" applyNumberFormat="1" applyFont="1"/>
    <xf numFmtId="0" fontId="9" fillId="6" borderId="0" xfId="5" quotePrefix="1" applyAlignment="1">
      <alignment horizontal="left"/>
    </xf>
    <xf numFmtId="0" fontId="33" fillId="7" borderId="0" xfId="5" applyFont="1" applyFill="1"/>
    <xf numFmtId="2" fontId="33" fillId="7" borderId="0" xfId="5" applyNumberFormat="1" applyFont="1" applyFill="1"/>
    <xf numFmtId="10" fontId="9" fillId="6" borderId="23" xfId="5" applyNumberFormat="1" applyBorder="1" applyAlignment="1">
      <alignment horizontal="center"/>
    </xf>
    <xf numFmtId="0" fontId="9" fillId="6" borderId="15" xfId="5" quotePrefix="1" applyBorder="1" applyAlignment="1">
      <alignment horizontal="left"/>
    </xf>
    <xf numFmtId="0" fontId="34" fillId="6" borderId="22" xfId="5" applyFont="1" applyBorder="1"/>
    <xf numFmtId="0" fontId="34" fillId="7" borderId="0" xfId="5" applyFont="1" applyFill="1"/>
    <xf numFmtId="169" fontId="9" fillId="6" borderId="0" xfId="5" applyNumberFormat="1"/>
    <xf numFmtId="0" fontId="12" fillId="6" borderId="0" xfId="5" applyFont="1" applyAlignment="1">
      <alignment horizontal="centerContinuous"/>
    </xf>
    <xf numFmtId="0" fontId="9" fillId="6" borderId="0" xfId="5" applyAlignment="1">
      <alignment horizontal="centerContinuous"/>
    </xf>
    <xf numFmtId="0" fontId="9" fillId="7" borderId="0" xfId="5" applyFill="1" applyAlignment="1">
      <alignment horizontal="right"/>
    </xf>
    <xf numFmtId="0" fontId="9" fillId="6" borderId="24" xfId="5" applyBorder="1"/>
    <xf numFmtId="0" fontId="35" fillId="6" borderId="25" xfId="5" applyFont="1" applyBorder="1" applyAlignment="1">
      <alignment horizontal="center"/>
    </xf>
    <xf numFmtId="0" fontId="35" fillId="6" borderId="26" xfId="5" applyFont="1" applyBorder="1" applyAlignment="1">
      <alignment horizontal="center"/>
    </xf>
    <xf numFmtId="0" fontId="9" fillId="6" borderId="24" xfId="5" applyBorder="1" applyAlignment="1">
      <alignment horizontal="left"/>
    </xf>
    <xf numFmtId="170" fontId="36" fillId="6" borderId="25" xfId="5" applyNumberFormat="1" applyFont="1" applyBorder="1" applyAlignment="1">
      <alignment horizontal="center"/>
    </xf>
    <xf numFmtId="0" fontId="9" fillId="6" borderId="25" xfId="5" applyBorder="1" applyAlignment="1">
      <alignment horizontal="left"/>
    </xf>
    <xf numFmtId="170" fontId="36" fillId="6" borderId="26" xfId="5" applyNumberFormat="1" applyFont="1" applyBorder="1" applyAlignment="1">
      <alignment horizontal="center"/>
    </xf>
    <xf numFmtId="10" fontId="9" fillId="6" borderId="28" xfId="5" applyNumberFormat="1" applyBorder="1" applyAlignment="1">
      <alignment horizontal="center"/>
    </xf>
    <xf numFmtId="0" fontId="9" fillId="6" borderId="16" xfId="5" applyBorder="1" applyAlignment="1">
      <alignment horizontal="left"/>
    </xf>
    <xf numFmtId="170" fontId="36" fillId="6" borderId="0" xfId="5" applyNumberFormat="1" applyFont="1" applyAlignment="1">
      <alignment horizontal="center"/>
    </xf>
    <xf numFmtId="0" fontId="9" fillId="6" borderId="0" xfId="5" applyAlignment="1">
      <alignment horizontal="left"/>
    </xf>
    <xf numFmtId="170" fontId="36" fillId="6" borderId="28" xfId="5" applyNumberFormat="1" applyFont="1" applyBorder="1" applyAlignment="1">
      <alignment horizontal="center"/>
    </xf>
    <xf numFmtId="0" fontId="37" fillId="6" borderId="0" xfId="5" applyFont="1" applyAlignment="1">
      <alignment horizontal="centerContinuous"/>
    </xf>
    <xf numFmtId="170" fontId="9" fillId="6" borderId="28" xfId="5" applyNumberFormat="1" applyBorder="1" applyAlignment="1">
      <alignment horizontal="center"/>
    </xf>
    <xf numFmtId="0" fontId="34" fillId="7" borderId="0" xfId="5" applyFont="1" applyFill="1" applyAlignment="1">
      <alignment horizontal="fill"/>
    </xf>
    <xf numFmtId="10" fontId="9" fillId="6" borderId="15" xfId="5" applyNumberFormat="1" applyBorder="1" applyAlignment="1">
      <alignment horizontal="center"/>
    </xf>
    <xf numFmtId="10" fontId="38" fillId="9" borderId="0" xfId="10" applyFont="1"/>
    <xf numFmtId="167" fontId="38" fillId="9" borderId="28" xfId="10" applyNumberFormat="1" applyFont="1" applyBorder="1"/>
    <xf numFmtId="0" fontId="9" fillId="6" borderId="15" xfId="5" applyBorder="1" applyAlignment="1">
      <alignment horizontal="right"/>
    </xf>
    <xf numFmtId="170" fontId="36" fillId="6" borderId="15" xfId="5" applyNumberFormat="1" applyFont="1" applyBorder="1" applyAlignment="1">
      <alignment horizontal="left"/>
    </xf>
    <xf numFmtId="170" fontId="9" fillId="6" borderId="22" xfId="5" applyNumberFormat="1" applyBorder="1" applyAlignment="1">
      <alignment horizontal="center"/>
    </xf>
    <xf numFmtId="10" fontId="38" fillId="9" borderId="15" xfId="10" applyFont="1" applyBorder="1"/>
    <xf numFmtId="10" fontId="38" fillId="9" borderId="22" xfId="10" applyFont="1" applyBorder="1"/>
    <xf numFmtId="170" fontId="9" fillId="6" borderId="0" xfId="5" applyNumberFormat="1"/>
    <xf numFmtId="0" fontId="39" fillId="6" borderId="0" xfId="5" applyFont="1"/>
    <xf numFmtId="0" fontId="9" fillId="6" borderId="25" xfId="5" quotePrefix="1" applyBorder="1" applyAlignment="1">
      <alignment horizontal="right"/>
    </xf>
    <xf numFmtId="0" fontId="9" fillId="6" borderId="26" xfId="5" quotePrefix="1" applyBorder="1" applyAlignment="1">
      <alignment horizontal="right"/>
    </xf>
    <xf numFmtId="0" fontId="40" fillId="6" borderId="0" xfId="5" applyFont="1"/>
    <xf numFmtId="0" fontId="40" fillId="6" borderId="28" xfId="5" applyFont="1" applyBorder="1"/>
    <xf numFmtId="0" fontId="9" fillId="9" borderId="0" xfId="5" applyFill="1"/>
    <xf numFmtId="0" fontId="9" fillId="6" borderId="15" xfId="5" quotePrefix="1" applyBorder="1" applyAlignment="1">
      <alignment horizontal="right"/>
    </xf>
    <xf numFmtId="10" fontId="9" fillId="6" borderId="22" xfId="5" applyNumberFormat="1" applyBorder="1"/>
    <xf numFmtId="167" fontId="42" fillId="11" borderId="0" xfId="11" applyNumberFormat="1" applyFont="1" applyFill="1"/>
    <xf numFmtId="0" fontId="42" fillId="11" borderId="0" xfId="11" applyFont="1" applyFill="1"/>
    <xf numFmtId="171" fontId="42" fillId="11" borderId="0" xfId="12" applyNumberFormat="1" applyFont="1" applyFill="1" applyBorder="1"/>
    <xf numFmtId="0" fontId="12" fillId="7" borderId="0" xfId="6" applyNumberFormat="1" applyFont="1" applyFill="1" applyAlignment="1">
      <alignment horizontal="center"/>
    </xf>
    <xf numFmtId="0" fontId="9" fillId="6" borderId="10" xfId="5" applyBorder="1" applyAlignment="1">
      <alignment horizontal="center"/>
    </xf>
    <xf numFmtId="0" fontId="9" fillId="6" borderId="6" xfId="5" applyBorder="1" applyAlignment="1">
      <alignment horizontal="center"/>
    </xf>
    <xf numFmtId="0" fontId="9" fillId="6" borderId="7" xfId="5" applyBorder="1" applyAlignment="1">
      <alignment horizontal="center"/>
    </xf>
    <xf numFmtId="0" fontId="17" fillId="7" borderId="0" xfId="6" applyNumberFormat="1" applyFont="1" applyFill="1" applyAlignment="1">
      <alignment horizontal="center"/>
    </xf>
    <xf numFmtId="0" fontId="17" fillId="7" borderId="29" xfId="6" applyNumberFormat="1" applyFont="1" applyFill="1" applyBorder="1" applyAlignment="1">
      <alignment horizontal="center"/>
    </xf>
    <xf numFmtId="0" fontId="29" fillId="6" borderId="0" xfId="5" applyFont="1" applyAlignment="1">
      <alignment horizontal="center"/>
    </xf>
    <xf numFmtId="0" fontId="0" fillId="0" borderId="0" xfId="0" applyFill="1"/>
    <xf numFmtId="0" fontId="3" fillId="0" borderId="15" xfId="0" applyFont="1" applyFill="1" applyBorder="1" applyAlignment="1">
      <alignment horizontal="center" wrapText="1"/>
    </xf>
    <xf numFmtId="44" fontId="0" fillId="0" borderId="0" xfId="2" applyFont="1" applyFill="1"/>
    <xf numFmtId="0" fontId="5" fillId="0" borderId="1" xfId="0" applyFont="1" applyFill="1" applyBorder="1"/>
    <xf numFmtId="10" fontId="5" fillId="0" borderId="2" xfId="0" applyNumberFormat="1" applyFont="1" applyFill="1" applyBorder="1"/>
    <xf numFmtId="0" fontId="5" fillId="0" borderId="2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>
      <alignment wrapText="1"/>
    </xf>
    <xf numFmtId="10" fontId="5" fillId="0" borderId="0" xfId="0" applyNumberFormat="1" applyFont="1" applyFill="1"/>
    <xf numFmtId="44" fontId="0" fillId="0" borderId="0" xfId="2" applyFont="1" applyFill="1" applyBorder="1"/>
    <xf numFmtId="44" fontId="0" fillId="0" borderId="0" xfId="0" applyNumberFormat="1" applyFill="1"/>
    <xf numFmtId="44" fontId="5" fillId="0" borderId="6" xfId="2" applyFont="1" applyFill="1" applyBorder="1"/>
    <xf numFmtId="0" fontId="5" fillId="0" borderId="6" xfId="0" applyFont="1" applyFill="1" applyBorder="1"/>
    <xf numFmtId="44" fontId="3" fillId="0" borderId="0" xfId="2" applyFont="1" applyFill="1" applyBorder="1"/>
    <xf numFmtId="0" fontId="3" fillId="0" borderId="0" xfId="0" applyFont="1" applyFill="1"/>
    <xf numFmtId="0" fontId="0" fillId="0" borderId="14" xfId="0" applyFill="1" applyBorder="1"/>
    <xf numFmtId="44" fontId="9" fillId="6" borderId="0" xfId="2" applyFont="1" applyFill="1"/>
    <xf numFmtId="0" fontId="0" fillId="12" borderId="0" xfId="0" applyFill="1"/>
    <xf numFmtId="0" fontId="5" fillId="12" borderId="6" xfId="0" applyFont="1" applyFill="1" applyBorder="1"/>
    <xf numFmtId="0" fontId="3" fillId="12" borderId="0" xfId="0" applyFont="1" applyFill="1"/>
    <xf numFmtId="10" fontId="0" fillId="12" borderId="0" xfId="13" applyNumberFormat="1" applyFont="1" applyFill="1"/>
    <xf numFmtId="44" fontId="0" fillId="12" borderId="0" xfId="0" applyNumberFormat="1" applyFill="1"/>
    <xf numFmtId="44" fontId="5" fillId="12" borderId="7" xfId="0" applyNumberFormat="1" applyFont="1" applyFill="1" applyBorder="1"/>
  </cellXfs>
  <cellStyles count="14">
    <cellStyle name="Accent5 2 2" xfId="7" xr:uid="{F3D6A795-23DA-4626-A4FB-D68E0AD1E6E2}"/>
    <cellStyle name="Comma" xfId="1" builtinId="3"/>
    <cellStyle name="Comma 2 8" xfId="8" xr:uid="{54045433-20C6-446E-9050-D968FB17CE44}"/>
    <cellStyle name="Currency" xfId="2" builtinId="4"/>
    <cellStyle name="Normal" xfId="0" builtinId="0"/>
    <cellStyle name="Normal 2 11 2" xfId="5" xr:uid="{EE18E28F-2C8D-46FB-9766-057B7F11B3DE}"/>
    <cellStyle name="Normal 3 10" xfId="3" xr:uid="{A4B142FC-644A-4265-8D29-8970D2D5DFAA}"/>
    <cellStyle name="Normal 3 4" xfId="6" xr:uid="{7A4541A0-4F70-4C05-8EFA-A8AF5F15F590}"/>
    <cellStyle name="Normal_M-A DF Calculation 3-1-2013-Final" xfId="11" xr:uid="{F65CEB5F-2B91-4E3E-82C0-2157CA4EEAC1}"/>
    <cellStyle name="Percent" xfId="13" builtinId="5"/>
    <cellStyle name="Percent 11" xfId="12" xr:uid="{ACE81870-4CC1-4EF6-A39E-D30BA12F2C20}"/>
    <cellStyle name="Percent 2 3 2" xfId="4" xr:uid="{9CC04614-8C19-48FD-9E9E-223C223B158B}"/>
    <cellStyle name="Percent 2 3 7" xfId="10" xr:uid="{A474E587-6F1B-42DA-9832-D7BADA4AB3DD}"/>
    <cellStyle name="Percent 5 14" xfId="9" xr:uid="{476161F7-B545-4EFC-86C8-A13A029F99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15</xdr:row>
      <xdr:rowOff>180975</xdr:rowOff>
    </xdr:from>
    <xdr:to>
      <xdr:col>2</xdr:col>
      <xdr:colOff>342900</xdr:colOff>
      <xdr:row>17</xdr:row>
      <xdr:rowOff>9525</xdr:rowOff>
    </xdr:to>
    <xdr:sp macro="" textlink="">
      <xdr:nvSpPr>
        <xdr:cNvPr id="2" name="DataCompleted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D729D90-79CA-44D6-9A6D-66965E438EB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2</xdr:col>
      <xdr:colOff>114300</xdr:colOff>
      <xdr:row>15</xdr:row>
      <xdr:rowOff>180975</xdr:rowOff>
    </xdr:from>
    <xdr:to>
      <xdr:col>2</xdr:col>
      <xdr:colOff>352425</xdr:colOff>
      <xdr:row>17</xdr:row>
      <xdr:rowOff>19050</xdr:rowOff>
    </xdr:to>
    <xdr:pic>
      <xdr:nvPicPr>
        <xdr:cNvPr id="1025" name="DataCompleted">
          <a:extLst>
            <a:ext uri="{FF2B5EF4-FFF2-40B4-BE49-F238E27FC236}">
              <a16:creationId xmlns:a16="http://schemas.microsoft.com/office/drawing/2014/main" id="{C98948A6-893C-493C-DE32-EFC2FAA181E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305175"/>
          <a:ext cx="238125" cy="2381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D8AC4-38FB-44C3-9B46-FC7B1DDF083A}">
  <sheetPr>
    <tabColor theme="5" tint="0.39997558519241921"/>
  </sheetPr>
  <dimension ref="A1:I420"/>
  <sheetViews>
    <sheetView view="pageBreakPreview" zoomScaleNormal="85" zoomScaleSheetLayoutView="100" workbookViewId="0">
      <selection activeCell="K21" sqref="K21"/>
    </sheetView>
  </sheetViews>
  <sheetFormatPr defaultRowHeight="14.4"/>
  <cols>
    <col min="3" max="3" width="50.88671875" customWidth="1"/>
    <col min="4" max="4" width="8.88671875" style="222"/>
    <col min="5" max="5" width="9.6640625" customWidth="1"/>
  </cols>
  <sheetData>
    <row r="1" spans="1:9">
      <c r="A1" s="18" t="s">
        <v>230</v>
      </c>
      <c r="B1" s="18"/>
    </row>
    <row r="2" spans="1:9">
      <c r="A2" s="18" t="s">
        <v>231</v>
      </c>
      <c r="B2" s="18"/>
    </row>
    <row r="3" spans="1:9">
      <c r="A3" s="30" t="s">
        <v>657</v>
      </c>
      <c r="B3" s="30"/>
      <c r="H3" s="212">
        <f>0.021-0.0175</f>
        <v>3.4999999999999996E-3</v>
      </c>
      <c r="I3" s="213" t="s">
        <v>653</v>
      </c>
    </row>
    <row r="4" spans="1:9">
      <c r="H4" s="212">
        <f>1-H3</f>
        <v>0.99650000000000005</v>
      </c>
      <c r="I4" s="213" t="s">
        <v>654</v>
      </c>
    </row>
    <row r="5" spans="1:9">
      <c r="H5" s="214">
        <f>+H3/H4</f>
        <v>3.5122930255895631E-3</v>
      </c>
      <c r="I5" s="213" t="s">
        <v>655</v>
      </c>
    </row>
    <row r="6" spans="1:9">
      <c r="H6" s="214">
        <f ca="1">+H5/'LG Public'!M16</f>
        <v>3.8789969313060483E-3</v>
      </c>
      <c r="I6" s="213" t="s">
        <v>656</v>
      </c>
    </row>
    <row r="7" spans="1:9" ht="28.8">
      <c r="A7" s="31" t="s">
        <v>232</v>
      </c>
      <c r="B7" s="31" t="s">
        <v>233</v>
      </c>
      <c r="C7" s="31" t="s">
        <v>234</v>
      </c>
      <c r="D7" s="223" t="s">
        <v>4</v>
      </c>
      <c r="E7" s="31" t="s">
        <v>5</v>
      </c>
      <c r="F7" s="31" t="s">
        <v>235</v>
      </c>
    </row>
    <row r="8" spans="1:9">
      <c r="A8">
        <v>16</v>
      </c>
      <c r="B8">
        <v>50</v>
      </c>
      <c r="C8" t="s">
        <v>236</v>
      </c>
      <c r="D8" s="224">
        <v>25</v>
      </c>
      <c r="E8" s="32">
        <f ca="1">+ROUND(D8*$H$6,2)</f>
        <v>0.1</v>
      </c>
      <c r="F8" s="9">
        <f t="shared" ref="F8" ca="1" si="0">+E8+D8</f>
        <v>25.1</v>
      </c>
      <c r="H8" s="32"/>
    </row>
    <row r="9" spans="1:9">
      <c r="A9">
        <v>17</v>
      </c>
      <c r="B9">
        <v>51</v>
      </c>
      <c r="C9" t="s">
        <v>237</v>
      </c>
      <c r="D9" s="224">
        <v>14.858522750891433</v>
      </c>
      <c r="E9" s="32">
        <f t="shared" ref="E9:E64" ca="1" si="1">+ROUND(D9*$H$6,2)</f>
        <v>0.06</v>
      </c>
      <c r="F9" s="9">
        <f t="shared" ref="F9:F64" ca="1" si="2">+E9+D9</f>
        <v>14.918522750891434</v>
      </c>
      <c r="H9" s="32"/>
    </row>
    <row r="10" spans="1:9">
      <c r="A10">
        <v>17</v>
      </c>
      <c r="B10">
        <v>51</v>
      </c>
      <c r="C10" t="s">
        <v>238</v>
      </c>
      <c r="D10" s="224">
        <v>21.603290381633162</v>
      </c>
      <c r="E10" s="32">
        <f t="shared" ca="1" si="1"/>
        <v>0.08</v>
      </c>
      <c r="F10" s="9">
        <f t="shared" ca="1" si="2"/>
        <v>21.68329038163316</v>
      </c>
      <c r="H10" s="32"/>
    </row>
    <row r="11" spans="1:9">
      <c r="A11">
        <v>17</v>
      </c>
      <c r="B11">
        <v>51</v>
      </c>
      <c r="C11" t="s">
        <v>239</v>
      </c>
      <c r="D11" s="224">
        <v>29.026986767284537</v>
      </c>
      <c r="E11" s="32">
        <f t="shared" ca="1" si="1"/>
        <v>0.11</v>
      </c>
      <c r="F11" s="9">
        <f t="shared" ca="1" si="2"/>
        <v>29.136986767284537</v>
      </c>
      <c r="H11" s="32"/>
    </row>
    <row r="12" spans="1:9">
      <c r="A12">
        <v>17</v>
      </c>
      <c r="B12">
        <v>52</v>
      </c>
      <c r="C12" t="s">
        <v>240</v>
      </c>
      <c r="D12" s="224">
        <v>29.026986767284537</v>
      </c>
      <c r="E12" s="32">
        <f t="shared" ca="1" si="1"/>
        <v>0.11</v>
      </c>
      <c r="F12" s="9">
        <f t="shared" ca="1" si="2"/>
        <v>29.136986767284537</v>
      </c>
      <c r="H12" s="32"/>
    </row>
    <row r="13" spans="1:9">
      <c r="A13">
        <v>17</v>
      </c>
      <c r="B13">
        <v>52</v>
      </c>
      <c r="C13" t="s">
        <v>241</v>
      </c>
      <c r="D13" s="224">
        <v>41.859853233035714</v>
      </c>
      <c r="E13" s="32">
        <f t="shared" ca="1" si="1"/>
        <v>0.16</v>
      </c>
      <c r="F13" s="9">
        <f t="shared" ca="1" si="2"/>
        <v>42.019853233035711</v>
      </c>
      <c r="H13" s="32"/>
    </row>
    <row r="14" spans="1:9">
      <c r="A14">
        <v>17</v>
      </c>
      <c r="B14">
        <v>52</v>
      </c>
      <c r="C14" t="s">
        <v>242</v>
      </c>
      <c r="D14" s="224">
        <v>0</v>
      </c>
      <c r="E14" s="32">
        <f t="shared" ca="1" si="1"/>
        <v>0</v>
      </c>
      <c r="F14" s="9">
        <f t="shared" ca="1" si="2"/>
        <v>0</v>
      </c>
      <c r="H14" s="32"/>
    </row>
    <row r="15" spans="1:9">
      <c r="A15">
        <v>18</v>
      </c>
      <c r="B15">
        <v>55</v>
      </c>
      <c r="C15" t="s">
        <v>243</v>
      </c>
      <c r="D15" s="224">
        <v>8.3042116604213785</v>
      </c>
      <c r="E15" s="32">
        <f t="shared" ca="1" si="1"/>
        <v>0.03</v>
      </c>
      <c r="F15" s="9">
        <f t="shared" ca="1" si="2"/>
        <v>8.3342116604213778</v>
      </c>
      <c r="H15" s="32"/>
    </row>
    <row r="16" spans="1:9">
      <c r="A16">
        <v>18</v>
      </c>
      <c r="B16">
        <v>55</v>
      </c>
      <c r="C16" t="s">
        <v>244</v>
      </c>
      <c r="D16" s="224">
        <v>8.3042116604213785</v>
      </c>
      <c r="E16" s="32">
        <f t="shared" ca="1" si="1"/>
        <v>0.03</v>
      </c>
      <c r="F16" s="9">
        <f t="shared" ca="1" si="2"/>
        <v>8.3342116604213778</v>
      </c>
      <c r="H16" s="32"/>
    </row>
    <row r="17" spans="1:8">
      <c r="A17">
        <v>18</v>
      </c>
      <c r="B17">
        <v>60</v>
      </c>
      <c r="C17" t="s">
        <v>245</v>
      </c>
      <c r="D17" s="224">
        <v>175.54203807270389</v>
      </c>
      <c r="E17" s="32">
        <f t="shared" ca="1" si="1"/>
        <v>0.68</v>
      </c>
      <c r="F17" s="9">
        <f t="shared" ca="1" si="2"/>
        <v>176.2220380727039</v>
      </c>
      <c r="H17" s="32"/>
    </row>
    <row r="18" spans="1:8">
      <c r="A18">
        <v>18</v>
      </c>
      <c r="B18">
        <v>60</v>
      </c>
      <c r="C18" t="s">
        <v>246</v>
      </c>
      <c r="D18" s="224">
        <v>87.782149015940632</v>
      </c>
      <c r="E18" s="32">
        <f t="shared" ca="1" si="1"/>
        <v>0.34</v>
      </c>
      <c r="F18" s="9">
        <f t="shared" ca="1" si="2"/>
        <v>88.122149015940636</v>
      </c>
      <c r="H18" s="32"/>
    </row>
    <row r="19" spans="1:8">
      <c r="A19">
        <v>19</v>
      </c>
      <c r="B19">
        <v>70</v>
      </c>
      <c r="C19" t="s">
        <v>247</v>
      </c>
      <c r="D19" s="224">
        <v>8.1026251405610221</v>
      </c>
      <c r="E19" s="32">
        <f t="shared" ca="1" si="1"/>
        <v>0.03</v>
      </c>
      <c r="F19" s="9">
        <f t="shared" ca="1" si="2"/>
        <v>8.1326251405610215</v>
      </c>
      <c r="H19" s="32"/>
    </row>
    <row r="20" spans="1:8">
      <c r="A20">
        <v>19</v>
      </c>
      <c r="B20">
        <v>70</v>
      </c>
      <c r="C20" t="s">
        <v>248</v>
      </c>
      <c r="D20" s="224">
        <v>47.26902331313552</v>
      </c>
      <c r="E20" s="32">
        <f t="shared" ca="1" si="1"/>
        <v>0.18</v>
      </c>
      <c r="F20" s="9">
        <f t="shared" ca="1" si="2"/>
        <v>47.44902331313552</v>
      </c>
      <c r="H20" s="32"/>
    </row>
    <row r="21" spans="1:8">
      <c r="A21">
        <v>19</v>
      </c>
      <c r="B21">
        <v>70</v>
      </c>
      <c r="C21" t="s">
        <v>249</v>
      </c>
      <c r="D21" s="224">
        <v>27.001330482144283</v>
      </c>
      <c r="E21" s="32">
        <f t="shared" ca="1" si="1"/>
        <v>0.1</v>
      </c>
      <c r="F21" s="9">
        <f t="shared" ca="1" si="2"/>
        <v>27.101330482144284</v>
      </c>
      <c r="H21" s="32"/>
    </row>
    <row r="22" spans="1:8">
      <c r="A22">
        <v>19</v>
      </c>
      <c r="B22">
        <v>70</v>
      </c>
      <c r="C22" t="s">
        <v>250</v>
      </c>
      <c r="D22" s="224">
        <v>8.1026251405610221</v>
      </c>
      <c r="E22" s="32">
        <f t="shared" ca="1" si="1"/>
        <v>0.03</v>
      </c>
      <c r="F22" s="9">
        <f t="shared" ca="1" si="2"/>
        <v>8.1326251405610215</v>
      </c>
      <c r="H22" s="32"/>
    </row>
    <row r="23" spans="1:8">
      <c r="A23">
        <v>19</v>
      </c>
      <c r="B23">
        <v>70</v>
      </c>
      <c r="C23" t="s">
        <v>251</v>
      </c>
      <c r="D23" s="224">
        <v>8.1026251405610221</v>
      </c>
      <c r="E23" s="32">
        <f t="shared" ca="1" si="1"/>
        <v>0.03</v>
      </c>
      <c r="F23" s="9">
        <f t="shared" ca="1" si="2"/>
        <v>8.1326251405610215</v>
      </c>
      <c r="H23" s="32"/>
    </row>
    <row r="24" spans="1:8">
      <c r="A24">
        <v>19</v>
      </c>
      <c r="B24">
        <v>70</v>
      </c>
      <c r="C24" t="s">
        <v>252</v>
      </c>
      <c r="D24" s="224">
        <v>10.128281425701276</v>
      </c>
      <c r="E24" s="32">
        <f t="shared" ca="1" si="1"/>
        <v>0.04</v>
      </c>
      <c r="F24" s="9">
        <f t="shared" ca="1" si="2"/>
        <v>10.168281425701275</v>
      </c>
      <c r="H24" s="32"/>
    </row>
    <row r="25" spans="1:8">
      <c r="A25">
        <v>21</v>
      </c>
      <c r="B25">
        <v>80</v>
      </c>
      <c r="C25" t="s">
        <v>253</v>
      </c>
      <c r="D25" s="224">
        <v>8.7815538954706671</v>
      </c>
      <c r="E25" s="32">
        <f t="shared" ca="1" si="1"/>
        <v>0.03</v>
      </c>
      <c r="F25" s="9">
        <f t="shared" ca="1" si="2"/>
        <v>8.8115538954706665</v>
      </c>
      <c r="H25" s="32"/>
    </row>
    <row r="26" spans="1:8">
      <c r="A26">
        <v>21</v>
      </c>
      <c r="B26">
        <v>80</v>
      </c>
      <c r="C26" t="s">
        <v>254</v>
      </c>
      <c r="D26" s="224">
        <v>8.7815538954706671</v>
      </c>
      <c r="E26" s="32">
        <f t="shared" ca="1" si="1"/>
        <v>0.03</v>
      </c>
      <c r="F26" s="9">
        <f t="shared" ca="1" si="2"/>
        <v>8.8115538954706665</v>
      </c>
      <c r="H26" s="32"/>
    </row>
    <row r="27" spans="1:8">
      <c r="A27">
        <v>21</v>
      </c>
      <c r="B27">
        <v>80</v>
      </c>
      <c r="C27" t="s">
        <v>255</v>
      </c>
      <c r="D27" s="224">
        <v>11.675348588528175</v>
      </c>
      <c r="E27" s="32">
        <f t="shared" ca="1" si="1"/>
        <v>0.05</v>
      </c>
      <c r="F27" s="9">
        <f t="shared" ca="1" si="2"/>
        <v>11.725348588528176</v>
      </c>
      <c r="H27" s="32"/>
    </row>
    <row r="28" spans="1:8">
      <c r="A28">
        <v>21</v>
      </c>
      <c r="B28">
        <v>80</v>
      </c>
      <c r="C28" t="s">
        <v>256</v>
      </c>
      <c r="D28" s="224">
        <v>14.858522750891433</v>
      </c>
      <c r="E28" s="32">
        <f t="shared" ca="1" si="1"/>
        <v>0.06</v>
      </c>
      <c r="F28" s="9">
        <f t="shared" ca="1" si="2"/>
        <v>14.918522750891434</v>
      </c>
      <c r="H28" s="32"/>
    </row>
    <row r="29" spans="1:8">
      <c r="A29">
        <v>21</v>
      </c>
      <c r="B29">
        <v>80</v>
      </c>
      <c r="C29" t="s">
        <v>257</v>
      </c>
      <c r="D29" s="224">
        <v>2.726844999227267</v>
      </c>
      <c r="E29" s="32">
        <f t="shared" ca="1" si="1"/>
        <v>0.01</v>
      </c>
      <c r="F29" s="9">
        <f t="shared" ca="1" si="2"/>
        <v>2.7368449992272668</v>
      </c>
      <c r="H29" s="32"/>
    </row>
    <row r="30" spans="1:8">
      <c r="A30">
        <v>21</v>
      </c>
      <c r="B30">
        <v>80</v>
      </c>
      <c r="C30" t="s">
        <v>258</v>
      </c>
      <c r="D30" s="224">
        <v>4.3852119579409923</v>
      </c>
      <c r="E30" s="32">
        <f t="shared" ca="1" si="1"/>
        <v>0.02</v>
      </c>
      <c r="F30" s="9">
        <f t="shared" ca="1" si="2"/>
        <v>4.4052119579409919</v>
      </c>
      <c r="H30" s="32"/>
    </row>
    <row r="31" spans="1:8">
      <c r="A31">
        <v>23</v>
      </c>
      <c r="B31">
        <v>100</v>
      </c>
      <c r="C31" t="s">
        <v>259</v>
      </c>
      <c r="D31" s="224">
        <v>19.861286764354272</v>
      </c>
      <c r="E31" s="32">
        <f t="shared" ca="1" si="1"/>
        <v>0.08</v>
      </c>
      <c r="F31" s="9">
        <f t="shared" ca="1" si="2"/>
        <v>19.94128676435427</v>
      </c>
      <c r="H31" s="32"/>
    </row>
    <row r="32" spans="1:8">
      <c r="A32">
        <v>23</v>
      </c>
      <c r="B32">
        <v>100</v>
      </c>
      <c r="C32" t="s">
        <v>260</v>
      </c>
      <c r="D32" s="224">
        <v>24.670521810697853</v>
      </c>
      <c r="E32" s="32">
        <f t="shared" ca="1" si="1"/>
        <v>0.1</v>
      </c>
      <c r="F32" s="9">
        <f t="shared" ca="1" si="2"/>
        <v>24.770521810697854</v>
      </c>
      <c r="H32" s="32"/>
    </row>
    <row r="33" spans="1:8">
      <c r="A33">
        <v>23</v>
      </c>
      <c r="B33">
        <v>100</v>
      </c>
      <c r="C33" t="s">
        <v>261</v>
      </c>
      <c r="D33" s="224">
        <v>29.661071980539365</v>
      </c>
      <c r="E33" s="32">
        <f t="shared" ca="1" si="1"/>
        <v>0.12</v>
      </c>
      <c r="F33" s="9">
        <f t="shared" ca="1" si="2"/>
        <v>29.781071980539366</v>
      </c>
      <c r="H33" s="32"/>
    </row>
    <row r="34" spans="1:8">
      <c r="A34">
        <v>24</v>
      </c>
      <c r="B34">
        <v>100</v>
      </c>
      <c r="C34" t="s">
        <v>262</v>
      </c>
      <c r="D34" s="224">
        <v>1.9700063871968418</v>
      </c>
      <c r="E34" s="32">
        <f t="shared" ca="1" si="1"/>
        <v>0.01</v>
      </c>
      <c r="F34" s="9">
        <f t="shared" ca="1" si="2"/>
        <v>1.9800063871968419</v>
      </c>
      <c r="H34" s="32"/>
    </row>
    <row r="35" spans="1:8">
      <c r="A35">
        <v>24</v>
      </c>
      <c r="B35">
        <v>100</v>
      </c>
      <c r="C35" t="s">
        <v>263</v>
      </c>
      <c r="D35" s="224">
        <v>6.6235847425302889</v>
      </c>
      <c r="E35" s="32">
        <f t="shared" ca="1" si="1"/>
        <v>0.03</v>
      </c>
      <c r="F35" s="9">
        <f t="shared" ca="1" si="2"/>
        <v>6.6535847425302892</v>
      </c>
      <c r="H35" s="32"/>
    </row>
    <row r="36" spans="1:8">
      <c r="A36">
        <v>24</v>
      </c>
      <c r="B36">
        <v>100</v>
      </c>
      <c r="C36" t="s">
        <v>264</v>
      </c>
      <c r="D36" s="224">
        <v>7.352420451920052</v>
      </c>
      <c r="E36" s="32">
        <f t="shared" ca="1" si="1"/>
        <v>0.03</v>
      </c>
      <c r="F36" s="9">
        <f t="shared" ca="1" si="2"/>
        <v>7.3824204519200523</v>
      </c>
      <c r="H36" s="32"/>
    </row>
    <row r="37" spans="1:8">
      <c r="A37">
        <v>24</v>
      </c>
      <c r="B37">
        <v>100</v>
      </c>
      <c r="C37" t="s">
        <v>265</v>
      </c>
      <c r="D37" s="224">
        <v>8.1496388334438894</v>
      </c>
      <c r="E37" s="32">
        <f t="shared" ca="1" si="1"/>
        <v>0.03</v>
      </c>
      <c r="F37" s="9">
        <f t="shared" ca="1" si="2"/>
        <v>8.1796388334438888</v>
      </c>
      <c r="H37" s="32"/>
    </row>
    <row r="38" spans="1:8">
      <c r="A38">
        <v>24</v>
      </c>
      <c r="B38">
        <v>100</v>
      </c>
      <c r="C38" t="s">
        <v>266</v>
      </c>
      <c r="D38" s="224">
        <v>7.2802535382625688</v>
      </c>
      <c r="E38" s="32">
        <f t="shared" ca="1" si="1"/>
        <v>0.03</v>
      </c>
      <c r="F38" s="9">
        <f t="shared" ca="1" si="2"/>
        <v>7.3102535382625691</v>
      </c>
      <c r="H38" s="32"/>
    </row>
    <row r="39" spans="1:8">
      <c r="A39">
        <v>24</v>
      </c>
      <c r="B39">
        <v>100</v>
      </c>
      <c r="C39" t="s">
        <v>267</v>
      </c>
      <c r="D39" s="224">
        <v>7.9814422523495807</v>
      </c>
      <c r="E39" s="32">
        <f t="shared" ca="1" si="1"/>
        <v>0.03</v>
      </c>
      <c r="F39" s="9">
        <f t="shared" ca="1" si="2"/>
        <v>8.0114422523495801</v>
      </c>
      <c r="H39" s="32"/>
    </row>
    <row r="40" spans="1:8">
      <c r="A40">
        <v>24</v>
      </c>
      <c r="B40">
        <v>100</v>
      </c>
      <c r="C40" t="s">
        <v>268</v>
      </c>
      <c r="D40" s="224">
        <v>17.06350559671468</v>
      </c>
      <c r="E40" s="32">
        <f t="shared" ca="1" si="1"/>
        <v>7.0000000000000007E-2</v>
      </c>
      <c r="F40" s="9">
        <f t="shared" ca="1" si="2"/>
        <v>17.133505596714681</v>
      </c>
      <c r="H40" s="32"/>
    </row>
    <row r="41" spans="1:8">
      <c r="A41">
        <v>24</v>
      </c>
      <c r="B41">
        <v>100</v>
      </c>
      <c r="C41" t="s">
        <v>269</v>
      </c>
      <c r="D41" s="224">
        <v>17.06350559671468</v>
      </c>
      <c r="E41" s="32">
        <f t="shared" ca="1" si="1"/>
        <v>7.0000000000000007E-2</v>
      </c>
      <c r="F41" s="9">
        <f t="shared" ca="1" si="2"/>
        <v>17.133505596714681</v>
      </c>
      <c r="H41" s="32"/>
    </row>
    <row r="42" spans="1:8">
      <c r="A42">
        <v>24</v>
      </c>
      <c r="B42">
        <v>100</v>
      </c>
      <c r="C42" t="s">
        <v>270</v>
      </c>
      <c r="D42" s="224">
        <v>33.768358072063378</v>
      </c>
      <c r="E42" s="32">
        <f t="shared" ca="1" si="1"/>
        <v>0.13</v>
      </c>
      <c r="F42" s="9">
        <f t="shared" ca="1" si="2"/>
        <v>33.898358072063381</v>
      </c>
      <c r="H42" s="32"/>
    </row>
    <row r="43" spans="1:8">
      <c r="A43">
        <v>27</v>
      </c>
      <c r="B43">
        <v>105</v>
      </c>
      <c r="C43" t="s">
        <v>271</v>
      </c>
      <c r="D43" s="224">
        <v>33.768358072063378</v>
      </c>
      <c r="E43" s="32">
        <f t="shared" ca="1" si="1"/>
        <v>0.13</v>
      </c>
      <c r="F43" s="9">
        <f t="shared" ca="1" si="2"/>
        <v>33.898358072063381</v>
      </c>
      <c r="H43" s="32"/>
    </row>
    <row r="44" spans="1:8">
      <c r="A44">
        <v>27</v>
      </c>
      <c r="B44">
        <v>105</v>
      </c>
      <c r="C44" t="s">
        <v>272</v>
      </c>
      <c r="D44" s="224">
        <v>19.54964733587116</v>
      </c>
      <c r="E44" s="32">
        <f t="shared" ca="1" si="1"/>
        <v>0.08</v>
      </c>
      <c r="F44" s="9">
        <f t="shared" ca="1" si="2"/>
        <v>19.629647335871159</v>
      </c>
      <c r="H44" s="32"/>
    </row>
    <row r="45" spans="1:8">
      <c r="A45">
        <v>27</v>
      </c>
      <c r="B45">
        <v>105</v>
      </c>
      <c r="C45" t="s">
        <v>273</v>
      </c>
      <c r="D45" s="224">
        <v>19.54964733587116</v>
      </c>
      <c r="E45" s="32">
        <f t="shared" ca="1" si="1"/>
        <v>0.08</v>
      </c>
      <c r="F45" s="9">
        <f t="shared" ca="1" si="2"/>
        <v>19.629647335871159</v>
      </c>
      <c r="H45" s="32"/>
    </row>
    <row r="46" spans="1:8">
      <c r="A46">
        <v>27</v>
      </c>
      <c r="B46">
        <v>105</v>
      </c>
      <c r="C46" t="s">
        <v>274</v>
      </c>
      <c r="D46" s="224">
        <v>7.9480523135835321</v>
      </c>
      <c r="E46" s="32">
        <f t="shared" ca="1" si="1"/>
        <v>0.03</v>
      </c>
      <c r="F46" s="9">
        <f t="shared" ca="1" si="2"/>
        <v>7.9780523135835324</v>
      </c>
      <c r="H46" s="32"/>
    </row>
    <row r="47" spans="1:8">
      <c r="A47">
        <v>27</v>
      </c>
      <c r="B47">
        <v>105</v>
      </c>
      <c r="C47" t="s">
        <v>275</v>
      </c>
      <c r="D47" s="224">
        <v>33.768358072063378</v>
      </c>
      <c r="E47" s="32">
        <f t="shared" ca="1" si="1"/>
        <v>0.13</v>
      </c>
      <c r="F47" s="9">
        <f t="shared" ca="1" si="2"/>
        <v>33.898358072063381</v>
      </c>
      <c r="H47" s="32"/>
    </row>
    <row r="48" spans="1:8">
      <c r="A48">
        <v>27</v>
      </c>
      <c r="B48">
        <v>105</v>
      </c>
      <c r="C48" t="s">
        <v>276</v>
      </c>
      <c r="D48" s="224">
        <v>23.907196156490485</v>
      </c>
      <c r="E48" s="32">
        <f t="shared" ca="1" si="1"/>
        <v>0.09</v>
      </c>
      <c r="F48" s="9">
        <f t="shared" ca="1" si="2"/>
        <v>23.997196156490485</v>
      </c>
      <c r="H48" s="32"/>
    </row>
    <row r="49" spans="1:8">
      <c r="A49">
        <v>27</v>
      </c>
      <c r="B49">
        <v>105</v>
      </c>
      <c r="C49" t="s">
        <v>277</v>
      </c>
      <c r="D49" s="224">
        <v>23.907196156490485</v>
      </c>
      <c r="E49" s="32">
        <f t="shared" ca="1" si="1"/>
        <v>0.09</v>
      </c>
      <c r="F49" s="9">
        <f t="shared" ca="1" si="2"/>
        <v>23.997196156490485</v>
      </c>
      <c r="H49" s="32"/>
    </row>
    <row r="50" spans="1:8">
      <c r="A50">
        <v>27</v>
      </c>
      <c r="B50">
        <v>105</v>
      </c>
      <c r="C50" t="s">
        <v>278</v>
      </c>
      <c r="D50" s="224">
        <v>8.5366943445196473</v>
      </c>
      <c r="E50" s="32">
        <f t="shared" ca="1" si="1"/>
        <v>0.03</v>
      </c>
      <c r="F50" s="9">
        <f t="shared" ca="1" si="2"/>
        <v>8.5666943445196466</v>
      </c>
      <c r="H50" s="32"/>
    </row>
    <row r="51" spans="1:8">
      <c r="A51">
        <v>27</v>
      </c>
      <c r="B51">
        <v>105</v>
      </c>
      <c r="C51" t="s">
        <v>279</v>
      </c>
      <c r="D51" s="224">
        <v>33.768358072063378</v>
      </c>
      <c r="E51" s="32">
        <f t="shared" ca="1" si="1"/>
        <v>0.13</v>
      </c>
      <c r="F51" s="9">
        <f t="shared" ca="1" si="2"/>
        <v>33.898358072063381</v>
      </c>
      <c r="H51" s="32"/>
    </row>
    <row r="52" spans="1:8">
      <c r="A52">
        <v>27</v>
      </c>
      <c r="B52">
        <v>105</v>
      </c>
      <c r="C52" t="s">
        <v>280</v>
      </c>
      <c r="D52" s="224">
        <v>29.772695399726281</v>
      </c>
      <c r="E52" s="32">
        <f t="shared" ca="1" si="1"/>
        <v>0.12</v>
      </c>
      <c r="F52" s="9">
        <f t="shared" ca="1" si="2"/>
        <v>29.892695399726282</v>
      </c>
      <c r="H52" s="32"/>
    </row>
    <row r="53" spans="1:8">
      <c r="A53">
        <v>27</v>
      </c>
      <c r="B53">
        <v>105</v>
      </c>
      <c r="C53" t="s">
        <v>281</v>
      </c>
      <c r="D53" s="224">
        <v>29.772695399726281</v>
      </c>
      <c r="E53" s="32">
        <f t="shared" ca="1" si="1"/>
        <v>0.12</v>
      </c>
      <c r="F53" s="9">
        <f t="shared" ca="1" si="2"/>
        <v>29.892695399726282</v>
      </c>
      <c r="H53" s="32"/>
    </row>
    <row r="54" spans="1:8">
      <c r="A54">
        <v>27</v>
      </c>
      <c r="B54">
        <v>105</v>
      </c>
      <c r="C54" t="s">
        <v>282</v>
      </c>
      <c r="D54" s="224">
        <v>9.2601430177840243</v>
      </c>
      <c r="E54" s="32">
        <f t="shared" ca="1" si="1"/>
        <v>0.04</v>
      </c>
      <c r="F54" s="9">
        <f t="shared" ca="1" si="2"/>
        <v>9.3001430177840234</v>
      </c>
      <c r="H54" s="32"/>
    </row>
    <row r="55" spans="1:8">
      <c r="A55">
        <v>27</v>
      </c>
      <c r="B55">
        <v>105</v>
      </c>
      <c r="C55" t="s">
        <v>283</v>
      </c>
      <c r="D55" s="224">
        <v>6.7571444975944814</v>
      </c>
      <c r="E55" s="32">
        <f t="shared" ca="1" si="1"/>
        <v>0.03</v>
      </c>
      <c r="F55" s="9">
        <f t="shared" ca="1" si="2"/>
        <v>6.7871444975944817</v>
      </c>
      <c r="H55" s="32"/>
    </row>
    <row r="56" spans="1:8">
      <c r="A56">
        <v>27</v>
      </c>
      <c r="B56">
        <v>105</v>
      </c>
      <c r="C56" t="s">
        <v>284</v>
      </c>
      <c r="D56" s="224">
        <v>7.5527600845163407</v>
      </c>
      <c r="E56" s="32">
        <f t="shared" ca="1" si="1"/>
        <v>0.03</v>
      </c>
      <c r="F56" s="9">
        <f t="shared" ca="1" si="2"/>
        <v>7.582760084516341</v>
      </c>
      <c r="H56" s="32"/>
    </row>
    <row r="57" spans="1:8">
      <c r="A57">
        <v>27</v>
      </c>
      <c r="B57">
        <v>105</v>
      </c>
      <c r="C57" t="s">
        <v>285</v>
      </c>
      <c r="D57" s="224">
        <v>8.4167583435722744</v>
      </c>
      <c r="E57" s="32">
        <f t="shared" ca="1" si="1"/>
        <v>0.03</v>
      </c>
      <c r="F57" s="9">
        <f t="shared" ca="1" si="2"/>
        <v>8.4467583435722737</v>
      </c>
      <c r="H57" s="32"/>
    </row>
    <row r="58" spans="1:8">
      <c r="A58">
        <v>27</v>
      </c>
      <c r="B58">
        <v>105</v>
      </c>
      <c r="C58" t="s">
        <v>286</v>
      </c>
      <c r="D58" s="224">
        <v>7.5527600845163407</v>
      </c>
      <c r="E58" s="32">
        <f t="shared" ca="1" si="1"/>
        <v>0.03</v>
      </c>
      <c r="F58" s="9">
        <f t="shared" ca="1" si="2"/>
        <v>7.582760084516341</v>
      </c>
      <c r="H58" s="32"/>
    </row>
    <row r="59" spans="1:8">
      <c r="A59">
        <v>27</v>
      </c>
      <c r="B59">
        <v>105</v>
      </c>
      <c r="C59" t="s">
        <v>287</v>
      </c>
      <c r="D59" s="224">
        <v>8.4167583435722744</v>
      </c>
      <c r="E59" s="32">
        <f t="shared" ca="1" si="1"/>
        <v>0.03</v>
      </c>
      <c r="F59" s="9">
        <f t="shared" ca="1" si="2"/>
        <v>8.4467583435722737</v>
      </c>
      <c r="H59" s="32"/>
    </row>
    <row r="60" spans="1:8">
      <c r="A60">
        <v>27</v>
      </c>
      <c r="B60">
        <v>105</v>
      </c>
      <c r="C60" t="s">
        <v>288</v>
      </c>
      <c r="D60" s="224">
        <v>15.560958352242514</v>
      </c>
      <c r="E60" s="32">
        <f t="shared" ca="1" si="1"/>
        <v>0.06</v>
      </c>
      <c r="F60" s="9">
        <f t="shared" ca="1" si="2"/>
        <v>15.620958352242514</v>
      </c>
      <c r="H60" s="32"/>
    </row>
    <row r="61" spans="1:8">
      <c r="A61">
        <v>31</v>
      </c>
      <c r="B61">
        <v>150</v>
      </c>
      <c r="C61" t="s">
        <v>289</v>
      </c>
      <c r="D61" s="224">
        <v>18.091783032985148</v>
      </c>
      <c r="E61" s="32">
        <f t="shared" ca="1" si="1"/>
        <v>7.0000000000000007E-2</v>
      </c>
      <c r="F61" s="9">
        <f t="shared" ca="1" si="2"/>
        <v>18.161783032985149</v>
      </c>
      <c r="H61" s="32"/>
    </row>
    <row r="62" spans="1:8">
      <c r="A62">
        <v>31</v>
      </c>
      <c r="B62">
        <v>150</v>
      </c>
      <c r="C62" t="s">
        <v>290</v>
      </c>
      <c r="D62" s="224">
        <v>18.091783032985148</v>
      </c>
      <c r="E62" s="32">
        <f t="shared" ca="1" si="1"/>
        <v>7.0000000000000007E-2</v>
      </c>
      <c r="F62" s="9">
        <f t="shared" ca="1" si="2"/>
        <v>18.161783032985149</v>
      </c>
      <c r="H62" s="32"/>
    </row>
    <row r="63" spans="1:8">
      <c r="A63">
        <v>31</v>
      </c>
      <c r="B63">
        <v>150</v>
      </c>
      <c r="C63" t="s">
        <v>291</v>
      </c>
      <c r="D63" s="224">
        <v>37.613767231534638</v>
      </c>
      <c r="E63" s="32">
        <f t="shared" ca="1" si="1"/>
        <v>0.15</v>
      </c>
      <c r="F63" s="9">
        <f t="shared" ca="1" si="2"/>
        <v>37.763767231534636</v>
      </c>
      <c r="H63" s="32"/>
    </row>
    <row r="64" spans="1:8">
      <c r="A64">
        <v>31</v>
      </c>
      <c r="B64">
        <v>150</v>
      </c>
      <c r="C64" t="s">
        <v>292</v>
      </c>
      <c r="D64" s="224">
        <v>18.091783032985148</v>
      </c>
      <c r="E64" s="32">
        <f t="shared" ca="1" si="1"/>
        <v>7.0000000000000007E-2</v>
      </c>
      <c r="F64" s="9">
        <f t="shared" ca="1" si="2"/>
        <v>18.161783032985149</v>
      </c>
      <c r="H64" s="32"/>
    </row>
    <row r="65" spans="1:8">
      <c r="A65">
        <v>31</v>
      </c>
      <c r="B65">
        <v>150</v>
      </c>
      <c r="C65" t="s">
        <v>293</v>
      </c>
      <c r="D65" s="224">
        <v>18.091783032985148</v>
      </c>
      <c r="E65" s="32">
        <f t="shared" ref="E65:E128" ca="1" si="3">+ROUND(D65*$H$6,2)</f>
        <v>7.0000000000000007E-2</v>
      </c>
      <c r="F65" s="9">
        <f t="shared" ref="F65:F128" ca="1" si="4">+E65+D65</f>
        <v>18.161783032985149</v>
      </c>
      <c r="H65" s="32"/>
    </row>
    <row r="66" spans="1:8">
      <c r="A66">
        <v>31</v>
      </c>
      <c r="B66">
        <v>150</v>
      </c>
      <c r="C66" t="s">
        <v>294</v>
      </c>
      <c r="D66" s="224">
        <v>37.613767231534638</v>
      </c>
      <c r="E66" s="32">
        <f t="shared" ca="1" si="3"/>
        <v>0.15</v>
      </c>
      <c r="F66" s="9">
        <f t="shared" ca="1" si="4"/>
        <v>37.763767231534636</v>
      </c>
      <c r="H66" s="32"/>
    </row>
    <row r="67" spans="1:8">
      <c r="A67">
        <v>31</v>
      </c>
      <c r="B67">
        <v>150</v>
      </c>
      <c r="C67" t="s">
        <v>295</v>
      </c>
      <c r="D67" s="224">
        <v>18.091783032985148</v>
      </c>
      <c r="E67" s="32">
        <f t="shared" ca="1" si="3"/>
        <v>7.0000000000000007E-2</v>
      </c>
      <c r="F67" s="9">
        <f t="shared" ca="1" si="4"/>
        <v>18.161783032985149</v>
      </c>
      <c r="H67" s="32"/>
    </row>
    <row r="68" spans="1:8">
      <c r="A68">
        <v>31</v>
      </c>
      <c r="B68">
        <v>150</v>
      </c>
      <c r="C68" t="s">
        <v>296</v>
      </c>
      <c r="D68" s="224">
        <v>18.091783032985148</v>
      </c>
      <c r="E68" s="32">
        <f t="shared" ca="1" si="3"/>
        <v>7.0000000000000007E-2</v>
      </c>
      <c r="F68" s="9">
        <f t="shared" ca="1" si="4"/>
        <v>18.161783032985149</v>
      </c>
      <c r="H68" s="32"/>
    </row>
    <row r="69" spans="1:8">
      <c r="A69">
        <v>31</v>
      </c>
      <c r="B69">
        <v>150</v>
      </c>
      <c r="C69" t="s">
        <v>297</v>
      </c>
      <c r="D69" s="224">
        <v>37.613767231534638</v>
      </c>
      <c r="E69" s="32">
        <f t="shared" ca="1" si="3"/>
        <v>0.15</v>
      </c>
      <c r="F69" s="9">
        <f t="shared" ca="1" si="4"/>
        <v>37.763767231534636</v>
      </c>
      <c r="H69" s="32"/>
    </row>
    <row r="70" spans="1:8">
      <c r="A70">
        <v>31</v>
      </c>
      <c r="B70">
        <v>150</v>
      </c>
      <c r="C70" t="s">
        <v>298</v>
      </c>
      <c r="D70" s="224">
        <v>7.2901366305871829</v>
      </c>
      <c r="E70" s="32">
        <f t="shared" ca="1" si="3"/>
        <v>0.03</v>
      </c>
      <c r="F70" s="9">
        <f t="shared" ca="1" si="4"/>
        <v>7.3201366305871831</v>
      </c>
      <c r="H70" s="32"/>
    </row>
    <row r="71" spans="1:8">
      <c r="A71">
        <v>31</v>
      </c>
      <c r="B71">
        <v>150</v>
      </c>
      <c r="C71" t="s">
        <v>299</v>
      </c>
      <c r="D71" s="224">
        <v>7.2901366305871829</v>
      </c>
      <c r="E71" s="32">
        <f t="shared" ca="1" si="3"/>
        <v>0.03</v>
      </c>
      <c r="F71" s="9">
        <f t="shared" ca="1" si="4"/>
        <v>7.3201366305871831</v>
      </c>
      <c r="H71" s="32"/>
    </row>
    <row r="72" spans="1:8">
      <c r="A72">
        <v>31</v>
      </c>
      <c r="B72">
        <v>150</v>
      </c>
      <c r="C72" t="s">
        <v>300</v>
      </c>
      <c r="D72" s="224">
        <v>11.675348588528175</v>
      </c>
      <c r="E72" s="32">
        <f t="shared" ca="1" si="3"/>
        <v>0.05</v>
      </c>
      <c r="F72" s="9">
        <f t="shared" ca="1" si="4"/>
        <v>11.725348588528176</v>
      </c>
      <c r="H72" s="32"/>
    </row>
    <row r="73" spans="1:8">
      <c r="A73">
        <v>32</v>
      </c>
      <c r="B73">
        <v>160</v>
      </c>
      <c r="C73" t="s">
        <v>301</v>
      </c>
      <c r="D73" s="224">
        <v>73.591425040370154</v>
      </c>
      <c r="E73" s="32">
        <f t="shared" ca="1" si="3"/>
        <v>0.28999999999999998</v>
      </c>
      <c r="F73" s="9">
        <f t="shared" ca="1" si="4"/>
        <v>73.881425040370161</v>
      </c>
      <c r="H73" s="32"/>
    </row>
    <row r="74" spans="1:8">
      <c r="A74">
        <v>32</v>
      </c>
      <c r="B74">
        <v>160</v>
      </c>
      <c r="C74" t="s">
        <v>302</v>
      </c>
      <c r="D74" s="224">
        <v>131.66765853411658</v>
      </c>
      <c r="E74" s="32">
        <f t="shared" ca="1" si="3"/>
        <v>0.51</v>
      </c>
      <c r="F74" s="9">
        <f t="shared" ca="1" si="4"/>
        <v>132.17765853411657</v>
      </c>
      <c r="H74" s="32"/>
    </row>
    <row r="75" spans="1:8">
      <c r="A75">
        <v>32</v>
      </c>
      <c r="B75">
        <v>160</v>
      </c>
      <c r="C75" t="s">
        <v>303</v>
      </c>
      <c r="D75" s="224">
        <v>131.66765853411658</v>
      </c>
      <c r="E75" s="32">
        <f t="shared" ca="1" si="3"/>
        <v>0.51</v>
      </c>
      <c r="F75" s="9">
        <f t="shared" ca="1" si="4"/>
        <v>132.17765853411657</v>
      </c>
      <c r="H75" s="32"/>
    </row>
    <row r="76" spans="1:8">
      <c r="A76">
        <v>32</v>
      </c>
      <c r="B76">
        <v>160</v>
      </c>
      <c r="C76" t="s">
        <v>304</v>
      </c>
      <c r="D76" s="224">
        <v>131.66765853411658</v>
      </c>
      <c r="E76" s="32">
        <f t="shared" ca="1" si="3"/>
        <v>0.51</v>
      </c>
      <c r="F76" s="9">
        <f t="shared" ca="1" si="4"/>
        <v>132.17765853411657</v>
      </c>
      <c r="H76" s="32"/>
    </row>
    <row r="77" spans="1:8">
      <c r="A77">
        <v>32</v>
      </c>
      <c r="B77">
        <v>160</v>
      </c>
      <c r="C77" t="s">
        <v>305</v>
      </c>
      <c r="D77" s="224">
        <v>51.309205903827348</v>
      </c>
      <c r="E77" s="32">
        <f t="shared" ca="1" si="3"/>
        <v>0.2</v>
      </c>
      <c r="F77" s="9">
        <f t="shared" ca="1" si="4"/>
        <v>51.50920590382735</v>
      </c>
      <c r="H77" s="32"/>
    </row>
    <row r="78" spans="1:8">
      <c r="A78">
        <v>32</v>
      </c>
      <c r="B78">
        <v>160</v>
      </c>
      <c r="C78" t="s">
        <v>306</v>
      </c>
      <c r="D78" s="224">
        <v>51.309205903827348</v>
      </c>
      <c r="E78" s="32">
        <f t="shared" ca="1" si="3"/>
        <v>0.2</v>
      </c>
      <c r="F78" s="9">
        <f t="shared" ca="1" si="4"/>
        <v>51.50920590382735</v>
      </c>
      <c r="H78" s="32"/>
    </row>
    <row r="79" spans="1:8">
      <c r="A79">
        <v>32</v>
      </c>
      <c r="B79">
        <v>160</v>
      </c>
      <c r="C79" t="s">
        <v>307</v>
      </c>
      <c r="D79" s="224">
        <v>51.309205903827348</v>
      </c>
      <c r="E79" s="32">
        <f t="shared" ca="1" si="3"/>
        <v>0.2</v>
      </c>
      <c r="F79" s="9">
        <f t="shared" ca="1" si="4"/>
        <v>51.50920590382735</v>
      </c>
      <c r="H79" s="32"/>
    </row>
    <row r="80" spans="1:8">
      <c r="A80">
        <v>32</v>
      </c>
      <c r="B80">
        <v>160</v>
      </c>
      <c r="C80" t="s">
        <v>308</v>
      </c>
      <c r="D80" s="224">
        <v>51.309205903827348</v>
      </c>
      <c r="E80" s="32">
        <f t="shared" ca="1" si="3"/>
        <v>0.2</v>
      </c>
      <c r="F80" s="9">
        <f t="shared" ca="1" si="4"/>
        <v>51.50920590382735</v>
      </c>
      <c r="H80" s="32"/>
    </row>
    <row r="81" spans="1:8">
      <c r="A81">
        <v>34</v>
      </c>
      <c r="B81">
        <v>205</v>
      </c>
      <c r="C81" t="s">
        <v>309</v>
      </c>
      <c r="D81" s="224">
        <v>4.3852119579409923</v>
      </c>
      <c r="E81" s="32">
        <f t="shared" ca="1" si="3"/>
        <v>0.02</v>
      </c>
      <c r="F81" s="9">
        <f t="shared" ca="1" si="4"/>
        <v>4.4052119579409919</v>
      </c>
      <c r="H81" s="32"/>
    </row>
    <row r="82" spans="1:8">
      <c r="A82">
        <v>34</v>
      </c>
      <c r="B82">
        <v>205</v>
      </c>
      <c r="C82" t="s">
        <v>310</v>
      </c>
      <c r="D82" s="224">
        <v>2.8937946930575076</v>
      </c>
      <c r="E82" s="32">
        <f t="shared" ca="1" si="3"/>
        <v>0.01</v>
      </c>
      <c r="F82" s="9">
        <f t="shared" ca="1" si="4"/>
        <v>2.9037946930575074</v>
      </c>
      <c r="H82" s="32"/>
    </row>
    <row r="83" spans="1:8">
      <c r="A83">
        <v>34</v>
      </c>
      <c r="B83">
        <v>205</v>
      </c>
      <c r="C83" t="s">
        <v>311</v>
      </c>
      <c r="D83" s="224">
        <v>1.9700063871968418</v>
      </c>
      <c r="E83" s="32">
        <f t="shared" ca="1" si="3"/>
        <v>0.01</v>
      </c>
      <c r="F83" s="9">
        <f t="shared" ca="1" si="4"/>
        <v>1.9800063871968419</v>
      </c>
      <c r="G83" s="33" t="s">
        <v>312</v>
      </c>
      <c r="H83" s="32"/>
    </row>
    <row r="84" spans="1:8">
      <c r="A84">
        <v>35</v>
      </c>
      <c r="B84">
        <v>207</v>
      </c>
      <c r="C84" t="s">
        <v>313</v>
      </c>
      <c r="D84" s="224">
        <v>21.14584991675224</v>
      </c>
      <c r="E84" s="32">
        <f t="shared" ca="1" si="3"/>
        <v>0.08</v>
      </c>
      <c r="F84" s="9">
        <f t="shared" ca="1" si="4"/>
        <v>21.225849916752239</v>
      </c>
      <c r="H84" s="32"/>
    </row>
    <row r="85" spans="1:8">
      <c r="A85">
        <v>35</v>
      </c>
      <c r="B85">
        <v>207</v>
      </c>
      <c r="C85" t="s">
        <v>314</v>
      </c>
      <c r="D85" s="224">
        <v>20.868714151942868</v>
      </c>
      <c r="E85" s="32">
        <f t="shared" ca="1" si="3"/>
        <v>0.08</v>
      </c>
      <c r="F85" s="9">
        <f t="shared" ca="1" si="4"/>
        <v>20.948714151942866</v>
      </c>
      <c r="H85" s="32"/>
    </row>
    <row r="86" spans="1:8">
      <c r="A86">
        <v>35</v>
      </c>
      <c r="B86">
        <v>207</v>
      </c>
      <c r="C86" t="s">
        <v>315</v>
      </c>
      <c r="D86" s="224">
        <v>20.577465563322399</v>
      </c>
      <c r="E86" s="32">
        <f t="shared" ca="1" si="3"/>
        <v>0.08</v>
      </c>
      <c r="F86" s="9">
        <f t="shared" ca="1" si="4"/>
        <v>20.657465563322397</v>
      </c>
      <c r="H86" s="32"/>
    </row>
    <row r="87" spans="1:8">
      <c r="A87">
        <v>35</v>
      </c>
      <c r="B87">
        <v>207</v>
      </c>
      <c r="C87" t="s">
        <v>316</v>
      </c>
      <c r="D87" s="224">
        <v>20.688009964802205</v>
      </c>
      <c r="E87" s="32">
        <f t="shared" ca="1" si="3"/>
        <v>0.08</v>
      </c>
      <c r="F87" s="9">
        <f t="shared" ca="1" si="4"/>
        <v>20.768009964802204</v>
      </c>
      <c r="H87" s="32"/>
    </row>
    <row r="88" spans="1:8">
      <c r="A88">
        <v>35</v>
      </c>
      <c r="B88">
        <v>207</v>
      </c>
      <c r="C88" t="s">
        <v>317</v>
      </c>
      <c r="D88" s="224">
        <v>20.727188849925518</v>
      </c>
      <c r="E88" s="32">
        <f t="shared" ca="1" si="3"/>
        <v>0.08</v>
      </c>
      <c r="F88" s="9">
        <f t="shared" ca="1" si="4"/>
        <v>20.807188849925517</v>
      </c>
      <c r="H88" s="32"/>
    </row>
    <row r="89" spans="1:8">
      <c r="A89">
        <v>35</v>
      </c>
      <c r="B89">
        <v>207</v>
      </c>
      <c r="C89" t="s">
        <v>318</v>
      </c>
      <c r="D89" s="224">
        <v>20.04178354701115</v>
      </c>
      <c r="E89" s="32">
        <f t="shared" ca="1" si="3"/>
        <v>0.08</v>
      </c>
      <c r="F89" s="9">
        <f t="shared" ca="1" si="4"/>
        <v>20.121783547011148</v>
      </c>
      <c r="H89" s="32"/>
    </row>
    <row r="90" spans="1:8">
      <c r="A90">
        <v>35</v>
      </c>
      <c r="B90">
        <v>207</v>
      </c>
      <c r="C90" t="s">
        <v>319</v>
      </c>
      <c r="D90" s="224">
        <v>19.189428550266548</v>
      </c>
      <c r="E90" s="32">
        <f t="shared" ca="1" si="3"/>
        <v>7.0000000000000007E-2</v>
      </c>
      <c r="F90" s="9">
        <f t="shared" ca="1" si="4"/>
        <v>19.259428550266549</v>
      </c>
      <c r="H90" s="32"/>
    </row>
    <row r="91" spans="1:8">
      <c r="A91">
        <v>35</v>
      </c>
      <c r="B91">
        <v>207</v>
      </c>
      <c r="C91" t="s">
        <v>320</v>
      </c>
      <c r="D91" s="224">
        <v>2.9717045501782868</v>
      </c>
      <c r="E91" s="32">
        <f t="shared" ca="1" si="3"/>
        <v>0.01</v>
      </c>
      <c r="F91" s="9">
        <f t="shared" ca="1" si="4"/>
        <v>2.9817045501782866</v>
      </c>
      <c r="H91" s="32"/>
    </row>
    <row r="92" spans="1:8">
      <c r="A92">
        <v>35</v>
      </c>
      <c r="B92">
        <v>207</v>
      </c>
      <c r="C92" t="s">
        <v>321</v>
      </c>
      <c r="D92" s="224">
        <v>2.5710252849857089</v>
      </c>
      <c r="E92" s="32">
        <f t="shared" ca="1" si="3"/>
        <v>0.01</v>
      </c>
      <c r="F92" s="9">
        <f t="shared" ca="1" si="4"/>
        <v>2.5810252849857087</v>
      </c>
      <c r="H92" s="32"/>
    </row>
    <row r="93" spans="1:8">
      <c r="A93">
        <v>35</v>
      </c>
      <c r="B93">
        <v>207</v>
      </c>
      <c r="C93" t="s">
        <v>322</v>
      </c>
      <c r="D93" s="224">
        <v>2.159216040204448</v>
      </c>
      <c r="E93" s="32">
        <f t="shared" ca="1" si="3"/>
        <v>0.01</v>
      </c>
      <c r="F93" s="9">
        <f t="shared" ca="1" si="4"/>
        <v>2.1692160402044478</v>
      </c>
      <c r="H93" s="32"/>
    </row>
    <row r="94" spans="1:8">
      <c r="A94">
        <v>35</v>
      </c>
      <c r="B94">
        <v>207</v>
      </c>
      <c r="C94" t="s">
        <v>323</v>
      </c>
      <c r="D94" s="224">
        <v>1.8253166525439661</v>
      </c>
      <c r="E94" s="32">
        <f t="shared" ca="1" si="3"/>
        <v>0.01</v>
      </c>
      <c r="F94" s="9">
        <f t="shared" ca="1" si="4"/>
        <v>1.8353166525439661</v>
      </c>
      <c r="H94" s="32"/>
    </row>
    <row r="95" spans="1:8">
      <c r="A95">
        <v>35</v>
      </c>
      <c r="B95">
        <v>207</v>
      </c>
      <c r="C95" t="s">
        <v>324</v>
      </c>
      <c r="D95" s="224">
        <v>1.4802872852948021</v>
      </c>
      <c r="E95" s="32">
        <f t="shared" ca="1" si="3"/>
        <v>0.01</v>
      </c>
      <c r="F95" s="9">
        <f t="shared" ca="1" si="4"/>
        <v>1.4902872852948021</v>
      </c>
      <c r="H95" s="32"/>
    </row>
    <row r="96" spans="1:8">
      <c r="A96">
        <v>35</v>
      </c>
      <c r="B96">
        <v>207</v>
      </c>
      <c r="C96" t="s">
        <v>325</v>
      </c>
      <c r="D96" s="224">
        <v>1.079608020102224</v>
      </c>
      <c r="E96" s="32">
        <f t="shared" ca="1" si="3"/>
        <v>0</v>
      </c>
      <c r="F96" s="9">
        <f t="shared" ca="1" si="4"/>
        <v>1.079608020102224</v>
      </c>
      <c r="H96" s="32"/>
    </row>
    <row r="97" spans="1:8">
      <c r="A97">
        <v>35</v>
      </c>
      <c r="B97">
        <v>207</v>
      </c>
      <c r="C97" t="s">
        <v>326</v>
      </c>
      <c r="D97" s="224">
        <v>4.2306391309635032</v>
      </c>
      <c r="E97" s="32">
        <f t="shared" ca="1" si="3"/>
        <v>0.02</v>
      </c>
      <c r="F97" s="9">
        <f t="shared" ca="1" si="4"/>
        <v>4.2506391309635028</v>
      </c>
      <c r="H97" s="32"/>
    </row>
    <row r="98" spans="1:8">
      <c r="A98">
        <v>35</v>
      </c>
      <c r="B98">
        <v>207</v>
      </c>
      <c r="C98" t="s">
        <v>327</v>
      </c>
      <c r="D98" s="224">
        <v>4.2916760650323029</v>
      </c>
      <c r="E98" s="32">
        <f t="shared" ca="1" si="3"/>
        <v>0.02</v>
      </c>
      <c r="F98" s="9">
        <f t="shared" ca="1" si="4"/>
        <v>4.3116760650323025</v>
      </c>
      <c r="H98" s="32"/>
    </row>
    <row r="99" spans="1:8">
      <c r="A99">
        <v>35</v>
      </c>
      <c r="B99">
        <v>207</v>
      </c>
      <c r="C99" t="s">
        <v>328</v>
      </c>
      <c r="D99" s="224">
        <v>4.3988357120578128</v>
      </c>
      <c r="E99" s="32">
        <f t="shared" ca="1" si="3"/>
        <v>0.02</v>
      </c>
      <c r="F99" s="9">
        <f t="shared" ca="1" si="4"/>
        <v>4.4188357120578123</v>
      </c>
      <c r="H99" s="32"/>
    </row>
    <row r="100" spans="1:8">
      <c r="A100">
        <v>36</v>
      </c>
      <c r="B100">
        <v>210</v>
      </c>
      <c r="C100" t="s">
        <v>329</v>
      </c>
      <c r="D100" s="224">
        <v>11.808908343592368</v>
      </c>
      <c r="E100" s="32">
        <f t="shared" ca="1" si="3"/>
        <v>0.05</v>
      </c>
      <c r="F100" s="9">
        <f t="shared" ca="1" si="4"/>
        <v>11.858908343592368</v>
      </c>
      <c r="H100" s="32"/>
    </row>
    <row r="101" spans="1:8">
      <c r="A101">
        <v>36</v>
      </c>
      <c r="B101">
        <v>210</v>
      </c>
      <c r="C101" t="s">
        <v>330</v>
      </c>
      <c r="D101" s="224">
        <v>47.013033782595819</v>
      </c>
      <c r="E101" s="32">
        <f t="shared" ca="1" si="3"/>
        <v>0.18</v>
      </c>
      <c r="F101" s="9">
        <f t="shared" ca="1" si="4"/>
        <v>47.193033782595819</v>
      </c>
      <c r="H101" s="32"/>
    </row>
    <row r="102" spans="1:8">
      <c r="A102">
        <v>36</v>
      </c>
      <c r="B102">
        <v>210</v>
      </c>
      <c r="C102" t="s">
        <v>331</v>
      </c>
      <c r="D102" s="224">
        <v>11.808908343592368</v>
      </c>
      <c r="E102" s="32">
        <f t="shared" ca="1" si="3"/>
        <v>0.05</v>
      </c>
      <c r="F102" s="9">
        <f t="shared" ca="1" si="4"/>
        <v>11.858908343592368</v>
      </c>
      <c r="H102" s="32"/>
    </row>
    <row r="103" spans="1:8">
      <c r="A103">
        <v>36</v>
      </c>
      <c r="B103">
        <v>210</v>
      </c>
      <c r="C103" t="s">
        <v>332</v>
      </c>
      <c r="D103" s="224">
        <v>47.013033782595819</v>
      </c>
      <c r="E103" s="32">
        <f t="shared" ca="1" si="3"/>
        <v>0.18</v>
      </c>
      <c r="F103" s="9">
        <f t="shared" ca="1" si="4"/>
        <v>47.193033782595819</v>
      </c>
      <c r="H103" s="32"/>
    </row>
    <row r="104" spans="1:8">
      <c r="A104">
        <v>36</v>
      </c>
      <c r="B104">
        <v>210</v>
      </c>
      <c r="C104" t="s">
        <v>333</v>
      </c>
      <c r="D104" s="224">
        <v>60.769688554207661</v>
      </c>
      <c r="E104" s="32">
        <f t="shared" ca="1" si="3"/>
        <v>0.24</v>
      </c>
      <c r="F104" s="9">
        <f t="shared" ca="1" si="4"/>
        <v>61.009688554207663</v>
      </c>
      <c r="H104" s="32"/>
    </row>
    <row r="105" spans="1:8">
      <c r="A105">
        <v>36</v>
      </c>
      <c r="B105">
        <v>210</v>
      </c>
      <c r="C105" t="s">
        <v>334</v>
      </c>
      <c r="D105" s="224">
        <v>68.872313694768678</v>
      </c>
      <c r="E105" s="32">
        <f t="shared" ca="1" si="3"/>
        <v>0.27</v>
      </c>
      <c r="F105" s="9">
        <f t="shared" ca="1" si="4"/>
        <v>69.142313694768674</v>
      </c>
      <c r="H105" s="32"/>
    </row>
    <row r="106" spans="1:8">
      <c r="A106">
        <v>36</v>
      </c>
      <c r="B106">
        <v>220</v>
      </c>
      <c r="C106" t="s">
        <v>335</v>
      </c>
      <c r="D106" s="224">
        <v>607.28507629729529</v>
      </c>
      <c r="E106" s="32">
        <f t="shared" ca="1" si="3"/>
        <v>2.36</v>
      </c>
      <c r="F106" s="9">
        <f t="shared" ca="1" si="4"/>
        <v>609.6450762972953</v>
      </c>
      <c r="H106" s="32"/>
    </row>
    <row r="107" spans="1:8">
      <c r="A107">
        <v>36</v>
      </c>
      <c r="B107">
        <v>220</v>
      </c>
      <c r="C107" t="s">
        <v>336</v>
      </c>
      <c r="D107" s="224">
        <v>607.28507629729529</v>
      </c>
      <c r="E107" s="32">
        <f t="shared" ca="1" si="3"/>
        <v>2.36</v>
      </c>
      <c r="F107" s="9">
        <f t="shared" ca="1" si="4"/>
        <v>609.6450762972953</v>
      </c>
      <c r="H107" s="32"/>
    </row>
    <row r="108" spans="1:8">
      <c r="A108">
        <v>36</v>
      </c>
      <c r="B108">
        <v>220</v>
      </c>
      <c r="C108" t="s">
        <v>337</v>
      </c>
      <c r="D108" s="224">
        <v>607.28507629729529</v>
      </c>
      <c r="E108" s="32">
        <f t="shared" ca="1" si="3"/>
        <v>2.36</v>
      </c>
      <c r="F108" s="9">
        <f t="shared" ca="1" si="4"/>
        <v>609.6450762972953</v>
      </c>
      <c r="H108" s="32"/>
    </row>
    <row r="109" spans="1:8">
      <c r="A109">
        <v>36</v>
      </c>
      <c r="B109">
        <v>220</v>
      </c>
      <c r="C109" t="s">
        <v>338</v>
      </c>
      <c r="D109" s="224">
        <v>607.28507629729529</v>
      </c>
      <c r="E109" s="32">
        <f t="shared" ca="1" si="3"/>
        <v>2.36</v>
      </c>
      <c r="F109" s="9">
        <f t="shared" ca="1" si="4"/>
        <v>609.6450762972953</v>
      </c>
      <c r="H109" s="32"/>
    </row>
    <row r="110" spans="1:8">
      <c r="A110">
        <v>37</v>
      </c>
      <c r="B110">
        <v>230</v>
      </c>
      <c r="C110" t="s">
        <v>339</v>
      </c>
      <c r="D110" s="224">
        <v>62.5</v>
      </c>
      <c r="E110" s="32">
        <v>0</v>
      </c>
      <c r="F110" s="9">
        <f t="shared" si="4"/>
        <v>62.5</v>
      </c>
      <c r="H110" s="32"/>
    </row>
    <row r="111" spans="1:8">
      <c r="A111">
        <v>37</v>
      </c>
      <c r="B111">
        <v>230</v>
      </c>
      <c r="C111" t="s">
        <v>340</v>
      </c>
      <c r="D111" s="224">
        <v>62.5</v>
      </c>
      <c r="E111" s="32">
        <v>0</v>
      </c>
      <c r="F111" s="9">
        <f t="shared" si="4"/>
        <v>62.5</v>
      </c>
      <c r="H111" s="32"/>
    </row>
    <row r="112" spans="1:8">
      <c r="A112">
        <v>37</v>
      </c>
      <c r="B112">
        <v>230</v>
      </c>
      <c r="C112" t="s">
        <v>341</v>
      </c>
      <c r="D112" s="224">
        <v>11</v>
      </c>
      <c r="E112" s="32">
        <v>0</v>
      </c>
      <c r="F112" s="9">
        <f t="shared" si="4"/>
        <v>11</v>
      </c>
      <c r="H112" s="32"/>
    </row>
    <row r="113" spans="1:8">
      <c r="A113">
        <v>37</v>
      </c>
      <c r="B113">
        <v>230</v>
      </c>
      <c r="C113" t="s">
        <v>342</v>
      </c>
      <c r="D113" s="224">
        <v>8</v>
      </c>
      <c r="E113" s="32">
        <v>0</v>
      </c>
      <c r="F113" s="9">
        <f t="shared" si="4"/>
        <v>8</v>
      </c>
      <c r="H113" s="32"/>
    </row>
    <row r="114" spans="1:8">
      <c r="A114">
        <v>37</v>
      </c>
      <c r="B114">
        <v>230</v>
      </c>
      <c r="C114" t="s">
        <v>343</v>
      </c>
      <c r="D114" s="224">
        <v>131.01</v>
      </c>
      <c r="E114" s="32">
        <v>0</v>
      </c>
      <c r="F114" s="9">
        <f t="shared" si="4"/>
        <v>131.01</v>
      </c>
      <c r="H114" s="32"/>
    </row>
    <row r="115" spans="1:8">
      <c r="A115">
        <v>37</v>
      </c>
      <c r="B115">
        <v>230</v>
      </c>
      <c r="C115" t="s">
        <v>344</v>
      </c>
      <c r="D115" s="224">
        <v>8</v>
      </c>
      <c r="E115" s="32">
        <v>0</v>
      </c>
      <c r="F115" s="9">
        <f t="shared" si="4"/>
        <v>8</v>
      </c>
      <c r="H115" s="32"/>
    </row>
    <row r="116" spans="1:8">
      <c r="A116">
        <v>37</v>
      </c>
      <c r="B116">
        <v>230</v>
      </c>
      <c r="C116" t="s">
        <v>345</v>
      </c>
      <c r="D116" s="224">
        <v>131.01</v>
      </c>
      <c r="E116" s="32">
        <v>0</v>
      </c>
      <c r="F116" s="9">
        <f t="shared" si="4"/>
        <v>131.01</v>
      </c>
      <c r="H116" s="32"/>
    </row>
    <row r="117" spans="1:8">
      <c r="A117">
        <v>37</v>
      </c>
      <c r="B117">
        <v>230</v>
      </c>
      <c r="C117" t="s">
        <v>346</v>
      </c>
      <c r="D117" s="224">
        <v>18</v>
      </c>
      <c r="E117" s="32">
        <v>0</v>
      </c>
      <c r="F117" s="9">
        <f t="shared" si="4"/>
        <v>18</v>
      </c>
      <c r="H117" s="32"/>
    </row>
    <row r="118" spans="1:8">
      <c r="A118">
        <v>37</v>
      </c>
      <c r="B118">
        <v>230</v>
      </c>
      <c r="C118" t="s">
        <v>347</v>
      </c>
      <c r="D118" s="224">
        <v>20</v>
      </c>
      <c r="E118" s="32">
        <v>0</v>
      </c>
      <c r="F118" s="9">
        <f t="shared" si="4"/>
        <v>20</v>
      </c>
      <c r="H118" s="32"/>
    </row>
    <row r="119" spans="1:8">
      <c r="A119">
        <v>37</v>
      </c>
      <c r="B119">
        <v>230</v>
      </c>
      <c r="C119" t="s">
        <v>348</v>
      </c>
      <c r="D119" s="224">
        <v>62.5</v>
      </c>
      <c r="E119" s="32">
        <v>0</v>
      </c>
      <c r="F119" s="9">
        <f t="shared" si="4"/>
        <v>62.5</v>
      </c>
      <c r="H119" s="32"/>
    </row>
    <row r="120" spans="1:8">
      <c r="A120">
        <v>37</v>
      </c>
      <c r="B120">
        <v>230</v>
      </c>
      <c r="C120" t="s">
        <v>349</v>
      </c>
      <c r="D120" s="224">
        <v>62.5</v>
      </c>
      <c r="E120" s="32">
        <v>0</v>
      </c>
      <c r="F120" s="9">
        <f t="shared" si="4"/>
        <v>62.5</v>
      </c>
      <c r="H120" s="32"/>
    </row>
    <row r="121" spans="1:8">
      <c r="A121">
        <v>38</v>
      </c>
      <c r="B121">
        <v>240</v>
      </c>
      <c r="C121" t="s">
        <v>350</v>
      </c>
      <c r="D121" s="224">
        <v>36.783471238851462</v>
      </c>
      <c r="E121" s="32">
        <f t="shared" ca="1" si="3"/>
        <v>0.14000000000000001</v>
      </c>
      <c r="F121" s="9">
        <f t="shared" ca="1" si="4"/>
        <v>36.923471238851462</v>
      </c>
      <c r="H121" s="32"/>
    </row>
    <row r="122" spans="1:8">
      <c r="A122">
        <v>38</v>
      </c>
      <c r="B122">
        <v>240</v>
      </c>
      <c r="C122" t="s">
        <v>351</v>
      </c>
      <c r="D122" s="224">
        <v>108.05070619996653</v>
      </c>
      <c r="E122" s="32">
        <f t="shared" ca="1" si="3"/>
        <v>0.42</v>
      </c>
      <c r="F122" s="9">
        <f t="shared" ca="1" si="4"/>
        <v>108.47070619996653</v>
      </c>
      <c r="H122" s="32"/>
    </row>
    <row r="123" spans="1:8">
      <c r="A123">
        <v>38</v>
      </c>
      <c r="B123">
        <v>240</v>
      </c>
      <c r="C123" t="s">
        <v>352</v>
      </c>
      <c r="D123" s="224">
        <v>21.401839447291941</v>
      </c>
      <c r="E123" s="32">
        <f t="shared" ca="1" si="3"/>
        <v>0.08</v>
      </c>
      <c r="F123" s="9">
        <f t="shared" ca="1" si="4"/>
        <v>21.481839447291939</v>
      </c>
      <c r="H123" s="32"/>
    </row>
    <row r="124" spans="1:8">
      <c r="A124">
        <v>38</v>
      </c>
      <c r="B124">
        <v>240</v>
      </c>
      <c r="C124" t="s">
        <v>353</v>
      </c>
      <c r="D124" s="224">
        <v>60.769688554207661</v>
      </c>
      <c r="E124" s="32">
        <f t="shared" ca="1" si="3"/>
        <v>0.24</v>
      </c>
      <c r="F124" s="9">
        <f t="shared" ca="1" si="4"/>
        <v>61.009688554207663</v>
      </c>
      <c r="H124" s="32"/>
    </row>
    <row r="125" spans="1:8">
      <c r="A125">
        <v>38</v>
      </c>
      <c r="B125">
        <v>240</v>
      </c>
      <c r="C125" t="s">
        <v>354</v>
      </c>
      <c r="D125" s="224">
        <v>36.783471238851462</v>
      </c>
      <c r="E125" s="32">
        <f t="shared" ca="1" si="3"/>
        <v>0.14000000000000001</v>
      </c>
      <c r="F125" s="9">
        <f t="shared" ca="1" si="4"/>
        <v>36.923471238851462</v>
      </c>
      <c r="H125" s="32"/>
    </row>
    <row r="126" spans="1:8">
      <c r="A126">
        <v>38</v>
      </c>
      <c r="B126">
        <v>240</v>
      </c>
      <c r="C126" t="s">
        <v>355</v>
      </c>
      <c r="D126" s="224">
        <v>22.681787099990451</v>
      </c>
      <c r="E126" s="32">
        <f t="shared" ca="1" si="3"/>
        <v>0.09</v>
      </c>
      <c r="F126" s="9">
        <f t="shared" ca="1" si="4"/>
        <v>22.771787099990451</v>
      </c>
      <c r="H126" s="32"/>
    </row>
    <row r="127" spans="1:8">
      <c r="A127">
        <v>38</v>
      </c>
      <c r="B127">
        <v>240</v>
      </c>
      <c r="C127" t="s">
        <v>356</v>
      </c>
      <c r="D127" s="224">
        <v>67.514456184949381</v>
      </c>
      <c r="E127" s="32">
        <f t="shared" ca="1" si="3"/>
        <v>0.26</v>
      </c>
      <c r="F127" s="9">
        <f t="shared" ca="1" si="4"/>
        <v>67.774456184949386</v>
      </c>
      <c r="H127" s="32"/>
    </row>
    <row r="128" spans="1:8">
      <c r="A128">
        <v>38</v>
      </c>
      <c r="B128">
        <v>240</v>
      </c>
      <c r="C128" t="s">
        <v>357</v>
      </c>
      <c r="D128" s="224">
        <v>33.945326443737372</v>
      </c>
      <c r="E128" s="32">
        <f t="shared" ca="1" si="3"/>
        <v>0.13</v>
      </c>
      <c r="F128" s="9">
        <f t="shared" ca="1" si="4"/>
        <v>34.075326443737374</v>
      </c>
      <c r="H128" s="32"/>
    </row>
    <row r="129" spans="1:8">
      <c r="A129">
        <v>38</v>
      </c>
      <c r="B129">
        <v>240</v>
      </c>
      <c r="C129" t="s">
        <v>358</v>
      </c>
      <c r="D129" s="224">
        <v>52.667063413646638</v>
      </c>
      <c r="E129" s="32">
        <f t="shared" ref="E129:E193" ca="1" si="5">+ROUND(D129*$H$6,2)</f>
        <v>0.2</v>
      </c>
      <c r="F129" s="9">
        <f t="shared" ref="F129:F193" ca="1" si="6">+E129+D129</f>
        <v>52.86706341364664</v>
      </c>
      <c r="H129" s="32"/>
    </row>
    <row r="130" spans="1:8">
      <c r="A130">
        <v>38</v>
      </c>
      <c r="B130">
        <v>240</v>
      </c>
      <c r="C130" t="s">
        <v>658</v>
      </c>
      <c r="D130" s="224">
        <v>2.7</v>
      </c>
      <c r="E130" s="32">
        <f t="shared" ca="1" si="5"/>
        <v>0.01</v>
      </c>
      <c r="F130" s="9">
        <f t="shared" ca="1" si="6"/>
        <v>2.71</v>
      </c>
      <c r="H130" s="32"/>
    </row>
    <row r="131" spans="1:8">
      <c r="A131">
        <v>38</v>
      </c>
      <c r="B131">
        <v>240</v>
      </c>
      <c r="C131" t="s">
        <v>359</v>
      </c>
      <c r="D131" s="224">
        <v>45.744218532648752</v>
      </c>
      <c r="E131" s="32">
        <f t="shared" ca="1" si="5"/>
        <v>0.18</v>
      </c>
      <c r="F131" s="9">
        <f t="shared" ca="1" si="6"/>
        <v>45.924218532648752</v>
      </c>
      <c r="H131" s="32"/>
    </row>
    <row r="132" spans="1:8">
      <c r="A132">
        <v>38</v>
      </c>
      <c r="B132">
        <v>240</v>
      </c>
      <c r="C132" t="s">
        <v>360</v>
      </c>
      <c r="D132" s="224">
        <v>136.62173424112996</v>
      </c>
      <c r="E132" s="32">
        <f t="shared" ca="1" si="5"/>
        <v>0.53</v>
      </c>
      <c r="F132" s="9">
        <f t="shared" ca="1" si="6"/>
        <v>137.15173424112996</v>
      </c>
      <c r="H132" s="32"/>
    </row>
    <row r="133" spans="1:8">
      <c r="A133">
        <v>38</v>
      </c>
      <c r="B133">
        <v>240</v>
      </c>
      <c r="C133" t="s">
        <v>361</v>
      </c>
      <c r="D133" s="224">
        <v>27.290712374612802</v>
      </c>
      <c r="E133" s="32">
        <f t="shared" ca="1" si="5"/>
        <v>0.11</v>
      </c>
      <c r="F133" s="9">
        <f t="shared" ca="1" si="6"/>
        <v>27.400712374612802</v>
      </c>
      <c r="H133" s="32"/>
    </row>
    <row r="134" spans="1:8">
      <c r="A134">
        <v>38</v>
      </c>
      <c r="B134">
        <v>240</v>
      </c>
      <c r="C134" t="s">
        <v>362</v>
      </c>
      <c r="D134" s="224">
        <v>60.769688554207661</v>
      </c>
      <c r="E134" s="32">
        <f t="shared" ca="1" si="5"/>
        <v>0.24</v>
      </c>
      <c r="F134" s="9">
        <f t="shared" ca="1" si="6"/>
        <v>61.009688554207663</v>
      </c>
      <c r="H134" s="32"/>
    </row>
    <row r="135" spans="1:8">
      <c r="A135">
        <v>38</v>
      </c>
      <c r="B135">
        <v>240</v>
      </c>
      <c r="C135" t="s">
        <v>363</v>
      </c>
      <c r="D135" s="224">
        <v>45.744218532648752</v>
      </c>
      <c r="E135" s="32">
        <f t="shared" ca="1" si="5"/>
        <v>0.18</v>
      </c>
      <c r="F135" s="9">
        <f t="shared" ca="1" si="6"/>
        <v>45.924218532648752</v>
      </c>
      <c r="H135" s="32"/>
    </row>
    <row r="136" spans="1:8">
      <c r="A136">
        <v>38</v>
      </c>
      <c r="B136">
        <v>240</v>
      </c>
      <c r="C136" t="s">
        <v>364</v>
      </c>
      <c r="D136" s="224">
        <v>29.616878108647491</v>
      </c>
      <c r="E136" s="32">
        <f t="shared" ca="1" si="5"/>
        <v>0.11</v>
      </c>
      <c r="F136" s="9">
        <f t="shared" ca="1" si="6"/>
        <v>29.72687810864749</v>
      </c>
      <c r="H136" s="32"/>
    </row>
    <row r="137" spans="1:8">
      <c r="A137">
        <v>38</v>
      </c>
      <c r="B137">
        <v>240</v>
      </c>
      <c r="C137" t="s">
        <v>365</v>
      </c>
      <c r="D137" s="224">
        <v>67.514456184949381</v>
      </c>
      <c r="E137" s="32">
        <f t="shared" ca="1" si="5"/>
        <v>0.26</v>
      </c>
      <c r="F137" s="9">
        <f t="shared" ca="1" si="6"/>
        <v>67.774456184949386</v>
      </c>
      <c r="H137" s="32"/>
    </row>
    <row r="138" spans="1:8">
      <c r="A138">
        <v>38</v>
      </c>
      <c r="B138">
        <v>240</v>
      </c>
      <c r="C138" t="s">
        <v>366</v>
      </c>
      <c r="D138" s="224">
        <v>43.896641920927422</v>
      </c>
      <c r="E138" s="32">
        <f t="shared" ca="1" si="5"/>
        <v>0.17</v>
      </c>
      <c r="F138" s="9">
        <f t="shared" ca="1" si="6"/>
        <v>44.066641920927424</v>
      </c>
      <c r="H138" s="32"/>
    </row>
    <row r="139" spans="1:8">
      <c r="A139">
        <v>38</v>
      </c>
      <c r="B139">
        <v>240</v>
      </c>
      <c r="C139" t="s">
        <v>367</v>
      </c>
      <c r="D139" s="224">
        <v>52.667063413646638</v>
      </c>
      <c r="E139" s="32">
        <f t="shared" ca="1" si="5"/>
        <v>0.2</v>
      </c>
      <c r="F139" s="9">
        <f t="shared" ca="1" si="6"/>
        <v>52.86706341364664</v>
      </c>
      <c r="H139" s="32"/>
    </row>
    <row r="140" spans="1:8">
      <c r="A140">
        <v>38</v>
      </c>
      <c r="B140">
        <v>240</v>
      </c>
      <c r="C140" t="s">
        <v>368</v>
      </c>
      <c r="D140" s="224">
        <v>55.325261839189857</v>
      </c>
      <c r="E140" s="32">
        <f t="shared" ca="1" si="5"/>
        <v>0.21</v>
      </c>
      <c r="F140" s="9">
        <f t="shared" ca="1" si="6"/>
        <v>55.535261839189857</v>
      </c>
      <c r="H140" s="32"/>
    </row>
    <row r="141" spans="1:8">
      <c r="A141">
        <v>38</v>
      </c>
      <c r="B141">
        <v>240</v>
      </c>
      <c r="C141" t="s">
        <v>369</v>
      </c>
      <c r="D141" s="224">
        <v>175.61976742099466</v>
      </c>
      <c r="E141" s="32">
        <f t="shared" ca="1" si="5"/>
        <v>0.68</v>
      </c>
      <c r="F141" s="9">
        <f t="shared" ca="1" si="6"/>
        <v>176.29976742099467</v>
      </c>
      <c r="H141" s="32"/>
    </row>
    <row r="142" spans="1:8">
      <c r="A142">
        <v>38</v>
      </c>
      <c r="B142">
        <v>240</v>
      </c>
      <c r="C142" t="s">
        <v>370</v>
      </c>
      <c r="D142" s="224">
        <v>36.126047048712159</v>
      </c>
      <c r="E142" s="32">
        <f t="shared" ca="1" si="5"/>
        <v>0.14000000000000001</v>
      </c>
      <c r="F142" s="9">
        <f t="shared" ca="1" si="6"/>
        <v>36.26604704871216</v>
      </c>
      <c r="H142" s="32"/>
    </row>
    <row r="143" spans="1:8">
      <c r="A143">
        <v>38</v>
      </c>
      <c r="B143">
        <v>240</v>
      </c>
      <c r="C143" t="s">
        <v>371</v>
      </c>
      <c r="D143" s="224">
        <v>60.769688554207661</v>
      </c>
      <c r="E143" s="32">
        <f t="shared" ca="1" si="5"/>
        <v>0.24</v>
      </c>
      <c r="F143" s="9">
        <f t="shared" ca="1" si="6"/>
        <v>61.009688554207663</v>
      </c>
      <c r="H143" s="32"/>
    </row>
    <row r="144" spans="1:8">
      <c r="A144">
        <v>38</v>
      </c>
      <c r="B144">
        <v>240</v>
      </c>
      <c r="C144" t="s">
        <v>372</v>
      </c>
      <c r="D144" s="224">
        <v>55.325261839189857</v>
      </c>
      <c r="E144" s="32">
        <f t="shared" ca="1" si="5"/>
        <v>0.21</v>
      </c>
      <c r="F144" s="9">
        <f t="shared" ca="1" si="6"/>
        <v>55.535261839189857</v>
      </c>
      <c r="H144" s="32"/>
    </row>
    <row r="145" spans="1:8">
      <c r="A145">
        <v>38</v>
      </c>
      <c r="B145">
        <v>240</v>
      </c>
      <c r="C145" t="s">
        <v>373</v>
      </c>
      <c r="D145" s="224">
        <v>37.828933925780611</v>
      </c>
      <c r="E145" s="32">
        <f t="shared" ca="1" si="5"/>
        <v>0.15</v>
      </c>
      <c r="F145" s="9">
        <f t="shared" ca="1" si="6"/>
        <v>37.978933925780609</v>
      </c>
      <c r="H145" s="32"/>
    </row>
    <row r="146" spans="1:8">
      <c r="A146">
        <v>38</v>
      </c>
      <c r="B146">
        <v>240</v>
      </c>
      <c r="C146" t="s">
        <v>374</v>
      </c>
      <c r="D146" s="224">
        <v>67.514456184949381</v>
      </c>
      <c r="E146" s="32">
        <f t="shared" ca="1" si="5"/>
        <v>0.26</v>
      </c>
      <c r="F146" s="9">
        <f t="shared" ca="1" si="6"/>
        <v>67.774456184949386</v>
      </c>
      <c r="H146" s="32"/>
    </row>
    <row r="147" spans="1:8">
      <c r="A147">
        <v>38</v>
      </c>
      <c r="B147">
        <v>240</v>
      </c>
      <c r="C147" t="s">
        <v>375</v>
      </c>
      <c r="D147" s="224">
        <v>49.237163004180402</v>
      </c>
      <c r="E147" s="32">
        <f t="shared" ca="1" si="5"/>
        <v>0.19</v>
      </c>
      <c r="F147" s="9">
        <f t="shared" ca="1" si="6"/>
        <v>49.4271630041804</v>
      </c>
      <c r="H147" s="32"/>
    </row>
    <row r="148" spans="1:8">
      <c r="A148">
        <v>38</v>
      </c>
      <c r="B148">
        <v>240</v>
      </c>
      <c r="C148" t="s">
        <v>376</v>
      </c>
      <c r="D148" s="224">
        <v>52.667063413646638</v>
      </c>
      <c r="E148" s="32">
        <f t="shared" ca="1" si="5"/>
        <v>0.2</v>
      </c>
      <c r="F148" s="9">
        <f t="shared" ca="1" si="6"/>
        <v>52.86706341364664</v>
      </c>
      <c r="H148" s="32"/>
    </row>
    <row r="149" spans="1:8">
      <c r="A149">
        <v>38</v>
      </c>
      <c r="B149">
        <v>240</v>
      </c>
      <c r="C149" t="s">
        <v>377</v>
      </c>
      <c r="D149" s="224">
        <v>69.938169644723246</v>
      </c>
      <c r="E149" s="32">
        <f t="shared" ca="1" si="5"/>
        <v>0.27</v>
      </c>
      <c r="F149" s="9">
        <f t="shared" ca="1" si="6"/>
        <v>70.208169644723242</v>
      </c>
      <c r="H149" s="32"/>
    </row>
    <row r="150" spans="1:8">
      <c r="A150">
        <v>38</v>
      </c>
      <c r="B150">
        <v>240</v>
      </c>
      <c r="C150" t="s">
        <v>378</v>
      </c>
      <c r="D150" s="224">
        <v>237.37897929673042</v>
      </c>
      <c r="E150" s="32">
        <f t="shared" ca="1" si="5"/>
        <v>0.92</v>
      </c>
      <c r="F150" s="9">
        <f t="shared" ca="1" si="6"/>
        <v>238.29897929673041</v>
      </c>
      <c r="H150" s="32"/>
    </row>
    <row r="151" spans="1:8">
      <c r="A151">
        <v>38</v>
      </c>
      <c r="B151">
        <v>240</v>
      </c>
      <c r="C151" t="s">
        <v>379</v>
      </c>
      <c r="D151" s="224">
        <v>50.282625691109551</v>
      </c>
      <c r="E151" s="32">
        <f t="shared" ca="1" si="5"/>
        <v>0.2</v>
      </c>
      <c r="F151" s="9">
        <f t="shared" ca="1" si="6"/>
        <v>50.482625691109554</v>
      </c>
      <c r="H151" s="32"/>
    </row>
    <row r="152" spans="1:8">
      <c r="A152">
        <v>38</v>
      </c>
      <c r="B152">
        <v>240</v>
      </c>
      <c r="C152" t="s">
        <v>380</v>
      </c>
      <c r="D152" s="224">
        <v>60.769688554207661</v>
      </c>
      <c r="E152" s="32">
        <f t="shared" ca="1" si="5"/>
        <v>0.24</v>
      </c>
      <c r="F152" s="9">
        <f t="shared" ca="1" si="6"/>
        <v>61.009688554207663</v>
      </c>
      <c r="H152" s="32"/>
    </row>
    <row r="153" spans="1:8">
      <c r="A153">
        <v>38</v>
      </c>
      <c r="B153">
        <v>240</v>
      </c>
      <c r="C153" t="s">
        <v>381</v>
      </c>
      <c r="D153" s="224">
        <v>69.938169644723246</v>
      </c>
      <c r="E153" s="32">
        <f t="shared" ca="1" si="5"/>
        <v>0.27</v>
      </c>
      <c r="F153" s="9">
        <f t="shared" ca="1" si="6"/>
        <v>70.208169644723242</v>
      </c>
      <c r="H153" s="32"/>
    </row>
    <row r="154" spans="1:8">
      <c r="A154">
        <v>38</v>
      </c>
      <c r="B154">
        <v>240</v>
      </c>
      <c r="C154" t="s">
        <v>382</v>
      </c>
      <c r="D154" s="224">
        <v>51.373363690800467</v>
      </c>
      <c r="E154" s="32">
        <f t="shared" ca="1" si="5"/>
        <v>0.2</v>
      </c>
      <c r="F154" s="9">
        <f t="shared" ca="1" si="6"/>
        <v>51.57336369080047</v>
      </c>
      <c r="H154" s="32"/>
    </row>
    <row r="155" spans="1:8">
      <c r="A155">
        <v>38</v>
      </c>
      <c r="B155">
        <v>240</v>
      </c>
      <c r="C155" t="s">
        <v>383</v>
      </c>
      <c r="D155" s="224">
        <v>67.514456184949381</v>
      </c>
      <c r="E155" s="32">
        <f t="shared" ca="1" si="5"/>
        <v>0.26</v>
      </c>
      <c r="F155" s="9">
        <f t="shared" ca="1" si="6"/>
        <v>67.774456184949386</v>
      </c>
      <c r="H155" s="32"/>
    </row>
    <row r="156" spans="1:8">
      <c r="A156">
        <v>38</v>
      </c>
      <c r="B156">
        <v>240</v>
      </c>
      <c r="C156" t="s">
        <v>384</v>
      </c>
      <c r="D156" s="224">
        <v>62.648033014136068</v>
      </c>
      <c r="E156" s="32">
        <f t="shared" ca="1" si="5"/>
        <v>0.24</v>
      </c>
      <c r="F156" s="9">
        <f t="shared" ca="1" si="6"/>
        <v>62.88803301413607</v>
      </c>
      <c r="H156" s="32"/>
    </row>
    <row r="157" spans="1:8">
      <c r="A157">
        <v>38</v>
      </c>
      <c r="B157">
        <v>240</v>
      </c>
      <c r="C157" t="s">
        <v>385</v>
      </c>
      <c r="D157" s="224">
        <v>55.360518474107863</v>
      </c>
      <c r="E157" s="32">
        <f t="shared" ca="1" si="5"/>
        <v>0.21</v>
      </c>
      <c r="F157" s="9">
        <f t="shared" ca="1" si="6"/>
        <v>55.570518474107864</v>
      </c>
      <c r="H157" s="32"/>
    </row>
    <row r="158" spans="1:8">
      <c r="A158">
        <v>38</v>
      </c>
      <c r="B158">
        <v>240</v>
      </c>
      <c r="C158" t="s">
        <v>386</v>
      </c>
      <c r="D158" s="224">
        <v>86.282768627266748</v>
      </c>
      <c r="E158" s="32">
        <f t="shared" ca="1" si="5"/>
        <v>0.33</v>
      </c>
      <c r="F158" s="9">
        <f t="shared" ca="1" si="6"/>
        <v>86.612768627266746</v>
      </c>
      <c r="H158" s="32"/>
    </row>
    <row r="159" spans="1:8">
      <c r="A159">
        <v>38</v>
      </c>
      <c r="B159">
        <v>240</v>
      </c>
      <c r="C159" t="s">
        <v>387</v>
      </c>
      <c r="D159" s="224">
        <v>296.13928501964972</v>
      </c>
      <c r="E159" s="32">
        <f t="shared" ca="1" si="5"/>
        <v>1.1499999999999999</v>
      </c>
      <c r="F159" s="9">
        <f t="shared" ca="1" si="6"/>
        <v>297.2892850196497</v>
      </c>
      <c r="H159" s="32"/>
    </row>
    <row r="160" spans="1:8">
      <c r="A160">
        <v>38</v>
      </c>
      <c r="B160">
        <v>240</v>
      </c>
      <c r="C160" t="s">
        <v>388</v>
      </c>
      <c r="D160" s="224">
        <v>63.021111286919854</v>
      </c>
      <c r="E160" s="32">
        <f t="shared" ca="1" si="5"/>
        <v>0.24</v>
      </c>
      <c r="F160" s="9">
        <f t="shared" ca="1" si="6"/>
        <v>63.261111286919856</v>
      </c>
      <c r="H160" s="32"/>
    </row>
    <row r="161" spans="1:8">
      <c r="A161">
        <v>38</v>
      </c>
      <c r="B161">
        <v>240</v>
      </c>
      <c r="C161" t="s">
        <v>389</v>
      </c>
      <c r="D161" s="224">
        <v>60.769688554207661</v>
      </c>
      <c r="E161" s="32">
        <f t="shared" ca="1" si="5"/>
        <v>0.24</v>
      </c>
      <c r="F161" s="9">
        <f t="shared" ca="1" si="6"/>
        <v>61.009688554207663</v>
      </c>
      <c r="H161" s="32"/>
    </row>
    <row r="162" spans="1:8">
      <c r="A162">
        <v>38</v>
      </c>
      <c r="B162">
        <v>240</v>
      </c>
      <c r="C162" t="s">
        <v>390</v>
      </c>
      <c r="D162" s="224">
        <v>86.282768627266748</v>
      </c>
      <c r="E162" s="32">
        <f t="shared" ca="1" si="5"/>
        <v>0.33</v>
      </c>
      <c r="F162" s="9">
        <f t="shared" ca="1" si="6"/>
        <v>86.612768627266746</v>
      </c>
      <c r="H162" s="32"/>
    </row>
    <row r="163" spans="1:8">
      <c r="A163">
        <v>38</v>
      </c>
      <c r="B163">
        <v>240</v>
      </c>
      <c r="C163" t="s">
        <v>391</v>
      </c>
      <c r="D163" s="224">
        <v>64.568178449746753</v>
      </c>
      <c r="E163" s="32">
        <f t="shared" ca="1" si="5"/>
        <v>0.25</v>
      </c>
      <c r="F163" s="9">
        <f t="shared" ca="1" si="6"/>
        <v>64.818178449746753</v>
      </c>
      <c r="H163" s="32"/>
    </row>
    <row r="164" spans="1:8">
      <c r="A164">
        <v>38</v>
      </c>
      <c r="B164">
        <v>240</v>
      </c>
      <c r="C164" t="s">
        <v>392</v>
      </c>
      <c r="D164" s="224">
        <v>67.514456184949381</v>
      </c>
      <c r="E164" s="32">
        <f t="shared" ca="1" si="5"/>
        <v>0.26</v>
      </c>
      <c r="F164" s="9">
        <f t="shared" ca="1" si="6"/>
        <v>67.774456184949386</v>
      </c>
      <c r="H164" s="32"/>
    </row>
    <row r="165" spans="1:8">
      <c r="A165">
        <v>38</v>
      </c>
      <c r="B165">
        <v>240</v>
      </c>
      <c r="C165" t="s">
        <v>393</v>
      </c>
      <c r="D165" s="224">
        <v>77.890764017399988</v>
      </c>
      <c r="E165" s="32">
        <f t="shared" ca="1" si="5"/>
        <v>0.3</v>
      </c>
      <c r="F165" s="9">
        <f t="shared" ca="1" si="6"/>
        <v>78.190764017399985</v>
      </c>
      <c r="H165" s="32"/>
    </row>
    <row r="166" spans="1:8">
      <c r="A166">
        <v>38</v>
      </c>
      <c r="B166">
        <v>240</v>
      </c>
      <c r="C166" t="s">
        <v>394</v>
      </c>
      <c r="D166" s="224">
        <v>55.360518474107863</v>
      </c>
      <c r="E166" s="32">
        <f t="shared" ca="1" si="5"/>
        <v>0.21</v>
      </c>
      <c r="F166" s="9">
        <f t="shared" ca="1" si="6"/>
        <v>55.570518474107864</v>
      </c>
      <c r="H166" s="32"/>
    </row>
    <row r="167" spans="1:8">
      <c r="A167">
        <v>38</v>
      </c>
      <c r="B167">
        <v>240</v>
      </c>
      <c r="C167" t="s">
        <v>395</v>
      </c>
      <c r="D167" s="224">
        <v>98.029550524910974</v>
      </c>
      <c r="E167" s="32">
        <f t="shared" ca="1" si="5"/>
        <v>0.38</v>
      </c>
      <c r="F167" s="9">
        <f t="shared" ca="1" si="6"/>
        <v>98.409550524910969</v>
      </c>
      <c r="H167" s="32"/>
    </row>
    <row r="168" spans="1:8">
      <c r="A168">
        <v>38</v>
      </c>
      <c r="B168">
        <v>240</v>
      </c>
      <c r="C168" t="s">
        <v>396</v>
      </c>
      <c r="D168" s="224">
        <v>346.04288989692537</v>
      </c>
      <c r="E168" s="32">
        <f t="shared" ca="1" si="5"/>
        <v>1.34</v>
      </c>
      <c r="F168" s="9">
        <f t="shared" ca="1" si="6"/>
        <v>347.38288989692535</v>
      </c>
      <c r="H168" s="32"/>
    </row>
    <row r="169" spans="1:8">
      <c r="A169">
        <v>38</v>
      </c>
      <c r="B169">
        <v>240</v>
      </c>
      <c r="C169" t="s">
        <v>397</v>
      </c>
      <c r="D169" s="224">
        <v>74.478513715258345</v>
      </c>
      <c r="E169" s="32">
        <f t="shared" ca="1" si="5"/>
        <v>0.28999999999999998</v>
      </c>
      <c r="F169" s="9">
        <f t="shared" ca="1" si="6"/>
        <v>74.768513715258351</v>
      </c>
      <c r="H169" s="32"/>
    </row>
    <row r="170" spans="1:8">
      <c r="A170">
        <v>38</v>
      </c>
      <c r="B170">
        <v>240</v>
      </c>
      <c r="C170" t="s">
        <v>398</v>
      </c>
      <c r="D170" s="224">
        <v>60.769688554207661</v>
      </c>
      <c r="E170" s="32">
        <f t="shared" ca="1" si="5"/>
        <v>0.24</v>
      </c>
      <c r="F170" s="9">
        <f t="shared" ca="1" si="6"/>
        <v>61.009688554207663</v>
      </c>
      <c r="H170" s="32"/>
    </row>
    <row r="171" spans="1:8">
      <c r="A171">
        <v>38</v>
      </c>
      <c r="B171">
        <v>240</v>
      </c>
      <c r="C171" t="s">
        <v>399</v>
      </c>
      <c r="D171" s="224">
        <v>98.029550524910974</v>
      </c>
      <c r="E171" s="32">
        <f t="shared" ca="1" si="5"/>
        <v>0.38</v>
      </c>
      <c r="F171" s="9">
        <f t="shared" ca="1" si="6"/>
        <v>98.409550524910969</v>
      </c>
      <c r="H171" s="32"/>
    </row>
    <row r="172" spans="1:8">
      <c r="A172">
        <v>38</v>
      </c>
      <c r="B172">
        <v>240</v>
      </c>
      <c r="C172" t="s">
        <v>400</v>
      </c>
      <c r="D172" s="224">
        <v>76.648859735051474</v>
      </c>
      <c r="E172" s="32">
        <f t="shared" ca="1" si="5"/>
        <v>0.3</v>
      </c>
      <c r="F172" s="9">
        <f t="shared" ca="1" si="6"/>
        <v>76.948859735051471</v>
      </c>
      <c r="H172" s="32"/>
    </row>
    <row r="173" spans="1:8">
      <c r="A173">
        <v>38</v>
      </c>
      <c r="B173">
        <v>240</v>
      </c>
      <c r="C173" t="s">
        <v>401</v>
      </c>
      <c r="D173" s="224">
        <v>67.514456184949381</v>
      </c>
      <c r="E173" s="32">
        <f t="shared" ca="1" si="5"/>
        <v>0.26</v>
      </c>
      <c r="F173" s="9">
        <f t="shared" ca="1" si="6"/>
        <v>67.774456184949386</v>
      </c>
      <c r="H173" s="32"/>
    </row>
    <row r="174" spans="1:8">
      <c r="A174">
        <v>38</v>
      </c>
      <c r="B174">
        <v>240</v>
      </c>
      <c r="C174" t="s">
        <v>402</v>
      </c>
      <c r="D174" s="224">
        <v>92.642640403988551</v>
      </c>
      <c r="E174" s="32">
        <f t="shared" ca="1" si="5"/>
        <v>0.36</v>
      </c>
      <c r="F174" s="9">
        <f t="shared" ca="1" si="6"/>
        <v>93.002640403988551</v>
      </c>
      <c r="H174" s="32"/>
    </row>
    <row r="175" spans="1:8">
      <c r="A175">
        <v>38</v>
      </c>
      <c r="B175">
        <v>240</v>
      </c>
      <c r="C175" t="s">
        <v>403</v>
      </c>
      <c r="D175" s="224">
        <v>58.065103514157762</v>
      </c>
      <c r="E175" s="32">
        <f t="shared" ca="1" si="5"/>
        <v>0.23</v>
      </c>
      <c r="F175" s="9">
        <f t="shared" ca="1" si="6"/>
        <v>58.295103514157759</v>
      </c>
      <c r="H175" s="32"/>
    </row>
    <row r="176" spans="1:8">
      <c r="A176">
        <v>38</v>
      </c>
      <c r="B176">
        <v>240</v>
      </c>
      <c r="C176" t="s">
        <v>404</v>
      </c>
      <c r="D176" s="224">
        <v>109.80972236132128</v>
      </c>
      <c r="E176" s="32">
        <f t="shared" ca="1" si="5"/>
        <v>0.43</v>
      </c>
      <c r="F176" s="9">
        <f t="shared" ca="1" si="6"/>
        <v>110.23972236132128</v>
      </c>
      <c r="H176" s="32"/>
    </row>
    <row r="177" spans="1:8">
      <c r="A177">
        <v>38</v>
      </c>
      <c r="B177">
        <v>240</v>
      </c>
      <c r="C177" t="s">
        <v>405</v>
      </c>
      <c r="D177" s="224">
        <v>394.45507750931756</v>
      </c>
      <c r="E177" s="32">
        <f t="shared" ca="1" si="5"/>
        <v>1.53</v>
      </c>
      <c r="F177" s="9">
        <f t="shared" ca="1" si="6"/>
        <v>395.98507750931753</v>
      </c>
      <c r="H177" s="32"/>
    </row>
    <row r="178" spans="1:8">
      <c r="A178">
        <v>38</v>
      </c>
      <c r="B178">
        <v>240</v>
      </c>
      <c r="C178" t="s">
        <v>406</v>
      </c>
      <c r="D178" s="224">
        <v>85.479586980460837</v>
      </c>
      <c r="E178" s="32">
        <f t="shared" ca="1" si="5"/>
        <v>0.33</v>
      </c>
      <c r="F178" s="9">
        <f t="shared" ca="1" si="6"/>
        <v>85.809586980460836</v>
      </c>
      <c r="H178" s="32"/>
    </row>
    <row r="179" spans="1:8">
      <c r="A179">
        <v>38</v>
      </c>
      <c r="B179">
        <v>240</v>
      </c>
      <c r="C179" t="s">
        <v>407</v>
      </c>
      <c r="D179" s="224">
        <v>60.769688554207661</v>
      </c>
      <c r="E179" s="32">
        <f t="shared" ca="1" si="5"/>
        <v>0.24</v>
      </c>
      <c r="F179" s="9">
        <f t="shared" ca="1" si="6"/>
        <v>61.009688554207663</v>
      </c>
      <c r="H179" s="32"/>
    </row>
    <row r="180" spans="1:8">
      <c r="A180">
        <v>38</v>
      </c>
      <c r="B180">
        <v>240</v>
      </c>
      <c r="C180" t="s">
        <v>408</v>
      </c>
      <c r="D180" s="224">
        <v>109.80972236132128</v>
      </c>
      <c r="E180" s="32">
        <f t="shared" ca="1" si="5"/>
        <v>0.43</v>
      </c>
      <c r="F180" s="9">
        <f t="shared" ca="1" si="6"/>
        <v>110.23972236132128</v>
      </c>
      <c r="H180" s="32"/>
    </row>
    <row r="181" spans="1:8">
      <c r="A181">
        <v>38</v>
      </c>
      <c r="B181">
        <v>240</v>
      </c>
      <c r="C181" t="s">
        <v>409</v>
      </c>
      <c r="D181" s="224">
        <v>86.614844898506476</v>
      </c>
      <c r="E181" s="32">
        <f t="shared" ca="1" si="5"/>
        <v>0.34</v>
      </c>
      <c r="F181" s="9">
        <f t="shared" ca="1" si="6"/>
        <v>86.954844898506479</v>
      </c>
      <c r="H181" s="32"/>
    </row>
    <row r="182" spans="1:8">
      <c r="A182">
        <v>38</v>
      </c>
      <c r="B182">
        <v>240</v>
      </c>
      <c r="C182" t="s">
        <v>410</v>
      </c>
      <c r="D182" s="224">
        <v>67.514456184949381</v>
      </c>
      <c r="E182" s="32">
        <f t="shared" ca="1" si="5"/>
        <v>0.26</v>
      </c>
      <c r="F182" s="9">
        <f t="shared" ca="1" si="6"/>
        <v>67.774456184949386</v>
      </c>
      <c r="H182" s="32"/>
    </row>
    <row r="183" spans="1:8">
      <c r="A183">
        <v>38</v>
      </c>
      <c r="B183">
        <v>240</v>
      </c>
      <c r="C183" t="s">
        <v>411</v>
      </c>
      <c r="D183" s="224">
        <v>103.02043481222482</v>
      </c>
      <c r="E183" s="32">
        <f t="shared" ca="1" si="5"/>
        <v>0.4</v>
      </c>
      <c r="F183" s="9">
        <f t="shared" ca="1" si="6"/>
        <v>103.42043481222483</v>
      </c>
      <c r="H183" s="32"/>
    </row>
    <row r="184" spans="1:8">
      <c r="A184">
        <v>38</v>
      </c>
      <c r="B184">
        <v>240</v>
      </c>
      <c r="C184" t="s">
        <v>412</v>
      </c>
      <c r="D184" s="224">
        <v>58.065103514157762</v>
      </c>
      <c r="E184" s="32">
        <f t="shared" ca="1" si="5"/>
        <v>0.23</v>
      </c>
      <c r="F184" s="9">
        <f t="shared" ca="1" si="6"/>
        <v>58.295103514157759</v>
      </c>
      <c r="H184" s="32"/>
    </row>
    <row r="185" spans="1:8">
      <c r="A185">
        <v>38</v>
      </c>
      <c r="B185">
        <v>240</v>
      </c>
      <c r="C185" t="s">
        <v>413</v>
      </c>
      <c r="D185" s="224">
        <v>2.7045850400499014</v>
      </c>
      <c r="E185" s="32">
        <f t="shared" ca="1" si="5"/>
        <v>0.01</v>
      </c>
      <c r="F185" s="9">
        <f t="shared" ca="1" si="6"/>
        <v>2.7145850400499012</v>
      </c>
      <c r="H185" s="32"/>
    </row>
    <row r="186" spans="1:8">
      <c r="A186">
        <v>38</v>
      </c>
      <c r="B186">
        <v>240</v>
      </c>
      <c r="C186" t="s">
        <v>414</v>
      </c>
      <c r="D186" s="224">
        <v>8.1026251405610221</v>
      </c>
      <c r="E186" s="32">
        <f t="shared" ca="1" si="5"/>
        <v>0.03</v>
      </c>
      <c r="F186" s="9">
        <f t="shared" ca="1" si="6"/>
        <v>8.1326251405610215</v>
      </c>
      <c r="H186" s="32"/>
    </row>
    <row r="187" spans="1:8">
      <c r="A187">
        <v>38</v>
      </c>
      <c r="B187">
        <v>240</v>
      </c>
      <c r="C187" t="s">
        <v>415</v>
      </c>
      <c r="D187" s="224">
        <v>8.1026251405610221</v>
      </c>
      <c r="E187" s="32">
        <f t="shared" ca="1" si="5"/>
        <v>0.03</v>
      </c>
      <c r="F187" s="9">
        <f t="shared" ca="1" si="6"/>
        <v>8.1326251405610215</v>
      </c>
      <c r="H187" s="32"/>
    </row>
    <row r="188" spans="1:8">
      <c r="A188">
        <v>38</v>
      </c>
      <c r="B188">
        <v>240</v>
      </c>
      <c r="C188" t="s">
        <v>416</v>
      </c>
      <c r="D188" s="224">
        <v>2.2259959177365443</v>
      </c>
      <c r="E188" s="32">
        <f t="shared" ca="1" si="5"/>
        <v>0.01</v>
      </c>
      <c r="F188" s="9">
        <f t="shared" ca="1" si="6"/>
        <v>2.235995917736544</v>
      </c>
      <c r="H188" s="32"/>
    </row>
    <row r="189" spans="1:8">
      <c r="A189">
        <v>39</v>
      </c>
      <c r="B189">
        <v>240</v>
      </c>
      <c r="C189" t="s">
        <v>417</v>
      </c>
      <c r="D189" s="224">
        <v>5.7999662529677671</v>
      </c>
      <c r="E189" s="32">
        <f t="shared" ca="1" si="5"/>
        <v>0.02</v>
      </c>
      <c r="F189" s="9">
        <f t="shared" ca="1" si="6"/>
        <v>5.8199662529677667</v>
      </c>
      <c r="H189" s="32"/>
    </row>
    <row r="190" spans="1:8">
      <c r="A190">
        <v>39</v>
      </c>
      <c r="B190">
        <v>240</v>
      </c>
      <c r="C190" t="s">
        <v>418</v>
      </c>
      <c r="D190" s="224">
        <v>25.103169094945294</v>
      </c>
      <c r="E190" s="32">
        <f t="shared" ca="1" si="5"/>
        <v>0.1</v>
      </c>
      <c r="F190" s="9">
        <f t="shared" ca="1" si="6"/>
        <v>25.203169094945295</v>
      </c>
      <c r="H190" s="32"/>
    </row>
    <row r="191" spans="1:8">
      <c r="A191">
        <v>39</v>
      </c>
      <c r="B191">
        <v>240</v>
      </c>
      <c r="C191" t="s">
        <v>419</v>
      </c>
      <c r="D191" s="224">
        <v>9.3170398029915056</v>
      </c>
      <c r="E191" s="32">
        <f t="shared" ca="1" si="5"/>
        <v>0.04</v>
      </c>
      <c r="F191" s="9">
        <f t="shared" ca="1" si="6"/>
        <v>9.3570398029915047</v>
      </c>
      <c r="H191" s="32"/>
    </row>
    <row r="192" spans="1:8">
      <c r="A192">
        <v>39</v>
      </c>
      <c r="B192">
        <v>240</v>
      </c>
      <c r="C192" t="s">
        <v>420</v>
      </c>
      <c r="D192" s="224">
        <v>33.768358072063378</v>
      </c>
      <c r="E192" s="32">
        <f t="shared" ca="1" si="5"/>
        <v>0.13</v>
      </c>
      <c r="F192" s="9">
        <f t="shared" ca="1" si="6"/>
        <v>33.898358072063381</v>
      </c>
      <c r="H192" s="32"/>
    </row>
    <row r="193" spans="1:8">
      <c r="A193">
        <v>39</v>
      </c>
      <c r="B193">
        <v>240</v>
      </c>
      <c r="C193" t="s">
        <v>421</v>
      </c>
      <c r="D193" s="224">
        <v>7.5082401661616096</v>
      </c>
      <c r="E193" s="32">
        <f t="shared" ca="1" si="5"/>
        <v>0.03</v>
      </c>
      <c r="F193" s="9">
        <f t="shared" ca="1" si="6"/>
        <v>7.5382401661616099</v>
      </c>
      <c r="H193" s="32"/>
    </row>
    <row r="194" spans="1:8">
      <c r="A194">
        <v>39</v>
      </c>
      <c r="B194">
        <v>240</v>
      </c>
      <c r="C194" t="s">
        <v>422</v>
      </c>
      <c r="D194" s="224">
        <v>32.516690108457659</v>
      </c>
      <c r="E194" s="32">
        <f t="shared" ref="E194:E257" ca="1" si="7">+ROUND(D194*$H$6,2)</f>
        <v>0.13</v>
      </c>
      <c r="F194" s="9">
        <f t="shared" ref="F194:F257" ca="1" si="8">+E194+D194</f>
        <v>32.646690108457662</v>
      </c>
      <c r="H194" s="32"/>
    </row>
    <row r="195" spans="1:8">
      <c r="A195">
        <v>39</v>
      </c>
      <c r="B195">
        <v>240</v>
      </c>
      <c r="C195" t="s">
        <v>423</v>
      </c>
      <c r="D195" s="224">
        <v>10.390904879630435</v>
      </c>
      <c r="E195" s="32">
        <f t="shared" ca="1" si="7"/>
        <v>0.04</v>
      </c>
      <c r="F195" s="9">
        <f t="shared" ca="1" si="8"/>
        <v>10.430904879630434</v>
      </c>
      <c r="H195" s="32"/>
    </row>
    <row r="196" spans="1:8">
      <c r="A196">
        <v>39</v>
      </c>
      <c r="B196">
        <v>240</v>
      </c>
      <c r="C196" t="s">
        <v>424</v>
      </c>
      <c r="D196" s="224">
        <v>33.768358072063378</v>
      </c>
      <c r="E196" s="32">
        <f t="shared" ca="1" si="7"/>
        <v>0.13</v>
      </c>
      <c r="F196" s="9">
        <f t="shared" ca="1" si="8"/>
        <v>33.898358072063381</v>
      </c>
      <c r="H196" s="32"/>
    </row>
    <row r="197" spans="1:8">
      <c r="A197">
        <v>39</v>
      </c>
      <c r="B197">
        <v>240</v>
      </c>
      <c r="C197" t="s">
        <v>425</v>
      </c>
      <c r="D197" s="224">
        <v>9.919305588044443</v>
      </c>
      <c r="E197" s="32">
        <f t="shared" ca="1" si="7"/>
        <v>0.04</v>
      </c>
      <c r="F197" s="9">
        <f t="shared" ca="1" si="8"/>
        <v>9.9593055880444421</v>
      </c>
      <c r="H197" s="32"/>
    </row>
    <row r="198" spans="1:8">
      <c r="A198">
        <v>39</v>
      </c>
      <c r="B198">
        <v>240</v>
      </c>
      <c r="C198" t="s">
        <v>426</v>
      </c>
      <c r="D198" s="224">
        <v>42.971851457246821</v>
      </c>
      <c r="E198" s="32">
        <f t="shared" ca="1" si="7"/>
        <v>0.17</v>
      </c>
      <c r="F198" s="9">
        <f t="shared" ca="1" si="8"/>
        <v>43.141851457246823</v>
      </c>
      <c r="H198" s="32"/>
    </row>
    <row r="199" spans="1:8">
      <c r="A199">
        <v>39</v>
      </c>
      <c r="B199">
        <v>240</v>
      </c>
      <c r="C199" t="s">
        <v>427</v>
      </c>
      <c r="D199" s="224">
        <v>12.534850791384882</v>
      </c>
      <c r="E199" s="32">
        <f t="shared" ca="1" si="7"/>
        <v>0.05</v>
      </c>
      <c r="F199" s="9">
        <f t="shared" ca="1" si="8"/>
        <v>12.584850791384882</v>
      </c>
      <c r="H199" s="32"/>
    </row>
    <row r="200" spans="1:8">
      <c r="A200">
        <v>39</v>
      </c>
      <c r="B200">
        <v>240</v>
      </c>
      <c r="C200" t="s">
        <v>428</v>
      </c>
      <c r="D200" s="224">
        <v>33.768358072063378</v>
      </c>
      <c r="E200" s="32">
        <f t="shared" ca="1" si="7"/>
        <v>0.13</v>
      </c>
      <c r="F200" s="9">
        <f t="shared" ca="1" si="8"/>
        <v>33.898358072063381</v>
      </c>
      <c r="H200" s="32"/>
    </row>
    <row r="201" spans="1:8">
      <c r="A201">
        <v>39</v>
      </c>
      <c r="B201">
        <v>240</v>
      </c>
      <c r="C201" t="s">
        <v>429</v>
      </c>
      <c r="D201" s="224">
        <v>7.9703122727608982</v>
      </c>
      <c r="E201" s="32">
        <f t="shared" ca="1" si="7"/>
        <v>0.03</v>
      </c>
      <c r="F201" s="9">
        <f t="shared" ca="1" si="8"/>
        <v>8.0003122727608975</v>
      </c>
      <c r="H201" s="32"/>
    </row>
    <row r="202" spans="1:8">
      <c r="A202">
        <v>39</v>
      </c>
      <c r="B202">
        <v>240</v>
      </c>
      <c r="C202" t="s">
        <v>430</v>
      </c>
      <c r="D202" s="224">
        <v>9.0441773493998241</v>
      </c>
      <c r="E202" s="32">
        <f t="shared" ca="1" si="7"/>
        <v>0.04</v>
      </c>
      <c r="F202" s="9">
        <f t="shared" ca="1" si="8"/>
        <v>9.0841773493998232</v>
      </c>
      <c r="H202" s="32"/>
    </row>
    <row r="203" spans="1:8">
      <c r="A203">
        <v>39</v>
      </c>
      <c r="B203">
        <v>240</v>
      </c>
      <c r="C203" t="s">
        <v>431</v>
      </c>
      <c r="D203" s="224">
        <v>11.17699328156559</v>
      </c>
      <c r="E203" s="32">
        <f t="shared" ca="1" si="7"/>
        <v>0.04</v>
      </c>
      <c r="F203" s="9">
        <f t="shared" ca="1" si="8"/>
        <v>11.216993281565589</v>
      </c>
      <c r="H203" s="32"/>
    </row>
    <row r="204" spans="1:8">
      <c r="A204">
        <v>39</v>
      </c>
      <c r="B204">
        <v>240</v>
      </c>
      <c r="C204" t="s">
        <v>432</v>
      </c>
      <c r="D204" s="224">
        <v>7.9591822931722147</v>
      </c>
      <c r="E204" s="32">
        <f t="shared" ca="1" si="7"/>
        <v>0.03</v>
      </c>
      <c r="F204" s="9">
        <f t="shared" ca="1" si="8"/>
        <v>7.989182293172215</v>
      </c>
      <c r="H204" s="32"/>
    </row>
    <row r="205" spans="1:8">
      <c r="A205">
        <v>39</v>
      </c>
      <c r="B205">
        <v>240</v>
      </c>
      <c r="C205" t="s">
        <v>433</v>
      </c>
      <c r="D205" s="224">
        <v>11.154733322388225</v>
      </c>
      <c r="E205" s="32">
        <f t="shared" ca="1" si="7"/>
        <v>0.04</v>
      </c>
      <c r="F205" s="9">
        <f t="shared" ca="1" si="8"/>
        <v>11.194733322388224</v>
      </c>
      <c r="H205" s="32"/>
    </row>
    <row r="206" spans="1:8">
      <c r="A206">
        <v>40</v>
      </c>
      <c r="B206">
        <v>245</v>
      </c>
      <c r="C206" t="s">
        <v>350</v>
      </c>
      <c r="D206" s="224">
        <v>22.770826936699912</v>
      </c>
      <c r="E206" s="32">
        <f t="shared" ca="1" si="7"/>
        <v>0.09</v>
      </c>
      <c r="F206" s="9">
        <f t="shared" ca="1" si="8"/>
        <v>22.860826936699912</v>
      </c>
      <c r="H206" s="32"/>
    </row>
    <row r="207" spans="1:8">
      <c r="A207">
        <v>40</v>
      </c>
      <c r="B207">
        <v>245</v>
      </c>
      <c r="C207" t="s">
        <v>351</v>
      </c>
      <c r="D207" s="224">
        <v>98.601353529174901</v>
      </c>
      <c r="E207" s="32">
        <f t="shared" ca="1" si="7"/>
        <v>0.38</v>
      </c>
      <c r="F207" s="9">
        <f t="shared" ca="1" si="8"/>
        <v>98.981353529174896</v>
      </c>
      <c r="H207" s="32"/>
    </row>
    <row r="208" spans="1:8">
      <c r="A208">
        <v>40</v>
      </c>
      <c r="B208">
        <v>245</v>
      </c>
      <c r="C208" t="s">
        <v>352</v>
      </c>
      <c r="D208" s="224">
        <v>22.770826936699912</v>
      </c>
      <c r="E208" s="32">
        <f t="shared" ca="1" si="7"/>
        <v>0.09</v>
      </c>
      <c r="F208" s="9">
        <f t="shared" ca="1" si="8"/>
        <v>22.860826936699912</v>
      </c>
      <c r="H208" s="32"/>
    </row>
    <row r="209" spans="1:8">
      <c r="A209">
        <v>40</v>
      </c>
      <c r="B209">
        <v>245</v>
      </c>
      <c r="C209" t="s">
        <v>355</v>
      </c>
      <c r="D209" s="224">
        <v>25.508801915515864</v>
      </c>
      <c r="E209" s="32">
        <f t="shared" ca="1" si="7"/>
        <v>0.1</v>
      </c>
      <c r="F209" s="9">
        <f t="shared" ca="1" si="8"/>
        <v>25.608801915515865</v>
      </c>
      <c r="H209" s="32"/>
    </row>
    <row r="210" spans="1:8">
      <c r="A210">
        <v>40</v>
      </c>
      <c r="B210">
        <v>245</v>
      </c>
      <c r="C210" t="s">
        <v>357</v>
      </c>
      <c r="D210" s="224">
        <v>35.570303463685043</v>
      </c>
      <c r="E210" s="32">
        <f t="shared" ca="1" si="7"/>
        <v>0.14000000000000001</v>
      </c>
      <c r="F210" s="9">
        <f t="shared" ca="1" si="8"/>
        <v>35.710303463685044</v>
      </c>
      <c r="H210" s="32"/>
    </row>
    <row r="211" spans="1:8">
      <c r="A211">
        <v>40</v>
      </c>
      <c r="B211">
        <v>245</v>
      </c>
      <c r="C211" t="s">
        <v>359</v>
      </c>
      <c r="D211" s="224">
        <v>29.750437863711682</v>
      </c>
      <c r="E211" s="32">
        <f t="shared" ca="1" si="7"/>
        <v>0.12</v>
      </c>
      <c r="F211" s="9">
        <f t="shared" ca="1" si="8"/>
        <v>29.870437863711683</v>
      </c>
      <c r="H211" s="32"/>
    </row>
    <row r="212" spans="1:8">
      <c r="A212">
        <v>40</v>
      </c>
      <c r="B212">
        <v>245</v>
      </c>
      <c r="C212" t="s">
        <v>360</v>
      </c>
      <c r="D212" s="224">
        <v>128.81961854946337</v>
      </c>
      <c r="E212" s="32">
        <f t="shared" ca="1" si="7"/>
        <v>0.5</v>
      </c>
      <c r="F212" s="9">
        <f t="shared" ca="1" si="8"/>
        <v>129.31961854946337</v>
      </c>
      <c r="H212" s="32"/>
    </row>
    <row r="213" spans="1:8">
      <c r="A213">
        <v>40</v>
      </c>
      <c r="B213">
        <v>245</v>
      </c>
      <c r="C213" t="s">
        <v>361</v>
      </c>
      <c r="D213" s="224">
        <v>29.750437863711682</v>
      </c>
      <c r="E213" s="32">
        <f t="shared" ca="1" si="7"/>
        <v>0.12</v>
      </c>
      <c r="F213" s="9">
        <f t="shared" ca="1" si="8"/>
        <v>29.870437863711683</v>
      </c>
      <c r="H213" s="32"/>
    </row>
    <row r="214" spans="1:8">
      <c r="A214">
        <v>40</v>
      </c>
      <c r="B214">
        <v>245</v>
      </c>
      <c r="C214" t="s">
        <v>364</v>
      </c>
      <c r="D214" s="224">
        <v>32.48841284252763</v>
      </c>
      <c r="E214" s="32">
        <f t="shared" ca="1" si="7"/>
        <v>0.13</v>
      </c>
      <c r="F214" s="9">
        <f t="shared" ca="1" si="8"/>
        <v>32.618412842527633</v>
      </c>
      <c r="H214" s="32"/>
    </row>
    <row r="215" spans="1:8">
      <c r="A215">
        <v>40</v>
      </c>
      <c r="B215">
        <v>245</v>
      </c>
      <c r="C215" t="s">
        <v>366</v>
      </c>
      <c r="D215" s="224">
        <v>45.777608471414801</v>
      </c>
      <c r="E215" s="32">
        <f t="shared" ca="1" si="7"/>
        <v>0.18</v>
      </c>
      <c r="F215" s="9">
        <f t="shared" ca="1" si="8"/>
        <v>45.957608471414801</v>
      </c>
      <c r="H215" s="32"/>
    </row>
    <row r="216" spans="1:8">
      <c r="A216">
        <v>40</v>
      </c>
      <c r="B216">
        <v>245</v>
      </c>
      <c r="C216" t="s">
        <v>368</v>
      </c>
      <c r="D216" s="224">
        <v>38.507862680690259</v>
      </c>
      <c r="E216" s="32">
        <f t="shared" ca="1" si="7"/>
        <v>0.15</v>
      </c>
      <c r="F216" s="9">
        <f t="shared" ca="1" si="8"/>
        <v>38.657862680690258</v>
      </c>
      <c r="H216" s="32"/>
    </row>
    <row r="217" spans="1:8">
      <c r="A217">
        <v>40</v>
      </c>
      <c r="B217">
        <v>245</v>
      </c>
      <c r="C217" t="s">
        <v>369</v>
      </c>
      <c r="D217" s="224">
        <v>166.73804370922588</v>
      </c>
      <c r="E217" s="32">
        <f t="shared" ca="1" si="7"/>
        <v>0.65</v>
      </c>
      <c r="F217" s="9">
        <f t="shared" ca="1" si="8"/>
        <v>167.38804370922588</v>
      </c>
      <c r="H217" s="32"/>
    </row>
    <row r="218" spans="1:8">
      <c r="A218">
        <v>40</v>
      </c>
      <c r="B218">
        <v>245</v>
      </c>
      <c r="C218" t="s">
        <v>370</v>
      </c>
      <c r="D218" s="224">
        <v>38.507862680690259</v>
      </c>
      <c r="E218" s="32">
        <f t="shared" ca="1" si="7"/>
        <v>0.15</v>
      </c>
      <c r="F218" s="9">
        <f t="shared" ca="1" si="8"/>
        <v>38.657862680690258</v>
      </c>
      <c r="H218" s="32"/>
    </row>
    <row r="219" spans="1:8">
      <c r="A219">
        <v>40</v>
      </c>
      <c r="B219">
        <v>245</v>
      </c>
      <c r="C219" t="s">
        <v>373</v>
      </c>
      <c r="D219" s="224">
        <v>41.201317741151477</v>
      </c>
      <c r="E219" s="32">
        <f t="shared" ca="1" si="7"/>
        <v>0.16</v>
      </c>
      <c r="F219" s="9">
        <f t="shared" ca="1" si="8"/>
        <v>41.361317741151474</v>
      </c>
      <c r="H219" s="32"/>
    </row>
    <row r="220" spans="1:8">
      <c r="A220">
        <v>40</v>
      </c>
      <c r="B220">
        <v>245</v>
      </c>
      <c r="C220" t="s">
        <v>375</v>
      </c>
      <c r="D220" s="224">
        <v>51.118129554667789</v>
      </c>
      <c r="E220" s="32">
        <f t="shared" ca="1" si="7"/>
        <v>0.2</v>
      </c>
      <c r="F220" s="9">
        <f t="shared" ca="1" si="8"/>
        <v>51.318129554667792</v>
      </c>
      <c r="H220" s="32"/>
    </row>
    <row r="221" spans="1:8">
      <c r="A221">
        <v>40</v>
      </c>
      <c r="B221">
        <v>245</v>
      </c>
      <c r="C221" t="s">
        <v>377</v>
      </c>
      <c r="D221" s="224">
        <v>52.976080751570777</v>
      </c>
      <c r="E221" s="32">
        <f t="shared" ca="1" si="7"/>
        <v>0.21</v>
      </c>
      <c r="F221" s="9">
        <f t="shared" ca="1" si="8"/>
        <v>53.186080751570778</v>
      </c>
      <c r="H221" s="32"/>
    </row>
    <row r="222" spans="1:8">
      <c r="A222">
        <v>40</v>
      </c>
      <c r="B222">
        <v>245</v>
      </c>
      <c r="C222" t="s">
        <v>378</v>
      </c>
      <c r="D222" s="224">
        <v>229.38765395205624</v>
      </c>
      <c r="E222" s="32">
        <f t="shared" ca="1" si="7"/>
        <v>0.89</v>
      </c>
      <c r="F222" s="9">
        <f t="shared" ca="1" si="8"/>
        <v>230.27765395205623</v>
      </c>
      <c r="H222" s="32"/>
    </row>
    <row r="223" spans="1:8">
      <c r="A223">
        <v>40</v>
      </c>
      <c r="B223">
        <v>245</v>
      </c>
      <c r="C223" t="s">
        <v>379</v>
      </c>
      <c r="D223" s="224">
        <v>52.976080751570777</v>
      </c>
      <c r="E223" s="32">
        <f t="shared" ca="1" si="7"/>
        <v>0.21</v>
      </c>
      <c r="F223" s="9">
        <f t="shared" ca="1" si="8"/>
        <v>53.186080751570778</v>
      </c>
      <c r="H223" s="32"/>
    </row>
    <row r="224" spans="1:8">
      <c r="A224">
        <v>40</v>
      </c>
      <c r="B224">
        <v>245</v>
      </c>
      <c r="C224" t="s">
        <v>382</v>
      </c>
      <c r="D224" s="224">
        <v>55.691795771209364</v>
      </c>
      <c r="E224" s="32">
        <f t="shared" ca="1" si="7"/>
        <v>0.22</v>
      </c>
      <c r="F224" s="9">
        <f t="shared" ca="1" si="8"/>
        <v>55.911795771209363</v>
      </c>
      <c r="H224" s="32"/>
    </row>
    <row r="225" spans="1:8">
      <c r="A225">
        <v>40</v>
      </c>
      <c r="B225">
        <v>245</v>
      </c>
      <c r="C225" t="s">
        <v>384</v>
      </c>
      <c r="D225" s="224">
        <v>64.473349666680036</v>
      </c>
      <c r="E225" s="32">
        <f t="shared" ca="1" si="7"/>
        <v>0.25</v>
      </c>
      <c r="F225" s="9">
        <f t="shared" ca="1" si="8"/>
        <v>64.723349666680036</v>
      </c>
      <c r="H225" s="32"/>
    </row>
    <row r="226" spans="1:8">
      <c r="A226">
        <v>40</v>
      </c>
      <c r="B226">
        <v>245</v>
      </c>
      <c r="C226" t="s">
        <v>386</v>
      </c>
      <c r="D226" s="224">
        <v>68.296721611955476</v>
      </c>
      <c r="E226" s="32">
        <f t="shared" ca="1" si="7"/>
        <v>0.26</v>
      </c>
      <c r="F226" s="9">
        <f t="shared" ca="1" si="8"/>
        <v>68.556721611955481</v>
      </c>
      <c r="H226" s="32"/>
    </row>
    <row r="227" spans="1:8">
      <c r="A227">
        <v>40</v>
      </c>
      <c r="B227">
        <v>245</v>
      </c>
      <c r="C227" t="s">
        <v>387</v>
      </c>
      <c r="D227" s="224">
        <v>295.72747577486842</v>
      </c>
      <c r="E227" s="32">
        <f t="shared" ca="1" si="7"/>
        <v>1.1499999999999999</v>
      </c>
      <c r="F227" s="9">
        <f t="shared" ca="1" si="8"/>
        <v>296.8774757748684</v>
      </c>
      <c r="H227" s="32"/>
    </row>
    <row r="228" spans="1:8">
      <c r="A228">
        <v>40</v>
      </c>
      <c r="B228">
        <v>245</v>
      </c>
      <c r="C228" t="s">
        <v>388</v>
      </c>
      <c r="D228" s="224">
        <v>68.296721611955476</v>
      </c>
      <c r="E228" s="32">
        <f t="shared" ca="1" si="7"/>
        <v>0.26</v>
      </c>
      <c r="F228" s="9">
        <f t="shared" ca="1" si="8"/>
        <v>68.556721611955481</v>
      </c>
      <c r="H228" s="32"/>
    </row>
    <row r="229" spans="1:8">
      <c r="A229">
        <v>40</v>
      </c>
      <c r="B229">
        <v>245</v>
      </c>
      <c r="C229" t="s">
        <v>391</v>
      </c>
      <c r="D229" s="224">
        <v>71.012436631594056</v>
      </c>
      <c r="E229" s="32">
        <f t="shared" ca="1" si="7"/>
        <v>0.28000000000000003</v>
      </c>
      <c r="F229" s="9">
        <f t="shared" ca="1" si="8"/>
        <v>71.292436631594057</v>
      </c>
      <c r="H229" s="32"/>
    </row>
    <row r="230" spans="1:8">
      <c r="A230">
        <v>40</v>
      </c>
      <c r="B230">
        <v>245</v>
      </c>
      <c r="C230" t="s">
        <v>393</v>
      </c>
      <c r="D230" s="224">
        <v>80.061110037193117</v>
      </c>
      <c r="E230" s="32">
        <f t="shared" ca="1" si="7"/>
        <v>0.31</v>
      </c>
      <c r="F230" s="9">
        <f t="shared" ca="1" si="8"/>
        <v>80.37111003719312</v>
      </c>
      <c r="H230" s="32"/>
    </row>
    <row r="231" spans="1:8">
      <c r="A231">
        <v>40</v>
      </c>
      <c r="B231">
        <v>245</v>
      </c>
      <c r="C231" t="s">
        <v>395</v>
      </c>
      <c r="D231" s="224">
        <v>81.356841101064276</v>
      </c>
      <c r="E231" s="32">
        <f t="shared" ca="1" si="7"/>
        <v>0.32</v>
      </c>
      <c r="F231" s="9">
        <f t="shared" ca="1" si="8"/>
        <v>81.676841101064269</v>
      </c>
      <c r="H231" s="32"/>
    </row>
    <row r="232" spans="1:8">
      <c r="A232">
        <v>40</v>
      </c>
      <c r="B232">
        <v>245</v>
      </c>
      <c r="C232" t="s">
        <v>396</v>
      </c>
      <c r="D232" s="224">
        <v>352.27567846658769</v>
      </c>
      <c r="E232" s="32">
        <f t="shared" ca="1" si="7"/>
        <v>1.37</v>
      </c>
      <c r="F232" s="9">
        <f t="shared" ca="1" si="8"/>
        <v>353.6456784665877</v>
      </c>
      <c r="H232" s="32"/>
    </row>
    <row r="233" spans="1:8">
      <c r="A233">
        <v>40</v>
      </c>
      <c r="B233">
        <v>245</v>
      </c>
      <c r="C233" t="s">
        <v>397</v>
      </c>
      <c r="D233" s="224">
        <v>81.356841101064276</v>
      </c>
      <c r="E233" s="32">
        <f t="shared" ca="1" si="7"/>
        <v>0.32</v>
      </c>
      <c r="F233" s="9">
        <f t="shared" ca="1" si="8"/>
        <v>81.676841101064269</v>
      </c>
      <c r="H233" s="32"/>
    </row>
    <row r="234" spans="1:8">
      <c r="A234">
        <v>40</v>
      </c>
      <c r="B234">
        <v>245</v>
      </c>
      <c r="C234" t="s">
        <v>400</v>
      </c>
      <c r="D234" s="224">
        <v>84.072556120702856</v>
      </c>
      <c r="E234" s="32">
        <f t="shared" ca="1" si="7"/>
        <v>0.33</v>
      </c>
      <c r="F234" s="9">
        <f t="shared" ca="1" si="8"/>
        <v>84.402556120702855</v>
      </c>
      <c r="H234" s="32"/>
    </row>
    <row r="235" spans="1:8">
      <c r="A235">
        <v>40</v>
      </c>
      <c r="B235">
        <v>245</v>
      </c>
      <c r="C235" t="s">
        <v>402</v>
      </c>
      <c r="D235" s="224">
        <v>94.935416199257176</v>
      </c>
      <c r="E235" s="32">
        <f t="shared" ca="1" si="7"/>
        <v>0.37</v>
      </c>
      <c r="F235" s="9">
        <f t="shared" ca="1" si="8"/>
        <v>95.305416199257181</v>
      </c>
      <c r="H235" s="32"/>
    </row>
    <row r="236" spans="1:8">
      <c r="A236">
        <v>40</v>
      </c>
      <c r="B236">
        <v>245</v>
      </c>
      <c r="C236" t="s">
        <v>404</v>
      </c>
      <c r="D236" s="224">
        <v>91.144746591100343</v>
      </c>
      <c r="E236" s="32">
        <f t="shared" ca="1" si="7"/>
        <v>0.35</v>
      </c>
      <c r="F236" s="9">
        <f t="shared" ca="1" si="8"/>
        <v>91.494746591100338</v>
      </c>
      <c r="H236" s="32"/>
    </row>
    <row r="237" spans="1:8">
      <c r="A237">
        <v>40</v>
      </c>
      <c r="B237">
        <v>245</v>
      </c>
      <c r="C237" t="s">
        <v>405</v>
      </c>
      <c r="D237" s="224">
        <v>394.6554171419138</v>
      </c>
      <c r="E237" s="32">
        <f t="shared" ca="1" si="7"/>
        <v>1.53</v>
      </c>
      <c r="F237" s="9">
        <f t="shared" ca="1" si="8"/>
        <v>396.18541714191377</v>
      </c>
      <c r="H237" s="32"/>
    </row>
    <row r="238" spans="1:8">
      <c r="A238">
        <v>40</v>
      </c>
      <c r="B238">
        <v>245</v>
      </c>
      <c r="C238" t="s">
        <v>406</v>
      </c>
      <c r="D238" s="224">
        <v>91.144746591100343</v>
      </c>
      <c r="E238" s="32">
        <f t="shared" ca="1" si="7"/>
        <v>0.35</v>
      </c>
      <c r="F238" s="9">
        <f t="shared" ca="1" si="8"/>
        <v>91.494746591100338</v>
      </c>
      <c r="H238" s="32"/>
    </row>
    <row r="239" spans="1:8">
      <c r="A239">
        <v>40</v>
      </c>
      <c r="B239">
        <v>245</v>
      </c>
      <c r="C239" t="s">
        <v>409</v>
      </c>
      <c r="D239" s="224">
        <v>93.838201651561576</v>
      </c>
      <c r="E239" s="32">
        <f t="shared" ca="1" si="7"/>
        <v>0.36</v>
      </c>
      <c r="F239" s="9">
        <f t="shared" ca="1" si="8"/>
        <v>94.198201651561575</v>
      </c>
      <c r="H239" s="32"/>
    </row>
    <row r="240" spans="1:8">
      <c r="A240">
        <v>40</v>
      </c>
      <c r="B240">
        <v>245</v>
      </c>
      <c r="C240" t="s">
        <v>411</v>
      </c>
      <c r="D240" s="224">
        <v>106.12569911746729</v>
      </c>
      <c r="E240" s="32">
        <f t="shared" ca="1" si="7"/>
        <v>0.41</v>
      </c>
      <c r="F240" s="9">
        <f t="shared" ca="1" si="8"/>
        <v>106.53569911746729</v>
      </c>
      <c r="H240" s="32"/>
    </row>
    <row r="241" spans="1:8">
      <c r="A241">
        <v>40</v>
      </c>
      <c r="B241">
        <v>245</v>
      </c>
      <c r="C241" t="s">
        <v>434</v>
      </c>
      <c r="D241" s="224">
        <v>60.769688554207661</v>
      </c>
      <c r="E241" s="32">
        <f t="shared" ca="1" si="7"/>
        <v>0.24</v>
      </c>
      <c r="F241" s="9">
        <f t="shared" ca="1" si="8"/>
        <v>61.009688554207663</v>
      </c>
      <c r="H241" s="32"/>
    </row>
    <row r="242" spans="1:8">
      <c r="A242">
        <v>40</v>
      </c>
      <c r="B242">
        <v>245</v>
      </c>
      <c r="C242" t="s">
        <v>414</v>
      </c>
      <c r="D242" s="224">
        <v>8.1026251405610221</v>
      </c>
      <c r="E242" s="32">
        <f t="shared" ca="1" si="7"/>
        <v>0.03</v>
      </c>
      <c r="F242" s="9">
        <f t="shared" ca="1" si="8"/>
        <v>8.1326251405610215</v>
      </c>
      <c r="H242" s="32"/>
    </row>
    <row r="243" spans="1:8">
      <c r="A243">
        <v>40</v>
      </c>
      <c r="B243">
        <v>245</v>
      </c>
      <c r="C243" t="s">
        <v>415</v>
      </c>
      <c r="D243" s="224">
        <v>8.1026251405610221</v>
      </c>
      <c r="E243" s="32">
        <f t="shared" ca="1" si="7"/>
        <v>0.03</v>
      </c>
      <c r="F243" s="9">
        <f t="shared" ca="1" si="8"/>
        <v>8.1326251405610215</v>
      </c>
      <c r="H243" s="32"/>
    </row>
    <row r="244" spans="1:8">
      <c r="A244">
        <v>40</v>
      </c>
      <c r="B244">
        <v>245</v>
      </c>
      <c r="C244" t="s">
        <v>416</v>
      </c>
      <c r="D244" s="224">
        <v>2.2259959177365443</v>
      </c>
      <c r="E244" s="32">
        <f t="shared" ca="1" si="7"/>
        <v>0.01</v>
      </c>
      <c r="F244" s="9">
        <f t="shared" ca="1" si="8"/>
        <v>2.235995917736544</v>
      </c>
      <c r="H244" s="32"/>
    </row>
    <row r="245" spans="1:8">
      <c r="A245">
        <v>41</v>
      </c>
      <c r="B245">
        <v>250</v>
      </c>
      <c r="C245" t="s">
        <v>435</v>
      </c>
      <c r="D245" s="224">
        <v>77.977268923012872</v>
      </c>
      <c r="E245" s="32">
        <f t="shared" ca="1" si="7"/>
        <v>0.3</v>
      </c>
      <c r="F245" s="9">
        <f t="shared" ca="1" si="8"/>
        <v>78.277268923012869</v>
      </c>
      <c r="H245" s="32"/>
    </row>
    <row r="246" spans="1:8">
      <c r="A246">
        <v>41</v>
      </c>
      <c r="B246">
        <v>250</v>
      </c>
      <c r="C246" t="s">
        <v>369</v>
      </c>
      <c r="D246" s="224">
        <v>279.15230740036327</v>
      </c>
      <c r="E246" s="32">
        <f t="shared" ca="1" si="7"/>
        <v>1.08</v>
      </c>
      <c r="F246" s="9">
        <f t="shared" ca="1" si="8"/>
        <v>280.23230740036325</v>
      </c>
      <c r="H246" s="32"/>
    </row>
    <row r="247" spans="1:8">
      <c r="A247">
        <v>41</v>
      </c>
      <c r="B247">
        <v>250</v>
      </c>
      <c r="C247" t="s">
        <v>436</v>
      </c>
      <c r="D247" s="224">
        <v>60.414161132071527</v>
      </c>
      <c r="E247" s="32">
        <f t="shared" ca="1" si="7"/>
        <v>0.23</v>
      </c>
      <c r="F247" s="9">
        <f t="shared" ca="1" si="8"/>
        <v>60.644161132071524</v>
      </c>
      <c r="H247" s="32"/>
    </row>
    <row r="248" spans="1:8">
      <c r="A248">
        <v>41</v>
      </c>
      <c r="B248">
        <v>250</v>
      </c>
      <c r="C248" t="s">
        <v>437</v>
      </c>
      <c r="D248" s="224">
        <v>69.885773762040529</v>
      </c>
      <c r="E248" s="32">
        <f t="shared" ca="1" si="7"/>
        <v>0.27</v>
      </c>
      <c r="F248" s="9">
        <f t="shared" ca="1" si="8"/>
        <v>70.155773762040525</v>
      </c>
      <c r="H248" s="32"/>
    </row>
    <row r="249" spans="1:8">
      <c r="A249">
        <v>41</v>
      </c>
      <c r="B249">
        <v>250</v>
      </c>
      <c r="C249" t="s">
        <v>438</v>
      </c>
      <c r="D249" s="224">
        <v>102.74828901963447</v>
      </c>
      <c r="E249" s="32">
        <f t="shared" ca="1" si="7"/>
        <v>0.4</v>
      </c>
      <c r="F249" s="9">
        <f t="shared" ca="1" si="8"/>
        <v>103.14828901963448</v>
      </c>
      <c r="H249" s="32"/>
    </row>
    <row r="250" spans="1:8">
      <c r="A250">
        <v>41</v>
      </c>
      <c r="B250">
        <v>250</v>
      </c>
      <c r="C250" t="s">
        <v>378</v>
      </c>
      <c r="D250" s="224">
        <v>386.48561788157076</v>
      </c>
      <c r="E250" s="32">
        <f t="shared" ca="1" si="7"/>
        <v>1.5</v>
      </c>
      <c r="F250" s="9">
        <f t="shared" ca="1" si="8"/>
        <v>387.98561788157076</v>
      </c>
      <c r="H250" s="32"/>
    </row>
    <row r="251" spans="1:8">
      <c r="A251">
        <v>41</v>
      </c>
      <c r="B251">
        <v>250</v>
      </c>
      <c r="C251" t="s">
        <v>439</v>
      </c>
      <c r="D251" s="224">
        <v>85.207441187870501</v>
      </c>
      <c r="E251" s="32">
        <f t="shared" ca="1" si="7"/>
        <v>0.33</v>
      </c>
      <c r="F251" s="9">
        <f t="shared" ca="1" si="8"/>
        <v>85.537441187870499</v>
      </c>
      <c r="H251" s="32"/>
    </row>
    <row r="252" spans="1:8">
      <c r="A252">
        <v>41</v>
      </c>
      <c r="B252">
        <v>250</v>
      </c>
      <c r="C252" t="s">
        <v>440</v>
      </c>
      <c r="D252" s="224">
        <v>94.634533899484779</v>
      </c>
      <c r="E252" s="32">
        <f t="shared" ca="1" si="7"/>
        <v>0.37</v>
      </c>
      <c r="F252" s="9">
        <f t="shared" ca="1" si="8"/>
        <v>95.004533899484784</v>
      </c>
      <c r="H252" s="32"/>
    </row>
    <row r="253" spans="1:8">
      <c r="A253">
        <v>41</v>
      </c>
      <c r="B253">
        <v>250</v>
      </c>
      <c r="C253" t="s">
        <v>441</v>
      </c>
      <c r="D253" s="224">
        <v>132.48960160859133</v>
      </c>
      <c r="E253" s="32">
        <f t="shared" ca="1" si="7"/>
        <v>0.51</v>
      </c>
      <c r="F253" s="9">
        <f t="shared" ca="1" si="8"/>
        <v>132.99960160859132</v>
      </c>
      <c r="H253" s="32"/>
    </row>
    <row r="254" spans="1:8">
      <c r="A254">
        <v>41</v>
      </c>
      <c r="B254">
        <v>250</v>
      </c>
      <c r="C254" t="s">
        <v>387</v>
      </c>
      <c r="D254" s="224">
        <v>515.19015142993851</v>
      </c>
      <c r="E254" s="32">
        <f t="shared" ca="1" si="7"/>
        <v>2</v>
      </c>
      <c r="F254" s="9">
        <f t="shared" ca="1" si="8"/>
        <v>517.19015142993851</v>
      </c>
      <c r="H254" s="32"/>
    </row>
    <row r="255" spans="1:8">
      <c r="A255">
        <v>41</v>
      </c>
      <c r="B255">
        <v>250</v>
      </c>
      <c r="C255" t="s">
        <v>442</v>
      </c>
      <c r="D255" s="224">
        <v>114.92649381765</v>
      </c>
      <c r="E255" s="32">
        <f t="shared" ca="1" si="7"/>
        <v>0.45</v>
      </c>
      <c r="F255" s="9">
        <f t="shared" ca="1" si="8"/>
        <v>115.37649381765</v>
      </c>
      <c r="H255" s="32"/>
    </row>
    <row r="256" spans="1:8">
      <c r="A256">
        <v>41</v>
      </c>
      <c r="B256">
        <v>250</v>
      </c>
      <c r="C256" t="s">
        <v>443</v>
      </c>
      <c r="D256" s="224">
        <v>124.37584648844164</v>
      </c>
      <c r="E256" s="32">
        <f t="shared" ca="1" si="7"/>
        <v>0.48</v>
      </c>
      <c r="F256" s="9">
        <f t="shared" ca="1" si="8"/>
        <v>124.85584648844164</v>
      </c>
      <c r="H256" s="32"/>
    </row>
    <row r="257" spans="1:8">
      <c r="A257">
        <v>41</v>
      </c>
      <c r="B257">
        <v>250</v>
      </c>
      <c r="C257" t="s">
        <v>444</v>
      </c>
      <c r="D257" s="224">
        <v>154.27631754320035</v>
      </c>
      <c r="E257" s="32">
        <f t="shared" ca="1" si="7"/>
        <v>0.6</v>
      </c>
      <c r="F257" s="9">
        <f t="shared" ca="1" si="8"/>
        <v>154.87631754320034</v>
      </c>
      <c r="H257" s="32"/>
    </row>
    <row r="258" spans="1:8">
      <c r="A258">
        <v>41</v>
      </c>
      <c r="B258">
        <v>250</v>
      </c>
      <c r="C258" t="s">
        <v>396</v>
      </c>
      <c r="D258" s="224">
        <v>609.68100424369072</v>
      </c>
      <c r="E258" s="32">
        <f t="shared" ref="E258:E321" ca="1" si="9">+ROUND(D258*$H$6,2)</f>
        <v>2.36</v>
      </c>
      <c r="F258" s="9">
        <f t="shared" ref="F258:F321" ca="1" si="10">+E258+D258</f>
        <v>612.04100424369074</v>
      </c>
      <c r="H258" s="32"/>
    </row>
    <row r="259" spans="1:8">
      <c r="A259">
        <v>41</v>
      </c>
      <c r="B259">
        <v>250</v>
      </c>
      <c r="C259" t="s">
        <v>445</v>
      </c>
      <c r="D259" s="224">
        <v>136.75772967061374</v>
      </c>
      <c r="E259" s="32">
        <f t="shared" ca="1" si="9"/>
        <v>0.53</v>
      </c>
      <c r="F259" s="9">
        <f t="shared" ca="1" si="10"/>
        <v>137.28772967061374</v>
      </c>
      <c r="H259" s="32"/>
    </row>
    <row r="260" spans="1:8">
      <c r="A260">
        <v>41</v>
      </c>
      <c r="B260">
        <v>250</v>
      </c>
      <c r="C260" t="s">
        <v>446</v>
      </c>
      <c r="D260" s="224">
        <v>146.2070823414054</v>
      </c>
      <c r="E260" s="32">
        <f t="shared" ca="1" si="9"/>
        <v>0.56999999999999995</v>
      </c>
      <c r="F260" s="9">
        <f t="shared" ca="1" si="10"/>
        <v>146.77708234140539</v>
      </c>
      <c r="H260" s="32"/>
    </row>
    <row r="261" spans="1:8">
      <c r="A261">
        <v>41</v>
      </c>
      <c r="B261">
        <v>250</v>
      </c>
      <c r="C261" t="s">
        <v>434</v>
      </c>
      <c r="D261" s="224">
        <v>60.769688554207661</v>
      </c>
      <c r="E261" s="32">
        <f t="shared" ca="1" si="9"/>
        <v>0.24</v>
      </c>
      <c r="F261" s="9">
        <f t="shared" ca="1" si="10"/>
        <v>61.009688554207663</v>
      </c>
      <c r="H261" s="32"/>
    </row>
    <row r="262" spans="1:8">
      <c r="A262">
        <v>41</v>
      </c>
      <c r="B262">
        <v>250</v>
      </c>
      <c r="C262" t="s">
        <v>414</v>
      </c>
      <c r="D262" s="224">
        <v>8.1026251405610221</v>
      </c>
      <c r="E262" s="32">
        <f t="shared" ca="1" si="9"/>
        <v>0.03</v>
      </c>
      <c r="F262" s="9">
        <f t="shared" ca="1" si="10"/>
        <v>8.1326251405610215</v>
      </c>
      <c r="H262" s="32"/>
    </row>
    <row r="263" spans="1:8">
      <c r="A263">
        <v>41</v>
      </c>
      <c r="B263">
        <v>250</v>
      </c>
      <c r="C263" t="s">
        <v>415</v>
      </c>
      <c r="D263" s="224">
        <v>8.1026251405610221</v>
      </c>
      <c r="E263" s="32">
        <f t="shared" ca="1" si="9"/>
        <v>0.03</v>
      </c>
      <c r="F263" s="9">
        <f t="shared" ca="1" si="10"/>
        <v>8.1326251405610215</v>
      </c>
      <c r="H263" s="32"/>
    </row>
    <row r="264" spans="1:8">
      <c r="A264">
        <v>41</v>
      </c>
      <c r="B264">
        <v>250</v>
      </c>
      <c r="C264" t="s">
        <v>416</v>
      </c>
      <c r="D264" s="224">
        <v>2.2259959177365443</v>
      </c>
      <c r="E264" s="32">
        <f t="shared" ca="1" si="9"/>
        <v>0.01</v>
      </c>
      <c r="F264" s="9">
        <f t="shared" ca="1" si="10"/>
        <v>2.235995917736544</v>
      </c>
      <c r="H264" s="32"/>
    </row>
    <row r="265" spans="1:8">
      <c r="A265">
        <v>42</v>
      </c>
      <c r="B265">
        <v>255</v>
      </c>
      <c r="C265" t="s">
        <v>447</v>
      </c>
      <c r="D265" s="224">
        <v>60.414161132071527</v>
      </c>
      <c r="E265" s="32">
        <f t="shared" ca="1" si="9"/>
        <v>0.23</v>
      </c>
      <c r="F265" s="9">
        <f t="shared" ca="1" si="10"/>
        <v>60.644161132071524</v>
      </c>
      <c r="H265" s="32"/>
    </row>
    <row r="266" spans="1:8">
      <c r="A266">
        <v>42</v>
      </c>
      <c r="B266">
        <v>255</v>
      </c>
      <c r="C266" t="s">
        <v>448</v>
      </c>
      <c r="D266" s="224">
        <v>261.58919960942194</v>
      </c>
      <c r="E266" s="32">
        <f t="shared" ca="1" si="9"/>
        <v>1.01</v>
      </c>
      <c r="F266" s="9">
        <f t="shared" ca="1" si="10"/>
        <v>262.59919960942193</v>
      </c>
      <c r="H266" s="32"/>
    </row>
    <row r="267" spans="1:8">
      <c r="A267">
        <v>42</v>
      </c>
      <c r="B267">
        <v>255</v>
      </c>
      <c r="C267" t="s">
        <v>449</v>
      </c>
      <c r="D267" s="224">
        <v>69.885773762040529</v>
      </c>
      <c r="E267" s="32">
        <f t="shared" ca="1" si="9"/>
        <v>0.27</v>
      </c>
      <c r="F267" s="9">
        <f t="shared" ca="1" si="10"/>
        <v>70.155773762040525</v>
      </c>
      <c r="H267" s="32"/>
    </row>
    <row r="268" spans="1:8">
      <c r="A268">
        <v>42</v>
      </c>
      <c r="B268">
        <v>255</v>
      </c>
      <c r="C268" t="s">
        <v>375</v>
      </c>
      <c r="D268" s="224">
        <v>74.415675454634396</v>
      </c>
      <c r="E268" s="32">
        <f t="shared" ca="1" si="9"/>
        <v>0.28999999999999998</v>
      </c>
      <c r="F268" s="9">
        <f t="shared" ca="1" si="10"/>
        <v>74.705675454634402</v>
      </c>
      <c r="H268" s="32"/>
    </row>
    <row r="269" spans="1:8">
      <c r="A269">
        <v>42</v>
      </c>
      <c r="B269">
        <v>255</v>
      </c>
      <c r="C269" t="s">
        <v>450</v>
      </c>
      <c r="D269" s="224">
        <v>85.207441187870501</v>
      </c>
      <c r="E269" s="32">
        <f t="shared" ca="1" si="9"/>
        <v>0.33</v>
      </c>
      <c r="F269" s="9">
        <f t="shared" ca="1" si="10"/>
        <v>85.537441187870499</v>
      </c>
      <c r="H269" s="32"/>
    </row>
    <row r="270" spans="1:8">
      <c r="A270">
        <v>42</v>
      </c>
      <c r="B270">
        <v>255</v>
      </c>
      <c r="C270" t="s">
        <v>451</v>
      </c>
      <c r="D270" s="224">
        <v>368.94477004980678</v>
      </c>
      <c r="E270" s="32">
        <f t="shared" ca="1" si="9"/>
        <v>1.43</v>
      </c>
      <c r="F270" s="9">
        <f t="shared" ca="1" si="10"/>
        <v>370.37477004980678</v>
      </c>
      <c r="H270" s="32"/>
    </row>
    <row r="271" spans="1:8">
      <c r="A271">
        <v>42</v>
      </c>
      <c r="B271">
        <v>255</v>
      </c>
      <c r="C271" t="s">
        <v>452</v>
      </c>
      <c r="D271" s="224">
        <v>94.634533899484779</v>
      </c>
      <c r="E271" s="32">
        <f t="shared" ca="1" si="9"/>
        <v>0.37</v>
      </c>
      <c r="F271" s="9">
        <f t="shared" ca="1" si="10"/>
        <v>95.004533899484784</v>
      </c>
      <c r="H271" s="32"/>
    </row>
    <row r="272" spans="1:8">
      <c r="A272">
        <v>42</v>
      </c>
      <c r="B272">
        <v>255</v>
      </c>
      <c r="C272" t="s">
        <v>384</v>
      </c>
      <c r="D272" s="224">
        <v>98.708106428942656</v>
      </c>
      <c r="E272" s="32">
        <f t="shared" ca="1" si="9"/>
        <v>0.38</v>
      </c>
      <c r="F272" s="9">
        <f t="shared" ca="1" si="10"/>
        <v>99.088106428942652</v>
      </c>
      <c r="H272" s="32"/>
    </row>
    <row r="273" spans="1:8">
      <c r="A273">
        <v>42</v>
      </c>
      <c r="B273">
        <v>255</v>
      </c>
      <c r="C273" t="s">
        <v>453</v>
      </c>
      <c r="D273" s="224">
        <v>114.92649381765</v>
      </c>
      <c r="E273" s="32">
        <f t="shared" ca="1" si="9"/>
        <v>0.45</v>
      </c>
      <c r="F273" s="9">
        <f t="shared" ca="1" si="10"/>
        <v>115.37649381765</v>
      </c>
      <c r="H273" s="32"/>
    </row>
    <row r="274" spans="1:8">
      <c r="A274">
        <v>42</v>
      </c>
      <c r="B274">
        <v>255</v>
      </c>
      <c r="C274" t="s">
        <v>454</v>
      </c>
      <c r="D274" s="224">
        <v>497.62704363899729</v>
      </c>
      <c r="E274" s="32">
        <f t="shared" ca="1" si="9"/>
        <v>1.93</v>
      </c>
      <c r="F274" s="9">
        <f t="shared" ca="1" si="10"/>
        <v>499.5570436389973</v>
      </c>
      <c r="H274" s="32"/>
    </row>
    <row r="275" spans="1:8">
      <c r="A275">
        <v>42</v>
      </c>
      <c r="B275">
        <v>255</v>
      </c>
      <c r="C275" t="s">
        <v>455</v>
      </c>
      <c r="D275" s="224">
        <v>124.37584648844164</v>
      </c>
      <c r="E275" s="32">
        <f t="shared" ca="1" si="9"/>
        <v>0.48</v>
      </c>
      <c r="F275" s="9">
        <f t="shared" ca="1" si="10"/>
        <v>124.85584648844164</v>
      </c>
      <c r="H275" s="32"/>
    </row>
    <row r="276" spans="1:8">
      <c r="A276">
        <v>42</v>
      </c>
      <c r="B276">
        <v>255</v>
      </c>
      <c r="C276" t="s">
        <v>393</v>
      </c>
      <c r="D276" s="224">
        <v>128.42715905872214</v>
      </c>
      <c r="E276" s="32">
        <f t="shared" ca="1" si="9"/>
        <v>0.5</v>
      </c>
      <c r="F276" s="9">
        <f t="shared" ca="1" si="10"/>
        <v>128.92715905872214</v>
      </c>
      <c r="H276" s="32"/>
    </row>
    <row r="277" spans="1:8">
      <c r="A277">
        <v>42</v>
      </c>
      <c r="B277">
        <v>255</v>
      </c>
      <c r="C277" t="s">
        <v>456</v>
      </c>
      <c r="D277" s="224">
        <v>136.75772967061374</v>
      </c>
      <c r="E277" s="32">
        <f t="shared" ca="1" si="9"/>
        <v>0.53</v>
      </c>
      <c r="F277" s="9">
        <f t="shared" ca="1" si="10"/>
        <v>137.28772967061374</v>
      </c>
      <c r="H277" s="32"/>
    </row>
    <row r="278" spans="1:8">
      <c r="A278">
        <v>42</v>
      </c>
      <c r="B278">
        <v>255</v>
      </c>
      <c r="C278" t="s">
        <v>457</v>
      </c>
      <c r="D278" s="224">
        <v>592.16241637110409</v>
      </c>
      <c r="E278" s="32">
        <f t="shared" ca="1" si="9"/>
        <v>2.2999999999999998</v>
      </c>
      <c r="F278" s="9">
        <f t="shared" ca="1" si="10"/>
        <v>594.46241637110404</v>
      </c>
      <c r="H278" s="32"/>
    </row>
    <row r="279" spans="1:8">
      <c r="A279">
        <v>42</v>
      </c>
      <c r="B279">
        <v>255</v>
      </c>
      <c r="C279" t="s">
        <v>458</v>
      </c>
      <c r="D279" s="224">
        <v>146.2070823414054</v>
      </c>
      <c r="E279" s="32">
        <f t="shared" ca="1" si="9"/>
        <v>0.56999999999999995</v>
      </c>
      <c r="F279" s="9">
        <f t="shared" ca="1" si="10"/>
        <v>146.77708234140539</v>
      </c>
      <c r="H279" s="32"/>
    </row>
    <row r="280" spans="1:8">
      <c r="A280">
        <v>42</v>
      </c>
      <c r="B280">
        <v>255</v>
      </c>
      <c r="C280" t="s">
        <v>402</v>
      </c>
      <c r="D280" s="224">
        <v>150.25839491168591</v>
      </c>
      <c r="E280" s="32">
        <f t="shared" ca="1" si="9"/>
        <v>0.57999999999999996</v>
      </c>
      <c r="F280" s="9">
        <f t="shared" ca="1" si="10"/>
        <v>150.83839491168592</v>
      </c>
      <c r="H280" s="32"/>
    </row>
    <row r="281" spans="1:8">
      <c r="A281">
        <v>42</v>
      </c>
      <c r="B281">
        <v>255</v>
      </c>
      <c r="C281" t="s">
        <v>434</v>
      </c>
      <c r="D281" s="224">
        <v>60.769688554207661</v>
      </c>
      <c r="E281" s="32">
        <f t="shared" ca="1" si="9"/>
        <v>0.24</v>
      </c>
      <c r="F281" s="9">
        <f t="shared" ca="1" si="10"/>
        <v>61.009688554207663</v>
      </c>
      <c r="H281" s="32"/>
    </row>
    <row r="282" spans="1:8">
      <c r="A282">
        <v>42</v>
      </c>
      <c r="B282">
        <v>255</v>
      </c>
      <c r="C282" t="s">
        <v>414</v>
      </c>
      <c r="D282" s="224">
        <v>8.1026251405610221</v>
      </c>
      <c r="E282" s="32">
        <f t="shared" ca="1" si="9"/>
        <v>0.03</v>
      </c>
      <c r="F282" s="9">
        <f t="shared" ca="1" si="10"/>
        <v>8.1326251405610215</v>
      </c>
      <c r="H282" s="32"/>
    </row>
    <row r="283" spans="1:8">
      <c r="A283">
        <v>42</v>
      </c>
      <c r="B283">
        <v>255</v>
      </c>
      <c r="C283" t="s">
        <v>415</v>
      </c>
      <c r="D283" s="224">
        <v>8.1026251405610221</v>
      </c>
      <c r="E283" s="32">
        <f t="shared" ca="1" si="9"/>
        <v>0.03</v>
      </c>
      <c r="F283" s="9">
        <f t="shared" ca="1" si="10"/>
        <v>8.1326251405610215</v>
      </c>
      <c r="H283" s="32"/>
    </row>
    <row r="284" spans="1:8">
      <c r="A284">
        <v>42</v>
      </c>
      <c r="B284">
        <v>255</v>
      </c>
      <c r="C284" t="s">
        <v>416</v>
      </c>
      <c r="D284" s="224">
        <v>2.2259959177365443</v>
      </c>
      <c r="E284" s="32">
        <f t="shared" ca="1" si="9"/>
        <v>0.01</v>
      </c>
      <c r="F284" s="9">
        <f t="shared" ca="1" si="10"/>
        <v>2.235995917736544</v>
      </c>
      <c r="H284" s="32"/>
    </row>
    <row r="285" spans="1:8">
      <c r="A285">
        <v>43</v>
      </c>
      <c r="B285">
        <v>260</v>
      </c>
      <c r="C285" t="s">
        <v>459</v>
      </c>
      <c r="D285" s="224">
        <v>102.62954178724337</v>
      </c>
      <c r="E285" s="32">
        <f t="shared" ca="1" si="9"/>
        <v>0.4</v>
      </c>
      <c r="F285" s="9">
        <f t="shared" ca="1" si="10"/>
        <v>103.02954178724337</v>
      </c>
      <c r="H285" s="32"/>
    </row>
    <row r="286" spans="1:8">
      <c r="A286">
        <v>43</v>
      </c>
      <c r="B286">
        <v>260</v>
      </c>
      <c r="C286" t="s">
        <v>460</v>
      </c>
      <c r="D286" s="224">
        <v>136.39789985930676</v>
      </c>
      <c r="E286" s="32">
        <f t="shared" ca="1" si="9"/>
        <v>0.53</v>
      </c>
      <c r="F286" s="9">
        <f t="shared" ca="1" si="10"/>
        <v>136.92789985930676</v>
      </c>
      <c r="H286" s="32"/>
    </row>
    <row r="287" spans="1:8">
      <c r="A287">
        <v>43</v>
      </c>
      <c r="B287">
        <v>260</v>
      </c>
      <c r="C287" t="s">
        <v>461</v>
      </c>
      <c r="D287" s="224">
        <v>109.38543939757379</v>
      </c>
      <c r="E287" s="32">
        <f t="shared" ca="1" si="9"/>
        <v>0.42</v>
      </c>
      <c r="F287" s="9">
        <f t="shared" ca="1" si="10"/>
        <v>109.80543939757379</v>
      </c>
      <c r="H287" s="32"/>
    </row>
    <row r="288" spans="1:8">
      <c r="A288">
        <v>43</v>
      </c>
      <c r="B288">
        <v>260</v>
      </c>
      <c r="C288" t="s">
        <v>462</v>
      </c>
      <c r="D288" s="224">
        <v>109.38543939757379</v>
      </c>
      <c r="E288" s="32">
        <f t="shared" ca="1" si="9"/>
        <v>0.42</v>
      </c>
      <c r="F288" s="9">
        <f t="shared" ca="1" si="10"/>
        <v>109.80543939757379</v>
      </c>
      <c r="H288" s="32"/>
    </row>
    <row r="289" spans="1:8">
      <c r="A289">
        <v>43</v>
      </c>
      <c r="B289">
        <v>260</v>
      </c>
      <c r="C289" t="s">
        <v>463</v>
      </c>
      <c r="D289" s="224">
        <v>68.872313694768678</v>
      </c>
      <c r="E289" s="32">
        <f t="shared" ca="1" si="9"/>
        <v>0.27</v>
      </c>
      <c r="F289" s="9">
        <f t="shared" ca="1" si="10"/>
        <v>69.142313694768674</v>
      </c>
      <c r="H289" s="32"/>
    </row>
    <row r="290" spans="1:8">
      <c r="A290">
        <v>43</v>
      </c>
      <c r="B290">
        <v>260</v>
      </c>
      <c r="C290" t="s">
        <v>464</v>
      </c>
      <c r="D290" s="224">
        <v>116.11907704872684</v>
      </c>
      <c r="E290" s="32">
        <f t="shared" ca="1" si="9"/>
        <v>0.45</v>
      </c>
      <c r="F290" s="9">
        <f t="shared" ca="1" si="10"/>
        <v>116.56907704872684</v>
      </c>
      <c r="H290" s="32"/>
    </row>
    <row r="291" spans="1:8">
      <c r="A291">
        <v>43</v>
      </c>
      <c r="B291">
        <v>260</v>
      </c>
      <c r="C291" t="s">
        <v>465</v>
      </c>
      <c r="D291" s="224">
        <v>101.28281425701277</v>
      </c>
      <c r="E291" s="32">
        <f t="shared" ca="1" si="9"/>
        <v>0.39</v>
      </c>
      <c r="F291" s="9">
        <f t="shared" ca="1" si="10"/>
        <v>101.67281425701277</v>
      </c>
      <c r="H291" s="32"/>
    </row>
    <row r="292" spans="1:8">
      <c r="A292">
        <v>43</v>
      </c>
      <c r="B292">
        <v>260</v>
      </c>
      <c r="C292" t="s">
        <v>466</v>
      </c>
      <c r="D292" s="224">
        <v>140.17096293987021</v>
      </c>
      <c r="E292" s="32">
        <f t="shared" ca="1" si="9"/>
        <v>0.54</v>
      </c>
      <c r="F292" s="9">
        <f t="shared" ca="1" si="10"/>
        <v>140.7109629398702</v>
      </c>
      <c r="H292" s="32"/>
    </row>
    <row r="293" spans="1:8">
      <c r="A293">
        <v>43</v>
      </c>
      <c r="B293">
        <v>260</v>
      </c>
      <c r="C293" t="s">
        <v>467</v>
      </c>
      <c r="D293" s="224">
        <v>140.98345144984404</v>
      </c>
      <c r="E293" s="32">
        <f t="shared" ca="1" si="9"/>
        <v>0.55000000000000004</v>
      </c>
      <c r="F293" s="9">
        <f t="shared" ca="1" si="10"/>
        <v>141.53345144984405</v>
      </c>
      <c r="H293" s="32"/>
    </row>
    <row r="294" spans="1:8">
      <c r="A294">
        <v>43</v>
      </c>
      <c r="B294">
        <v>260</v>
      </c>
      <c r="C294" t="s">
        <v>468</v>
      </c>
      <c r="D294" s="224">
        <v>174.74067954231873</v>
      </c>
      <c r="E294" s="32">
        <f t="shared" ca="1" si="9"/>
        <v>0.68</v>
      </c>
      <c r="F294" s="9">
        <f t="shared" ca="1" si="10"/>
        <v>175.42067954231874</v>
      </c>
      <c r="H294" s="32"/>
    </row>
    <row r="295" spans="1:8">
      <c r="A295">
        <v>43</v>
      </c>
      <c r="B295">
        <v>260</v>
      </c>
      <c r="C295" t="s">
        <v>469</v>
      </c>
      <c r="D295" s="224">
        <v>102.62954178724337</v>
      </c>
      <c r="E295" s="32">
        <f t="shared" ca="1" si="9"/>
        <v>0.4</v>
      </c>
      <c r="F295" s="9">
        <f t="shared" ca="1" si="10"/>
        <v>103.02954178724337</v>
      </c>
      <c r="H295" s="32"/>
    </row>
    <row r="296" spans="1:8">
      <c r="A296">
        <v>43</v>
      </c>
      <c r="B296">
        <v>260</v>
      </c>
      <c r="C296" t="s">
        <v>470</v>
      </c>
      <c r="D296" s="224">
        <v>136.39789985930676</v>
      </c>
      <c r="E296" s="32">
        <f t="shared" ca="1" si="9"/>
        <v>0.53</v>
      </c>
      <c r="F296" s="9">
        <f t="shared" ca="1" si="10"/>
        <v>136.92789985930676</v>
      </c>
      <c r="H296" s="32"/>
    </row>
    <row r="297" spans="1:8">
      <c r="A297">
        <v>43</v>
      </c>
      <c r="B297">
        <v>260</v>
      </c>
      <c r="C297" t="s">
        <v>471</v>
      </c>
      <c r="D297" s="224">
        <v>118.83479206836542</v>
      </c>
      <c r="E297" s="32">
        <f t="shared" ca="1" si="9"/>
        <v>0.46</v>
      </c>
      <c r="F297" s="9">
        <f t="shared" ca="1" si="10"/>
        <v>119.29479206836541</v>
      </c>
      <c r="H297" s="32"/>
    </row>
    <row r="298" spans="1:8">
      <c r="A298">
        <v>43</v>
      </c>
      <c r="B298">
        <v>260</v>
      </c>
      <c r="C298" t="s">
        <v>472</v>
      </c>
      <c r="D298" s="224">
        <v>118.83479206836542</v>
      </c>
      <c r="E298" s="32">
        <f t="shared" ca="1" si="9"/>
        <v>0.46</v>
      </c>
      <c r="F298" s="9">
        <f t="shared" ca="1" si="10"/>
        <v>119.29479206836541</v>
      </c>
      <c r="H298" s="32"/>
    </row>
    <row r="299" spans="1:8">
      <c r="A299">
        <v>43</v>
      </c>
      <c r="B299">
        <v>260</v>
      </c>
      <c r="C299" t="s">
        <v>473</v>
      </c>
      <c r="D299" s="224">
        <v>68.872313694768678</v>
      </c>
      <c r="E299" s="32">
        <f t="shared" ca="1" si="9"/>
        <v>0.27</v>
      </c>
      <c r="F299" s="9">
        <f t="shared" ca="1" si="10"/>
        <v>69.142313694768674</v>
      </c>
      <c r="H299" s="32"/>
    </row>
    <row r="300" spans="1:8">
      <c r="A300">
        <v>43</v>
      </c>
      <c r="B300">
        <v>260</v>
      </c>
      <c r="C300" t="s">
        <v>474</v>
      </c>
      <c r="D300" s="224">
        <v>125.57955969910715</v>
      </c>
      <c r="E300" s="32">
        <f t="shared" ca="1" si="9"/>
        <v>0.49</v>
      </c>
      <c r="F300" s="9">
        <f t="shared" ca="1" si="10"/>
        <v>126.06955969910715</v>
      </c>
      <c r="H300" s="32"/>
    </row>
    <row r="301" spans="1:8">
      <c r="A301">
        <v>43</v>
      </c>
      <c r="B301">
        <v>260</v>
      </c>
      <c r="C301" t="s">
        <v>475</v>
      </c>
      <c r="D301" s="224">
        <v>101.28281425701277</v>
      </c>
      <c r="E301" s="32">
        <f t="shared" ca="1" si="9"/>
        <v>0.39</v>
      </c>
      <c r="F301" s="9">
        <f t="shared" ca="1" si="10"/>
        <v>101.67281425701277</v>
      </c>
      <c r="H301" s="32"/>
    </row>
    <row r="302" spans="1:8">
      <c r="A302">
        <v>43</v>
      </c>
      <c r="B302">
        <v>260</v>
      </c>
      <c r="C302" t="s">
        <v>476</v>
      </c>
      <c r="D302" s="224">
        <v>153.13738916068556</v>
      </c>
      <c r="E302" s="32">
        <f t="shared" ca="1" si="9"/>
        <v>0.59</v>
      </c>
      <c r="F302" s="9">
        <f t="shared" ca="1" si="10"/>
        <v>153.72738916068556</v>
      </c>
      <c r="H302" s="32"/>
    </row>
    <row r="303" spans="1:8">
      <c r="A303">
        <v>43</v>
      </c>
      <c r="B303">
        <v>260</v>
      </c>
      <c r="C303" t="s">
        <v>477</v>
      </c>
      <c r="D303" s="224">
        <v>141.80706993940655</v>
      </c>
      <c r="E303" s="32">
        <f t="shared" ca="1" si="9"/>
        <v>0.55000000000000004</v>
      </c>
      <c r="F303" s="9">
        <f t="shared" ca="1" si="10"/>
        <v>142.35706993940656</v>
      </c>
      <c r="H303" s="32"/>
    </row>
    <row r="304" spans="1:8">
      <c r="A304">
        <v>43</v>
      </c>
      <c r="B304">
        <v>260</v>
      </c>
      <c r="C304" t="s">
        <v>478</v>
      </c>
      <c r="D304" s="224">
        <v>175.55316805229256</v>
      </c>
      <c r="E304" s="32">
        <f t="shared" ca="1" si="9"/>
        <v>0.68</v>
      </c>
      <c r="F304" s="9">
        <f t="shared" ca="1" si="10"/>
        <v>176.23316805229257</v>
      </c>
      <c r="H304" s="32"/>
    </row>
    <row r="305" spans="1:8">
      <c r="A305">
        <v>43</v>
      </c>
      <c r="B305">
        <v>260</v>
      </c>
      <c r="C305" t="s">
        <v>479</v>
      </c>
      <c r="D305" s="224">
        <v>102.62954178724337</v>
      </c>
      <c r="E305" s="32">
        <f t="shared" ca="1" si="9"/>
        <v>0.4</v>
      </c>
      <c r="F305" s="9">
        <f t="shared" ca="1" si="10"/>
        <v>103.02954178724337</v>
      </c>
      <c r="H305" s="32"/>
    </row>
    <row r="306" spans="1:8">
      <c r="A306">
        <v>43</v>
      </c>
      <c r="B306">
        <v>260</v>
      </c>
      <c r="C306" t="s">
        <v>480</v>
      </c>
      <c r="D306" s="224">
        <v>136.39789985930676</v>
      </c>
      <c r="E306" s="32">
        <f t="shared" ca="1" si="9"/>
        <v>0.53</v>
      </c>
      <c r="F306" s="9">
        <f t="shared" ca="1" si="10"/>
        <v>136.92789985930676</v>
      </c>
      <c r="H306" s="32"/>
    </row>
    <row r="307" spans="1:8">
      <c r="A307">
        <v>43</v>
      </c>
      <c r="B307">
        <v>260</v>
      </c>
      <c r="C307" t="s">
        <v>481</v>
      </c>
      <c r="D307" s="224">
        <v>132.34658728902625</v>
      </c>
      <c r="E307" s="32">
        <f t="shared" ca="1" si="9"/>
        <v>0.51</v>
      </c>
      <c r="F307" s="9">
        <f t="shared" ca="1" si="10"/>
        <v>132.85658728902624</v>
      </c>
      <c r="H307" s="32"/>
    </row>
    <row r="308" spans="1:8">
      <c r="A308">
        <v>43</v>
      </c>
      <c r="B308">
        <v>260</v>
      </c>
      <c r="C308" t="s">
        <v>482</v>
      </c>
      <c r="D308" s="224">
        <v>132.34658728902625</v>
      </c>
      <c r="E308" s="32">
        <f t="shared" ca="1" si="9"/>
        <v>0.51</v>
      </c>
      <c r="F308" s="9">
        <f t="shared" ca="1" si="10"/>
        <v>132.85658728902624</v>
      </c>
      <c r="H308" s="32"/>
    </row>
    <row r="309" spans="1:8">
      <c r="A309">
        <v>43</v>
      </c>
      <c r="B309">
        <v>260</v>
      </c>
      <c r="C309" t="s">
        <v>483</v>
      </c>
      <c r="D309" s="224">
        <v>68.872313694768678</v>
      </c>
      <c r="E309" s="32">
        <f t="shared" ca="1" si="9"/>
        <v>0.27</v>
      </c>
      <c r="F309" s="9">
        <f t="shared" ca="1" si="10"/>
        <v>69.142313694768674</v>
      </c>
      <c r="H309" s="32"/>
    </row>
    <row r="310" spans="1:8">
      <c r="A310">
        <v>43</v>
      </c>
      <c r="B310">
        <v>260</v>
      </c>
      <c r="C310" t="s">
        <v>484</v>
      </c>
      <c r="D310" s="224">
        <v>139.09135491976798</v>
      </c>
      <c r="E310" s="32">
        <f t="shared" ca="1" si="9"/>
        <v>0.54</v>
      </c>
      <c r="F310" s="9">
        <f t="shared" ca="1" si="10"/>
        <v>139.63135491976797</v>
      </c>
      <c r="H310" s="32"/>
    </row>
    <row r="311" spans="1:8">
      <c r="A311">
        <v>43</v>
      </c>
      <c r="B311">
        <v>260</v>
      </c>
      <c r="C311" t="s">
        <v>485</v>
      </c>
      <c r="D311" s="224">
        <v>101.28281425701277</v>
      </c>
      <c r="E311" s="32">
        <f t="shared" ca="1" si="9"/>
        <v>0.39</v>
      </c>
      <c r="F311" s="9">
        <f t="shared" ca="1" si="10"/>
        <v>101.67281425701277</v>
      </c>
      <c r="H311" s="32"/>
    </row>
    <row r="312" spans="1:8">
      <c r="A312">
        <v>43</v>
      </c>
      <c r="B312">
        <v>260</v>
      </c>
      <c r="C312" t="s">
        <v>486</v>
      </c>
      <c r="D312" s="224">
        <v>166.9051739118861</v>
      </c>
      <c r="E312" s="32">
        <f t="shared" ca="1" si="9"/>
        <v>0.65</v>
      </c>
      <c r="F312" s="9">
        <f t="shared" ca="1" si="10"/>
        <v>167.5551739118861</v>
      </c>
      <c r="H312" s="32"/>
    </row>
    <row r="313" spans="1:8">
      <c r="A313">
        <v>43</v>
      </c>
      <c r="B313">
        <v>260</v>
      </c>
      <c r="C313" t="s">
        <v>487</v>
      </c>
      <c r="D313" s="224">
        <v>141.80706993940655</v>
      </c>
      <c r="E313" s="32">
        <f t="shared" ca="1" si="9"/>
        <v>0.55000000000000004</v>
      </c>
      <c r="F313" s="9">
        <f t="shared" ca="1" si="10"/>
        <v>142.35706993940656</v>
      </c>
      <c r="H313" s="32"/>
    </row>
    <row r="314" spans="1:8">
      <c r="A314">
        <v>43</v>
      </c>
      <c r="B314">
        <v>260</v>
      </c>
      <c r="C314" t="s">
        <v>488</v>
      </c>
      <c r="D314" s="224">
        <v>175.55316805229256</v>
      </c>
      <c r="E314" s="32">
        <f t="shared" ca="1" si="9"/>
        <v>0.68</v>
      </c>
      <c r="F314" s="9">
        <f t="shared" ca="1" si="10"/>
        <v>176.23316805229257</v>
      </c>
      <c r="H314" s="32"/>
    </row>
    <row r="315" spans="1:8">
      <c r="A315">
        <v>43</v>
      </c>
      <c r="B315">
        <v>260</v>
      </c>
      <c r="C315" t="s">
        <v>489</v>
      </c>
      <c r="D315" s="224">
        <v>6.0769688554207661</v>
      </c>
      <c r="E315" s="32">
        <f t="shared" ca="1" si="9"/>
        <v>0.02</v>
      </c>
      <c r="F315" s="9">
        <f t="shared" ca="1" si="10"/>
        <v>6.0969688554207657</v>
      </c>
      <c r="H315" s="32"/>
    </row>
    <row r="316" spans="1:8">
      <c r="A316">
        <v>43</v>
      </c>
      <c r="B316">
        <v>260</v>
      </c>
      <c r="C316" t="s">
        <v>490</v>
      </c>
      <c r="D316" s="224">
        <v>7.501606242772155</v>
      </c>
      <c r="E316" s="32">
        <f t="shared" ca="1" si="9"/>
        <v>0.03</v>
      </c>
      <c r="F316" s="9">
        <f t="shared" ca="1" si="10"/>
        <v>7.5316062427721553</v>
      </c>
      <c r="H316" s="32"/>
    </row>
    <row r="317" spans="1:8">
      <c r="A317">
        <v>43</v>
      </c>
      <c r="B317">
        <v>260</v>
      </c>
      <c r="C317" t="s">
        <v>491</v>
      </c>
      <c r="D317" s="224">
        <v>5.7319394881716024</v>
      </c>
      <c r="E317" s="32">
        <f t="shared" ca="1" si="9"/>
        <v>0.02</v>
      </c>
      <c r="F317" s="9">
        <f t="shared" ca="1" si="10"/>
        <v>5.7519394881716019</v>
      </c>
      <c r="H317" s="32"/>
    </row>
    <row r="318" spans="1:8">
      <c r="A318">
        <v>43</v>
      </c>
      <c r="B318">
        <v>260</v>
      </c>
      <c r="C318" t="s">
        <v>492</v>
      </c>
      <c r="D318" s="224">
        <v>40.513125702805105</v>
      </c>
      <c r="E318" s="32">
        <f t="shared" ca="1" si="9"/>
        <v>0.16</v>
      </c>
      <c r="F318" s="9">
        <f t="shared" ca="1" si="10"/>
        <v>40.673125702805102</v>
      </c>
      <c r="H318" s="32"/>
    </row>
    <row r="319" spans="1:8">
      <c r="A319">
        <v>43</v>
      </c>
      <c r="B319">
        <v>260</v>
      </c>
      <c r="C319" t="s">
        <v>414</v>
      </c>
      <c r="D319" s="224">
        <v>8.1026251405610221</v>
      </c>
      <c r="E319" s="32">
        <f t="shared" ca="1" si="9"/>
        <v>0.03</v>
      </c>
      <c r="F319" s="9">
        <f t="shared" ca="1" si="10"/>
        <v>8.1326251405610215</v>
      </c>
      <c r="H319" s="32"/>
    </row>
    <row r="320" spans="1:8">
      <c r="A320">
        <v>43</v>
      </c>
      <c r="B320">
        <v>260</v>
      </c>
      <c r="C320" t="s">
        <v>415</v>
      </c>
      <c r="D320" s="224">
        <v>8.1026251405610221</v>
      </c>
      <c r="E320" s="32">
        <f t="shared" ca="1" si="9"/>
        <v>0.03</v>
      </c>
      <c r="F320" s="9">
        <f t="shared" ca="1" si="10"/>
        <v>8.1326251405610215</v>
      </c>
      <c r="H320" s="32"/>
    </row>
    <row r="321" spans="1:8">
      <c r="A321">
        <v>43</v>
      </c>
      <c r="B321">
        <v>260</v>
      </c>
      <c r="C321" t="s">
        <v>416</v>
      </c>
      <c r="D321" s="224">
        <v>2.2259959177365443</v>
      </c>
      <c r="E321" s="32">
        <f t="shared" ca="1" si="9"/>
        <v>0.01</v>
      </c>
      <c r="F321" s="9">
        <f t="shared" ca="1" si="10"/>
        <v>2.235995917736544</v>
      </c>
      <c r="H321" s="32"/>
    </row>
    <row r="322" spans="1:8">
      <c r="A322">
        <v>44</v>
      </c>
      <c r="B322">
        <v>260</v>
      </c>
      <c r="C322" t="s">
        <v>493</v>
      </c>
      <c r="D322" s="224">
        <v>134.3611135945778</v>
      </c>
      <c r="E322" s="32">
        <f t="shared" ref="E322:E385" ca="1" si="11">+ROUND(D322*$H$6,2)</f>
        <v>0.52</v>
      </c>
      <c r="F322" s="9">
        <f t="shared" ref="F322:F385" ca="1" si="12">+E322+D322</f>
        <v>134.88111359457781</v>
      </c>
      <c r="H322" s="32"/>
    </row>
    <row r="323" spans="1:8">
      <c r="A323">
        <v>44</v>
      </c>
      <c r="B323">
        <v>260</v>
      </c>
      <c r="C323" t="s">
        <v>494</v>
      </c>
      <c r="D323" s="224">
        <v>175.54203807270389</v>
      </c>
      <c r="E323" s="32">
        <f t="shared" ca="1" si="11"/>
        <v>0.68</v>
      </c>
      <c r="F323" s="9">
        <f t="shared" ca="1" si="12"/>
        <v>176.2220380727039</v>
      </c>
      <c r="H323" s="32"/>
    </row>
    <row r="324" spans="1:8">
      <c r="A324">
        <v>44</v>
      </c>
      <c r="B324">
        <v>260</v>
      </c>
      <c r="C324" t="s">
        <v>461</v>
      </c>
      <c r="D324" s="224">
        <v>398.37535941772069</v>
      </c>
      <c r="E324" s="32">
        <f t="shared" ca="1" si="11"/>
        <v>1.55</v>
      </c>
      <c r="F324" s="9">
        <f t="shared" ca="1" si="12"/>
        <v>399.9253594177207</v>
      </c>
      <c r="H324" s="32"/>
    </row>
    <row r="325" spans="1:8">
      <c r="A325">
        <v>44</v>
      </c>
      <c r="B325">
        <v>260</v>
      </c>
      <c r="C325" t="s">
        <v>462</v>
      </c>
      <c r="D325" s="224">
        <v>398.37535941772069</v>
      </c>
      <c r="E325" s="32">
        <f t="shared" ca="1" si="11"/>
        <v>1.55</v>
      </c>
      <c r="F325" s="9">
        <f t="shared" ca="1" si="12"/>
        <v>399.9253594177207</v>
      </c>
      <c r="H325" s="32"/>
    </row>
    <row r="326" spans="1:8">
      <c r="A326">
        <v>44</v>
      </c>
      <c r="B326">
        <v>260</v>
      </c>
      <c r="C326" t="s">
        <v>463</v>
      </c>
      <c r="D326" s="224">
        <v>357.86223371491553</v>
      </c>
      <c r="E326" s="32">
        <f t="shared" ca="1" si="11"/>
        <v>1.39</v>
      </c>
      <c r="F326" s="9">
        <f t="shared" ca="1" si="12"/>
        <v>359.25223371491552</v>
      </c>
      <c r="H326" s="32"/>
    </row>
    <row r="327" spans="1:8">
      <c r="A327">
        <v>44</v>
      </c>
      <c r="B327">
        <v>260</v>
      </c>
      <c r="C327" t="s">
        <v>464</v>
      </c>
      <c r="D327" s="224">
        <v>405.09786708928505</v>
      </c>
      <c r="E327" s="32">
        <f t="shared" ca="1" si="11"/>
        <v>1.57</v>
      </c>
      <c r="F327" s="9">
        <f t="shared" ca="1" si="12"/>
        <v>406.66786708928504</v>
      </c>
      <c r="H327" s="32"/>
    </row>
    <row r="328" spans="1:8">
      <c r="A328">
        <v>44</v>
      </c>
      <c r="B328">
        <v>260</v>
      </c>
      <c r="C328" t="s">
        <v>465</v>
      </c>
      <c r="D328" s="224">
        <v>384.85243421747111</v>
      </c>
      <c r="E328" s="32">
        <f t="shared" ca="1" si="11"/>
        <v>1.49</v>
      </c>
      <c r="F328" s="9">
        <f t="shared" ca="1" si="12"/>
        <v>386.34243421747112</v>
      </c>
      <c r="H328" s="32"/>
    </row>
    <row r="329" spans="1:8">
      <c r="A329">
        <v>44</v>
      </c>
      <c r="B329">
        <v>260</v>
      </c>
      <c r="C329" t="s">
        <v>466</v>
      </c>
      <c r="D329" s="224">
        <v>425.39894985904226</v>
      </c>
      <c r="E329" s="32">
        <f t="shared" ca="1" si="11"/>
        <v>1.65</v>
      </c>
      <c r="F329" s="9">
        <f t="shared" ca="1" si="12"/>
        <v>427.04894985904224</v>
      </c>
      <c r="H329" s="32"/>
    </row>
    <row r="330" spans="1:8">
      <c r="A330">
        <v>44</v>
      </c>
      <c r="B330">
        <v>260</v>
      </c>
      <c r="C330" t="s">
        <v>467</v>
      </c>
      <c r="D330" s="224">
        <v>175.54203807270389</v>
      </c>
      <c r="E330" s="32">
        <f t="shared" ca="1" si="11"/>
        <v>0.68</v>
      </c>
      <c r="F330" s="9">
        <f t="shared" ca="1" si="12"/>
        <v>176.2220380727039</v>
      </c>
      <c r="H330" s="32"/>
    </row>
    <row r="331" spans="1:8">
      <c r="A331">
        <v>44</v>
      </c>
      <c r="B331">
        <v>260</v>
      </c>
      <c r="C331" t="s">
        <v>468</v>
      </c>
      <c r="D331" s="224">
        <v>209.32152612435593</v>
      </c>
      <c r="E331" s="32">
        <f t="shared" ca="1" si="11"/>
        <v>0.81</v>
      </c>
      <c r="F331" s="9">
        <f t="shared" ca="1" si="12"/>
        <v>210.13152612435593</v>
      </c>
      <c r="H331" s="32"/>
    </row>
    <row r="332" spans="1:8">
      <c r="A332">
        <v>44</v>
      </c>
      <c r="B332">
        <v>260</v>
      </c>
      <c r="C332" t="s">
        <v>495</v>
      </c>
      <c r="D332" s="224">
        <v>134.3611135945778</v>
      </c>
      <c r="E332" s="32">
        <f t="shared" ca="1" si="11"/>
        <v>0.52</v>
      </c>
      <c r="F332" s="9">
        <f t="shared" ca="1" si="12"/>
        <v>134.88111359457781</v>
      </c>
      <c r="H332" s="32"/>
    </row>
    <row r="333" spans="1:8">
      <c r="A333">
        <v>44</v>
      </c>
      <c r="B333">
        <v>260</v>
      </c>
      <c r="C333" t="s">
        <v>496</v>
      </c>
      <c r="D333" s="224">
        <v>175.54203807270389</v>
      </c>
      <c r="E333" s="32">
        <f t="shared" ca="1" si="11"/>
        <v>0.68</v>
      </c>
      <c r="F333" s="9">
        <f t="shared" ca="1" si="12"/>
        <v>176.2220380727039</v>
      </c>
      <c r="H333" s="32"/>
    </row>
    <row r="334" spans="1:8">
      <c r="A334">
        <v>44</v>
      </c>
      <c r="B334">
        <v>260</v>
      </c>
      <c r="C334" t="s">
        <v>471</v>
      </c>
      <c r="D334" s="224">
        <v>398.37535941772069</v>
      </c>
      <c r="E334" s="32">
        <f t="shared" ca="1" si="11"/>
        <v>1.55</v>
      </c>
      <c r="F334" s="9">
        <f t="shared" ca="1" si="12"/>
        <v>399.9253594177207</v>
      </c>
      <c r="H334" s="32"/>
    </row>
    <row r="335" spans="1:8">
      <c r="A335">
        <v>44</v>
      </c>
      <c r="B335">
        <v>260</v>
      </c>
      <c r="C335" t="s">
        <v>472</v>
      </c>
      <c r="D335" s="224">
        <v>398.37535941772069</v>
      </c>
      <c r="E335" s="32">
        <f t="shared" ca="1" si="11"/>
        <v>1.55</v>
      </c>
      <c r="F335" s="9">
        <f t="shared" ca="1" si="12"/>
        <v>399.9253594177207</v>
      </c>
      <c r="H335" s="32"/>
    </row>
    <row r="336" spans="1:8">
      <c r="A336">
        <v>44</v>
      </c>
      <c r="B336">
        <v>260</v>
      </c>
      <c r="C336" t="s">
        <v>473</v>
      </c>
      <c r="D336" s="224">
        <v>357.86223371491553</v>
      </c>
      <c r="E336" s="32">
        <f t="shared" ca="1" si="11"/>
        <v>1.39</v>
      </c>
      <c r="F336" s="9">
        <f t="shared" ca="1" si="12"/>
        <v>359.25223371491552</v>
      </c>
      <c r="H336" s="32"/>
    </row>
    <row r="337" spans="1:8">
      <c r="A337">
        <v>44</v>
      </c>
      <c r="B337">
        <v>260</v>
      </c>
      <c r="C337" t="s">
        <v>474</v>
      </c>
      <c r="D337" s="224">
        <v>405.09786708928505</v>
      </c>
      <c r="E337" s="32">
        <f t="shared" ca="1" si="11"/>
        <v>1.57</v>
      </c>
      <c r="F337" s="9">
        <f t="shared" ca="1" si="12"/>
        <v>406.66786708928504</v>
      </c>
      <c r="H337" s="32"/>
    </row>
    <row r="338" spans="1:8">
      <c r="A338">
        <v>44</v>
      </c>
      <c r="B338">
        <v>260</v>
      </c>
      <c r="C338" t="s">
        <v>475</v>
      </c>
      <c r="D338" s="224">
        <v>384.85243421747111</v>
      </c>
      <c r="E338" s="32">
        <f t="shared" ca="1" si="11"/>
        <v>1.49</v>
      </c>
      <c r="F338" s="9">
        <f t="shared" ca="1" si="12"/>
        <v>386.34243421747112</v>
      </c>
      <c r="H338" s="32"/>
    </row>
    <row r="339" spans="1:8">
      <c r="A339">
        <v>44</v>
      </c>
      <c r="B339">
        <v>260</v>
      </c>
      <c r="C339" t="s">
        <v>476</v>
      </c>
      <c r="D339" s="224">
        <v>425.39894985904226</v>
      </c>
      <c r="E339" s="32">
        <f t="shared" ca="1" si="11"/>
        <v>1.65</v>
      </c>
      <c r="F339" s="9">
        <f t="shared" ca="1" si="12"/>
        <v>427.04894985904224</v>
      </c>
      <c r="H339" s="32"/>
    </row>
    <row r="340" spans="1:8">
      <c r="A340">
        <v>44</v>
      </c>
      <c r="B340">
        <v>260</v>
      </c>
      <c r="C340" t="s">
        <v>477</v>
      </c>
      <c r="D340" s="224">
        <v>175.54203807270389</v>
      </c>
      <c r="E340" s="32">
        <f t="shared" ca="1" si="11"/>
        <v>0.68</v>
      </c>
      <c r="F340" s="9">
        <f t="shared" ca="1" si="12"/>
        <v>176.2220380727039</v>
      </c>
      <c r="H340" s="32"/>
    </row>
    <row r="341" spans="1:8">
      <c r="A341">
        <v>44</v>
      </c>
      <c r="B341">
        <v>260</v>
      </c>
      <c r="C341" t="s">
        <v>478</v>
      </c>
      <c r="D341" s="224">
        <v>209.32152612435593</v>
      </c>
      <c r="E341" s="32">
        <f t="shared" ca="1" si="11"/>
        <v>0.81</v>
      </c>
      <c r="F341" s="9">
        <f t="shared" ca="1" si="12"/>
        <v>210.13152612435593</v>
      </c>
      <c r="H341" s="32"/>
    </row>
    <row r="342" spans="1:8">
      <c r="A342">
        <v>44</v>
      </c>
      <c r="B342">
        <v>260</v>
      </c>
      <c r="C342" t="s">
        <v>497</v>
      </c>
      <c r="D342" s="224">
        <v>134.3611135945778</v>
      </c>
      <c r="E342" s="32">
        <f t="shared" ca="1" si="11"/>
        <v>0.52</v>
      </c>
      <c r="F342" s="9">
        <f t="shared" ca="1" si="12"/>
        <v>134.88111359457781</v>
      </c>
      <c r="H342" s="32"/>
    </row>
    <row r="343" spans="1:8">
      <c r="A343">
        <v>44</v>
      </c>
      <c r="B343">
        <v>260</v>
      </c>
      <c r="C343" t="s">
        <v>498</v>
      </c>
      <c r="D343" s="224">
        <v>175.54203807270389</v>
      </c>
      <c r="E343" s="32">
        <f t="shared" ca="1" si="11"/>
        <v>0.68</v>
      </c>
      <c r="F343" s="9">
        <f t="shared" ca="1" si="12"/>
        <v>176.2220380727039</v>
      </c>
      <c r="H343" s="32"/>
    </row>
    <row r="344" spans="1:8">
      <c r="A344">
        <v>44</v>
      </c>
      <c r="B344">
        <v>260</v>
      </c>
      <c r="C344" t="s">
        <v>481</v>
      </c>
      <c r="D344" s="224">
        <v>398.37535941772069</v>
      </c>
      <c r="E344" s="32">
        <f t="shared" ca="1" si="11"/>
        <v>1.55</v>
      </c>
      <c r="F344" s="9">
        <f t="shared" ca="1" si="12"/>
        <v>399.9253594177207</v>
      </c>
      <c r="H344" s="32"/>
    </row>
    <row r="345" spans="1:8">
      <c r="A345">
        <v>44</v>
      </c>
      <c r="B345">
        <v>260</v>
      </c>
      <c r="C345" t="s">
        <v>482</v>
      </c>
      <c r="D345" s="224">
        <v>398.37535941772069</v>
      </c>
      <c r="E345" s="32">
        <f t="shared" ca="1" si="11"/>
        <v>1.55</v>
      </c>
      <c r="F345" s="9">
        <f t="shared" ca="1" si="12"/>
        <v>399.9253594177207</v>
      </c>
      <c r="H345" s="32"/>
    </row>
    <row r="346" spans="1:8">
      <c r="A346">
        <v>44</v>
      </c>
      <c r="B346">
        <v>260</v>
      </c>
      <c r="C346" t="s">
        <v>483</v>
      </c>
      <c r="D346" s="224">
        <v>357.86223371491553</v>
      </c>
      <c r="E346" s="32">
        <f t="shared" ca="1" si="11"/>
        <v>1.39</v>
      </c>
      <c r="F346" s="9">
        <f t="shared" ca="1" si="12"/>
        <v>359.25223371491552</v>
      </c>
      <c r="H346" s="32"/>
    </row>
    <row r="347" spans="1:8">
      <c r="A347">
        <v>44</v>
      </c>
      <c r="B347">
        <v>260</v>
      </c>
      <c r="C347" t="s">
        <v>484</v>
      </c>
      <c r="D347" s="224">
        <v>405.09786708928505</v>
      </c>
      <c r="E347" s="32">
        <f t="shared" ca="1" si="11"/>
        <v>1.57</v>
      </c>
      <c r="F347" s="9">
        <f t="shared" ca="1" si="12"/>
        <v>406.66786708928504</v>
      </c>
      <c r="H347" s="32"/>
    </row>
    <row r="348" spans="1:8">
      <c r="A348">
        <v>44</v>
      </c>
      <c r="B348">
        <v>260</v>
      </c>
      <c r="C348" t="s">
        <v>485</v>
      </c>
      <c r="D348" s="224">
        <v>384.85243421747111</v>
      </c>
      <c r="E348" s="32">
        <f t="shared" ca="1" si="11"/>
        <v>1.49</v>
      </c>
      <c r="F348" s="9">
        <f t="shared" ca="1" si="12"/>
        <v>386.34243421747112</v>
      </c>
      <c r="H348" s="32"/>
    </row>
    <row r="349" spans="1:8">
      <c r="A349">
        <v>44</v>
      </c>
      <c r="B349">
        <v>260</v>
      </c>
      <c r="C349" t="s">
        <v>486</v>
      </c>
      <c r="D349" s="224">
        <v>425.39894985904226</v>
      </c>
      <c r="E349" s="32">
        <f t="shared" ca="1" si="11"/>
        <v>1.65</v>
      </c>
      <c r="F349" s="9">
        <f t="shared" ca="1" si="12"/>
        <v>427.04894985904224</v>
      </c>
      <c r="H349" s="32"/>
    </row>
    <row r="350" spans="1:8">
      <c r="A350">
        <v>44</v>
      </c>
      <c r="B350">
        <v>260</v>
      </c>
      <c r="C350" t="s">
        <v>487</v>
      </c>
      <c r="D350" s="224">
        <v>175.54203807270389</v>
      </c>
      <c r="E350" s="32">
        <f t="shared" ca="1" si="11"/>
        <v>0.68</v>
      </c>
      <c r="F350" s="9">
        <f t="shared" ca="1" si="12"/>
        <v>176.2220380727039</v>
      </c>
      <c r="H350" s="32"/>
    </row>
    <row r="351" spans="1:8">
      <c r="A351">
        <v>44</v>
      </c>
      <c r="B351">
        <v>260</v>
      </c>
      <c r="C351" t="s">
        <v>488</v>
      </c>
      <c r="D351" s="224">
        <v>209.32152612435593</v>
      </c>
      <c r="E351" s="32">
        <f t="shared" ca="1" si="11"/>
        <v>0.81</v>
      </c>
      <c r="F351" s="9">
        <f t="shared" ca="1" si="12"/>
        <v>210.13152612435593</v>
      </c>
      <c r="H351" s="32"/>
    </row>
    <row r="352" spans="1:8">
      <c r="A352">
        <v>44</v>
      </c>
      <c r="B352">
        <v>260</v>
      </c>
      <c r="C352" t="s">
        <v>489</v>
      </c>
      <c r="D352" s="224">
        <v>7.76872575290054</v>
      </c>
      <c r="E352" s="32">
        <f t="shared" ca="1" si="11"/>
        <v>0.03</v>
      </c>
      <c r="F352" s="9">
        <f t="shared" ca="1" si="12"/>
        <v>7.7987257529005403</v>
      </c>
      <c r="H352" s="32"/>
    </row>
    <row r="353" spans="1:8">
      <c r="A353">
        <v>44</v>
      </c>
      <c r="B353">
        <v>260</v>
      </c>
      <c r="C353" t="s">
        <v>490</v>
      </c>
      <c r="D353" s="224">
        <v>9.1154532831311492</v>
      </c>
      <c r="E353" s="32">
        <f t="shared" ca="1" si="11"/>
        <v>0.04</v>
      </c>
      <c r="F353" s="9">
        <f t="shared" ca="1" si="12"/>
        <v>9.1554532831311484</v>
      </c>
      <c r="H353" s="32"/>
    </row>
    <row r="354" spans="1:8">
      <c r="A354">
        <v>44</v>
      </c>
      <c r="B354">
        <v>260</v>
      </c>
      <c r="C354" t="s">
        <v>491</v>
      </c>
      <c r="D354" s="224">
        <v>5.7319394881716024</v>
      </c>
      <c r="E354" s="32">
        <f t="shared" ca="1" si="11"/>
        <v>0.02</v>
      </c>
      <c r="F354" s="9">
        <f t="shared" ca="1" si="12"/>
        <v>5.7519394881716019</v>
      </c>
      <c r="H354" s="32"/>
    </row>
    <row r="355" spans="1:8">
      <c r="A355">
        <v>44</v>
      </c>
      <c r="B355">
        <v>260</v>
      </c>
      <c r="C355" t="s">
        <v>492</v>
      </c>
      <c r="D355" s="224">
        <v>40.513125702805105</v>
      </c>
      <c r="E355" s="32">
        <f t="shared" ca="1" si="11"/>
        <v>0.16</v>
      </c>
      <c r="F355" s="9">
        <f t="shared" ca="1" si="12"/>
        <v>40.673125702805102</v>
      </c>
      <c r="H355" s="32"/>
    </row>
    <row r="356" spans="1:8">
      <c r="A356">
        <v>44</v>
      </c>
      <c r="B356">
        <v>260</v>
      </c>
      <c r="C356" t="s">
        <v>414</v>
      </c>
      <c r="D356" s="224">
        <v>8.1026251405610221</v>
      </c>
      <c r="E356" s="32">
        <f t="shared" ca="1" si="11"/>
        <v>0.03</v>
      </c>
      <c r="F356" s="9">
        <f t="shared" ca="1" si="12"/>
        <v>8.1326251405610215</v>
      </c>
      <c r="H356" s="32"/>
    </row>
    <row r="357" spans="1:8">
      <c r="A357">
        <v>44</v>
      </c>
      <c r="B357">
        <v>260</v>
      </c>
      <c r="C357" t="s">
        <v>415</v>
      </c>
      <c r="D357" s="224">
        <v>8.1026251405610221</v>
      </c>
      <c r="E357" s="32">
        <f t="shared" ca="1" si="11"/>
        <v>0.03</v>
      </c>
      <c r="F357" s="9">
        <f t="shared" ca="1" si="12"/>
        <v>8.1326251405610215</v>
      </c>
      <c r="H357" s="32"/>
    </row>
    <row r="358" spans="1:8">
      <c r="A358">
        <v>44</v>
      </c>
      <c r="B358">
        <v>260</v>
      </c>
      <c r="C358" t="s">
        <v>416</v>
      </c>
      <c r="D358" s="224">
        <v>2.2259959177365443</v>
      </c>
      <c r="E358" s="32">
        <f t="shared" ca="1" si="11"/>
        <v>0.01</v>
      </c>
      <c r="F358" s="9">
        <f t="shared" ca="1" si="12"/>
        <v>2.235995917736544</v>
      </c>
      <c r="H358" s="32"/>
    </row>
    <row r="359" spans="1:8">
      <c r="A359">
        <v>45</v>
      </c>
      <c r="B359">
        <v>265</v>
      </c>
      <c r="C359" t="s">
        <v>499</v>
      </c>
      <c r="D359" s="224">
        <v>102.6184118076547</v>
      </c>
      <c r="E359" s="32">
        <f t="shared" ca="1" si="11"/>
        <v>0.4</v>
      </c>
      <c r="F359" s="9">
        <f t="shared" ca="1" si="12"/>
        <v>103.0184118076547</v>
      </c>
      <c r="H359" s="32"/>
    </row>
    <row r="360" spans="1:8">
      <c r="A360">
        <v>45</v>
      </c>
      <c r="B360">
        <v>265</v>
      </c>
      <c r="C360" t="s">
        <v>500</v>
      </c>
      <c r="D360" s="224">
        <v>75.672731223453823</v>
      </c>
      <c r="E360" s="32">
        <f t="shared" ca="1" si="11"/>
        <v>0.28999999999999998</v>
      </c>
      <c r="F360" s="9">
        <f t="shared" ca="1" si="12"/>
        <v>75.962731223453829</v>
      </c>
      <c r="H360" s="32"/>
    </row>
    <row r="361" spans="1:8">
      <c r="A361">
        <v>45</v>
      </c>
      <c r="B361">
        <v>265</v>
      </c>
      <c r="C361" t="s">
        <v>501</v>
      </c>
      <c r="D361" s="224">
        <v>112.07889445803501</v>
      </c>
      <c r="E361" s="32">
        <f t="shared" ca="1" si="11"/>
        <v>0.43</v>
      </c>
      <c r="F361" s="9">
        <f t="shared" ca="1" si="12"/>
        <v>112.50889445803502</v>
      </c>
      <c r="H361" s="32"/>
    </row>
    <row r="362" spans="1:8">
      <c r="A362">
        <v>45</v>
      </c>
      <c r="B362">
        <v>265</v>
      </c>
      <c r="C362" t="s">
        <v>502</v>
      </c>
      <c r="D362" s="224">
        <v>133.4150653295398</v>
      </c>
      <c r="E362" s="32">
        <f t="shared" ca="1" si="11"/>
        <v>0.52</v>
      </c>
      <c r="F362" s="9">
        <f t="shared" ca="1" si="12"/>
        <v>133.93506532953981</v>
      </c>
      <c r="H362" s="32"/>
    </row>
    <row r="363" spans="1:8">
      <c r="A363">
        <v>45</v>
      </c>
      <c r="B363">
        <v>265</v>
      </c>
      <c r="C363" t="s">
        <v>503</v>
      </c>
      <c r="D363" s="224">
        <v>106.66972437793521</v>
      </c>
      <c r="E363" s="32">
        <f t="shared" ca="1" si="11"/>
        <v>0.41</v>
      </c>
      <c r="F363" s="9">
        <f t="shared" ca="1" si="12"/>
        <v>107.07972437793521</v>
      </c>
      <c r="H363" s="32"/>
    </row>
    <row r="364" spans="1:8">
      <c r="A364">
        <v>45</v>
      </c>
      <c r="B364">
        <v>265</v>
      </c>
      <c r="C364" t="s">
        <v>504</v>
      </c>
      <c r="D364" s="224">
        <v>75.672731223453823</v>
      </c>
      <c r="E364" s="32">
        <f t="shared" ca="1" si="11"/>
        <v>0.28999999999999998</v>
      </c>
      <c r="F364" s="9">
        <f t="shared" ca="1" si="12"/>
        <v>75.962731223453829</v>
      </c>
      <c r="H364" s="32"/>
    </row>
    <row r="365" spans="1:8">
      <c r="A365">
        <v>45</v>
      </c>
      <c r="B365">
        <v>265</v>
      </c>
      <c r="C365" t="s">
        <v>505</v>
      </c>
      <c r="D365" s="224">
        <v>116.11907704872684</v>
      </c>
      <c r="E365" s="32">
        <f t="shared" ca="1" si="11"/>
        <v>0.45</v>
      </c>
      <c r="F365" s="9">
        <f t="shared" ca="1" si="12"/>
        <v>116.56907704872684</v>
      </c>
      <c r="H365" s="32"/>
    </row>
    <row r="366" spans="1:8">
      <c r="A366">
        <v>45</v>
      </c>
      <c r="B366">
        <v>265</v>
      </c>
      <c r="C366" t="s">
        <v>506</v>
      </c>
      <c r="D366" s="224">
        <v>137.46637789982029</v>
      </c>
      <c r="E366" s="32">
        <f t="shared" ca="1" si="11"/>
        <v>0.53</v>
      </c>
      <c r="F366" s="9">
        <f t="shared" ca="1" si="12"/>
        <v>137.99637789982029</v>
      </c>
      <c r="H366" s="32"/>
    </row>
    <row r="367" spans="1:8">
      <c r="A367">
        <v>45</v>
      </c>
      <c r="B367">
        <v>265</v>
      </c>
      <c r="C367" t="s">
        <v>507</v>
      </c>
      <c r="D367" s="224">
        <v>109.3743094179851</v>
      </c>
      <c r="E367" s="32">
        <f t="shared" ca="1" si="11"/>
        <v>0.42</v>
      </c>
      <c r="F367" s="9">
        <f t="shared" ca="1" si="12"/>
        <v>109.7943094179851</v>
      </c>
      <c r="H367" s="32"/>
    </row>
    <row r="368" spans="1:8">
      <c r="A368">
        <v>45</v>
      </c>
      <c r="B368">
        <v>265</v>
      </c>
      <c r="C368" t="s">
        <v>508</v>
      </c>
      <c r="D368" s="224">
        <v>75.672731223453823</v>
      </c>
      <c r="E368" s="32">
        <f t="shared" ca="1" si="11"/>
        <v>0.28999999999999998</v>
      </c>
      <c r="F368" s="9">
        <f t="shared" ca="1" si="12"/>
        <v>75.962731223453829</v>
      </c>
      <c r="H368" s="32"/>
    </row>
    <row r="369" spans="1:8">
      <c r="A369">
        <v>45</v>
      </c>
      <c r="B369">
        <v>265</v>
      </c>
      <c r="C369" t="s">
        <v>464</v>
      </c>
      <c r="D369" s="224">
        <v>118.82366208877674</v>
      </c>
      <c r="E369" s="32">
        <f t="shared" ca="1" si="11"/>
        <v>0.46</v>
      </c>
      <c r="F369" s="9">
        <f t="shared" ca="1" si="12"/>
        <v>119.28366208877674</v>
      </c>
      <c r="H369" s="32"/>
    </row>
    <row r="370" spans="1:8">
      <c r="A370">
        <v>45</v>
      </c>
      <c r="B370">
        <v>265</v>
      </c>
      <c r="C370" t="s">
        <v>466</v>
      </c>
      <c r="D370" s="224">
        <v>140.17096293987021</v>
      </c>
      <c r="E370" s="32">
        <f t="shared" ca="1" si="11"/>
        <v>0.54</v>
      </c>
      <c r="F370" s="9">
        <f t="shared" ca="1" si="12"/>
        <v>140.7109629398702</v>
      </c>
      <c r="H370" s="32"/>
    </row>
    <row r="371" spans="1:8">
      <c r="A371">
        <v>45</v>
      </c>
      <c r="B371">
        <v>265</v>
      </c>
      <c r="C371" t="s">
        <v>509</v>
      </c>
      <c r="D371" s="224">
        <v>130.55466057524831</v>
      </c>
      <c r="E371" s="32">
        <f t="shared" ca="1" si="11"/>
        <v>0.51</v>
      </c>
      <c r="F371" s="9">
        <f t="shared" ca="1" si="12"/>
        <v>131.0646605752483</v>
      </c>
      <c r="H371" s="32"/>
    </row>
    <row r="372" spans="1:8">
      <c r="A372">
        <v>45</v>
      </c>
      <c r="B372">
        <v>265</v>
      </c>
      <c r="C372" t="s">
        <v>510</v>
      </c>
      <c r="D372" s="224">
        <v>75.672731223453823</v>
      </c>
      <c r="E372" s="32">
        <f t="shared" ca="1" si="11"/>
        <v>0.28999999999999998</v>
      </c>
      <c r="F372" s="9">
        <f t="shared" ca="1" si="12"/>
        <v>75.962731223453829</v>
      </c>
      <c r="H372" s="32"/>
    </row>
    <row r="373" spans="1:8">
      <c r="A373">
        <v>45</v>
      </c>
      <c r="B373">
        <v>265</v>
      </c>
      <c r="C373" t="s">
        <v>474</v>
      </c>
      <c r="D373" s="224">
        <v>128.28414473915706</v>
      </c>
      <c r="E373" s="32">
        <f t="shared" ca="1" si="11"/>
        <v>0.5</v>
      </c>
      <c r="F373" s="9">
        <f t="shared" ca="1" si="12"/>
        <v>128.78414473915706</v>
      </c>
      <c r="H373" s="32"/>
    </row>
    <row r="374" spans="1:8">
      <c r="A374">
        <v>45</v>
      </c>
      <c r="B374">
        <v>265</v>
      </c>
      <c r="C374" t="s">
        <v>476</v>
      </c>
      <c r="D374" s="224">
        <v>153.13738916068556</v>
      </c>
      <c r="E374" s="32">
        <f t="shared" ca="1" si="11"/>
        <v>0.59</v>
      </c>
      <c r="F374" s="9">
        <f t="shared" ca="1" si="12"/>
        <v>153.72738916068556</v>
      </c>
      <c r="H374" s="32"/>
    </row>
    <row r="375" spans="1:8">
      <c r="A375">
        <v>45</v>
      </c>
      <c r="B375">
        <v>265</v>
      </c>
      <c r="C375" t="s">
        <v>511</v>
      </c>
      <c r="D375" s="224">
        <v>145.40205334655107</v>
      </c>
      <c r="E375" s="32">
        <f t="shared" ca="1" si="11"/>
        <v>0.56000000000000005</v>
      </c>
      <c r="F375" s="9">
        <f t="shared" ca="1" si="12"/>
        <v>145.96205334655107</v>
      </c>
      <c r="H375" s="32"/>
    </row>
    <row r="376" spans="1:8">
      <c r="A376">
        <v>45</v>
      </c>
      <c r="B376">
        <v>265</v>
      </c>
      <c r="C376" t="s">
        <v>512</v>
      </c>
      <c r="D376" s="224">
        <v>75.672731223453823</v>
      </c>
      <c r="E376" s="32">
        <f t="shared" ca="1" si="11"/>
        <v>0.28999999999999998</v>
      </c>
      <c r="F376" s="9">
        <f t="shared" ca="1" si="12"/>
        <v>75.962731223453829</v>
      </c>
      <c r="H376" s="32"/>
    </row>
    <row r="377" spans="1:8">
      <c r="A377">
        <v>45</v>
      </c>
      <c r="B377">
        <v>265</v>
      </c>
      <c r="C377" t="s">
        <v>484</v>
      </c>
      <c r="D377" s="224">
        <v>141.79593995981787</v>
      </c>
      <c r="E377" s="32">
        <f t="shared" ca="1" si="11"/>
        <v>0.55000000000000004</v>
      </c>
      <c r="F377" s="9">
        <f t="shared" ca="1" si="12"/>
        <v>142.34593995981788</v>
      </c>
      <c r="H377" s="32"/>
    </row>
    <row r="378" spans="1:8">
      <c r="A378">
        <v>45</v>
      </c>
      <c r="B378">
        <v>265</v>
      </c>
      <c r="C378" t="s">
        <v>486</v>
      </c>
      <c r="D378" s="224">
        <v>166.9051739118861</v>
      </c>
      <c r="E378" s="32">
        <f t="shared" ca="1" si="11"/>
        <v>0.65</v>
      </c>
      <c r="F378" s="9">
        <f t="shared" ca="1" si="12"/>
        <v>167.5551739118861</v>
      </c>
      <c r="H378" s="32"/>
    </row>
    <row r="379" spans="1:8">
      <c r="A379">
        <v>45</v>
      </c>
      <c r="B379">
        <v>265</v>
      </c>
      <c r="C379" t="s">
        <v>491</v>
      </c>
      <c r="D379" s="224">
        <v>5.7319394881716024</v>
      </c>
      <c r="E379" s="32">
        <f t="shared" ca="1" si="11"/>
        <v>0.02</v>
      </c>
      <c r="F379" s="9">
        <f t="shared" ca="1" si="12"/>
        <v>5.7519394881716019</v>
      </c>
      <c r="H379" s="32"/>
    </row>
    <row r="380" spans="1:8">
      <c r="A380">
        <v>45</v>
      </c>
      <c r="B380">
        <v>265</v>
      </c>
      <c r="C380" t="s">
        <v>492</v>
      </c>
      <c r="D380" s="224">
        <v>40.513125702805105</v>
      </c>
      <c r="E380" s="32">
        <f t="shared" ca="1" si="11"/>
        <v>0.16</v>
      </c>
      <c r="F380" s="9">
        <f t="shared" ca="1" si="12"/>
        <v>40.673125702805102</v>
      </c>
      <c r="H380" s="32"/>
    </row>
    <row r="381" spans="1:8">
      <c r="A381">
        <v>45</v>
      </c>
      <c r="B381">
        <v>265</v>
      </c>
      <c r="C381" t="s">
        <v>414</v>
      </c>
      <c r="D381" s="224">
        <v>8.1026251405610221</v>
      </c>
      <c r="E381" s="32">
        <f t="shared" ca="1" si="11"/>
        <v>0.03</v>
      </c>
      <c r="F381" s="9">
        <f t="shared" ca="1" si="12"/>
        <v>8.1326251405610215</v>
      </c>
      <c r="H381" s="32"/>
    </row>
    <row r="382" spans="1:8">
      <c r="A382">
        <v>45</v>
      </c>
      <c r="B382">
        <v>265</v>
      </c>
      <c r="C382" t="s">
        <v>415</v>
      </c>
      <c r="D382" s="224">
        <v>8.1026251405610221</v>
      </c>
      <c r="E382" s="32">
        <f t="shared" ca="1" si="11"/>
        <v>0.03</v>
      </c>
      <c r="F382" s="9">
        <f t="shared" ca="1" si="12"/>
        <v>8.1326251405610215</v>
      </c>
      <c r="H382" s="32"/>
    </row>
    <row r="383" spans="1:8">
      <c r="A383">
        <v>45</v>
      </c>
      <c r="B383">
        <v>265</v>
      </c>
      <c r="C383" t="s">
        <v>416</v>
      </c>
      <c r="D383" s="224">
        <v>2.2259959177365443</v>
      </c>
      <c r="E383" s="32">
        <f t="shared" ca="1" si="11"/>
        <v>0.01</v>
      </c>
      <c r="F383" s="9">
        <f t="shared" ca="1" si="12"/>
        <v>2.235995917736544</v>
      </c>
      <c r="H383" s="32"/>
    </row>
    <row r="384" spans="1:8">
      <c r="A384">
        <v>46</v>
      </c>
      <c r="B384">
        <v>270</v>
      </c>
      <c r="C384" t="s">
        <v>513</v>
      </c>
      <c r="D384" s="224">
        <v>202.55449853443685</v>
      </c>
      <c r="E384" s="32">
        <f t="shared" ca="1" si="11"/>
        <v>0.79</v>
      </c>
      <c r="F384" s="9">
        <f t="shared" ca="1" si="12"/>
        <v>203.34449853443684</v>
      </c>
      <c r="H384" s="32"/>
    </row>
    <row r="385" spans="1:8">
      <c r="A385">
        <v>46</v>
      </c>
      <c r="B385">
        <v>270</v>
      </c>
      <c r="C385" t="s">
        <v>461</v>
      </c>
      <c r="D385" s="224">
        <v>174.19531054247327</v>
      </c>
      <c r="E385" s="32">
        <f t="shared" ca="1" si="11"/>
        <v>0.68</v>
      </c>
      <c r="F385" s="9">
        <f t="shared" ca="1" si="12"/>
        <v>174.87531054247327</v>
      </c>
      <c r="H385" s="32"/>
    </row>
    <row r="386" spans="1:8">
      <c r="A386">
        <v>46</v>
      </c>
      <c r="B386">
        <v>270</v>
      </c>
      <c r="C386" t="s">
        <v>462</v>
      </c>
      <c r="D386" s="224">
        <v>174.19531054247327</v>
      </c>
      <c r="E386" s="32">
        <f t="shared" ref="E386:E420" ca="1" si="13">+ROUND(D386*$H$6,2)</f>
        <v>0.68</v>
      </c>
      <c r="F386" s="9">
        <f t="shared" ref="F386:F420" ca="1" si="14">+E386+D386</f>
        <v>174.87531054247327</v>
      </c>
      <c r="H386" s="32"/>
    </row>
    <row r="387" spans="1:8">
      <c r="A387">
        <v>46</v>
      </c>
      <c r="B387">
        <v>270</v>
      </c>
      <c r="C387" t="s">
        <v>514</v>
      </c>
      <c r="D387" s="224">
        <v>83.140947527459929</v>
      </c>
      <c r="E387" s="32">
        <f t="shared" ca="1" si="13"/>
        <v>0.32</v>
      </c>
      <c r="F387" s="9">
        <f t="shared" ca="1" si="14"/>
        <v>83.460947527459922</v>
      </c>
      <c r="H387" s="32"/>
    </row>
    <row r="388" spans="1:8">
      <c r="A388">
        <v>46</v>
      </c>
      <c r="B388">
        <v>270</v>
      </c>
      <c r="C388" t="s">
        <v>464</v>
      </c>
      <c r="D388" s="224">
        <v>183.65579319285359</v>
      </c>
      <c r="E388" s="32">
        <f t="shared" ca="1" si="13"/>
        <v>0.71</v>
      </c>
      <c r="F388" s="9">
        <f t="shared" ca="1" si="14"/>
        <v>184.3657931928536</v>
      </c>
      <c r="H388" s="32"/>
    </row>
    <row r="389" spans="1:8">
      <c r="A389">
        <v>46</v>
      </c>
      <c r="B389">
        <v>270</v>
      </c>
      <c r="C389" t="s">
        <v>515</v>
      </c>
      <c r="D389" s="224">
        <v>202.55449853443685</v>
      </c>
      <c r="E389" s="32">
        <f t="shared" ca="1" si="13"/>
        <v>0.79</v>
      </c>
      <c r="F389" s="9">
        <f t="shared" ca="1" si="14"/>
        <v>203.34449853443684</v>
      </c>
      <c r="H389" s="32"/>
    </row>
    <row r="390" spans="1:8">
      <c r="A390">
        <v>46</v>
      </c>
      <c r="B390">
        <v>270</v>
      </c>
      <c r="C390" t="s">
        <v>471</v>
      </c>
      <c r="D390" s="224">
        <v>193.11627584323389</v>
      </c>
      <c r="E390" s="32">
        <f t="shared" ca="1" si="13"/>
        <v>0.75</v>
      </c>
      <c r="F390" s="9">
        <f t="shared" ca="1" si="14"/>
        <v>193.86627584323389</v>
      </c>
      <c r="H390" s="32"/>
    </row>
    <row r="391" spans="1:8">
      <c r="A391">
        <v>46</v>
      </c>
      <c r="B391">
        <v>270</v>
      </c>
      <c r="C391" t="s">
        <v>472</v>
      </c>
      <c r="D391" s="224">
        <v>193.11627584323389</v>
      </c>
      <c r="E391" s="32">
        <f t="shared" ca="1" si="13"/>
        <v>0.75</v>
      </c>
      <c r="F391" s="9">
        <f t="shared" ca="1" si="14"/>
        <v>193.86627584323389</v>
      </c>
      <c r="H391" s="32"/>
    </row>
    <row r="392" spans="1:8">
      <c r="A392">
        <v>46</v>
      </c>
      <c r="B392">
        <v>270</v>
      </c>
      <c r="C392" t="s">
        <v>516</v>
      </c>
      <c r="D392" s="224">
        <v>83.140947527459929</v>
      </c>
      <c r="E392" s="32">
        <f t="shared" ca="1" si="13"/>
        <v>0.32</v>
      </c>
      <c r="F392" s="9">
        <f t="shared" ca="1" si="14"/>
        <v>83.460947527459922</v>
      </c>
      <c r="H392" s="32"/>
    </row>
    <row r="393" spans="1:8">
      <c r="A393">
        <v>46</v>
      </c>
      <c r="B393">
        <v>270</v>
      </c>
      <c r="C393" t="s">
        <v>474</v>
      </c>
      <c r="D393" s="224">
        <v>202.55449853443685</v>
      </c>
      <c r="E393" s="32">
        <f t="shared" ca="1" si="13"/>
        <v>0.79</v>
      </c>
      <c r="F393" s="9">
        <f t="shared" ca="1" si="14"/>
        <v>203.34449853443684</v>
      </c>
      <c r="H393" s="32"/>
    </row>
    <row r="394" spans="1:8">
      <c r="A394">
        <v>46</v>
      </c>
      <c r="B394">
        <v>270</v>
      </c>
      <c r="C394" t="s">
        <v>517</v>
      </c>
      <c r="D394" s="224">
        <v>202.55449853443685</v>
      </c>
      <c r="E394" s="32">
        <f t="shared" ca="1" si="13"/>
        <v>0.79</v>
      </c>
      <c r="F394" s="9">
        <f t="shared" ca="1" si="14"/>
        <v>203.34449853443684</v>
      </c>
      <c r="H394" s="32"/>
    </row>
    <row r="395" spans="1:8">
      <c r="A395">
        <v>46</v>
      </c>
      <c r="B395">
        <v>270</v>
      </c>
      <c r="C395" t="s">
        <v>481</v>
      </c>
      <c r="D395" s="224">
        <v>202.56562851402555</v>
      </c>
      <c r="E395" s="32">
        <f t="shared" ca="1" si="13"/>
        <v>0.79</v>
      </c>
      <c r="F395" s="9">
        <f t="shared" ca="1" si="14"/>
        <v>203.35562851402554</v>
      </c>
      <c r="H395" s="32"/>
    </row>
    <row r="396" spans="1:8">
      <c r="A396">
        <v>46</v>
      </c>
      <c r="B396">
        <v>270</v>
      </c>
      <c r="C396" t="s">
        <v>482</v>
      </c>
      <c r="D396" s="224">
        <v>202.56562851402555</v>
      </c>
      <c r="E396" s="32">
        <f t="shared" ca="1" si="13"/>
        <v>0.79</v>
      </c>
      <c r="F396" s="9">
        <f t="shared" ca="1" si="14"/>
        <v>203.35562851402554</v>
      </c>
      <c r="H396" s="32"/>
    </row>
    <row r="397" spans="1:8">
      <c r="A397">
        <v>46</v>
      </c>
      <c r="B397">
        <v>270</v>
      </c>
      <c r="C397" t="s">
        <v>518</v>
      </c>
      <c r="D397" s="224">
        <v>83.140947527459929</v>
      </c>
      <c r="E397" s="32">
        <f t="shared" ca="1" si="13"/>
        <v>0.32</v>
      </c>
      <c r="F397" s="9">
        <f t="shared" ca="1" si="14"/>
        <v>83.460947527459922</v>
      </c>
      <c r="H397" s="32"/>
    </row>
    <row r="398" spans="1:8">
      <c r="A398">
        <v>46</v>
      </c>
      <c r="B398">
        <v>270</v>
      </c>
      <c r="C398" t="s">
        <v>484</v>
      </c>
      <c r="D398" s="224">
        <v>212.00385120522847</v>
      </c>
      <c r="E398" s="32">
        <f t="shared" ca="1" si="13"/>
        <v>0.82</v>
      </c>
      <c r="F398" s="9">
        <f t="shared" ca="1" si="14"/>
        <v>212.82385120522846</v>
      </c>
      <c r="H398" s="32"/>
    </row>
    <row r="399" spans="1:8">
      <c r="A399">
        <v>46</v>
      </c>
      <c r="B399">
        <v>270</v>
      </c>
      <c r="C399" t="s">
        <v>491</v>
      </c>
      <c r="D399" s="224">
        <v>5.7319394881716024</v>
      </c>
      <c r="E399" s="32">
        <f t="shared" ca="1" si="13"/>
        <v>0.02</v>
      </c>
      <c r="F399" s="9">
        <f t="shared" ca="1" si="14"/>
        <v>5.7519394881716019</v>
      </c>
      <c r="H399" s="32"/>
    </row>
    <row r="400" spans="1:8">
      <c r="A400">
        <v>46</v>
      </c>
      <c r="B400">
        <v>270</v>
      </c>
      <c r="C400" t="s">
        <v>414</v>
      </c>
      <c r="D400" s="224">
        <v>8.1026251405610221</v>
      </c>
      <c r="E400" s="32">
        <f t="shared" ca="1" si="13"/>
        <v>0.03</v>
      </c>
      <c r="F400" s="9">
        <f t="shared" ca="1" si="14"/>
        <v>8.1326251405610215</v>
      </c>
      <c r="H400" s="32"/>
    </row>
    <row r="401" spans="1:8">
      <c r="A401">
        <v>46</v>
      </c>
      <c r="B401">
        <v>270</v>
      </c>
      <c r="C401" t="s">
        <v>415</v>
      </c>
      <c r="D401" s="224">
        <v>8.1026251405610221</v>
      </c>
      <c r="E401" s="32">
        <f t="shared" ca="1" si="13"/>
        <v>0.03</v>
      </c>
      <c r="F401" s="9">
        <f t="shared" ca="1" si="14"/>
        <v>8.1326251405610215</v>
      </c>
      <c r="H401" s="32"/>
    </row>
    <row r="402" spans="1:8">
      <c r="A402">
        <v>46</v>
      </c>
      <c r="B402">
        <v>270</v>
      </c>
      <c r="C402" t="s">
        <v>416</v>
      </c>
      <c r="D402" s="224">
        <v>2.2259959177365443</v>
      </c>
      <c r="E402" s="32">
        <f t="shared" ca="1" si="13"/>
        <v>0.01</v>
      </c>
      <c r="F402" s="9">
        <f t="shared" ca="1" si="14"/>
        <v>2.235995917736544</v>
      </c>
      <c r="H402" s="32"/>
    </row>
    <row r="403" spans="1:8">
      <c r="A403">
        <v>47</v>
      </c>
      <c r="B403">
        <v>275</v>
      </c>
      <c r="C403" t="s">
        <v>507</v>
      </c>
      <c r="D403" s="224">
        <v>174.19531054247327</v>
      </c>
      <c r="E403" s="32">
        <f t="shared" ca="1" si="13"/>
        <v>0.68</v>
      </c>
      <c r="F403" s="9">
        <f t="shared" ca="1" si="14"/>
        <v>174.87531054247327</v>
      </c>
      <c r="H403" s="32"/>
    </row>
    <row r="404" spans="1:8">
      <c r="A404">
        <v>47</v>
      </c>
      <c r="B404">
        <v>275</v>
      </c>
      <c r="C404" t="s">
        <v>508</v>
      </c>
      <c r="D404" s="224">
        <v>83.140947527459929</v>
      </c>
      <c r="E404" s="32">
        <f t="shared" ca="1" si="13"/>
        <v>0.32</v>
      </c>
      <c r="F404" s="9">
        <f t="shared" ca="1" si="14"/>
        <v>83.460947527459922</v>
      </c>
      <c r="H404" s="32"/>
    </row>
    <row r="405" spans="1:8">
      <c r="A405">
        <v>47</v>
      </c>
      <c r="B405">
        <v>275</v>
      </c>
      <c r="C405" t="s">
        <v>464</v>
      </c>
      <c r="D405" s="224">
        <v>183.65579319285359</v>
      </c>
      <c r="E405" s="32">
        <f t="shared" ca="1" si="13"/>
        <v>0.71</v>
      </c>
      <c r="F405" s="9">
        <f t="shared" ca="1" si="14"/>
        <v>184.3657931928536</v>
      </c>
      <c r="H405" s="32"/>
    </row>
    <row r="406" spans="1:8">
      <c r="A406">
        <v>47</v>
      </c>
      <c r="B406">
        <v>275</v>
      </c>
      <c r="C406" t="s">
        <v>466</v>
      </c>
      <c r="D406" s="224">
        <v>190.4005608235953</v>
      </c>
      <c r="E406" s="32">
        <f t="shared" ca="1" si="13"/>
        <v>0.74</v>
      </c>
      <c r="F406" s="9">
        <f t="shared" ca="1" si="14"/>
        <v>191.14056082359531</v>
      </c>
      <c r="H406" s="32"/>
    </row>
    <row r="407" spans="1:8">
      <c r="A407">
        <v>47</v>
      </c>
      <c r="B407">
        <v>275</v>
      </c>
      <c r="C407" t="s">
        <v>509</v>
      </c>
      <c r="D407" s="224">
        <v>193.11627584323389</v>
      </c>
      <c r="E407" s="32">
        <f t="shared" ca="1" si="13"/>
        <v>0.75</v>
      </c>
      <c r="F407" s="9">
        <f t="shared" ca="1" si="14"/>
        <v>193.86627584323389</v>
      </c>
      <c r="H407" s="32"/>
    </row>
    <row r="408" spans="1:8">
      <c r="A408">
        <v>47</v>
      </c>
      <c r="B408">
        <v>275</v>
      </c>
      <c r="C408" t="s">
        <v>510</v>
      </c>
      <c r="D408" s="224">
        <v>83.140947527459929</v>
      </c>
      <c r="E408" s="32">
        <f t="shared" ca="1" si="13"/>
        <v>0.32</v>
      </c>
      <c r="F408" s="9">
        <f t="shared" ca="1" si="14"/>
        <v>83.460947527459922</v>
      </c>
      <c r="H408" s="32"/>
    </row>
    <row r="409" spans="1:8">
      <c r="A409">
        <v>47</v>
      </c>
      <c r="B409">
        <v>275</v>
      </c>
      <c r="C409" t="s">
        <v>474</v>
      </c>
      <c r="D409" s="224">
        <v>202.55449853443685</v>
      </c>
      <c r="E409" s="32">
        <f t="shared" ca="1" si="13"/>
        <v>0.79</v>
      </c>
      <c r="F409" s="9">
        <f t="shared" ca="1" si="14"/>
        <v>203.34449853443684</v>
      </c>
      <c r="H409" s="32"/>
    </row>
    <row r="410" spans="1:8">
      <c r="A410">
        <v>47</v>
      </c>
      <c r="B410">
        <v>275</v>
      </c>
      <c r="C410" t="s">
        <v>476</v>
      </c>
      <c r="D410" s="224">
        <v>209.31039614476725</v>
      </c>
      <c r="E410" s="32">
        <f t="shared" ca="1" si="13"/>
        <v>0.81</v>
      </c>
      <c r="F410" s="9">
        <f t="shared" ca="1" si="14"/>
        <v>210.12039614476726</v>
      </c>
      <c r="H410" s="32"/>
    </row>
    <row r="411" spans="1:8">
      <c r="A411">
        <v>47</v>
      </c>
      <c r="B411">
        <v>275</v>
      </c>
      <c r="C411" t="s">
        <v>511</v>
      </c>
      <c r="D411" s="224">
        <v>202.56562851402555</v>
      </c>
      <c r="E411" s="32">
        <f t="shared" ca="1" si="13"/>
        <v>0.79</v>
      </c>
      <c r="F411" s="9">
        <f t="shared" ca="1" si="14"/>
        <v>203.35562851402554</v>
      </c>
      <c r="H411" s="32"/>
    </row>
    <row r="412" spans="1:8">
      <c r="A412">
        <v>47</v>
      </c>
      <c r="B412">
        <v>275</v>
      </c>
      <c r="C412" t="s">
        <v>512</v>
      </c>
      <c r="D412" s="224">
        <v>83.140947527459929</v>
      </c>
      <c r="E412" s="32">
        <f t="shared" ca="1" si="13"/>
        <v>0.32</v>
      </c>
      <c r="F412" s="9">
        <f t="shared" ca="1" si="14"/>
        <v>83.460947527459922</v>
      </c>
      <c r="H412" s="32"/>
    </row>
    <row r="413" spans="1:8">
      <c r="A413">
        <v>47</v>
      </c>
      <c r="B413">
        <v>275</v>
      </c>
      <c r="C413" t="s">
        <v>484</v>
      </c>
      <c r="D413" s="224">
        <v>212.00385120522847</v>
      </c>
      <c r="E413" s="32">
        <f t="shared" ca="1" si="13"/>
        <v>0.82</v>
      </c>
      <c r="F413" s="9">
        <f t="shared" ca="1" si="14"/>
        <v>212.82385120522846</v>
      </c>
      <c r="H413" s="32"/>
    </row>
    <row r="414" spans="1:8">
      <c r="A414">
        <v>47</v>
      </c>
      <c r="B414">
        <v>275</v>
      </c>
      <c r="C414" t="s">
        <v>486</v>
      </c>
      <c r="D414" s="224">
        <v>218.75974881555891</v>
      </c>
      <c r="E414" s="32">
        <f t="shared" ca="1" si="13"/>
        <v>0.85</v>
      </c>
      <c r="F414" s="9">
        <f t="shared" ca="1" si="14"/>
        <v>219.6097488155589</v>
      </c>
      <c r="H414" s="32"/>
    </row>
    <row r="415" spans="1:8">
      <c r="A415">
        <v>47</v>
      </c>
      <c r="B415">
        <v>275</v>
      </c>
      <c r="C415" t="s">
        <v>491</v>
      </c>
      <c r="D415" s="224">
        <v>5.7319394881716024</v>
      </c>
      <c r="E415" s="32">
        <f t="shared" ca="1" si="13"/>
        <v>0.02</v>
      </c>
      <c r="F415" s="9">
        <f t="shared" ca="1" si="14"/>
        <v>5.7519394881716019</v>
      </c>
      <c r="H415" s="32"/>
    </row>
    <row r="416" spans="1:8">
      <c r="A416">
        <v>47</v>
      </c>
      <c r="B416">
        <v>275</v>
      </c>
      <c r="C416" t="s">
        <v>414</v>
      </c>
      <c r="D416" s="224">
        <v>8.1026251405610221</v>
      </c>
      <c r="E416" s="32">
        <f t="shared" ca="1" si="13"/>
        <v>0.03</v>
      </c>
      <c r="F416" s="9">
        <f t="shared" ca="1" si="14"/>
        <v>8.1326251405610215</v>
      </c>
      <c r="H416" s="32"/>
    </row>
    <row r="417" spans="1:8">
      <c r="A417">
        <v>47</v>
      </c>
      <c r="B417">
        <v>275</v>
      </c>
      <c r="C417" t="s">
        <v>415</v>
      </c>
      <c r="D417" s="224">
        <v>8.1026251405610221</v>
      </c>
      <c r="E417" s="32">
        <f t="shared" ca="1" si="13"/>
        <v>0.03</v>
      </c>
      <c r="F417" s="9">
        <f t="shared" ca="1" si="14"/>
        <v>8.1326251405610215</v>
      </c>
      <c r="H417" s="32"/>
    </row>
    <row r="418" spans="1:8">
      <c r="A418">
        <v>47</v>
      </c>
      <c r="B418">
        <v>275</v>
      </c>
      <c r="C418" t="s">
        <v>416</v>
      </c>
      <c r="D418" s="224">
        <v>2.2259959177365443</v>
      </c>
      <c r="E418" s="32">
        <f t="shared" ca="1" si="13"/>
        <v>0.01</v>
      </c>
      <c r="F418" s="9">
        <f t="shared" ca="1" si="14"/>
        <v>2.235995917736544</v>
      </c>
      <c r="H418" s="32"/>
    </row>
    <row r="419" spans="1:8">
      <c r="A419">
        <v>48</v>
      </c>
      <c r="B419">
        <v>280</v>
      </c>
      <c r="C419" t="s">
        <v>519</v>
      </c>
      <c r="D419" s="224">
        <v>32.410500562244088</v>
      </c>
      <c r="E419" s="32">
        <f t="shared" ca="1" si="13"/>
        <v>0.13</v>
      </c>
      <c r="F419" s="9">
        <f t="shared" ca="1" si="14"/>
        <v>32.540500562244091</v>
      </c>
      <c r="H419" s="32"/>
    </row>
    <row r="420" spans="1:8">
      <c r="A420">
        <v>48</v>
      </c>
      <c r="B420">
        <v>280</v>
      </c>
      <c r="C420" t="s">
        <v>520</v>
      </c>
      <c r="D420" s="224">
        <v>35.1039556227053</v>
      </c>
      <c r="E420" s="32">
        <f t="shared" ca="1" si="13"/>
        <v>0.14000000000000001</v>
      </c>
      <c r="F420" s="9">
        <f t="shared" ca="1" si="14"/>
        <v>35.2439556227053</v>
      </c>
      <c r="H420" s="32"/>
    </row>
  </sheetData>
  <pageMargins left="0.25" right="0.25" top="0.27" bottom="0.4" header="0.18" footer="0.25"/>
  <pageSetup scale="63" fitToHeight="10" orientation="portrait" errors="blank" r:id="rId1"/>
  <headerFooter alignWithMargins="0">
    <oddHeader>&amp;C&amp;"-,Bold"&amp;KFF0000TEXT IN RED BOX CONFIDENTIAL PER WAC 480-07-160&amp;R&amp;F
&amp;P of &amp;N</oddHeader>
    <oddFooter>&amp;L&amp;F - &amp;A&amp;CPrinted &amp;D - &amp;T&amp;RPage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DB329-4EB9-46D7-9581-CBF769C31344}">
  <sheetPr>
    <tabColor rgb="FF00B0F0"/>
  </sheetPr>
  <dimension ref="A1:J146"/>
  <sheetViews>
    <sheetView tabSelected="1" topLeftCell="B104" zoomScale="115" zoomScaleNormal="115" workbookViewId="0">
      <pane xSplit="1" topLeftCell="C1" activePane="topRight" state="frozen"/>
      <selection activeCell="K21" sqref="K21"/>
      <selection pane="topRight" activeCell="I119" sqref="I119"/>
    </sheetView>
  </sheetViews>
  <sheetFormatPr defaultRowHeight="14.4"/>
  <cols>
    <col min="1" max="1" width="21.33203125" customWidth="1"/>
    <col min="2" max="2" width="32.6640625" customWidth="1"/>
    <col min="3" max="3" width="16" customWidth="1"/>
    <col min="4" max="4" width="12" style="222" customWidth="1"/>
    <col min="5" max="5" width="10.6640625" style="222" customWidth="1"/>
    <col min="6" max="6" width="11.109375" style="222" customWidth="1"/>
    <col min="7" max="7" width="17.6640625" customWidth="1"/>
    <col min="8" max="8" width="11.88671875" customWidth="1"/>
    <col min="9" max="9" width="20.88671875" style="239" customWidth="1"/>
    <col min="10" max="10" width="23.5546875" style="239" customWidth="1"/>
  </cols>
  <sheetData>
    <row r="1" spans="1:10" ht="15" thickBot="1">
      <c r="D1" s="225" t="s">
        <v>0</v>
      </c>
      <c r="E1" s="226">
        <v>1.44E-2</v>
      </c>
      <c r="F1" s="227" t="s">
        <v>1</v>
      </c>
      <c r="G1" s="1">
        <f ca="1">'LG Public'!K22</f>
        <v>9.8597958868272162E-2</v>
      </c>
      <c r="I1" s="241" t="s">
        <v>659</v>
      </c>
      <c r="J1" s="241"/>
    </row>
    <row r="2" spans="1:10" ht="43.8" thickBot="1">
      <c r="A2" s="2" t="s">
        <v>2</v>
      </c>
      <c r="B2" s="3" t="s">
        <v>2</v>
      </c>
      <c r="C2" s="4" t="s">
        <v>3</v>
      </c>
      <c r="D2" s="228" t="s">
        <v>4</v>
      </c>
      <c r="E2" s="228" t="s">
        <v>5</v>
      </c>
      <c r="F2" s="229" t="s">
        <v>6</v>
      </c>
      <c r="G2" s="5" t="s">
        <v>7</v>
      </c>
      <c r="J2" s="242">
        <f ca="1">+'Rate Sheet'!H6</f>
        <v>3.8789969313060483E-3</v>
      </c>
    </row>
    <row r="3" spans="1:10">
      <c r="A3" s="6"/>
      <c r="E3" s="230">
        <f ca="1">G1+E1</f>
        <v>0.11299795886827216</v>
      </c>
      <c r="G3" s="7"/>
      <c r="I3" s="241" t="s">
        <v>660</v>
      </c>
      <c r="J3" s="241" t="s">
        <v>661</v>
      </c>
    </row>
    <row r="4" spans="1:10">
      <c r="A4" s="6" t="s">
        <v>8</v>
      </c>
      <c r="B4" t="s">
        <v>8</v>
      </c>
      <c r="G4" s="7"/>
    </row>
    <row r="5" spans="1:10">
      <c r="A5" s="6" t="s">
        <v>9</v>
      </c>
      <c r="B5" t="s">
        <v>10</v>
      </c>
      <c r="C5" s="8">
        <v>62138.844354215005</v>
      </c>
      <c r="D5" s="231">
        <v>25.86</v>
      </c>
      <c r="E5" s="232">
        <f t="shared" ref="E5:E22" ca="1" si="0">$E$3*D5</f>
        <v>2.9221272163335179</v>
      </c>
      <c r="F5" s="232">
        <f t="shared" ref="F5:F22" ca="1" si="1">E5+D5</f>
        <v>28.782127216333517</v>
      </c>
      <c r="G5" s="10">
        <f t="shared" ref="G5:G22" ca="1" si="2">F5*C5</f>
        <v>1788488.1232789641</v>
      </c>
      <c r="I5" s="243">
        <f ca="1">+J$2*G5</f>
        <v>6937.5399418764155</v>
      </c>
      <c r="J5" s="243">
        <f ca="1">+I5+G5</f>
        <v>1795425.6632208405</v>
      </c>
    </row>
    <row r="6" spans="1:10">
      <c r="A6" s="6" t="s">
        <v>11</v>
      </c>
      <c r="B6" t="s">
        <v>12</v>
      </c>
      <c r="C6" s="8">
        <v>65247.137141535612</v>
      </c>
      <c r="D6" s="231">
        <v>21.62</v>
      </c>
      <c r="E6" s="232">
        <f t="shared" ca="1" si="0"/>
        <v>2.4430158707320442</v>
      </c>
      <c r="F6" s="232">
        <f t="shared" ca="1" si="1"/>
        <v>24.063015870732045</v>
      </c>
      <c r="G6" s="10">
        <f t="shared" ca="1" si="2"/>
        <v>1570042.8965566016</v>
      </c>
      <c r="I6" s="243">
        <f t="shared" ref="I6:I22" ca="1" si="3">+J$2*G6</f>
        <v>6090.191577761917</v>
      </c>
      <c r="J6" s="243">
        <f t="shared" ref="J6:J22" ca="1" si="4">+I6+G6</f>
        <v>1576133.0881343635</v>
      </c>
    </row>
    <row r="7" spans="1:10">
      <c r="A7" s="6" t="s">
        <v>13</v>
      </c>
      <c r="B7" t="s">
        <v>14</v>
      </c>
      <c r="C7" s="8">
        <v>24709.991690544415</v>
      </c>
      <c r="D7" s="231">
        <v>17.45</v>
      </c>
      <c r="E7" s="232">
        <f t="shared" ca="1" si="0"/>
        <v>1.971814382251349</v>
      </c>
      <c r="F7" s="232">
        <f t="shared" ca="1" si="1"/>
        <v>19.421814382251348</v>
      </c>
      <c r="G7" s="10">
        <f t="shared" ca="1" si="2"/>
        <v>479912.87200072681</v>
      </c>
      <c r="I7" s="243">
        <f t="shared" ca="1" si="3"/>
        <v>1861.5805577850917</v>
      </c>
      <c r="J7" s="243">
        <f t="shared" ca="1" si="4"/>
        <v>481774.45255851193</v>
      </c>
    </row>
    <row r="8" spans="1:10">
      <c r="A8" s="6" t="s">
        <v>15</v>
      </c>
      <c r="B8" t="s">
        <v>10</v>
      </c>
      <c r="C8" s="8">
        <v>1249.5047736958645</v>
      </c>
      <c r="D8" s="231">
        <f>1.77*4.33</f>
        <v>7.6641000000000004</v>
      </c>
      <c r="E8" s="232">
        <f t="shared" ca="1" si="0"/>
        <v>0.86602765656232472</v>
      </c>
      <c r="F8" s="232">
        <f t="shared" ca="1" si="1"/>
        <v>8.5301276565623247</v>
      </c>
      <c r="G8" s="10">
        <f t="shared" ca="1" si="2"/>
        <v>10658.435227109743</v>
      </c>
      <c r="I8" s="243">
        <f t="shared" ca="1" si="3"/>
        <v>41.344037538482979</v>
      </c>
      <c r="J8" s="243">
        <f t="shared" ca="1" si="4"/>
        <v>10699.779264648227</v>
      </c>
    </row>
    <row r="9" spans="1:10">
      <c r="A9" s="6" t="s">
        <v>16</v>
      </c>
      <c r="B9" t="s">
        <v>17</v>
      </c>
      <c r="C9" s="8">
        <v>182.14702154626107</v>
      </c>
      <c r="D9" s="231">
        <v>7.89</v>
      </c>
      <c r="E9" s="232">
        <f t="shared" ca="1" si="0"/>
        <v>0.89155389547066732</v>
      </c>
      <c r="F9" s="232">
        <f t="shared" ca="1" si="1"/>
        <v>8.7815538954706671</v>
      </c>
      <c r="G9" s="10">
        <f t="shared" ca="1" si="2"/>
        <v>1599.5338866079485</v>
      </c>
      <c r="I9" s="243">
        <f t="shared" ca="1" si="3"/>
        <v>6.2045870376722689</v>
      </c>
      <c r="J9" s="243">
        <f t="shared" ca="1" si="4"/>
        <v>1605.7384736456208</v>
      </c>
    </row>
    <row r="10" spans="1:10">
      <c r="A10" s="6" t="s">
        <v>18</v>
      </c>
      <c r="B10" t="s">
        <v>12</v>
      </c>
      <c r="C10" s="8">
        <v>34.858693840622834</v>
      </c>
      <c r="D10" s="231">
        <f t="shared" ref="D10:D12" si="5">1.77*4.33</f>
        <v>7.6641000000000004</v>
      </c>
      <c r="E10" s="232">
        <f t="shared" ca="1" si="0"/>
        <v>0.86602765656232472</v>
      </c>
      <c r="F10" s="232">
        <f t="shared" ca="1" si="1"/>
        <v>8.5301276565623247</v>
      </c>
      <c r="G10" s="10">
        <f t="shared" ca="1" si="2"/>
        <v>297.3491084015356</v>
      </c>
      <c r="I10" s="243">
        <f t="shared" ca="1" si="3"/>
        <v>1.1534162790161462</v>
      </c>
      <c r="J10" s="243">
        <f t="shared" ca="1" si="4"/>
        <v>298.50252468055174</v>
      </c>
    </row>
    <row r="11" spans="1:10">
      <c r="A11" s="6" t="s">
        <v>19</v>
      </c>
      <c r="B11" t="s">
        <v>14</v>
      </c>
      <c r="C11" s="8">
        <v>64.347872669698333</v>
      </c>
      <c r="D11" s="231">
        <f t="shared" si="5"/>
        <v>7.6641000000000004</v>
      </c>
      <c r="E11" s="232">
        <f t="shared" ca="1" si="0"/>
        <v>0.86602765656232472</v>
      </c>
      <c r="F11" s="232">
        <f t="shared" ca="1" si="1"/>
        <v>8.5301276565623247</v>
      </c>
      <c r="G11" s="10">
        <f t="shared" ca="1" si="2"/>
        <v>548.89556830074469</v>
      </c>
      <c r="I11" s="243">
        <f t="shared" ca="1" si="3"/>
        <v>2.1291642250460781</v>
      </c>
      <c r="J11" s="243">
        <f t="shared" ca="1" si="4"/>
        <v>551.0247325257908</v>
      </c>
    </row>
    <row r="12" spans="1:10">
      <c r="A12" s="6" t="s">
        <v>20</v>
      </c>
      <c r="B12" t="s">
        <v>21</v>
      </c>
      <c r="C12" s="8">
        <v>135.27058879550484</v>
      </c>
      <c r="D12" s="231">
        <f t="shared" si="5"/>
        <v>7.6641000000000004</v>
      </c>
      <c r="E12" s="232">
        <f t="shared" ca="1" si="0"/>
        <v>0.86602765656232472</v>
      </c>
      <c r="F12" s="232">
        <f t="shared" ca="1" si="1"/>
        <v>8.5301276565623247</v>
      </c>
      <c r="G12" s="10">
        <f t="shared" ca="1" si="2"/>
        <v>1153.8753906040056</v>
      </c>
      <c r="I12" s="243">
        <f t="shared" ca="1" si="3"/>
        <v>4.4758790992625057</v>
      </c>
      <c r="J12" s="243">
        <f t="shared" ca="1" si="4"/>
        <v>1158.3512697032681</v>
      </c>
    </row>
    <row r="13" spans="1:10">
      <c r="A13" s="6" t="s">
        <v>22</v>
      </c>
      <c r="B13" t="s">
        <v>23</v>
      </c>
      <c r="C13" s="8">
        <v>777.23109243697479</v>
      </c>
      <c r="D13" s="231">
        <v>7.14</v>
      </c>
      <c r="E13" s="232">
        <f t="shared" ca="1" si="0"/>
        <v>0.80680542631946317</v>
      </c>
      <c r="F13" s="232">
        <f t="shared" ca="1" si="1"/>
        <v>7.9468054263194627</v>
      </c>
      <c r="G13" s="10">
        <f t="shared" ca="1" si="2"/>
        <v>6176.5042628823549</v>
      </c>
      <c r="I13" s="243">
        <f t="shared" ca="1" si="3"/>
        <v>23.958641081919382</v>
      </c>
      <c r="J13" s="243">
        <f t="shared" ca="1" si="4"/>
        <v>6200.4629039642741</v>
      </c>
    </row>
    <row r="14" spans="1:10">
      <c r="A14" s="6" t="s">
        <v>24</v>
      </c>
      <c r="B14" t="s">
        <v>25</v>
      </c>
      <c r="C14" s="8">
        <v>37</v>
      </c>
      <c r="D14" s="231">
        <v>15.24</v>
      </c>
      <c r="E14" s="232">
        <f t="shared" ca="1" si="0"/>
        <v>1.7220888931524676</v>
      </c>
      <c r="F14" s="232">
        <f t="shared" ca="1" si="1"/>
        <v>16.962088893152469</v>
      </c>
      <c r="G14" s="10">
        <f t="shared" ca="1" si="2"/>
        <v>627.59728904664132</v>
      </c>
      <c r="I14" s="243">
        <f t="shared" ca="1" si="3"/>
        <v>2.4344479583079166</v>
      </c>
      <c r="J14" s="243">
        <f t="shared" ca="1" si="4"/>
        <v>630.03173700494926</v>
      </c>
    </row>
    <row r="15" spans="1:10">
      <c r="A15" s="6" t="s">
        <v>26</v>
      </c>
      <c r="B15" t="s">
        <v>27</v>
      </c>
      <c r="C15" s="8">
        <v>69.962457337883961</v>
      </c>
      <c r="D15" s="231">
        <v>5.86</v>
      </c>
      <c r="E15" s="232">
        <f t="shared" ca="1" si="0"/>
        <v>0.66216803896807486</v>
      </c>
      <c r="F15" s="232">
        <f t="shared" ca="1" si="1"/>
        <v>6.5221680389680756</v>
      </c>
      <c r="G15" s="10">
        <f t="shared" ca="1" si="2"/>
        <v>456.30690317681427</v>
      </c>
      <c r="I15" s="243">
        <f t="shared" ca="1" si="3"/>
        <v>1.7700130771566287</v>
      </c>
      <c r="J15" s="243">
        <f t="shared" ca="1" si="4"/>
        <v>458.07691625397092</v>
      </c>
    </row>
    <row r="16" spans="1:10">
      <c r="A16" s="6" t="s">
        <v>28</v>
      </c>
      <c r="B16" t="s">
        <v>29</v>
      </c>
      <c r="C16" s="8">
        <v>31.535956580732698</v>
      </c>
      <c r="D16" s="231">
        <v>7.37</v>
      </c>
      <c r="E16" s="232">
        <f t="shared" ca="1" si="0"/>
        <v>0.83279495685916582</v>
      </c>
      <c r="F16" s="232">
        <f t="shared" ca="1" si="1"/>
        <v>8.2027949568591652</v>
      </c>
      <c r="G16" s="10">
        <f t="shared" ca="1" si="2"/>
        <v>258.68298560016376</v>
      </c>
      <c r="I16" s="243">
        <f t="shared" ca="1" si="3"/>
        <v>1.0034305073241219</v>
      </c>
      <c r="J16" s="243">
        <f t="shared" ca="1" si="4"/>
        <v>259.6864161074879</v>
      </c>
    </row>
    <row r="17" spans="1:10">
      <c r="A17" s="6" t="s">
        <v>30</v>
      </c>
      <c r="B17" t="s">
        <v>31</v>
      </c>
      <c r="C17" s="8">
        <v>14</v>
      </c>
      <c r="D17" s="231">
        <v>26.08</v>
      </c>
      <c r="E17" s="232">
        <f t="shared" ca="1" si="0"/>
        <v>2.9469867672845376</v>
      </c>
      <c r="F17" s="232">
        <f t="shared" ca="1" si="1"/>
        <v>29.026986767284537</v>
      </c>
      <c r="G17" s="10">
        <f t="shared" ca="1" si="2"/>
        <v>406.37781474198351</v>
      </c>
      <c r="I17" s="243">
        <f t="shared" ca="1" si="3"/>
        <v>1.5763382963350119</v>
      </c>
      <c r="J17" s="243">
        <f t="shared" ca="1" si="4"/>
        <v>407.95415303831851</v>
      </c>
    </row>
    <row r="18" spans="1:10">
      <c r="A18" s="6" t="s">
        <v>32</v>
      </c>
      <c r="B18" t="s">
        <v>33</v>
      </c>
      <c r="C18" s="8">
        <v>10.456822676334872</v>
      </c>
      <c r="D18" s="231">
        <v>30.34</v>
      </c>
      <c r="E18" s="232">
        <f t="shared" ca="1" si="0"/>
        <v>3.4283580720633773</v>
      </c>
      <c r="F18" s="232">
        <f t="shared" ca="1" si="1"/>
        <v>33.768358072063378</v>
      </c>
      <c r="G18" s="10">
        <f t="shared" ca="1" si="2"/>
        <v>353.10973243054804</v>
      </c>
      <c r="I18" s="243">
        <f t="shared" ca="1" si="3"/>
        <v>1.3697115685123957</v>
      </c>
      <c r="J18" s="243">
        <f t="shared" ca="1" si="4"/>
        <v>354.47944399906044</v>
      </c>
    </row>
    <row r="19" spans="1:10">
      <c r="A19" s="6" t="s">
        <v>34</v>
      </c>
      <c r="B19" t="s">
        <v>35</v>
      </c>
      <c r="C19" s="8">
        <v>744.05</v>
      </c>
      <c r="D19" s="231">
        <v>2</v>
      </c>
      <c r="E19" s="232">
        <f t="shared" ca="1" si="0"/>
        <v>0.22599591773654432</v>
      </c>
      <c r="F19" s="232">
        <f t="shared" ca="1" si="1"/>
        <v>2.2259959177365443</v>
      </c>
      <c r="G19" s="10">
        <f t="shared" ca="1" si="2"/>
        <v>1656.2522625918757</v>
      </c>
      <c r="I19" s="243">
        <f t="shared" ca="1" si="3"/>
        <v>6.4245974440625853</v>
      </c>
      <c r="J19" s="243">
        <f t="shared" ca="1" si="4"/>
        <v>1662.6768600359383</v>
      </c>
    </row>
    <row r="20" spans="1:10">
      <c r="A20" s="6" t="s">
        <v>36</v>
      </c>
      <c r="B20" t="s">
        <v>37</v>
      </c>
      <c r="C20" s="8">
        <v>1.1115485564304461</v>
      </c>
      <c r="D20" s="231">
        <v>15.24</v>
      </c>
      <c r="E20" s="232">
        <f t="shared" ca="1" si="0"/>
        <v>1.7220888931524676</v>
      </c>
      <c r="F20" s="232">
        <f t="shared" ca="1" si="1"/>
        <v>16.962088893152469</v>
      </c>
      <c r="G20" s="10">
        <f t="shared" ca="1" si="2"/>
        <v>18.854185423228532</v>
      </c>
      <c r="I20" s="243">
        <f t="shared" ca="1" si="3"/>
        <v>7.3135327398978711E-2</v>
      </c>
      <c r="J20" s="243">
        <f t="shared" ca="1" si="4"/>
        <v>18.927320750627512</v>
      </c>
    </row>
    <row r="21" spans="1:10">
      <c r="A21" s="6" t="s">
        <v>38</v>
      </c>
      <c r="B21" t="s">
        <v>39</v>
      </c>
      <c r="C21" s="8">
        <v>60.556318681318686</v>
      </c>
      <c r="D21" s="231">
        <v>7.28</v>
      </c>
      <c r="E21" s="232">
        <f t="shared" ca="1" si="0"/>
        <v>0.82262514056102132</v>
      </c>
      <c r="F21" s="232">
        <f t="shared" ca="1" si="1"/>
        <v>8.1026251405610221</v>
      </c>
      <c r="G21" s="10">
        <f t="shared" ca="1" si="2"/>
        <v>490.66515016707785</v>
      </c>
      <c r="I21" s="243">
        <f t="shared" ca="1" si="3"/>
        <v>1.9032886117969163</v>
      </c>
      <c r="J21" s="243">
        <f t="shared" ca="1" si="4"/>
        <v>492.56843877887479</v>
      </c>
    </row>
    <row r="22" spans="1:10" ht="15" thickBot="1">
      <c r="A22" s="6" t="s">
        <v>40</v>
      </c>
      <c r="B22" t="s">
        <v>41</v>
      </c>
      <c r="C22" s="8">
        <v>6.3725490196078436</v>
      </c>
      <c r="D22" s="231">
        <v>7.14</v>
      </c>
      <c r="E22" s="232">
        <f t="shared" ca="1" si="0"/>
        <v>0.80680542631946317</v>
      </c>
      <c r="F22" s="232">
        <f t="shared" ca="1" si="1"/>
        <v>7.9468054263194627</v>
      </c>
      <c r="G22" s="10">
        <f t="shared" ca="1" si="2"/>
        <v>50.641407128506387</v>
      </c>
      <c r="I22" s="243">
        <f t="shared" ca="1" si="3"/>
        <v>0.19643786284849651</v>
      </c>
      <c r="J22" s="243">
        <f t="shared" ca="1" si="4"/>
        <v>50.837844991354885</v>
      </c>
    </row>
    <row r="23" spans="1:10" s="12" customFormat="1" ht="15" thickBot="1">
      <c r="A23" s="11"/>
      <c r="B23" s="12" t="s">
        <v>42</v>
      </c>
      <c r="C23" s="13">
        <v>152095.97318629504</v>
      </c>
      <c r="D23" s="233"/>
      <c r="E23" s="234"/>
      <c r="F23" s="234"/>
      <c r="G23" s="14">
        <f ca="1">SUM(G5:G22)</f>
        <v>3863196.9730105055</v>
      </c>
      <c r="I23" s="244">
        <f ca="1">SUM(I5:I22)</f>
        <v>14985.329203338562</v>
      </c>
      <c r="J23" s="240"/>
    </row>
    <row r="24" spans="1:10">
      <c r="A24" s="6"/>
      <c r="C24" s="8"/>
      <c r="D24" s="231"/>
      <c r="G24" s="7"/>
    </row>
    <row r="25" spans="1:10" s="18" customFormat="1">
      <c r="A25" s="15" t="s">
        <v>43</v>
      </c>
      <c r="B25" s="16" t="s">
        <v>43</v>
      </c>
      <c r="C25" s="17"/>
      <c r="D25" s="235"/>
      <c r="E25" s="236"/>
      <c r="F25" s="236"/>
      <c r="G25" s="19"/>
      <c r="I25" s="241"/>
      <c r="J25" s="241"/>
    </row>
    <row r="26" spans="1:10">
      <c r="A26" s="6" t="s">
        <v>44</v>
      </c>
      <c r="C26" s="8">
        <v>1815.2481249999998</v>
      </c>
      <c r="D26" s="231">
        <v>8</v>
      </c>
      <c r="G26" s="10">
        <f>D26*C26</f>
        <v>14521.984999999999</v>
      </c>
      <c r="I26" s="243">
        <f ca="1">+J$2*G26</f>
        <v>56.330735251472461</v>
      </c>
      <c r="J26" s="243">
        <f ca="1">+I26+G26</f>
        <v>14578.315735251472</v>
      </c>
    </row>
    <row r="27" spans="1:10" ht="15" thickBot="1">
      <c r="A27" s="6"/>
      <c r="C27" s="8"/>
      <c r="D27" s="231"/>
      <c r="G27" s="7"/>
    </row>
    <row r="28" spans="1:10" s="12" customFormat="1" ht="15" thickBot="1">
      <c r="A28" s="11"/>
      <c r="B28" s="12" t="s">
        <v>45</v>
      </c>
      <c r="C28" s="13">
        <v>1815.2481249999998</v>
      </c>
      <c r="D28" s="233"/>
      <c r="E28" s="234"/>
      <c r="F28" s="234"/>
      <c r="G28" s="14"/>
      <c r="I28" s="240"/>
      <c r="J28" s="240"/>
    </row>
    <row r="29" spans="1:10">
      <c r="A29" s="6"/>
      <c r="C29" s="8"/>
      <c r="D29" s="231"/>
      <c r="G29" s="7"/>
    </row>
    <row r="30" spans="1:10" s="18" customFormat="1">
      <c r="A30" s="15" t="s">
        <v>46</v>
      </c>
      <c r="B30" s="16" t="s">
        <v>46</v>
      </c>
      <c r="C30" s="17"/>
      <c r="D30" s="235"/>
      <c r="E30" s="236"/>
      <c r="F30" s="236"/>
      <c r="G30" s="19"/>
      <c r="I30" s="241"/>
      <c r="J30" s="241"/>
    </row>
    <row r="31" spans="1:10">
      <c r="A31" s="6"/>
      <c r="C31" s="8"/>
      <c r="D31" s="231"/>
      <c r="G31" s="7"/>
    </row>
    <row r="32" spans="1:10">
      <c r="A32" s="6" t="s">
        <v>47</v>
      </c>
      <c r="B32" t="s">
        <v>47</v>
      </c>
      <c r="C32" s="8"/>
      <c r="D32" s="231"/>
      <c r="G32" s="7"/>
    </row>
    <row r="33" spans="1:10">
      <c r="A33" s="6" t="s">
        <v>48</v>
      </c>
      <c r="B33" t="s">
        <v>49</v>
      </c>
      <c r="C33" s="8">
        <v>169.53855865334032</v>
      </c>
      <c r="D33" s="231">
        <v>95.05</v>
      </c>
      <c r="E33" s="232">
        <f t="shared" ref="E33:E76" ca="1" si="6">D33*$E$3</f>
        <v>10.740455990429268</v>
      </c>
      <c r="F33" s="232">
        <f t="shared" ref="F33:F76" ca="1" si="7">D33+E33</f>
        <v>105.79045599042927</v>
      </c>
      <c r="G33" s="10">
        <f t="shared" ref="G33:G76" ca="1" si="8">F33*C33</f>
        <v>17935.56142789701</v>
      </c>
      <c r="I33" s="243">
        <f t="shared" ref="I33:I75" ca="1" si="9">+J$2*G33</f>
        <v>69.571987740063634</v>
      </c>
      <c r="J33" s="243">
        <f t="shared" ref="J33:J75" ca="1" si="10">+I33+G33</f>
        <v>18005.133415637072</v>
      </c>
    </row>
    <row r="34" spans="1:10">
      <c r="A34" s="6" t="s">
        <v>50</v>
      </c>
      <c r="B34" t="s">
        <v>51</v>
      </c>
      <c r="C34" s="8">
        <v>1.0783882152192854</v>
      </c>
      <c r="D34" s="231">
        <f>'Rate Sheet'!D121+('Rate Sheet'!D123*7.66)</f>
        <v>200.72156140510774</v>
      </c>
      <c r="E34" s="232">
        <f t="shared" ca="1" si="6"/>
        <v>22.681126739629729</v>
      </c>
      <c r="F34" s="232">
        <f t="shared" ca="1" si="7"/>
        <v>223.40268814473745</v>
      </c>
      <c r="G34" s="10">
        <f t="shared" ca="1" si="8"/>
        <v>240.91482614359404</v>
      </c>
      <c r="I34" s="243">
        <f t="shared" ca="1" si="9"/>
        <v>0.93450787131713142</v>
      </c>
      <c r="J34" s="243">
        <f t="shared" ca="1" si="10"/>
        <v>241.84933401491116</v>
      </c>
    </row>
    <row r="35" spans="1:10">
      <c r="A35" s="6" t="s">
        <v>52</v>
      </c>
      <c r="B35" t="s">
        <v>53</v>
      </c>
      <c r="C35" s="8">
        <v>3.0727406483731627</v>
      </c>
      <c r="D35" s="231">
        <f>'Rate Sheet'!D121+(((4.33*4)-1)*'Rate Sheet'!D123)</f>
        <v>386.06149101865594</v>
      </c>
      <c r="E35" s="232">
        <f t="shared" ca="1" si="6"/>
        <v>43.624160482749907</v>
      </c>
      <c r="F35" s="232">
        <f t="shared" ca="1" si="7"/>
        <v>429.68565150140586</v>
      </c>
      <c r="G35" s="10">
        <f t="shared" ca="1" si="8"/>
        <v>1320.3125673910747</v>
      </c>
      <c r="I35" s="243">
        <f t="shared" ca="1" si="9"/>
        <v>5.1214883972747893</v>
      </c>
      <c r="J35" s="243">
        <f t="shared" ca="1" si="10"/>
        <v>1325.4340557883495</v>
      </c>
    </row>
    <row r="36" spans="1:10">
      <c r="A36" s="6" t="s">
        <v>54</v>
      </c>
      <c r="B36" t="s">
        <v>55</v>
      </c>
      <c r="C36" s="8">
        <v>1863.511889862328</v>
      </c>
      <c r="D36" s="231">
        <v>119.85</v>
      </c>
      <c r="E36" s="232">
        <f t="shared" ca="1" si="6"/>
        <v>13.542805370362418</v>
      </c>
      <c r="F36" s="232">
        <f t="shared" ca="1" si="7"/>
        <v>133.39280537036242</v>
      </c>
      <c r="G36" s="10">
        <f t="shared" ca="1" si="8"/>
        <v>248579.07882976177</v>
      </c>
      <c r="I36" s="243">
        <f t="shared" ca="1" si="9"/>
        <v>964.23748396753024</v>
      </c>
      <c r="J36" s="243">
        <f t="shared" ca="1" si="10"/>
        <v>249543.3163137293</v>
      </c>
    </row>
    <row r="37" spans="1:10">
      <c r="A37" s="6" t="s">
        <v>56</v>
      </c>
      <c r="B37" t="s">
        <v>57</v>
      </c>
      <c r="C37" s="8">
        <v>80.371188727192845</v>
      </c>
      <c r="D37" s="231">
        <f>'Rate Sheet'!D131+(7.66*'Rate Sheet'!D133)</f>
        <v>254.79107532218282</v>
      </c>
      <c r="E37" s="232">
        <f t="shared" ca="1" si="6"/>
        <v>28.790871449258848</v>
      </c>
      <c r="F37" s="232">
        <f t="shared" ca="1" si="7"/>
        <v>283.58194677144166</v>
      </c>
      <c r="G37" s="10">
        <f t="shared" ca="1" si="8"/>
        <v>22791.818163592292</v>
      </c>
      <c r="I37" s="243">
        <f t="shared" ca="1" si="9"/>
        <v>88.409392715459958</v>
      </c>
      <c r="J37" s="243">
        <f t="shared" ca="1" si="10"/>
        <v>22880.227556307753</v>
      </c>
    </row>
    <row r="38" spans="1:10">
      <c r="A38" s="6" t="s">
        <v>58</v>
      </c>
      <c r="B38" t="s">
        <v>59</v>
      </c>
      <c r="C38" s="8">
        <v>458.44562747516716</v>
      </c>
      <c r="D38" s="231">
        <v>154.03</v>
      </c>
      <c r="E38" s="232">
        <f t="shared" ca="1" si="6"/>
        <v>17.405075604479961</v>
      </c>
      <c r="F38" s="232">
        <f t="shared" ca="1" si="7"/>
        <v>171.43507560447995</v>
      </c>
      <c r="G38" s="10">
        <f t="shared" ca="1" si="8"/>
        <v>78593.660806748536</v>
      </c>
      <c r="I38" s="243">
        <f t="shared" ca="1" si="9"/>
        <v>304.864569089486</v>
      </c>
      <c r="J38" s="243">
        <f t="shared" ca="1" si="10"/>
        <v>78898.525375838028</v>
      </c>
    </row>
    <row r="39" spans="1:10">
      <c r="A39" s="6" t="s">
        <v>60</v>
      </c>
      <c r="B39" t="s">
        <v>61</v>
      </c>
      <c r="C39" s="8">
        <v>56.298273086320933</v>
      </c>
      <c r="D39" s="231">
        <f>'Rate Sheet'!D140+('Rate Sheet'!D142*7.66)</f>
        <v>332.05078223232499</v>
      </c>
      <c r="E39" s="232">
        <f t="shared" ca="1" si="6"/>
        <v>37.521060632865854</v>
      </c>
      <c r="F39" s="232">
        <f t="shared" ca="1" si="7"/>
        <v>369.57184286519083</v>
      </c>
      <c r="G39" s="10">
        <f t="shared" ca="1" si="8"/>
        <v>20806.2565346394</v>
      </c>
      <c r="I39" s="243">
        <f t="shared" ca="1" si="9"/>
        <v>80.707405249832647</v>
      </c>
      <c r="J39" s="243">
        <f t="shared" ca="1" si="10"/>
        <v>20886.963939889232</v>
      </c>
    </row>
    <row r="40" spans="1:10">
      <c r="A40" s="6" t="s">
        <v>62</v>
      </c>
      <c r="B40" t="s">
        <v>63</v>
      </c>
      <c r="C40" s="8">
        <v>289.9253092064103</v>
      </c>
      <c r="D40" s="231">
        <v>207.79</v>
      </c>
      <c r="E40" s="232">
        <f t="shared" ca="1" si="6"/>
        <v>23.479845873238272</v>
      </c>
      <c r="F40" s="232">
        <f t="shared" ca="1" si="7"/>
        <v>231.26984587323827</v>
      </c>
      <c r="G40" s="10">
        <f t="shared" ca="1" si="8"/>
        <v>67050.98157491746</v>
      </c>
      <c r="I40" s="243">
        <f t="shared" ca="1" si="9"/>
        <v>260.09055177016319</v>
      </c>
      <c r="J40" s="243">
        <f t="shared" ca="1" si="10"/>
        <v>67311.072126687621</v>
      </c>
    </row>
    <row r="41" spans="1:10">
      <c r="A41" s="6" t="s">
        <v>64</v>
      </c>
      <c r="B41" t="s">
        <v>65</v>
      </c>
      <c r="C41" s="8">
        <v>75.959324548666231</v>
      </c>
      <c r="D41" s="231">
        <f>'Rate Sheet'!D149+('Rate Sheet'!D151*7.66)</f>
        <v>455.10308243862244</v>
      </c>
      <c r="E41" s="232">
        <f t="shared" ca="1" si="6"/>
        <v>51.425719390223328</v>
      </c>
      <c r="F41" s="232">
        <f t="shared" ca="1" si="7"/>
        <v>506.52880182884576</v>
      </c>
      <c r="G41" s="10">
        <f t="shared" ca="1" si="8"/>
        <v>38475.585651364338</v>
      </c>
      <c r="I41" s="243">
        <f t="shared" ca="1" si="9"/>
        <v>149.2466786718453</v>
      </c>
      <c r="J41" s="243">
        <f t="shared" ca="1" si="10"/>
        <v>38624.832330036181</v>
      </c>
    </row>
    <row r="42" spans="1:10">
      <c r="A42" s="6" t="s">
        <v>66</v>
      </c>
      <c r="B42" t="s">
        <v>67</v>
      </c>
      <c r="C42" s="8">
        <v>12.130997079682938</v>
      </c>
      <c r="D42" s="231">
        <v>119.85</v>
      </c>
      <c r="E42" s="232">
        <f t="shared" ca="1" si="6"/>
        <v>13.542805370362418</v>
      </c>
      <c r="F42" s="232">
        <f t="shared" ca="1" si="7"/>
        <v>133.39280537036242</v>
      </c>
      <c r="G42" s="10">
        <f t="shared" ca="1" si="8"/>
        <v>1618.1877323985811</v>
      </c>
      <c r="I42" s="243">
        <f t="shared" ca="1" si="9"/>
        <v>6.2769452482511889</v>
      </c>
      <c r="J42" s="243">
        <f t="shared" ca="1" si="10"/>
        <v>1624.4646776468323</v>
      </c>
    </row>
    <row r="43" spans="1:10">
      <c r="A43" s="6" t="s">
        <v>68</v>
      </c>
      <c r="B43" t="s">
        <v>69</v>
      </c>
      <c r="C43" s="8">
        <v>17.25946907731679</v>
      </c>
      <c r="D43" s="231">
        <f>'Rate Sheet'!D131+(7.66*'Rate Sheet'!D133)</f>
        <v>254.79107532218282</v>
      </c>
      <c r="E43" s="232">
        <f t="shared" ca="1" si="6"/>
        <v>28.790871449258848</v>
      </c>
      <c r="F43" s="232">
        <f t="shared" ca="1" si="7"/>
        <v>283.58194677144166</v>
      </c>
      <c r="G43" s="10">
        <f t="shared" ca="1" si="8"/>
        <v>4894.473841186993</v>
      </c>
      <c r="I43" s="243">
        <f t="shared" ca="1" si="9"/>
        <v>18.985649010322074</v>
      </c>
      <c r="J43" s="243">
        <f t="shared" ca="1" si="10"/>
        <v>4913.4594901973151</v>
      </c>
    </row>
    <row r="44" spans="1:10">
      <c r="A44" s="6" t="s">
        <v>70</v>
      </c>
      <c r="B44" t="s">
        <v>71</v>
      </c>
      <c r="C44" s="8">
        <v>133.21665704387993</v>
      </c>
      <c r="D44" s="231">
        <v>22.169599999999999</v>
      </c>
      <c r="E44" s="232">
        <f t="shared" ca="1" si="6"/>
        <v>2.5051195489260465</v>
      </c>
      <c r="F44" s="232">
        <f t="shared" ca="1" si="7"/>
        <v>24.674719548926046</v>
      </c>
      <c r="G44" s="10">
        <f t="shared" ca="1" si="8"/>
        <v>3287.0836518032006</v>
      </c>
      <c r="I44" s="243">
        <f t="shared" ca="1" si="9"/>
        <v>12.750587398290895</v>
      </c>
      <c r="J44" s="243">
        <f t="shared" ca="1" si="10"/>
        <v>3299.8342392014915</v>
      </c>
    </row>
    <row r="45" spans="1:10">
      <c r="A45" s="6" t="s">
        <v>72</v>
      </c>
      <c r="B45" t="s">
        <v>73</v>
      </c>
      <c r="C45" s="8">
        <v>430.76702965708995</v>
      </c>
      <c r="D45" s="231">
        <v>258.95999999999998</v>
      </c>
      <c r="E45" s="232">
        <f t="shared" ca="1" si="6"/>
        <v>29.261951428527755</v>
      </c>
      <c r="F45" s="232">
        <f t="shared" ca="1" si="7"/>
        <v>288.22195142852775</v>
      </c>
      <c r="G45" s="10">
        <f t="shared" ca="1" si="8"/>
        <v>124156.51389883694</v>
      </c>
      <c r="I45" s="243">
        <f t="shared" ca="1" si="9"/>
        <v>481.60273641524526</v>
      </c>
      <c r="J45" s="243">
        <f t="shared" ca="1" si="10"/>
        <v>124638.11663525218</v>
      </c>
    </row>
    <row r="46" spans="1:10">
      <c r="A46" s="6" t="s">
        <v>74</v>
      </c>
      <c r="B46" t="s">
        <v>75</v>
      </c>
      <c r="C46" s="8">
        <v>64.102307964077596</v>
      </c>
      <c r="D46" s="231">
        <f>'Rate Sheet'!D158+('Rate Sheet'!D160*7.66)</f>
        <v>569.02448108507281</v>
      </c>
      <c r="E46" s="232">
        <f t="shared" ca="1" si="6"/>
        <v>64.298604908690962</v>
      </c>
      <c r="F46" s="232">
        <f t="shared" ca="1" si="7"/>
        <v>633.32308599376381</v>
      </c>
      <c r="G46" s="10">
        <f t="shared" ca="1" si="8"/>
        <v>40597.471499132247</v>
      </c>
      <c r="H46" s="9"/>
      <c r="I46" s="243">
        <f t="shared" ca="1" si="9"/>
        <v>157.47746736391875</v>
      </c>
      <c r="J46" s="243">
        <f t="shared" ca="1" si="10"/>
        <v>40754.948966496166</v>
      </c>
    </row>
    <row r="47" spans="1:10">
      <c r="A47" s="6" t="s">
        <v>76</v>
      </c>
      <c r="B47" t="s">
        <v>77</v>
      </c>
      <c r="C47" s="8">
        <v>15.821663899965801</v>
      </c>
      <c r="D47" s="231">
        <f>'Rate Sheet'!D253+(7.66*'Rate Sheet'!D255)</f>
        <v>1012.8265442517903</v>
      </c>
      <c r="E47" s="232">
        <f t="shared" ca="1" si="6"/>
        <v>114.44733218805803</v>
      </c>
      <c r="F47" s="232">
        <f t="shared" ca="1" si="7"/>
        <v>1127.2738764398484</v>
      </c>
      <c r="G47" s="10">
        <f t="shared" ca="1" si="8"/>
        <v>17835.348396242858</v>
      </c>
      <c r="I47" s="243">
        <f t="shared" ca="1" si="9"/>
        <v>69.183261697800305</v>
      </c>
      <c r="J47" s="243">
        <f t="shared" ca="1" si="10"/>
        <v>17904.531657940657</v>
      </c>
    </row>
    <row r="48" spans="1:10">
      <c r="A48" s="6" t="s">
        <v>78</v>
      </c>
      <c r="B48" t="s">
        <v>79</v>
      </c>
      <c r="C48" s="8">
        <v>48.772713852984303</v>
      </c>
      <c r="D48" s="231">
        <f>'Rate Sheet'!D158+((4.33*3-1)*'Rate Sheet'!D160)</f>
        <v>841.90589295743575</v>
      </c>
      <c r="E48" s="232">
        <f t="shared" ca="1" si="6"/>
        <v>95.133647463360262</v>
      </c>
      <c r="F48" s="232">
        <f t="shared" ca="1" si="7"/>
        <v>937.03954042079602</v>
      </c>
      <c r="G48" s="10">
        <f t="shared" ca="1" si="8"/>
        <v>45701.961373875405</v>
      </c>
      <c r="I48" s="243">
        <f t="shared" ca="1" si="9"/>
        <v>177.27776792393024</v>
      </c>
      <c r="J48" s="243">
        <f t="shared" ca="1" si="10"/>
        <v>45879.239141799335</v>
      </c>
    </row>
    <row r="49" spans="1:10">
      <c r="A49" s="6" t="s">
        <v>80</v>
      </c>
      <c r="B49" t="s">
        <v>81</v>
      </c>
      <c r="C49" s="8">
        <v>196.78811822269239</v>
      </c>
      <c r="D49" s="231">
        <v>302.48</v>
      </c>
      <c r="E49" s="232">
        <f t="shared" ca="1" si="6"/>
        <v>34.179622598474964</v>
      </c>
      <c r="F49" s="232">
        <f t="shared" ca="1" si="7"/>
        <v>336.65962259847498</v>
      </c>
      <c r="G49" s="10">
        <f t="shared" ca="1" si="8"/>
        <v>66250.613612715693</v>
      </c>
      <c r="I49" s="243">
        <f t="shared" ca="1" si="9"/>
        <v>256.9859269008669</v>
      </c>
      <c r="J49" s="243">
        <f t="shared" ca="1" si="10"/>
        <v>66507.599539616567</v>
      </c>
    </row>
    <row r="50" spans="1:10">
      <c r="A50" s="6" t="s">
        <v>82</v>
      </c>
      <c r="B50" t="s">
        <v>83</v>
      </c>
      <c r="C50" s="8">
        <v>38.120284987911958</v>
      </c>
      <c r="D50" s="231">
        <f>'Rate Sheet'!D167+(7.66*'Rate Sheet'!D169)</f>
        <v>668.53496558378993</v>
      </c>
      <c r="E50" s="232">
        <f t="shared" ca="1" si="6"/>
        <v>75.543086543038839</v>
      </c>
      <c r="F50" s="232">
        <f t="shared" ca="1" si="7"/>
        <v>744.07805212682877</v>
      </c>
      <c r="G50" s="10">
        <f t="shared" ca="1" si="8"/>
        <v>28364.467400325124</v>
      </c>
      <c r="I50" s="243">
        <f t="shared" ca="1" si="9"/>
        <v>110.02568200399161</v>
      </c>
      <c r="J50" s="243">
        <f t="shared" ca="1" si="10"/>
        <v>28474.493082329114</v>
      </c>
    </row>
    <row r="51" spans="1:10">
      <c r="A51" s="6" t="s">
        <v>84</v>
      </c>
      <c r="B51" t="s">
        <v>85</v>
      </c>
      <c r="C51" s="8">
        <v>10.597300745341427</v>
      </c>
      <c r="D51" s="231">
        <f>'Rate Sheet'!D167+((4.33*3-1)*'Rate Sheet'!D169)</f>
        <v>991.02692997085853</v>
      </c>
      <c r="E51" s="232">
        <f t="shared" ca="1" si="6"/>
        <v>111.98402027019711</v>
      </c>
      <c r="F51" s="232">
        <f t="shared" ca="1" si="7"/>
        <v>1103.0109502410555</v>
      </c>
      <c r="G51" s="10">
        <f t="shared" ca="1" si="8"/>
        <v>11688.938765109293</v>
      </c>
      <c r="I51" s="243">
        <f t="shared" ca="1" si="9"/>
        <v>45.341357600083256</v>
      </c>
      <c r="J51" s="243">
        <f t="shared" ca="1" si="10"/>
        <v>11734.280122709377</v>
      </c>
    </row>
    <row r="52" spans="1:10">
      <c r="A52" s="6" t="s">
        <v>86</v>
      </c>
      <c r="B52" t="s">
        <v>87</v>
      </c>
      <c r="C52" s="8">
        <v>12.059277448843837</v>
      </c>
      <c r="D52" s="231">
        <f>'Rate Sheet'!D167+((4.33*5-1)*'Rate Sheet'!D169)</f>
        <v>1636.0108587449956</v>
      </c>
      <c r="E52" s="232">
        <f t="shared" ca="1" si="6"/>
        <v>184.86588772451364</v>
      </c>
      <c r="F52" s="232">
        <f t="shared" ca="1" si="7"/>
        <v>1820.8767464695093</v>
      </c>
      <c r="G52" s="10">
        <f t="shared" ca="1" si="8"/>
        <v>21958.457885823889</v>
      </c>
      <c r="I52" s="243">
        <f t="shared" ca="1" si="9"/>
        <v>85.176790755323964</v>
      </c>
      <c r="J52" s="243">
        <f t="shared" ca="1" si="10"/>
        <v>22043.634676579211</v>
      </c>
    </row>
    <row r="53" spans="1:10">
      <c r="A53" s="6" t="s">
        <v>88</v>
      </c>
      <c r="B53" t="s">
        <v>89</v>
      </c>
      <c r="C53" s="8">
        <v>351.48778506354085</v>
      </c>
      <c r="D53" s="231">
        <v>344.66</v>
      </c>
      <c r="E53" s="232">
        <f t="shared" ca="1" si="6"/>
        <v>38.945876503538685</v>
      </c>
      <c r="F53" s="232">
        <f t="shared" ca="1" si="7"/>
        <v>383.6058765035387</v>
      </c>
      <c r="G53" s="10">
        <f t="shared" ca="1" si="8"/>
        <v>134832.77986958702</v>
      </c>
      <c r="I53" s="243">
        <f t="shared" ca="1" si="9"/>
        <v>523.01593935359199</v>
      </c>
      <c r="J53" s="243">
        <f t="shared" ca="1" si="10"/>
        <v>135355.7958089406</v>
      </c>
    </row>
    <row r="54" spans="1:10">
      <c r="A54" s="6" t="s">
        <v>90</v>
      </c>
      <c r="B54" t="s">
        <v>91</v>
      </c>
      <c r="C54" s="8">
        <v>54.921411374113625</v>
      </c>
      <c r="D54" s="231">
        <f>'Rate Sheet'!D176+(7.66*'Rate Sheet'!D178)</f>
        <v>764.58335863165132</v>
      </c>
      <c r="E54" s="232">
        <f t="shared" ca="1" si="6"/>
        <v>86.396358910024716</v>
      </c>
      <c r="F54" s="232">
        <f t="shared" ca="1" si="7"/>
        <v>850.979717541676</v>
      </c>
      <c r="G54" s="10">
        <f t="shared" ca="1" si="8"/>
        <v>46737.007138133406</v>
      </c>
      <c r="I54" s="243">
        <f t="shared" ca="1" si="9"/>
        <v>181.29270726724835</v>
      </c>
      <c r="J54" s="243">
        <f t="shared" ca="1" si="10"/>
        <v>46918.299845400652</v>
      </c>
    </row>
    <row r="55" spans="1:10">
      <c r="A55" s="6" t="s">
        <v>92</v>
      </c>
      <c r="B55" t="s">
        <v>93</v>
      </c>
      <c r="C55" s="8">
        <v>18.044411366862086</v>
      </c>
      <c r="D55" s="231">
        <f>'Rate Sheet'!D176+((4.33*3-1)*'Rate Sheet'!D178)</f>
        <v>1134.7099702570467</v>
      </c>
      <c r="E55" s="232">
        <f t="shared" ca="1" si="6"/>
        <v>128.21991054652409</v>
      </c>
      <c r="F55" s="232">
        <f t="shared" ca="1" si="7"/>
        <v>1262.9298808035708</v>
      </c>
      <c r="G55" s="10">
        <f t="shared" ca="1" si="8"/>
        <v>22788.826296721731</v>
      </c>
      <c r="I55" s="243">
        <f t="shared" ca="1" si="9"/>
        <v>88.39778727305017</v>
      </c>
      <c r="J55" s="243">
        <f t="shared" ca="1" si="10"/>
        <v>22877.224083994781</v>
      </c>
    </row>
    <row r="56" spans="1:10">
      <c r="A56" s="6" t="s">
        <v>94</v>
      </c>
      <c r="B56" t="s">
        <v>95</v>
      </c>
      <c r="C56" s="8">
        <v>274.64527380537146</v>
      </c>
      <c r="D56" s="231">
        <v>28.67</v>
      </c>
      <c r="E56" s="232">
        <f t="shared" ca="1" si="6"/>
        <v>3.2396514807533632</v>
      </c>
      <c r="F56" s="232">
        <f t="shared" ca="1" si="7"/>
        <v>31.909651480753364</v>
      </c>
      <c r="G56" s="10">
        <f t="shared" ca="1" si="8"/>
        <v>8763.8349679654839</v>
      </c>
      <c r="I56" s="243">
        <f t="shared" ca="1" si="9"/>
        <v>33.994888947210754</v>
      </c>
      <c r="J56" s="243">
        <f t="shared" ca="1" si="10"/>
        <v>8797.8298569126946</v>
      </c>
    </row>
    <row r="57" spans="1:10">
      <c r="A57" s="6" t="s">
        <v>96</v>
      </c>
      <c r="B57" t="s">
        <v>97</v>
      </c>
      <c r="C57" s="8">
        <v>1071.0288207297726</v>
      </c>
      <c r="D57" s="231">
        <v>37.82</v>
      </c>
      <c r="E57" s="232">
        <f t="shared" ca="1" si="6"/>
        <v>4.2735828043980533</v>
      </c>
      <c r="F57" s="232">
        <f t="shared" ca="1" si="7"/>
        <v>42.093582804398054</v>
      </c>
      <c r="G57" s="10">
        <f t="shared" ca="1" si="8"/>
        <v>45083.440351285484</v>
      </c>
      <c r="I57" s="243">
        <f t="shared" ca="1" si="9"/>
        <v>174.87852677535568</v>
      </c>
      <c r="J57" s="243">
        <f t="shared" ca="1" si="10"/>
        <v>45258.31887806084</v>
      </c>
    </row>
    <row r="58" spans="1:10">
      <c r="A58" s="6" t="s">
        <v>98</v>
      </c>
      <c r="B58" t="s">
        <v>99</v>
      </c>
      <c r="C58" s="8">
        <v>56.372968790301769</v>
      </c>
      <c r="D58" s="231">
        <v>38.770000000000003</v>
      </c>
      <c r="E58" s="232">
        <f t="shared" ca="1" si="6"/>
        <v>4.3809308653229122</v>
      </c>
      <c r="F58" s="232">
        <f t="shared" ca="1" si="7"/>
        <v>43.150930865322913</v>
      </c>
      <c r="G58" s="10">
        <f t="shared" ca="1" si="8"/>
        <v>2432.5460789433178</v>
      </c>
      <c r="I58" s="243">
        <f t="shared" ca="1" si="9"/>
        <v>9.4358387754816899</v>
      </c>
      <c r="J58" s="243">
        <f t="shared" ca="1" si="10"/>
        <v>2441.9819177187997</v>
      </c>
    </row>
    <row r="59" spans="1:10">
      <c r="A59" s="6" t="s">
        <v>100</v>
      </c>
      <c r="B59" t="s">
        <v>101</v>
      </c>
      <c r="C59" s="8">
        <v>2.3434065934065931</v>
      </c>
      <c r="D59" s="231">
        <v>7.28</v>
      </c>
      <c r="E59" s="232">
        <f t="shared" ca="1" si="6"/>
        <v>0.82262514056102132</v>
      </c>
      <c r="F59" s="232">
        <f t="shared" ca="1" si="7"/>
        <v>8.1026251405610221</v>
      </c>
      <c r="G59" s="10">
        <f t="shared" ca="1" si="8"/>
        <v>18.987745178292723</v>
      </c>
      <c r="I59" s="243">
        <f t="shared" ca="1" si="9"/>
        <v>7.3653405279018688E-2</v>
      </c>
      <c r="J59" s="243">
        <f t="shared" ca="1" si="10"/>
        <v>19.061398583571741</v>
      </c>
    </row>
    <row r="60" spans="1:10">
      <c r="A60" s="6" t="s">
        <v>102</v>
      </c>
      <c r="B60" t="s">
        <v>103</v>
      </c>
      <c r="C60" s="8">
        <v>0.37948717948717947</v>
      </c>
      <c r="D60" s="231">
        <v>54.6</v>
      </c>
      <c r="E60" s="232">
        <f t="shared" ca="1" si="6"/>
        <v>6.16968855420766</v>
      </c>
      <c r="F60" s="232">
        <f t="shared" ca="1" si="7"/>
        <v>60.769688554207661</v>
      </c>
      <c r="G60" s="10">
        <f t="shared" ca="1" si="8"/>
        <v>23.0613177077506</v>
      </c>
      <c r="I60" s="243">
        <f t="shared" ca="1" si="9"/>
        <v>8.9454780620238414E-2</v>
      </c>
      <c r="J60" s="243">
        <f t="shared" ca="1" si="10"/>
        <v>23.150772488370837</v>
      </c>
    </row>
    <row r="61" spans="1:10">
      <c r="A61" s="6" t="s">
        <v>104</v>
      </c>
      <c r="B61" t="s">
        <v>105</v>
      </c>
      <c r="C61" s="8">
        <v>22.106776556776556</v>
      </c>
      <c r="D61" s="231">
        <v>54.6</v>
      </c>
      <c r="E61" s="232">
        <f t="shared" ca="1" si="6"/>
        <v>6.16968855420766</v>
      </c>
      <c r="F61" s="232">
        <f t="shared" ca="1" si="7"/>
        <v>60.769688554207661</v>
      </c>
      <c r="G61" s="10">
        <f t="shared" ca="1" si="8"/>
        <v>1343.4219262927704</v>
      </c>
      <c r="I61" s="243">
        <f t="shared" ca="1" si="9"/>
        <v>5.2111295295389164</v>
      </c>
      <c r="J61" s="243">
        <f t="shared" ca="1" si="10"/>
        <v>1348.6330558223094</v>
      </c>
    </row>
    <row r="62" spans="1:10">
      <c r="A62" s="6" t="s">
        <v>106</v>
      </c>
      <c r="B62" t="s">
        <v>107</v>
      </c>
      <c r="C62" s="8">
        <v>1.3394329047148039</v>
      </c>
      <c r="D62" s="231">
        <v>60.66</v>
      </c>
      <c r="E62" s="232">
        <f t="shared" ca="1" si="6"/>
        <v>6.854456184949389</v>
      </c>
      <c r="F62" s="232">
        <f t="shared" ca="1" si="7"/>
        <v>67.514456184949381</v>
      </c>
      <c r="G62" s="10">
        <f t="shared" ca="1" si="8"/>
        <v>90.431084158047113</v>
      </c>
      <c r="I62" s="243">
        <f t="shared" ca="1" si="9"/>
        <v>0.35078189794374376</v>
      </c>
      <c r="J62" s="243">
        <f t="shared" ca="1" si="10"/>
        <v>90.781866055990861</v>
      </c>
    </row>
    <row r="63" spans="1:10">
      <c r="A63" s="6" t="s">
        <v>108</v>
      </c>
      <c r="B63" t="s">
        <v>109</v>
      </c>
      <c r="C63" s="8">
        <v>36</v>
      </c>
      <c r="D63" s="231">
        <v>7.89</v>
      </c>
      <c r="E63" s="232">
        <f t="shared" ca="1" si="6"/>
        <v>0.89155389547066732</v>
      </c>
      <c r="F63" s="232">
        <f t="shared" ca="1" si="7"/>
        <v>8.7815538954706671</v>
      </c>
      <c r="G63" s="10">
        <f t="shared" ca="1" si="8"/>
        <v>316.13594023694401</v>
      </c>
      <c r="I63" s="243">
        <f t="shared" ca="1" si="9"/>
        <v>1.226290342054658</v>
      </c>
      <c r="J63" s="243">
        <f t="shared" ca="1" si="10"/>
        <v>317.36223057899866</v>
      </c>
    </row>
    <row r="64" spans="1:10">
      <c r="A64" s="6" t="s">
        <v>110</v>
      </c>
      <c r="B64" t="s">
        <v>111</v>
      </c>
      <c r="C64" s="8">
        <v>4.839830697259969</v>
      </c>
      <c r="D64" s="231">
        <v>44.89</v>
      </c>
      <c r="E64" s="232">
        <f t="shared" ca="1" si="6"/>
        <v>5.0724783735967369</v>
      </c>
      <c r="F64" s="232">
        <f t="shared" ca="1" si="7"/>
        <v>49.962478373596738</v>
      </c>
      <c r="G64" s="10">
        <f t="shared" ca="1" si="8"/>
        <v>241.80993654372082</v>
      </c>
      <c r="I64" s="243">
        <f t="shared" ca="1" si="9"/>
        <v>0.93798000181240337</v>
      </c>
      <c r="J64" s="243">
        <f t="shared" ca="1" si="10"/>
        <v>242.74791654553323</v>
      </c>
    </row>
    <row r="65" spans="1:10">
      <c r="A65" s="6" t="s">
        <v>112</v>
      </c>
      <c r="B65" t="s">
        <v>111</v>
      </c>
      <c r="C65" s="8">
        <v>4.6504534212695798</v>
      </c>
      <c r="D65" s="231">
        <v>24.26</v>
      </c>
      <c r="E65" s="232">
        <f t="shared" ca="1" si="6"/>
        <v>2.7413304821442828</v>
      </c>
      <c r="F65" s="232">
        <f t="shared" ca="1" si="7"/>
        <v>27.001330482144283</v>
      </c>
      <c r="G65" s="10">
        <f t="shared" ca="1" si="8"/>
        <v>125.56842971951848</v>
      </c>
      <c r="I65" s="243">
        <f t="shared" ca="1" si="9"/>
        <v>0.48707955355093135</v>
      </c>
      <c r="J65" s="243">
        <f t="shared" ca="1" si="10"/>
        <v>126.0555092730694</v>
      </c>
    </row>
    <row r="66" spans="1:10">
      <c r="A66" s="6" t="s">
        <v>113</v>
      </c>
      <c r="B66" t="s">
        <v>114</v>
      </c>
      <c r="C66" s="8">
        <v>2</v>
      </c>
      <c r="D66" s="231">
        <v>33.119999999999997</v>
      </c>
      <c r="E66" s="232">
        <f t="shared" ca="1" si="6"/>
        <v>3.7424923977171738</v>
      </c>
      <c r="F66" s="232">
        <f t="shared" ca="1" si="7"/>
        <v>36.862492397717169</v>
      </c>
      <c r="G66" s="10">
        <f t="shared" ca="1" si="8"/>
        <v>73.724984795434338</v>
      </c>
      <c r="I66" s="243">
        <f t="shared" ca="1" si="9"/>
        <v>0.28597898978207487</v>
      </c>
      <c r="J66" s="243">
        <f t="shared" ca="1" si="10"/>
        <v>74.010963785216418</v>
      </c>
    </row>
    <row r="67" spans="1:10">
      <c r="A67" s="6" t="s">
        <v>115</v>
      </c>
      <c r="B67" t="s">
        <v>116</v>
      </c>
      <c r="C67" s="8">
        <v>1.329430548163917</v>
      </c>
      <c r="D67" s="231">
        <v>56.37</v>
      </c>
      <c r="E67" s="232">
        <f t="shared" ca="1" si="6"/>
        <v>6.369694941404501</v>
      </c>
      <c r="F67" s="232">
        <f t="shared" ca="1" si="7"/>
        <v>62.739694941404501</v>
      </c>
      <c r="G67" s="10">
        <f t="shared" ca="1" si="8"/>
        <v>83.408067037588324</v>
      </c>
      <c r="I67" s="243">
        <f t="shared" ca="1" si="9"/>
        <v>0.32353963608497427</v>
      </c>
      <c r="J67" s="243">
        <f t="shared" ca="1" si="10"/>
        <v>83.731606673673298</v>
      </c>
    </row>
    <row r="68" spans="1:10">
      <c r="A68" s="6" t="s">
        <v>117</v>
      </c>
      <c r="B68" t="s">
        <v>118</v>
      </c>
      <c r="C68" s="8">
        <v>-6.1267184698147034E-3</v>
      </c>
      <c r="D68" s="231">
        <v>66.92</v>
      </c>
      <c r="E68" s="232">
        <f t="shared" ca="1" si="6"/>
        <v>7.5618234074647734</v>
      </c>
      <c r="F68" s="232">
        <f t="shared" ca="1" si="7"/>
        <v>74.481823407464773</v>
      </c>
      <c r="G68" s="10">
        <f t="shared" ca="1" si="8"/>
        <v>-0.45632916313599153</v>
      </c>
      <c r="I68" s="243">
        <f t="shared" ca="1" si="9"/>
        <v>-1.7700994234699683E-3</v>
      </c>
      <c r="J68" s="243">
        <f t="shared" ca="1" si="10"/>
        <v>-0.45809926255946148</v>
      </c>
    </row>
    <row r="69" spans="1:10">
      <c r="A69" s="6" t="s">
        <v>119</v>
      </c>
      <c r="B69" t="s">
        <v>120</v>
      </c>
      <c r="C69" s="8">
        <v>64.754396984924625</v>
      </c>
      <c r="D69" s="231">
        <v>15.92</v>
      </c>
      <c r="E69" s="232">
        <f t="shared" ca="1" si="6"/>
        <v>1.7989275051828928</v>
      </c>
      <c r="F69" s="232">
        <f t="shared" ca="1" si="7"/>
        <v>17.718927505182894</v>
      </c>
      <c r="G69" s="10">
        <f t="shared" ca="1" si="8"/>
        <v>1147.3784658177133</v>
      </c>
      <c r="I69" s="243">
        <f t="shared" ca="1" si="9"/>
        <v>4.4506775479535516</v>
      </c>
      <c r="J69" s="243">
        <f t="shared" ca="1" si="10"/>
        <v>1151.8291433656668</v>
      </c>
    </row>
    <row r="70" spans="1:10">
      <c r="A70" s="6" t="s">
        <v>121</v>
      </c>
      <c r="B70" t="s">
        <v>122</v>
      </c>
      <c r="C70" s="8">
        <v>51.510989010989007</v>
      </c>
      <c r="D70" s="231">
        <v>7.28</v>
      </c>
      <c r="E70" s="232">
        <f t="shared" ca="1" si="6"/>
        <v>0.82262514056102132</v>
      </c>
      <c r="F70" s="232">
        <f t="shared" ca="1" si="7"/>
        <v>8.1026251405610221</v>
      </c>
      <c r="G70" s="10">
        <f t="shared" ca="1" si="8"/>
        <v>417.37423457560209</v>
      </c>
      <c r="I70" s="243">
        <f t="shared" ca="1" si="9"/>
        <v>1.6189933751249712</v>
      </c>
      <c r="J70" s="243">
        <f t="shared" ca="1" si="10"/>
        <v>418.99322795072703</v>
      </c>
    </row>
    <row r="71" spans="1:10">
      <c r="A71" s="6" t="s">
        <v>123</v>
      </c>
      <c r="B71" t="s">
        <v>124</v>
      </c>
      <c r="C71" s="8">
        <v>29.207598371777479</v>
      </c>
      <c r="D71" s="231">
        <v>7.37</v>
      </c>
      <c r="E71" s="232">
        <f t="shared" ca="1" si="6"/>
        <v>0.83279495685916582</v>
      </c>
      <c r="F71" s="232">
        <f t="shared" ca="1" si="7"/>
        <v>8.2027949568591652</v>
      </c>
      <c r="G71" s="10">
        <f t="shared" ca="1" si="8"/>
        <v>239.58394062598427</v>
      </c>
      <c r="I71" s="243">
        <f t="shared" ca="1" si="9"/>
        <v>0.92934537047840349</v>
      </c>
      <c r="J71" s="243">
        <f t="shared" ca="1" si="10"/>
        <v>240.51328599646268</v>
      </c>
    </row>
    <row r="72" spans="1:10">
      <c r="A72" s="6" t="s">
        <v>125</v>
      </c>
      <c r="B72" t="s">
        <v>126</v>
      </c>
      <c r="C72" s="8">
        <v>5.8311496196111587</v>
      </c>
      <c r="D72" s="231">
        <v>47.32</v>
      </c>
      <c r="E72" s="232">
        <f t="shared" ca="1" si="6"/>
        <v>5.3470634136466382</v>
      </c>
      <c r="F72" s="232">
        <f t="shared" ca="1" si="7"/>
        <v>52.667063413646638</v>
      </c>
      <c r="G72" s="10">
        <f t="shared" ca="1" si="8"/>
        <v>307.10952679052235</v>
      </c>
      <c r="I72" s="243">
        <f t="shared" ca="1" si="9"/>
        <v>1.1912769119952888</v>
      </c>
      <c r="J72" s="243">
        <f t="shared" ca="1" si="10"/>
        <v>308.30080370251767</v>
      </c>
    </row>
    <row r="73" spans="1:10">
      <c r="A73" s="6" t="s">
        <v>127</v>
      </c>
      <c r="B73" t="s">
        <v>128</v>
      </c>
      <c r="C73" s="8">
        <v>0.4</v>
      </c>
      <c r="D73" s="231">
        <v>2.4300000000000002</v>
      </c>
      <c r="E73" s="232">
        <f t="shared" ca="1" si="6"/>
        <v>0.27458504004990136</v>
      </c>
      <c r="F73" s="232">
        <f t="shared" ca="1" si="7"/>
        <v>2.7045850400499014</v>
      </c>
      <c r="G73" s="10">
        <f t="shared" ca="1" si="8"/>
        <v>1.0818340160199607</v>
      </c>
      <c r="I73" s="243">
        <f t="shared" ca="1" si="9"/>
        <v>4.1964308283239261E-3</v>
      </c>
      <c r="J73" s="243">
        <f t="shared" ca="1" si="10"/>
        <v>1.0860304468482846</v>
      </c>
    </row>
    <row r="74" spans="1:10">
      <c r="A74" s="6" t="s">
        <v>129</v>
      </c>
      <c r="B74" t="s">
        <v>130</v>
      </c>
      <c r="C74" s="8">
        <v>7</v>
      </c>
      <c r="D74" s="231">
        <v>2.4300000000000002</v>
      </c>
      <c r="E74" s="232">
        <f t="shared" ca="1" si="6"/>
        <v>0.27458504004990136</v>
      </c>
      <c r="F74" s="232">
        <f t="shared" ca="1" si="7"/>
        <v>2.7045850400499014</v>
      </c>
      <c r="G74" s="10">
        <f t="shared" ca="1" si="8"/>
        <v>18.932095280349309</v>
      </c>
      <c r="I74" s="243">
        <f t="shared" ca="1" si="9"/>
        <v>7.3437539495668683E-2</v>
      </c>
      <c r="J74" s="243">
        <f t="shared" ca="1" si="10"/>
        <v>19.005532819844976</v>
      </c>
    </row>
    <row r="75" spans="1:10">
      <c r="A75" s="6" t="s">
        <v>131</v>
      </c>
      <c r="B75" t="s">
        <v>132</v>
      </c>
      <c r="C75" s="8">
        <v>4</v>
      </c>
      <c r="D75" s="231">
        <v>47.32</v>
      </c>
      <c r="E75" s="232">
        <f t="shared" ca="1" si="6"/>
        <v>5.3470634136466382</v>
      </c>
      <c r="F75" s="232">
        <f t="shared" ca="1" si="7"/>
        <v>52.667063413646638</v>
      </c>
      <c r="G75" s="10">
        <f t="shared" ca="1" si="8"/>
        <v>210.66825365458655</v>
      </c>
      <c r="I75" s="243">
        <f t="shared" ca="1" si="9"/>
        <v>0.81718150944974544</v>
      </c>
      <c r="J75" s="243">
        <f t="shared" ca="1" si="10"/>
        <v>211.48543516403629</v>
      </c>
    </row>
    <row r="76" spans="1:10" ht="15" thickBot="1">
      <c r="A76" s="6"/>
      <c r="C76" s="8"/>
      <c r="D76" s="231"/>
      <c r="E76" s="232">
        <f t="shared" ca="1" si="6"/>
        <v>0</v>
      </c>
      <c r="F76" s="232">
        <f t="shared" ca="1" si="7"/>
        <v>0</v>
      </c>
      <c r="G76" s="10">
        <f t="shared" ca="1" si="8"/>
        <v>0</v>
      </c>
    </row>
    <row r="77" spans="1:10" s="12" customFormat="1" ht="15" thickBot="1">
      <c r="A77" s="11"/>
      <c r="B77" s="12" t="s">
        <v>133</v>
      </c>
      <c r="C77" s="13">
        <v>5806.6811981261726</v>
      </c>
      <c r="D77" s="233"/>
      <c r="E77" s="234"/>
      <c r="F77" s="234"/>
      <c r="G77" s="14">
        <f ca="1">SUM(G33:G76)</f>
        <v>1127444.3445958099</v>
      </c>
      <c r="I77" s="244">
        <f ca="1">SUM(I33:I76)</f>
        <v>4373.3531529055072</v>
      </c>
      <c r="J77" s="240"/>
    </row>
    <row r="78" spans="1:10">
      <c r="A78" s="6"/>
      <c r="C78" s="8"/>
      <c r="D78" s="231"/>
      <c r="G78" s="7"/>
    </row>
    <row r="79" spans="1:10" s="18" customFormat="1">
      <c r="A79" s="15" t="s">
        <v>134</v>
      </c>
      <c r="B79" s="16" t="s">
        <v>134</v>
      </c>
      <c r="C79" s="17"/>
      <c r="D79" s="235"/>
      <c r="E79" s="236"/>
      <c r="F79" s="236"/>
      <c r="G79" s="19"/>
      <c r="I79" s="241"/>
      <c r="J79" s="241"/>
    </row>
    <row r="80" spans="1:10">
      <c r="A80" s="6" t="s">
        <v>135</v>
      </c>
      <c r="B80" t="s">
        <v>136</v>
      </c>
      <c r="C80" s="8">
        <v>661.69085808665159</v>
      </c>
      <c r="D80" s="231">
        <v>52.844999999999999</v>
      </c>
      <c r="E80" s="232"/>
      <c r="F80" s="232">
        <f>E80+D80</f>
        <v>52.844999999999999</v>
      </c>
      <c r="G80" s="10">
        <f>F80*C80</f>
        <v>34967.053395589101</v>
      </c>
      <c r="I80" s="243">
        <f t="shared" ref="I80:I83" ca="1" si="11">+J$2*G80</f>
        <v>135.63709281830486</v>
      </c>
      <c r="J80" s="243">
        <f t="shared" ref="J80:J83" ca="1" si="12">+I80+G80</f>
        <v>35102.690488407403</v>
      </c>
    </row>
    <row r="81" spans="1:10">
      <c r="A81" s="6" t="s">
        <v>137</v>
      </c>
      <c r="B81" t="s">
        <v>138</v>
      </c>
      <c r="C81" s="8">
        <v>53.444732618233431</v>
      </c>
      <c r="D81" s="231">
        <v>98.344999999999999</v>
      </c>
      <c r="E81" s="232"/>
      <c r="F81" s="232">
        <f>E81+D81</f>
        <v>98.344999999999999</v>
      </c>
      <c r="G81" s="10">
        <f>F81*C81</f>
        <v>5256.0222293401666</v>
      </c>
      <c r="I81" s="243">
        <f t="shared" ca="1" si="11"/>
        <v>20.388094098486881</v>
      </c>
      <c r="J81" s="243">
        <f t="shared" ca="1" si="12"/>
        <v>5276.4103234386539</v>
      </c>
    </row>
    <row r="82" spans="1:10">
      <c r="A82" s="6" t="s">
        <v>139</v>
      </c>
      <c r="B82" t="s">
        <v>140</v>
      </c>
      <c r="C82" s="8">
        <v>6</v>
      </c>
      <c r="D82" s="231">
        <v>143.84</v>
      </c>
      <c r="E82" s="232"/>
      <c r="F82" s="232">
        <f>E82+D82</f>
        <v>143.84</v>
      </c>
      <c r="G82" s="10">
        <f>F82*C82</f>
        <v>863.04</v>
      </c>
      <c r="I82" s="243">
        <f t="shared" ca="1" si="11"/>
        <v>3.3477295115943719</v>
      </c>
      <c r="J82" s="243">
        <f t="shared" ca="1" si="12"/>
        <v>866.38772951159433</v>
      </c>
    </row>
    <row r="83" spans="1:10">
      <c r="A83" s="6" t="s">
        <v>141</v>
      </c>
      <c r="B83" t="s">
        <v>142</v>
      </c>
      <c r="C83" s="8">
        <v>204.11</v>
      </c>
      <c r="D83" s="231">
        <v>28</v>
      </c>
      <c r="E83" s="232"/>
      <c r="F83" s="232">
        <f>E83+D83</f>
        <v>28</v>
      </c>
      <c r="G83" s="10">
        <f>F83*C83</f>
        <v>5715.08</v>
      </c>
      <c r="I83" s="243">
        <f t="shared" ca="1" si="11"/>
        <v>22.168777782168572</v>
      </c>
      <c r="J83" s="243">
        <f t="shared" ca="1" si="12"/>
        <v>5737.2487777821689</v>
      </c>
    </row>
    <row r="84" spans="1:10" ht="15" thickBot="1">
      <c r="A84" s="6"/>
      <c r="C84" s="8"/>
      <c r="D84" s="231"/>
      <c r="G84" s="7"/>
    </row>
    <row r="85" spans="1:10" s="12" customFormat="1" ht="15" thickBot="1">
      <c r="A85" s="11"/>
      <c r="B85" s="12" t="s">
        <v>143</v>
      </c>
      <c r="C85" s="13">
        <v>925.24559070488499</v>
      </c>
      <c r="D85" s="233"/>
      <c r="E85" s="234"/>
      <c r="F85" s="234"/>
      <c r="G85" s="14"/>
      <c r="I85" s="240"/>
      <c r="J85" s="240"/>
    </row>
    <row r="86" spans="1:10">
      <c r="A86" s="6"/>
      <c r="C86" s="8"/>
      <c r="D86" s="231"/>
      <c r="G86" s="7"/>
    </row>
    <row r="87" spans="1:10" s="18" customFormat="1">
      <c r="A87" s="15" t="s">
        <v>144</v>
      </c>
      <c r="B87" s="16" t="s">
        <v>144</v>
      </c>
      <c r="C87" s="17"/>
      <c r="D87" s="235"/>
      <c r="E87" s="236"/>
      <c r="F87" s="236"/>
      <c r="G87" s="19"/>
      <c r="I87" s="241"/>
      <c r="J87" s="241"/>
    </row>
    <row r="88" spans="1:10">
      <c r="A88" s="6"/>
      <c r="C88" s="8"/>
      <c r="D88" s="231"/>
      <c r="G88" s="7"/>
    </row>
    <row r="89" spans="1:10">
      <c r="A89" s="6" t="s">
        <v>145</v>
      </c>
      <c r="B89" t="s">
        <v>145</v>
      </c>
      <c r="C89" s="8"/>
      <c r="D89" s="231"/>
      <c r="G89" s="7"/>
    </row>
    <row r="90" spans="1:10">
      <c r="A90" s="6" t="s">
        <v>146</v>
      </c>
      <c r="B90" t="s">
        <v>147</v>
      </c>
      <c r="C90" s="8">
        <v>397.54748292837871</v>
      </c>
      <c r="D90" s="231">
        <f>'Rate Sheet'!D292</f>
        <v>140.17096293987021</v>
      </c>
      <c r="E90" s="232">
        <f t="shared" ref="E90:E117" ca="1" si="13">D90*$E$3</f>
        <v>15.839032704805554</v>
      </c>
      <c r="F90" s="232">
        <f t="shared" ref="F90:F117" ca="1" si="14">E90+D90</f>
        <v>156.00999564467577</v>
      </c>
      <c r="G90" s="10">
        <f t="shared" ref="G90:G118" ca="1" si="15">F90*C90</f>
        <v>62021.381080208179</v>
      </c>
      <c r="I90" s="243">
        <f t="shared" ref="I90:I117" ca="1" si="16">+J$2*G90</f>
        <v>240.58074688549053</v>
      </c>
      <c r="J90" s="243">
        <f t="shared" ref="J90:J117" ca="1" si="17">+I90+G90</f>
        <v>62261.96182709367</v>
      </c>
    </row>
    <row r="91" spans="1:10">
      <c r="A91" s="6" t="s">
        <v>148</v>
      </c>
      <c r="B91" t="s">
        <v>149</v>
      </c>
      <c r="C91" s="8">
        <v>346.72313797313791</v>
      </c>
      <c r="D91" s="231">
        <f>'Rate Sheet'!D287</f>
        <v>109.38543939757379</v>
      </c>
      <c r="E91" s="232">
        <f t="shared" ca="1" si="13"/>
        <v>12.36033138183492</v>
      </c>
      <c r="F91" s="232">
        <f t="shared" ca="1" si="14"/>
        <v>121.74577077940872</v>
      </c>
      <c r="G91" s="10">
        <f t="shared" ca="1" si="15"/>
        <v>42212.075679594949</v>
      </c>
      <c r="I91" s="243">
        <f t="shared" ca="1" si="16"/>
        <v>163.74051202520749</v>
      </c>
      <c r="J91" s="243">
        <f t="shared" ca="1" si="17"/>
        <v>42375.816191620157</v>
      </c>
    </row>
    <row r="92" spans="1:10">
      <c r="A92" s="6" t="s">
        <v>150</v>
      </c>
      <c r="B92" t="s">
        <v>151</v>
      </c>
      <c r="C92" s="8">
        <v>8.9869779259965075</v>
      </c>
      <c r="D92" s="231">
        <f>'Rate Sheet'!D292</f>
        <v>140.17096293987021</v>
      </c>
      <c r="E92" s="232">
        <f t="shared" ca="1" si="13"/>
        <v>15.839032704805554</v>
      </c>
      <c r="F92" s="232">
        <f t="shared" ca="1" si="14"/>
        <v>156.00999564467577</v>
      </c>
      <c r="G92" s="10">
        <f t="shared" ca="1" si="15"/>
        <v>1402.0583870935125</v>
      </c>
      <c r="I92" s="243">
        <f t="shared" ca="1" si="16"/>
        <v>5.4385801810476426</v>
      </c>
      <c r="J92" s="243">
        <f t="shared" ca="1" si="17"/>
        <v>1407.4969672745601</v>
      </c>
    </row>
    <row r="93" spans="1:10">
      <c r="A93" s="6" t="s">
        <v>152</v>
      </c>
      <c r="B93" t="s">
        <v>153</v>
      </c>
      <c r="C93" s="8">
        <v>243.47416236645108</v>
      </c>
      <c r="D93" s="231">
        <f>'Rate Sheet'!D302</f>
        <v>153.13738916068556</v>
      </c>
      <c r="E93" s="232">
        <f t="shared" ca="1" si="13"/>
        <v>17.304212401573732</v>
      </c>
      <c r="F93" s="232">
        <f t="shared" ca="1" si="14"/>
        <v>170.44160156225928</v>
      </c>
      <c r="G93" s="10">
        <f t="shared" ca="1" si="15"/>
        <v>41498.126172767479</v>
      </c>
      <c r="I93" s="243">
        <f t="shared" ca="1" si="16"/>
        <v>160.97110407911626</v>
      </c>
      <c r="J93" s="243">
        <f t="shared" ca="1" si="17"/>
        <v>41659.097276846594</v>
      </c>
    </row>
    <row r="94" spans="1:10">
      <c r="A94" s="6" t="s">
        <v>154</v>
      </c>
      <c r="B94" t="s">
        <v>155</v>
      </c>
      <c r="C94" s="8">
        <v>169.17523648965067</v>
      </c>
      <c r="D94" s="231">
        <f>'Rate Sheet'!D297</f>
        <v>118.83479206836542</v>
      </c>
      <c r="E94" s="232">
        <f t="shared" ca="1" si="13"/>
        <v>13.42808894626083</v>
      </c>
      <c r="F94" s="232">
        <f t="shared" ca="1" si="14"/>
        <v>132.26288101462626</v>
      </c>
      <c r="G94" s="10">
        <f t="shared" ca="1" si="15"/>
        <v>22375.604174451924</v>
      </c>
      <c r="I94" s="243">
        <f t="shared" ca="1" si="16"/>
        <v>86.794899928817813</v>
      </c>
      <c r="J94" s="243">
        <f t="shared" ca="1" si="17"/>
        <v>22462.399074380741</v>
      </c>
    </row>
    <row r="95" spans="1:10">
      <c r="A95" s="6" t="s">
        <v>156</v>
      </c>
      <c r="B95" t="s">
        <v>157</v>
      </c>
      <c r="C95" s="8">
        <v>3</v>
      </c>
      <c r="D95" s="231">
        <f>'Rate Sheet'!D302</f>
        <v>153.13738916068556</v>
      </c>
      <c r="E95" s="232">
        <f t="shared" ca="1" si="13"/>
        <v>17.304212401573732</v>
      </c>
      <c r="F95" s="232">
        <f t="shared" ca="1" si="14"/>
        <v>170.44160156225928</v>
      </c>
      <c r="G95" s="10">
        <f t="shared" ca="1" si="15"/>
        <v>511.32480468677784</v>
      </c>
      <c r="I95" s="243">
        <f t="shared" ca="1" si="16"/>
        <v>1.9834273482806757</v>
      </c>
      <c r="J95" s="243">
        <f t="shared" ca="1" si="17"/>
        <v>513.3082320350585</v>
      </c>
    </row>
    <row r="96" spans="1:10">
      <c r="A96" s="6" t="s">
        <v>158</v>
      </c>
      <c r="B96" t="s">
        <v>159</v>
      </c>
      <c r="C96" s="8">
        <v>673.25835164835166</v>
      </c>
      <c r="D96" s="231">
        <v>182</v>
      </c>
      <c r="E96" s="232">
        <f t="shared" ca="1" si="13"/>
        <v>20.565628514025533</v>
      </c>
      <c r="F96" s="232">
        <f t="shared" ca="1" si="14"/>
        <v>202.56562851402555</v>
      </c>
      <c r="G96" s="10">
        <f t="shared" ca="1" si="15"/>
        <v>136379.00115396519</v>
      </c>
      <c r="I96" s="243">
        <f t="shared" ca="1" si="16"/>
        <v>529.01372697081501</v>
      </c>
      <c r="J96" s="243">
        <f t="shared" ca="1" si="17"/>
        <v>136908.01488093601</v>
      </c>
    </row>
    <row r="97" spans="1:10">
      <c r="A97" s="6" t="s">
        <v>160</v>
      </c>
      <c r="B97" t="s">
        <v>161</v>
      </c>
      <c r="C97" s="8">
        <v>91.444874274661515</v>
      </c>
      <c r="D97" s="231">
        <f>'Rate Sheet'!D308</f>
        <v>132.34658728902625</v>
      </c>
      <c r="E97" s="232">
        <f t="shared" ca="1" si="13"/>
        <v>14.954894226841578</v>
      </c>
      <c r="F97" s="232">
        <f t="shared" ca="1" si="14"/>
        <v>147.30148151586783</v>
      </c>
      <c r="G97" s="10">
        <f t="shared" ca="1" si="15"/>
        <v>13469.965457689912</v>
      </c>
      <c r="I97" s="243">
        <f t="shared" ca="1" si="16"/>
        <v>52.249954675177641</v>
      </c>
      <c r="J97" s="243">
        <f t="shared" ca="1" si="17"/>
        <v>13522.215412365089</v>
      </c>
    </row>
    <row r="98" spans="1:10">
      <c r="A98" s="6" t="s">
        <v>162</v>
      </c>
      <c r="B98" t="s">
        <v>163</v>
      </c>
      <c r="C98" s="8">
        <v>12</v>
      </c>
      <c r="D98" s="231">
        <f>'Rate Sheet'!D312</f>
        <v>166.9051739118861</v>
      </c>
      <c r="E98" s="232">
        <f t="shared" ca="1" si="13"/>
        <v>18.859943976597116</v>
      </c>
      <c r="F98" s="232">
        <f t="shared" ca="1" si="14"/>
        <v>185.76511788848322</v>
      </c>
      <c r="G98" s="10">
        <f t="shared" ca="1" si="15"/>
        <v>2229.1814146617985</v>
      </c>
      <c r="I98" s="243">
        <f t="shared" ca="1" si="16"/>
        <v>8.6469878667975912</v>
      </c>
      <c r="J98" s="243">
        <f t="shared" ca="1" si="17"/>
        <v>2237.8284025285961</v>
      </c>
    </row>
    <row r="99" spans="1:10">
      <c r="A99" s="6" t="s">
        <v>164</v>
      </c>
      <c r="B99" t="s">
        <v>165</v>
      </c>
      <c r="C99" s="8">
        <v>15.146035048411619</v>
      </c>
      <c r="D99" s="231">
        <f>'Rate Sheet'!D310</f>
        <v>139.09135491976798</v>
      </c>
      <c r="E99" s="232">
        <f t="shared" ca="1" si="13"/>
        <v>15.717039202156187</v>
      </c>
      <c r="F99" s="232">
        <f t="shared" ca="1" si="14"/>
        <v>154.80839412192415</v>
      </c>
      <c r="G99" s="10">
        <f t="shared" ca="1" si="15"/>
        <v>2344.7333631589827</v>
      </c>
      <c r="I99" s="243">
        <f t="shared" ca="1" si="16"/>
        <v>9.0952135204246041</v>
      </c>
      <c r="J99" s="243">
        <f t="shared" ca="1" si="17"/>
        <v>2353.8285766794074</v>
      </c>
    </row>
    <row r="100" spans="1:10">
      <c r="A100" s="6" t="s">
        <v>166</v>
      </c>
      <c r="B100" t="s">
        <v>167</v>
      </c>
      <c r="C100" s="8">
        <v>108.65335164835165</v>
      </c>
      <c r="D100" s="231">
        <v>182</v>
      </c>
      <c r="E100" s="232">
        <f t="shared" ca="1" si="13"/>
        <v>20.565628514025533</v>
      </c>
      <c r="F100" s="232">
        <f t="shared" ca="1" si="14"/>
        <v>202.56562851402555</v>
      </c>
      <c r="G100" s="10">
        <f t="shared" ca="1" si="15"/>
        <v>22009.434466803785</v>
      </c>
      <c r="I100" s="243">
        <f t="shared" ca="1" si="16"/>
        <v>85.374528756513456</v>
      </c>
      <c r="J100" s="243">
        <f t="shared" ca="1" si="17"/>
        <v>22094.808995560299</v>
      </c>
    </row>
    <row r="101" spans="1:10">
      <c r="A101" s="6" t="s">
        <v>168</v>
      </c>
      <c r="B101" t="s">
        <v>169</v>
      </c>
      <c r="C101" s="8">
        <v>180</v>
      </c>
      <c r="D101" s="231">
        <f>'Rate Sheet'!D318</f>
        <v>40.513125702805105</v>
      </c>
      <c r="E101" s="232">
        <f t="shared" ca="1" si="13"/>
        <v>4.5779005117907108</v>
      </c>
      <c r="F101" s="232">
        <f t="shared" ca="1" si="14"/>
        <v>45.091026214595814</v>
      </c>
      <c r="G101" s="10">
        <f t="shared" ca="1" si="15"/>
        <v>8116.3847186272469</v>
      </c>
      <c r="I101" s="243">
        <f t="shared" ca="1" si="16"/>
        <v>31.483431416854394</v>
      </c>
      <c r="J101" s="243">
        <f t="shared" ca="1" si="17"/>
        <v>8147.8681500441016</v>
      </c>
    </row>
    <row r="102" spans="1:10">
      <c r="A102" s="6" t="s">
        <v>170</v>
      </c>
      <c r="B102" t="s">
        <v>171</v>
      </c>
      <c r="C102" s="8">
        <v>6.8088156244400633</v>
      </c>
      <c r="D102" s="231">
        <v>55.81</v>
      </c>
      <c r="E102" s="232">
        <f t="shared" ca="1" si="13"/>
        <v>6.3064160844382693</v>
      </c>
      <c r="F102" s="232">
        <f t="shared" ca="1" si="14"/>
        <v>62.116416084438271</v>
      </c>
      <c r="G102" s="10">
        <f t="shared" ca="1" si="15"/>
        <v>422.93922436994336</v>
      </c>
      <c r="I102" s="243">
        <f t="shared" ca="1" si="16"/>
        <v>1.6405799534599705</v>
      </c>
      <c r="J102" s="243">
        <f t="shared" ca="1" si="17"/>
        <v>424.57980432340332</v>
      </c>
    </row>
    <row r="103" spans="1:10">
      <c r="A103" s="6" t="s">
        <v>172</v>
      </c>
      <c r="B103" t="s">
        <v>173</v>
      </c>
      <c r="C103" s="8">
        <v>139</v>
      </c>
      <c r="D103" s="231">
        <v>91</v>
      </c>
      <c r="E103" s="232">
        <f t="shared" ca="1" si="13"/>
        <v>10.282814257012767</v>
      </c>
      <c r="F103" s="232">
        <f t="shared" ca="1" si="14"/>
        <v>101.28281425701277</v>
      </c>
      <c r="G103" s="10">
        <f t="shared" ca="1" si="15"/>
        <v>14078.311181724775</v>
      </c>
      <c r="I103" s="243">
        <f t="shared" ca="1" si="16"/>
        <v>54.609725871882034</v>
      </c>
      <c r="J103" s="243">
        <f t="shared" ca="1" si="17"/>
        <v>14132.920907596657</v>
      </c>
    </row>
    <row r="104" spans="1:10">
      <c r="A104" s="6" t="s">
        <v>174</v>
      </c>
      <c r="B104" t="s">
        <v>175</v>
      </c>
      <c r="C104" s="8">
        <v>1</v>
      </c>
      <c r="D104" s="231">
        <v>91</v>
      </c>
      <c r="E104" s="232">
        <f t="shared" ca="1" si="13"/>
        <v>10.282814257012767</v>
      </c>
      <c r="F104" s="232">
        <f t="shared" ca="1" si="14"/>
        <v>101.28281425701277</v>
      </c>
      <c r="G104" s="10">
        <f t="shared" ca="1" si="15"/>
        <v>101.28281425701277</v>
      </c>
      <c r="I104" s="243">
        <f t="shared" ca="1" si="16"/>
        <v>0.39287572569699303</v>
      </c>
      <c r="J104" s="243">
        <f t="shared" ca="1" si="17"/>
        <v>101.67568998270977</v>
      </c>
    </row>
    <row r="105" spans="1:10">
      <c r="A105" s="6" t="s">
        <v>176</v>
      </c>
      <c r="B105" t="s">
        <v>177</v>
      </c>
      <c r="C105" s="8">
        <v>97</v>
      </c>
      <c r="D105" s="231">
        <v>91</v>
      </c>
      <c r="E105" s="232">
        <f t="shared" ca="1" si="13"/>
        <v>10.282814257012767</v>
      </c>
      <c r="F105" s="232">
        <f t="shared" ca="1" si="14"/>
        <v>101.28281425701277</v>
      </c>
      <c r="G105" s="10">
        <f t="shared" ca="1" si="15"/>
        <v>9824.4329829302387</v>
      </c>
      <c r="I105" s="243">
        <f t="shared" ca="1" si="16"/>
        <v>38.108945392608319</v>
      </c>
      <c r="J105" s="243">
        <f t="shared" ca="1" si="17"/>
        <v>9862.5419283228475</v>
      </c>
    </row>
    <row r="106" spans="1:10">
      <c r="A106" s="6" t="s">
        <v>178</v>
      </c>
      <c r="B106" t="s">
        <v>179</v>
      </c>
      <c r="C106" s="8">
        <v>112.99208791208791</v>
      </c>
      <c r="D106" s="231">
        <v>91</v>
      </c>
      <c r="E106" s="232">
        <f t="shared" ca="1" si="13"/>
        <v>10.282814257012767</v>
      </c>
      <c r="F106" s="232">
        <f t="shared" ca="1" si="14"/>
        <v>101.28281425701277</v>
      </c>
      <c r="G106" s="10">
        <f t="shared" ca="1" si="15"/>
        <v>11444.156652512058</v>
      </c>
      <c r="I106" s="243">
        <f t="shared" ca="1" si="16"/>
        <v>44.391848536479969</v>
      </c>
      <c r="J106" s="243">
        <f t="shared" ca="1" si="17"/>
        <v>11488.548501048537</v>
      </c>
    </row>
    <row r="107" spans="1:10">
      <c r="A107" s="6" t="s">
        <v>180</v>
      </c>
      <c r="B107" t="s">
        <v>181</v>
      </c>
      <c r="C107" s="8">
        <v>33</v>
      </c>
      <c r="D107" s="231">
        <v>91</v>
      </c>
      <c r="E107" s="232">
        <f t="shared" ca="1" si="13"/>
        <v>10.282814257012767</v>
      </c>
      <c r="F107" s="232">
        <f t="shared" ca="1" si="14"/>
        <v>101.28281425701277</v>
      </c>
      <c r="G107" s="10">
        <f t="shared" ca="1" si="15"/>
        <v>3342.3328704814217</v>
      </c>
      <c r="I107" s="243">
        <f t="shared" ca="1" si="16"/>
        <v>12.964898948000771</v>
      </c>
      <c r="J107" s="243">
        <f t="shared" ca="1" si="17"/>
        <v>3355.2977694294223</v>
      </c>
    </row>
    <row r="108" spans="1:10">
      <c r="A108" s="6" t="s">
        <v>182</v>
      </c>
      <c r="B108" t="s">
        <v>183</v>
      </c>
      <c r="C108" s="8">
        <v>28968.553398058251</v>
      </c>
      <c r="D108" s="231">
        <v>5.15</v>
      </c>
      <c r="E108" s="232">
        <f t="shared" ca="1" si="13"/>
        <v>0.58193948817160168</v>
      </c>
      <c r="F108" s="232">
        <f t="shared" ca="1" si="14"/>
        <v>5.7319394881716024</v>
      </c>
      <c r="G108" s="10">
        <f t="shared" ca="1" si="15"/>
        <v>166045.99513753774</v>
      </c>
      <c r="I108" s="243">
        <f t="shared" ca="1" si="16"/>
        <v>644.09190559416788</v>
      </c>
      <c r="J108" s="243">
        <f t="shared" ca="1" si="17"/>
        <v>166690.08704313191</v>
      </c>
    </row>
    <row r="109" spans="1:10">
      <c r="A109" s="6" t="s">
        <v>184</v>
      </c>
      <c r="B109" t="s">
        <v>185</v>
      </c>
      <c r="C109" s="8">
        <v>0.74194775551610448</v>
      </c>
      <c r="D109" s="231">
        <v>157.72</v>
      </c>
      <c r="E109" s="232">
        <f t="shared" ca="1" si="13"/>
        <v>17.822038072703883</v>
      </c>
      <c r="F109" s="232">
        <f t="shared" ca="1" si="14"/>
        <v>175.54203807270389</v>
      </c>
      <c r="G109" s="10">
        <f t="shared" ca="1" si="15"/>
        <v>130.24302114676522</v>
      </c>
      <c r="I109" s="243">
        <f t="shared" ca="1" si="16"/>
        <v>0.50521227935233104</v>
      </c>
      <c r="J109" s="243">
        <f t="shared" ca="1" si="17"/>
        <v>130.74823342611754</v>
      </c>
    </row>
    <row r="110" spans="1:10">
      <c r="A110" s="6" t="s">
        <v>186</v>
      </c>
      <c r="B110" t="s">
        <v>187</v>
      </c>
      <c r="C110" s="8">
        <v>6</v>
      </c>
      <c r="D110" s="231">
        <v>127.41</v>
      </c>
      <c r="E110" s="232">
        <f t="shared" ca="1" si="13"/>
        <v>14.397069939406554</v>
      </c>
      <c r="F110" s="232">
        <f t="shared" ca="1" si="14"/>
        <v>141.80706993940655</v>
      </c>
      <c r="G110" s="10">
        <f t="shared" ca="1" si="15"/>
        <v>850.84241963643922</v>
      </c>
      <c r="I110" s="243">
        <f t="shared" ca="1" si="16"/>
        <v>3.3004151347947608</v>
      </c>
      <c r="J110" s="243">
        <f t="shared" ca="1" si="17"/>
        <v>854.14283477123399</v>
      </c>
    </row>
    <row r="111" spans="1:10">
      <c r="A111" s="6" t="s">
        <v>127</v>
      </c>
      <c r="B111" t="s">
        <v>128</v>
      </c>
      <c r="C111" s="8">
        <v>0.52427983539094647</v>
      </c>
      <c r="D111" s="231">
        <v>2.4300000000000002</v>
      </c>
      <c r="E111" s="232">
        <f t="shared" ca="1" si="13"/>
        <v>0.27458504004990136</v>
      </c>
      <c r="F111" s="232">
        <f t="shared" ca="1" si="14"/>
        <v>2.7045850400499014</v>
      </c>
      <c r="G111" s="10">
        <f t="shared" ca="1" si="15"/>
        <v>1.4179593995981787</v>
      </c>
      <c r="I111" s="243">
        <f t="shared" ca="1" si="16"/>
        <v>5.5002601597579021E-3</v>
      </c>
      <c r="J111" s="243">
        <f t="shared" ca="1" si="17"/>
        <v>1.4234596597579365</v>
      </c>
    </row>
    <row r="112" spans="1:10">
      <c r="A112" s="6" t="s">
        <v>188</v>
      </c>
      <c r="B112" t="s">
        <v>189</v>
      </c>
      <c r="C112" s="8">
        <v>89.382539682539687</v>
      </c>
      <c r="D112" s="231">
        <v>5.46</v>
      </c>
      <c r="E112" s="232">
        <f t="shared" ca="1" si="13"/>
        <v>0.61696885542076596</v>
      </c>
      <c r="F112" s="232">
        <f t="shared" ca="1" si="14"/>
        <v>6.0769688554207661</v>
      </c>
      <c r="G112" s="10">
        <f t="shared" ca="1" si="15"/>
        <v>543.17490986920438</v>
      </c>
      <c r="I112" s="243">
        <f t="shared" ca="1" si="16"/>
        <v>2.1069738085450833</v>
      </c>
      <c r="J112" s="243">
        <f t="shared" ca="1" si="17"/>
        <v>545.28188367774942</v>
      </c>
    </row>
    <row r="113" spans="1:10">
      <c r="A113" s="6" t="s">
        <v>190</v>
      </c>
      <c r="B113" t="s">
        <v>191</v>
      </c>
      <c r="C113" s="8">
        <v>1173.0372812181149</v>
      </c>
      <c r="D113" s="231">
        <v>127.41</v>
      </c>
      <c r="E113" s="232">
        <f t="shared" ca="1" si="13"/>
        <v>14.397069939406554</v>
      </c>
      <c r="F113" s="232">
        <f t="shared" ca="1" si="14"/>
        <v>141.80706993940655</v>
      </c>
      <c r="G113" s="10">
        <f t="shared" ca="1" si="15"/>
        <v>166344.97977922854</v>
      </c>
      <c r="I113" s="243">
        <f t="shared" ca="1" si="16"/>
        <v>645.25166610179417</v>
      </c>
      <c r="J113" s="243">
        <f t="shared" ca="1" si="17"/>
        <v>166990.23144533034</v>
      </c>
    </row>
    <row r="114" spans="1:10">
      <c r="A114" s="6" t="s">
        <v>192</v>
      </c>
      <c r="B114" t="s">
        <v>193</v>
      </c>
      <c r="C114" s="8">
        <v>8</v>
      </c>
      <c r="D114" s="231">
        <v>91</v>
      </c>
      <c r="E114" s="232">
        <f t="shared" ca="1" si="13"/>
        <v>10.282814257012767</v>
      </c>
      <c r="F114" s="232">
        <f t="shared" ca="1" si="14"/>
        <v>101.28281425701277</v>
      </c>
      <c r="G114" s="10">
        <f t="shared" ca="1" si="15"/>
        <v>810.26251405610219</v>
      </c>
      <c r="I114" s="243">
        <f t="shared" ca="1" si="16"/>
        <v>3.1430058055759442</v>
      </c>
      <c r="J114" s="243">
        <f t="shared" ca="1" si="17"/>
        <v>813.40551986167816</v>
      </c>
    </row>
    <row r="115" spans="1:10">
      <c r="A115" s="6" t="s">
        <v>194</v>
      </c>
      <c r="B115" t="s">
        <v>195</v>
      </c>
      <c r="C115" s="8">
        <v>2.2999999999999998</v>
      </c>
      <c r="D115" s="231">
        <v>61.88</v>
      </c>
      <c r="E115" s="232">
        <f t="shared" ca="1" si="13"/>
        <v>6.992313694768681</v>
      </c>
      <c r="F115" s="232">
        <f t="shared" ca="1" si="14"/>
        <v>68.872313694768678</v>
      </c>
      <c r="G115" s="10">
        <f t="shared" ca="1" si="15"/>
        <v>158.40632149796795</v>
      </c>
      <c r="I115" s="243">
        <f t="shared" ca="1" si="16"/>
        <v>0.61445763499009698</v>
      </c>
      <c r="J115" s="243">
        <f t="shared" ca="1" si="17"/>
        <v>159.02077913295804</v>
      </c>
    </row>
    <row r="116" spans="1:10">
      <c r="A116" s="6" t="s">
        <v>196</v>
      </c>
      <c r="B116" t="s">
        <v>197</v>
      </c>
      <c r="C116" s="8">
        <v>635.91385767790268</v>
      </c>
      <c r="D116" s="231">
        <v>2.67</v>
      </c>
      <c r="E116" s="232">
        <f t="shared" ca="1" si="13"/>
        <v>0.30170455017828668</v>
      </c>
      <c r="F116" s="232">
        <f t="shared" ca="1" si="14"/>
        <v>2.9717045501782868</v>
      </c>
      <c r="G116" s="10">
        <f t="shared" ca="1" si="15"/>
        <v>1889.7481043828509</v>
      </c>
      <c r="I116" s="243">
        <f t="shared" ca="1" si="16"/>
        <v>7.3303270978425008</v>
      </c>
      <c r="J116" s="243">
        <f t="shared" ca="1" si="17"/>
        <v>1897.0784314806933</v>
      </c>
    </row>
    <row r="117" spans="1:10">
      <c r="A117" s="6" t="s">
        <v>198</v>
      </c>
      <c r="B117" t="s">
        <v>199</v>
      </c>
      <c r="C117" s="8">
        <v>75</v>
      </c>
      <c r="D117" s="231">
        <v>2</v>
      </c>
      <c r="E117" s="232">
        <f t="shared" ca="1" si="13"/>
        <v>0.22599591773654432</v>
      </c>
      <c r="F117" s="232">
        <f t="shared" ca="1" si="14"/>
        <v>2.2259959177365443</v>
      </c>
      <c r="G117" s="10">
        <f t="shared" ca="1" si="15"/>
        <v>166.94969383024082</v>
      </c>
      <c r="I117" s="243">
        <f t="shared" ca="1" si="16"/>
        <v>0.64759735004998842</v>
      </c>
      <c r="J117" s="243">
        <f t="shared" ca="1" si="17"/>
        <v>167.5972911802908</v>
      </c>
    </row>
    <row r="118" spans="1:10" ht="15" thickBot="1">
      <c r="A118" s="6"/>
      <c r="C118" s="8"/>
      <c r="D118" s="231"/>
      <c r="G118" s="10">
        <f t="shared" si="15"/>
        <v>0</v>
      </c>
    </row>
    <row r="119" spans="1:10" s="12" customFormat="1" ht="15" thickBot="1">
      <c r="A119" s="11"/>
      <c r="B119" s="12" t="s">
        <v>200</v>
      </c>
      <c r="C119" s="13">
        <v>1269.6860484915617</v>
      </c>
      <c r="D119" s="233"/>
      <c r="E119" s="234"/>
      <c r="F119" s="234"/>
      <c r="G119" s="14">
        <f ca="1">SUM(G90:G118)</f>
        <v>730724.7464605706</v>
      </c>
      <c r="I119" s="244">
        <f ca="1">SUM(I90:I118)</f>
        <v>2834.4790491499443</v>
      </c>
      <c r="J119" s="240"/>
    </row>
    <row r="120" spans="1:10">
      <c r="A120" s="6"/>
      <c r="C120" s="8"/>
      <c r="D120" s="231"/>
      <c r="G120" s="7"/>
    </row>
    <row r="121" spans="1:10" s="18" customFormat="1">
      <c r="A121" s="15" t="s">
        <v>201</v>
      </c>
      <c r="B121" s="16"/>
      <c r="C121" s="17"/>
      <c r="D121" s="235"/>
      <c r="E121" s="236"/>
      <c r="F121" s="236"/>
      <c r="G121" s="19"/>
      <c r="I121" s="241"/>
      <c r="J121" s="241"/>
    </row>
    <row r="122" spans="1:10">
      <c r="A122" s="6" t="s">
        <v>202</v>
      </c>
      <c r="B122" t="s">
        <v>203</v>
      </c>
      <c r="C122" s="8">
        <v>132.0119353654058</v>
      </c>
      <c r="D122" s="231">
        <v>54.46</v>
      </c>
      <c r="F122" s="232"/>
      <c r="G122" s="10">
        <f>D122*C122</f>
        <v>7189.37</v>
      </c>
      <c r="I122" s="243">
        <f ca="1">+J$2*G122</f>
        <v>27.887544168023766</v>
      </c>
      <c r="J122" s="243">
        <f ca="1">+I122+G122</f>
        <v>7217.2575441680237</v>
      </c>
    </row>
    <row r="123" spans="1:10" ht="15" thickBot="1">
      <c r="A123" s="6"/>
      <c r="C123" s="8"/>
      <c r="D123" s="231"/>
      <c r="G123" s="7"/>
    </row>
    <row r="124" spans="1:10" s="12" customFormat="1" ht="15" thickBot="1">
      <c r="A124" s="11"/>
      <c r="B124" s="12" t="s">
        <v>204</v>
      </c>
      <c r="C124" s="13">
        <v>132.0119353654058</v>
      </c>
      <c r="D124" s="233"/>
      <c r="E124" s="234"/>
      <c r="F124" s="234"/>
      <c r="G124" s="14"/>
      <c r="I124" s="240"/>
      <c r="J124" s="240"/>
    </row>
    <row r="125" spans="1:10">
      <c r="A125" s="6"/>
      <c r="C125" s="8"/>
      <c r="D125" s="231"/>
      <c r="G125" s="7"/>
    </row>
    <row r="126" spans="1:10" s="18" customFormat="1">
      <c r="A126" s="15" t="s">
        <v>205</v>
      </c>
      <c r="B126" s="16"/>
      <c r="C126" s="17"/>
      <c r="D126" s="235"/>
      <c r="E126" s="236"/>
      <c r="F126" s="236"/>
      <c r="G126" s="19"/>
      <c r="I126" s="241"/>
      <c r="J126" s="241"/>
    </row>
    <row r="127" spans="1:10">
      <c r="A127" s="6" t="s">
        <v>206</v>
      </c>
      <c r="B127" t="s">
        <v>207</v>
      </c>
      <c r="C127" s="8"/>
      <c r="D127" s="231"/>
      <c r="G127" s="20">
        <v>241532.57</v>
      </c>
    </row>
    <row r="128" spans="1:10">
      <c r="A128" s="6" t="s">
        <v>206</v>
      </c>
      <c r="B128" t="s">
        <v>207</v>
      </c>
      <c r="C128" s="8"/>
      <c r="D128" s="231">
        <v>55.81</v>
      </c>
      <c r="F128" s="232"/>
      <c r="G128" s="20">
        <v>165411.78</v>
      </c>
    </row>
    <row r="129" spans="1:10">
      <c r="A129" s="6" t="s">
        <v>208</v>
      </c>
      <c r="B129" t="s">
        <v>209</v>
      </c>
      <c r="C129" s="8">
        <v>0.99749148898046935</v>
      </c>
      <c r="D129" s="231">
        <v>55.81</v>
      </c>
      <c r="F129" s="232"/>
      <c r="G129" s="20">
        <v>55.67</v>
      </c>
    </row>
    <row r="130" spans="1:10" ht="15" thickBot="1">
      <c r="A130" s="6" t="s">
        <v>210</v>
      </c>
      <c r="B130" t="s">
        <v>211</v>
      </c>
      <c r="C130" s="8">
        <v>6.9375</v>
      </c>
      <c r="D130" s="231">
        <v>8</v>
      </c>
      <c r="F130" s="232"/>
      <c r="G130" s="20">
        <v>55.5</v>
      </c>
    </row>
    <row r="131" spans="1:10" s="12" customFormat="1" ht="15" thickBot="1">
      <c r="A131" s="11"/>
      <c r="B131" s="12" t="s">
        <v>212</v>
      </c>
      <c r="D131" s="233"/>
      <c r="E131" s="234"/>
      <c r="F131" s="234"/>
      <c r="G131" s="14">
        <f>SUM(G127:G130)</f>
        <v>407055.51999999996</v>
      </c>
      <c r="I131" s="240"/>
      <c r="J131" s="240"/>
    </row>
    <row r="132" spans="1:10">
      <c r="A132" s="6"/>
      <c r="D132" s="231"/>
      <c r="G132" s="7"/>
    </row>
    <row r="133" spans="1:10">
      <c r="A133" s="6" t="s">
        <v>213</v>
      </c>
      <c r="B133" t="s">
        <v>214</v>
      </c>
      <c r="D133" s="231"/>
      <c r="G133" s="20"/>
    </row>
    <row r="134" spans="1:10">
      <c r="A134" s="6" t="s">
        <v>215</v>
      </c>
      <c r="B134" t="s">
        <v>216</v>
      </c>
      <c r="D134" s="231"/>
      <c r="G134" s="20"/>
    </row>
    <row r="135" spans="1:10">
      <c r="A135" s="6" t="s">
        <v>217</v>
      </c>
      <c r="B135" t="s">
        <v>218</v>
      </c>
      <c r="D135" s="231">
        <v>25</v>
      </c>
      <c r="F135" s="232"/>
      <c r="G135" s="20">
        <v>75</v>
      </c>
      <c r="I135" s="243">
        <f t="shared" ref="I135:I138" ca="1" si="18">+J$2*G135</f>
        <v>0.29092476984795362</v>
      </c>
      <c r="J135" s="243">
        <f t="shared" ref="J135:J138" ca="1" si="19">+I135+G135</f>
        <v>75.290924769847948</v>
      </c>
    </row>
    <row r="136" spans="1:10">
      <c r="A136" s="6" t="s">
        <v>219</v>
      </c>
      <c r="B136" t="s">
        <v>214</v>
      </c>
      <c r="D136" s="231"/>
      <c r="G136" s="20"/>
      <c r="I136" s="243">
        <f t="shared" ca="1" si="18"/>
        <v>0</v>
      </c>
      <c r="J136" s="243">
        <f t="shared" ca="1" si="19"/>
        <v>0</v>
      </c>
    </row>
    <row r="137" spans="1:10">
      <c r="A137" s="6" t="s">
        <v>220</v>
      </c>
      <c r="B137" t="s">
        <v>218</v>
      </c>
      <c r="D137" s="231">
        <v>25</v>
      </c>
      <c r="F137" s="232"/>
      <c r="G137" s="20">
        <v>25</v>
      </c>
      <c r="I137" s="243">
        <f t="shared" ca="1" si="18"/>
        <v>9.6974923282651213E-2</v>
      </c>
      <c r="J137" s="243">
        <f t="shared" ca="1" si="19"/>
        <v>25.096974923282652</v>
      </c>
    </row>
    <row r="138" spans="1:10">
      <c r="A138" s="6" t="s">
        <v>221</v>
      </c>
      <c r="B138" t="s">
        <v>216</v>
      </c>
      <c r="D138" s="231"/>
      <c r="G138" s="20">
        <v>7125.7599999999993</v>
      </c>
      <c r="I138" s="243">
        <f t="shared" ca="1" si="18"/>
        <v>27.640801173223384</v>
      </c>
      <c r="J138" s="243">
        <f t="shared" ca="1" si="19"/>
        <v>7153.400801173223</v>
      </c>
    </row>
    <row r="139" spans="1:10" ht="15" thickBot="1">
      <c r="A139" s="6"/>
      <c r="D139" s="231"/>
      <c r="G139" s="7"/>
    </row>
    <row r="140" spans="1:10" s="12" customFormat="1" ht="15" thickBot="1">
      <c r="A140" s="11"/>
      <c r="B140" s="12" t="s">
        <v>222</v>
      </c>
      <c r="D140" s="234"/>
      <c r="E140" s="234"/>
      <c r="F140" s="234"/>
      <c r="G140" s="14">
        <f>SUM(G133:G138)</f>
        <v>7225.7599999999993</v>
      </c>
      <c r="I140" s="240"/>
      <c r="J140" s="240"/>
    </row>
    <row r="141" spans="1:10" ht="15" thickBot="1">
      <c r="A141" s="6"/>
      <c r="G141" s="7"/>
    </row>
    <row r="142" spans="1:10" s="12" customFormat="1" ht="15" thickBot="1">
      <c r="A142" s="11"/>
      <c r="B142" s="12" t="s">
        <v>223</v>
      </c>
      <c r="D142" s="234"/>
      <c r="E142" s="234"/>
      <c r="F142" s="234"/>
      <c r="G142" s="14">
        <f ca="1">G140+G131+G124+G119+G85+G77+G28+G23</f>
        <v>6135647.3440668862</v>
      </c>
      <c r="I142" s="240"/>
      <c r="J142" s="240"/>
    </row>
    <row r="143" spans="1:10" ht="15" thickBot="1">
      <c r="A143" s="6"/>
      <c r="G143" s="10">
        <v>5526393.004999999</v>
      </c>
      <c r="H143" t="s">
        <v>224</v>
      </c>
    </row>
    <row r="144" spans="1:10">
      <c r="A144" s="6"/>
      <c r="B144" s="21" t="s">
        <v>225</v>
      </c>
      <c r="C144" s="22">
        <f ca="1">G142</f>
        <v>6135647.3440668862</v>
      </c>
      <c r="G144" s="10">
        <f ca="1">G142-G143</f>
        <v>609254.33906688727</v>
      </c>
      <c r="H144" t="s">
        <v>226</v>
      </c>
    </row>
    <row r="145" spans="1:8">
      <c r="A145" s="6"/>
      <c r="B145" s="23" t="s">
        <v>227</v>
      </c>
      <c r="C145" s="24">
        <f ca="1">'LG Public'!J21</f>
        <v>6076067.2415367803</v>
      </c>
      <c r="G145" s="25">
        <f ca="1">'LG Public'!M21</f>
        <v>545320.3541166716</v>
      </c>
      <c r="H145" t="s">
        <v>228</v>
      </c>
    </row>
    <row r="146" spans="1:8" ht="15" thickBot="1">
      <c r="A146" s="26"/>
      <c r="B146" s="27" t="s">
        <v>229</v>
      </c>
      <c r="C146" s="28">
        <f ca="1">C144-C145</f>
        <v>59580.102530105971</v>
      </c>
      <c r="D146" s="237"/>
      <c r="E146" s="237"/>
      <c r="F146" s="237"/>
      <c r="G146" s="29">
        <f ca="1">G144-G145</f>
        <v>63933.984950215672</v>
      </c>
      <c r="H146" t="s">
        <v>229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0E618-DEED-4BFA-BEED-A39564A33DC0}">
  <sheetPr>
    <tabColor theme="8" tint="0.59999389629810485"/>
  </sheetPr>
  <dimension ref="A1:AV112"/>
  <sheetViews>
    <sheetView showGridLines="0" showOutlineSymbols="0" view="pageBreakPreview" topLeftCell="E3" zoomScale="60" zoomScaleNormal="70" workbookViewId="0">
      <selection activeCell="K21" sqref="K21"/>
    </sheetView>
  </sheetViews>
  <sheetFormatPr defaultColWidth="16.6640625" defaultRowHeight="15"/>
  <cols>
    <col min="1" max="1" width="4.88671875" style="44" customWidth="1"/>
    <col min="2" max="2" width="33.5546875" style="209" bestFit="1" customWidth="1"/>
    <col min="3" max="3" width="21.33203125" style="209" customWidth="1"/>
    <col min="4" max="4" width="21.33203125" style="209" hidden="1" customWidth="1"/>
    <col min="5" max="5" width="7.33203125" style="209" customWidth="1"/>
    <col min="6" max="6" width="5.6640625" style="44" customWidth="1"/>
    <col min="7" max="7" width="8.5546875" style="44" customWidth="1"/>
    <col min="8" max="8" width="15" style="44" customWidth="1"/>
    <col min="9" max="9" width="17.6640625" style="44" customWidth="1"/>
    <col min="10" max="10" width="17.33203125" style="44" bestFit="1" customWidth="1"/>
    <col min="11" max="11" width="15.109375" style="44" bestFit="1" customWidth="1"/>
    <col min="12" max="13" width="20.33203125" style="44" customWidth="1"/>
    <col min="14" max="14" width="2.44140625" style="44" customWidth="1"/>
    <col min="15" max="15" width="6.33203125" style="209" customWidth="1"/>
    <col min="16" max="16" width="40.44140625" style="209" customWidth="1"/>
    <col min="17" max="17" width="16.6640625" style="45"/>
    <col min="18" max="18" width="13.88671875" style="53" customWidth="1"/>
    <col min="19" max="19" width="16.6640625" style="44"/>
    <col min="20" max="20" width="13.44140625" style="44" customWidth="1"/>
    <col min="21" max="21" width="15.6640625" style="44" customWidth="1"/>
    <col min="22" max="22" width="16.6640625" style="44"/>
    <col min="23" max="26" width="17.6640625" style="44" customWidth="1"/>
    <col min="27" max="27" width="16" style="44" customWidth="1"/>
    <col min="28" max="28" width="16.6640625" style="44"/>
    <col min="29" max="29" width="15.88671875" style="44" customWidth="1"/>
    <col min="30" max="31" width="16.6640625" style="44"/>
    <col min="32" max="32" width="16.44140625" style="44" customWidth="1"/>
    <col min="33" max="33" width="17.33203125" style="44" customWidth="1"/>
    <col min="34" max="34" width="20.6640625" style="44" customWidth="1"/>
    <col min="35" max="35" width="18.109375" style="44" customWidth="1"/>
    <col min="36" max="36" width="16.44140625" style="44" customWidth="1"/>
    <col min="37" max="37" width="16.6640625" style="44"/>
    <col min="38" max="38" width="13.88671875" style="44" customWidth="1"/>
    <col min="39" max="39" width="16.44140625" style="44" customWidth="1"/>
    <col min="40" max="51" width="15.109375" style="44" customWidth="1"/>
    <col min="52" max="16384" width="16.6640625" style="44"/>
  </cols>
  <sheetData>
    <row r="1" spans="1:37" s="39" customFormat="1" ht="15.6" thickBot="1">
      <c r="A1" s="34"/>
      <c r="B1" s="35"/>
      <c r="C1" s="35"/>
      <c r="D1" s="35"/>
      <c r="E1" s="35"/>
      <c r="F1" s="35"/>
      <c r="G1" s="35"/>
      <c r="H1" s="35"/>
      <c r="I1" s="36"/>
      <c r="J1" s="36"/>
      <c r="K1" s="36"/>
      <c r="L1" s="36"/>
      <c r="M1" s="36"/>
      <c r="N1" s="36"/>
      <c r="O1" s="35"/>
      <c r="P1" s="35"/>
      <c r="Q1" s="37"/>
      <c r="R1" s="38"/>
    </row>
    <row r="2" spans="1:37" ht="18.600000000000001" thickBot="1">
      <c r="A2" s="34"/>
      <c r="B2" s="215" t="s">
        <v>521</v>
      </c>
      <c r="C2" s="215"/>
      <c r="D2" s="34"/>
      <c r="E2" s="34"/>
      <c r="F2" s="40" t="s">
        <v>522</v>
      </c>
      <c r="G2" s="41"/>
      <c r="H2" s="41"/>
      <c r="I2" s="42" t="s">
        <v>523</v>
      </c>
      <c r="J2" s="41"/>
      <c r="K2" s="41"/>
      <c r="L2" s="41"/>
      <c r="M2" s="43" t="s">
        <v>522</v>
      </c>
      <c r="O2" s="34"/>
      <c r="P2" s="35"/>
      <c r="R2" s="46" t="s">
        <v>524</v>
      </c>
      <c r="S2" s="47"/>
      <c r="T2" s="48"/>
      <c r="AH2" s="216" t="s">
        <v>525</v>
      </c>
      <c r="AI2" s="217"/>
      <c r="AJ2" s="217"/>
      <c r="AK2" s="218"/>
    </row>
    <row r="3" spans="1:37" ht="16.2" thickBot="1">
      <c r="A3" s="34"/>
      <c r="B3" s="34"/>
      <c r="C3" s="34"/>
      <c r="D3" s="34"/>
      <c r="E3" s="34"/>
      <c r="F3" s="49"/>
      <c r="G3" s="50"/>
      <c r="H3" s="51"/>
      <c r="I3" s="51"/>
      <c r="J3" s="51"/>
      <c r="K3" s="52" t="s">
        <v>526</v>
      </c>
      <c r="L3" s="51"/>
      <c r="M3" s="52" t="s">
        <v>527</v>
      </c>
      <c r="O3" s="34"/>
      <c r="P3" s="35"/>
      <c r="R3" s="44"/>
      <c r="T3" s="44" t="s">
        <v>528</v>
      </c>
      <c r="V3" s="53" t="s">
        <v>528</v>
      </c>
      <c r="W3" s="53" t="s">
        <v>528</v>
      </c>
      <c r="X3" s="53" t="s">
        <v>528</v>
      </c>
      <c r="Y3" s="53"/>
      <c r="Z3" s="53" t="s">
        <v>529</v>
      </c>
      <c r="AA3" s="53" t="s">
        <v>530</v>
      </c>
      <c r="AB3" s="53" t="s">
        <v>530</v>
      </c>
      <c r="AC3" s="53" t="s">
        <v>530</v>
      </c>
      <c r="AD3" s="53" t="s">
        <v>530</v>
      </c>
      <c r="AE3" s="53" t="s">
        <v>530</v>
      </c>
      <c r="AF3" s="53" t="s">
        <v>530</v>
      </c>
      <c r="AG3" s="53" t="s">
        <v>531</v>
      </c>
      <c r="AH3" s="53" t="s">
        <v>532</v>
      </c>
      <c r="AI3" s="53" t="s">
        <v>533</v>
      </c>
      <c r="AJ3" s="53"/>
    </row>
    <row r="4" spans="1:37" ht="18.600000000000001" thickBot="1">
      <c r="A4" s="34"/>
      <c r="B4" s="54" t="s">
        <v>534</v>
      </c>
      <c r="C4" s="42"/>
      <c r="D4" s="55"/>
      <c r="E4" s="34"/>
      <c r="F4" s="56"/>
      <c r="G4" s="50"/>
      <c r="H4" s="51" t="s">
        <v>535</v>
      </c>
      <c r="I4" s="51" t="s">
        <v>536</v>
      </c>
      <c r="J4" s="51" t="s">
        <v>537</v>
      </c>
      <c r="K4" s="51" t="s">
        <v>538</v>
      </c>
      <c r="L4" s="51" t="s">
        <v>539</v>
      </c>
      <c r="M4" s="51" t="s">
        <v>540</v>
      </c>
      <c r="O4" s="57"/>
      <c r="P4" s="35"/>
      <c r="R4" s="44"/>
      <c r="T4" s="53" t="s">
        <v>541</v>
      </c>
      <c r="V4" s="53" t="s">
        <v>542</v>
      </c>
      <c r="W4" s="53" t="s">
        <v>529</v>
      </c>
      <c r="X4" s="53" t="s">
        <v>543</v>
      </c>
      <c r="Y4" s="53" t="s">
        <v>544</v>
      </c>
      <c r="Z4" s="53" t="s">
        <v>543</v>
      </c>
      <c r="AA4" s="53" t="s">
        <v>545</v>
      </c>
      <c r="AB4" s="53" t="s">
        <v>545</v>
      </c>
      <c r="AC4" s="53" t="s">
        <v>545</v>
      </c>
      <c r="AD4" s="53" t="s">
        <v>529</v>
      </c>
      <c r="AE4" s="53" t="s">
        <v>541</v>
      </c>
      <c r="AF4" s="53" t="s">
        <v>541</v>
      </c>
      <c r="AG4" s="53" t="s">
        <v>546</v>
      </c>
      <c r="AH4" s="53" t="s">
        <v>547</v>
      </c>
      <c r="AI4" s="53" t="s">
        <v>548</v>
      </c>
      <c r="AJ4" s="53" t="s">
        <v>549</v>
      </c>
      <c r="AK4" s="53" t="s">
        <v>550</v>
      </c>
    </row>
    <row r="5" spans="1:37" ht="15.6">
      <c r="A5" s="34"/>
      <c r="B5" s="58" t="s">
        <v>551</v>
      </c>
      <c r="C5" s="59">
        <v>5530746.8874201085</v>
      </c>
      <c r="D5" s="55"/>
      <c r="E5" s="34"/>
      <c r="F5" s="60" t="s">
        <v>552</v>
      </c>
      <c r="G5" s="61"/>
      <c r="H5" s="61"/>
      <c r="I5" s="51" t="s">
        <v>553</v>
      </c>
      <c r="J5" s="51" t="s">
        <v>532</v>
      </c>
      <c r="K5" s="62" t="s">
        <v>554</v>
      </c>
      <c r="L5" s="63" t="s">
        <v>555</v>
      </c>
      <c r="M5" s="62" t="s">
        <v>532</v>
      </c>
      <c r="O5" s="64"/>
      <c r="P5" s="35"/>
      <c r="R5" s="65"/>
      <c r="T5" s="53" t="s">
        <v>556</v>
      </c>
      <c r="U5" s="53" t="s">
        <v>557</v>
      </c>
      <c r="V5" s="53" t="s">
        <v>558</v>
      </c>
      <c r="W5" s="53" t="s">
        <v>559</v>
      </c>
      <c r="X5" s="53" t="s">
        <v>560</v>
      </c>
      <c r="Y5" s="53" t="s">
        <v>561</v>
      </c>
      <c r="Z5" s="53" t="s">
        <v>560</v>
      </c>
      <c r="AA5" s="53" t="s">
        <v>562</v>
      </c>
      <c r="AB5" s="53" t="s">
        <v>563</v>
      </c>
      <c r="AC5" s="53" t="s">
        <v>564</v>
      </c>
      <c r="AD5" s="53" t="s">
        <v>565</v>
      </c>
      <c r="AE5" s="53" t="s">
        <v>556</v>
      </c>
      <c r="AF5" s="53" t="s">
        <v>566</v>
      </c>
      <c r="AG5" s="53" t="s">
        <v>567</v>
      </c>
      <c r="AH5" s="53" t="s">
        <v>568</v>
      </c>
      <c r="AI5" s="53" t="s">
        <v>568</v>
      </c>
      <c r="AJ5" s="53" t="s">
        <v>567</v>
      </c>
      <c r="AK5" s="53" t="s">
        <v>531</v>
      </c>
    </row>
    <row r="6" spans="1:37" ht="15.6">
      <c r="A6" s="34"/>
      <c r="B6" s="58" t="s">
        <v>569</v>
      </c>
      <c r="C6" s="66">
        <v>5488050.6713837581</v>
      </c>
      <c r="D6" s="55"/>
      <c r="E6" s="34"/>
      <c r="F6" s="67" t="s">
        <v>570</v>
      </c>
      <c r="G6" s="61"/>
      <c r="H6" s="61"/>
      <c r="I6" s="68"/>
      <c r="J6" s="69" t="s">
        <v>571</v>
      </c>
      <c r="K6" s="70"/>
      <c r="L6" s="69" t="s">
        <v>572</v>
      </c>
      <c r="M6" s="69" t="s">
        <v>573</v>
      </c>
      <c r="O6" s="64"/>
      <c r="P6" s="35"/>
      <c r="R6" s="71">
        <v>1</v>
      </c>
      <c r="S6" s="72">
        <f>Revenue/Investment*100</f>
        <v>168.23905135878411</v>
      </c>
      <c r="T6" s="73">
        <f>EXP(y_inter1-(slope*LN(+S6)))</f>
        <v>8.8216458690646515</v>
      </c>
      <c r="U6" s="74">
        <f>(+S6*T6/100)/100</f>
        <v>0.14841453324345738</v>
      </c>
      <c r="V6" s="74">
        <f>regDebt_weighted</f>
        <v>3.5860000000000003E-2</v>
      </c>
      <c r="W6" s="74">
        <f>+U6-V6</f>
        <v>0.11255453324345738</v>
      </c>
      <c r="X6" s="74">
        <f>+((W6*(1-0.34))-Pfd_weighted)/Equity_percent</f>
        <v>0.19795346494384264</v>
      </c>
      <c r="Y6" s="74">
        <f>+C15</f>
        <v>2.5000000000000001E-3</v>
      </c>
      <c r="Z6" s="74">
        <f>+X6+Y6</f>
        <v>0.20045346494384264</v>
      </c>
      <c r="AA6" s="74">
        <f>Z6*equityP</f>
        <v>0.11643461455487873</v>
      </c>
      <c r="AB6" s="74">
        <f>+AA6/(1-taxrate)</f>
        <v>0.14738558804415028</v>
      </c>
      <c r="AC6" s="74">
        <f>debtP*Debt_Rate</f>
        <v>1.3521189462017025E-2</v>
      </c>
      <c r="AD6" s="74">
        <f>AC6+AB6</f>
        <v>0.1609067775061673</v>
      </c>
      <c r="AE6" s="74">
        <f>AD6/(S6/100)</f>
        <v>9.5641752736123006E-2</v>
      </c>
      <c r="AF6" s="74">
        <f>1-AE6</f>
        <v>0.90435824726387704</v>
      </c>
      <c r="AG6" s="75">
        <f>expenses/(AF6)</f>
        <v>6068447.6400671713</v>
      </c>
      <c r="AH6" s="76">
        <f>+AG6-Revenue</f>
        <v>537700.75264706276</v>
      </c>
      <c r="AI6" s="77">
        <f ca="1">+AH6/$J$49</f>
        <v>609041.2609111967</v>
      </c>
      <c r="AJ6" s="77">
        <f ca="1">+AI6*$J$47</f>
        <v>13764.332496593046</v>
      </c>
      <c r="AK6" s="75">
        <f ca="1">ROUND(+AJ6+AG6,5)</f>
        <v>6082211.9725599997</v>
      </c>
    </row>
    <row r="7" spans="1:37" ht="15.6">
      <c r="A7" s="34"/>
      <c r="B7" s="58" t="s">
        <v>574</v>
      </c>
      <c r="C7" s="66">
        <v>3287433.4720452745</v>
      </c>
      <c r="D7" s="55"/>
      <c r="E7" s="34"/>
      <c r="F7" s="78">
        <v>1</v>
      </c>
      <c r="G7" s="61"/>
      <c r="H7" s="79" t="s">
        <v>551</v>
      </c>
      <c r="I7" s="80">
        <f>IF(A64=TRUE,C5,0)</f>
        <v>5530746.8874201085</v>
      </c>
      <c r="J7" s="80">
        <f ca="1">(+$I8/($R50))-I7</f>
        <v>531709.39147655014</v>
      </c>
      <c r="K7" s="80">
        <f ca="1">+I7+J7</f>
        <v>6062456.2788966587</v>
      </c>
      <c r="L7" s="80">
        <f ca="1">((+J7/J49*K35)-J7)</f>
        <v>13610.962640121463</v>
      </c>
      <c r="M7" s="80">
        <f ca="1">IFERROR(+K7+L7,0.00001)</f>
        <v>6076067.2415367803</v>
      </c>
      <c r="O7" s="64"/>
      <c r="P7" s="35"/>
      <c r="R7" s="81">
        <v>2</v>
      </c>
      <c r="S7" s="82">
        <f>Revenue/Investment*100</f>
        <v>168.23905135878411</v>
      </c>
      <c r="T7" s="83">
        <f>EXP(y_inter1-(slope*LN(+S7)))</f>
        <v>8.8216458690646515</v>
      </c>
      <c r="U7" s="84">
        <f t="shared" ref="U7:U9" si="0">(+S7*T7/100)/100</f>
        <v>0.14841453324345738</v>
      </c>
      <c r="V7" s="84">
        <f>regDebt_weighted</f>
        <v>3.5860000000000003E-2</v>
      </c>
      <c r="W7" s="84">
        <f t="shared" ref="W7:W9" si="1">+U7-V7</f>
        <v>0.11255453324345738</v>
      </c>
      <c r="X7" s="84">
        <f>+((W7*(1-0.34))-Pfd_weighted)/Equity_percent</f>
        <v>0.19795346494384264</v>
      </c>
      <c r="Y7" s="84">
        <f>+Y6</f>
        <v>2.5000000000000001E-3</v>
      </c>
      <c r="Z7" s="84">
        <f>+X7+Y7</f>
        <v>0.20045346494384264</v>
      </c>
      <c r="AA7" s="84">
        <f>Z7*equityP</f>
        <v>0.11643461455487873</v>
      </c>
      <c r="AB7" s="84">
        <f>+AA7/(1-taxrate)</f>
        <v>0.14738558804415028</v>
      </c>
      <c r="AC7" s="84">
        <f>debtP*Debt_Rate</f>
        <v>1.3521189462017025E-2</v>
      </c>
      <c r="AD7" s="84">
        <f t="shared" ref="AD7:AD9" si="2">AC7+AB7</f>
        <v>0.1609067775061673</v>
      </c>
      <c r="AE7" s="84">
        <f t="shared" ref="AE7:AE9" si="3">AD7/(S7/100)</f>
        <v>9.5641752736123006E-2</v>
      </c>
      <c r="AF7" s="84">
        <f t="shared" ref="AF7:AF9" si="4">1-AE7</f>
        <v>0.90435824726387704</v>
      </c>
      <c r="AG7" s="85">
        <f>expenses/(AF7)</f>
        <v>6068447.6400671713</v>
      </c>
      <c r="AH7" s="86">
        <f>+AG7-Revenue</f>
        <v>537700.75264706276</v>
      </c>
      <c r="AI7" s="87">
        <f ca="1">+AH7/$J$49</f>
        <v>609041.2609111967</v>
      </c>
      <c r="AJ7" s="87">
        <f ca="1">+AI7*$J$47</f>
        <v>13764.332496593046</v>
      </c>
      <c r="AK7" s="85">
        <f t="shared" ref="AK7:AK9" ca="1" si="5">ROUND(+AJ7+AG7,5)</f>
        <v>6082211.9725599997</v>
      </c>
    </row>
    <row r="8" spans="1:37" ht="15.6">
      <c r="A8" s="34"/>
      <c r="B8" s="58" t="s">
        <v>575</v>
      </c>
      <c r="C8" s="88">
        <v>0.41914391658184569</v>
      </c>
      <c r="D8" s="55"/>
      <c r="E8" s="34"/>
      <c r="F8" s="89">
        <f>+F7+1</f>
        <v>2</v>
      </c>
      <c r="G8" s="61"/>
      <c r="H8" s="79" t="s">
        <v>569</v>
      </c>
      <c r="I8" s="80">
        <f>IF(A64=TRUE,C6,0)</f>
        <v>5488050.6713837581</v>
      </c>
      <c r="J8" s="50"/>
      <c r="K8" s="80">
        <f>+I8</f>
        <v>5488050.6713837581</v>
      </c>
      <c r="L8" s="80">
        <f ca="1">+L7</f>
        <v>13610.962640121463</v>
      </c>
      <c r="M8" s="80">
        <f ca="1">IFERROR(+K8+L8,0.00001)</f>
        <v>5501661.6340238797</v>
      </c>
      <c r="O8" s="64"/>
      <c r="P8" s="35"/>
      <c r="R8" s="90">
        <v>3</v>
      </c>
      <c r="S8" s="82">
        <f>Revenue/Investment*100</f>
        <v>168.23905135878411</v>
      </c>
      <c r="T8" s="83">
        <f>EXP(y_inter1-(slope*LN(+S8)))</f>
        <v>8.8216458690646515</v>
      </c>
      <c r="U8" s="84">
        <f t="shared" si="0"/>
        <v>0.14841453324345738</v>
      </c>
      <c r="V8" s="84">
        <f>regDebt_weighted</f>
        <v>3.5860000000000003E-2</v>
      </c>
      <c r="W8" s="84">
        <f t="shared" si="1"/>
        <v>0.11255453324345738</v>
      </c>
      <c r="X8" s="84">
        <f>+((W8*(1-0.34))-Pfd_weighted)/Equity_percent</f>
        <v>0.19795346494384264</v>
      </c>
      <c r="Y8" s="84">
        <f>+Y7</f>
        <v>2.5000000000000001E-3</v>
      </c>
      <c r="Z8" s="84">
        <f t="shared" ref="Z8:Z9" si="6">+X8+Y8</f>
        <v>0.20045346494384264</v>
      </c>
      <c r="AA8" s="84">
        <f>Z8*equityP</f>
        <v>0.11643461455487873</v>
      </c>
      <c r="AB8" s="84">
        <f>+AA8/(1-taxrate)</f>
        <v>0.14738558804415028</v>
      </c>
      <c r="AC8" s="84">
        <f>debtP*Debt_Rate</f>
        <v>1.3521189462017025E-2</v>
      </c>
      <c r="AD8" s="84">
        <f t="shared" si="2"/>
        <v>0.1609067775061673</v>
      </c>
      <c r="AE8" s="84">
        <f t="shared" si="3"/>
        <v>9.5641752736123006E-2</v>
      </c>
      <c r="AF8" s="84">
        <f t="shared" si="4"/>
        <v>0.90435824726387704</v>
      </c>
      <c r="AG8" s="85">
        <f>expenses/(AF8)</f>
        <v>6068447.6400671713</v>
      </c>
      <c r="AH8" s="86">
        <f>+AG8-Revenue</f>
        <v>537700.75264706276</v>
      </c>
      <c r="AI8" s="87">
        <f ca="1">+AH8/$J$49</f>
        <v>609041.2609111967</v>
      </c>
      <c r="AJ8" s="87">
        <f ca="1">+AI8*$J$47</f>
        <v>13764.332496593046</v>
      </c>
      <c r="AK8" s="85">
        <f t="shared" ca="1" si="5"/>
        <v>6082211.9725599997</v>
      </c>
    </row>
    <row r="9" spans="1:37" ht="15.6">
      <c r="A9" s="34"/>
      <c r="B9" s="58" t="s">
        <v>576</v>
      </c>
      <c r="C9" s="88">
        <v>3.2259061690035909E-2</v>
      </c>
      <c r="D9" s="55"/>
      <c r="E9" s="34"/>
      <c r="F9" s="89">
        <f t="shared" ref="F9:F49" si="7">+F8+1</f>
        <v>3</v>
      </c>
      <c r="G9" s="61"/>
      <c r="H9" s="79" t="s">
        <v>577</v>
      </c>
      <c r="I9" s="91">
        <f>+I7-I8</f>
        <v>42696.216036350466</v>
      </c>
      <c r="J9" s="50"/>
      <c r="K9" s="91">
        <f ca="1">+K7-K8</f>
        <v>574405.60751290061</v>
      </c>
      <c r="L9" s="61"/>
      <c r="M9" s="92">
        <f ca="1">+M7-M8</f>
        <v>574405.60751290061</v>
      </c>
      <c r="O9" s="64"/>
      <c r="P9" s="35"/>
      <c r="R9" s="93">
        <v>4</v>
      </c>
      <c r="S9" s="82">
        <f>Revenue/Investment*100</f>
        <v>168.23905135878411</v>
      </c>
      <c r="T9" s="83">
        <f>EXP(y_inter1-(slope*LN(+S9)))</f>
        <v>8.8216458690646515</v>
      </c>
      <c r="U9" s="84">
        <f t="shared" si="0"/>
        <v>0.14841453324345738</v>
      </c>
      <c r="V9" s="84">
        <f>regDebt_weighted</f>
        <v>3.5860000000000003E-2</v>
      </c>
      <c r="W9" s="84">
        <f t="shared" si="1"/>
        <v>0.11255453324345738</v>
      </c>
      <c r="X9" s="84">
        <f>+((W9*(1-0.34))-Pfd_weighted)/Equity_percent</f>
        <v>0.19795346494384264</v>
      </c>
      <c r="Y9" s="84">
        <f>+Y8</f>
        <v>2.5000000000000001E-3</v>
      </c>
      <c r="Z9" s="84">
        <f t="shared" si="6"/>
        <v>0.20045346494384264</v>
      </c>
      <c r="AA9" s="84">
        <f>Z9*equityP</f>
        <v>0.11643461455487873</v>
      </c>
      <c r="AB9" s="84">
        <f>+AA9/(1-taxrate)</f>
        <v>0.14738558804415028</v>
      </c>
      <c r="AC9" s="84">
        <f>debtP*Debt_Rate</f>
        <v>1.3521189462017025E-2</v>
      </c>
      <c r="AD9" s="84">
        <f t="shared" si="2"/>
        <v>0.1609067775061673</v>
      </c>
      <c r="AE9" s="84">
        <f t="shared" si="3"/>
        <v>9.5641752736123006E-2</v>
      </c>
      <c r="AF9" s="84">
        <f t="shared" si="4"/>
        <v>0.90435824726387704</v>
      </c>
      <c r="AG9" s="85">
        <f>expenses/(AF9)</f>
        <v>6068447.6400671713</v>
      </c>
      <c r="AH9" s="86">
        <f>+AG9-Revenue</f>
        <v>537700.75264706276</v>
      </c>
      <c r="AI9" s="87">
        <f ca="1">+AH9/$J$49</f>
        <v>609041.2609111967</v>
      </c>
      <c r="AJ9" s="87">
        <f ca="1">+AI9*$J$47</f>
        <v>13764.332496593046</v>
      </c>
      <c r="AK9" s="85">
        <f t="shared" ca="1" si="5"/>
        <v>6082211.9725599997</v>
      </c>
    </row>
    <row r="10" spans="1:37" ht="15.6">
      <c r="A10" s="34"/>
      <c r="B10" s="94" t="s">
        <v>578</v>
      </c>
      <c r="C10" s="88">
        <v>0.21</v>
      </c>
      <c r="D10" s="55"/>
      <c r="E10" s="34"/>
      <c r="F10" s="89">
        <f t="shared" si="7"/>
        <v>4</v>
      </c>
      <c r="G10" s="61"/>
      <c r="H10" s="61"/>
      <c r="I10" s="50"/>
      <c r="J10" s="50"/>
      <c r="K10" s="80"/>
      <c r="L10" s="61"/>
      <c r="M10" s="61"/>
      <c r="O10" s="64"/>
      <c r="P10" s="34"/>
      <c r="R10" s="53" t="s">
        <v>579</v>
      </c>
    </row>
    <row r="11" spans="1:37" ht="15.6">
      <c r="A11" s="34"/>
      <c r="B11" s="58" t="s">
        <v>580</v>
      </c>
      <c r="C11" s="88">
        <v>1.7500000000000002E-2</v>
      </c>
      <c r="D11" s="55"/>
      <c r="E11" s="34"/>
      <c r="F11" s="89">
        <f t="shared" si="7"/>
        <v>5</v>
      </c>
      <c r="G11" s="61"/>
      <c r="H11" s="79" t="s">
        <v>581</v>
      </c>
      <c r="I11" s="80">
        <f>+K11</f>
        <v>44450.010819300609</v>
      </c>
      <c r="J11" s="50"/>
      <c r="K11" s="80">
        <f>+M27</f>
        <v>44450.010819300609</v>
      </c>
      <c r="L11" s="61"/>
      <c r="M11" s="80">
        <f>+K11</f>
        <v>44450.010819300609</v>
      </c>
      <c r="O11" s="64"/>
      <c r="P11" s="34"/>
      <c r="R11" s="71">
        <v>1</v>
      </c>
      <c r="S11" s="72">
        <f ca="1">IF((AK6/Investment*100)&gt;0,(AK6/Investment*100),0)</f>
        <v>185.0139941775295</v>
      </c>
      <c r="T11" s="73">
        <f ca="1">EXP(y_inter1-(slope*LN(S11)))</f>
        <v>8.5724241334421905</v>
      </c>
      <c r="U11" s="74">
        <f ca="1">(+S11*T11/100)/100</f>
        <v>0.15860184287119869</v>
      </c>
      <c r="V11" s="74">
        <f>regDebt_weighted</f>
        <v>3.5860000000000003E-2</v>
      </c>
      <c r="W11" s="74">
        <f ca="1">+U11-V11</f>
        <v>0.12274184287119869</v>
      </c>
      <c r="X11" s="74">
        <f ca="1">+((W11*(1-0.34))-Pfd_weighted)/Equity_percent</f>
        <v>0.21749888457846259</v>
      </c>
      <c r="Y11" s="74">
        <f>+Y9</f>
        <v>2.5000000000000001E-3</v>
      </c>
      <c r="Z11" s="74">
        <f ca="1">+X11+Y11</f>
        <v>0.21999888457846259</v>
      </c>
      <c r="AA11" s="74">
        <f ca="1">Z11*equityP</f>
        <v>0.12778769045260838</v>
      </c>
      <c r="AB11" s="74">
        <f ca="1">+AA11/(1-taxrate)</f>
        <v>0.16175657019317516</v>
      </c>
      <c r="AC11" s="74">
        <f>debtP*Debt_Rate</f>
        <v>1.3521189462017025E-2</v>
      </c>
      <c r="AD11" s="74">
        <f ca="1">+AC11+AB11</f>
        <v>0.17527775965519218</v>
      </c>
      <c r="AE11" s="74">
        <f ca="1">+AD11/(S11/100)</f>
        <v>9.473756860089462E-2</v>
      </c>
      <c r="AF11" s="74">
        <f ca="1">1-AE11</f>
        <v>0.90526243139910534</v>
      </c>
      <c r="AG11" s="75">
        <f ca="1">expenses/(AF11)</f>
        <v>6062386.4208104173</v>
      </c>
      <c r="AH11" s="76">
        <f ca="1">+AG11-Revenue</f>
        <v>531639.53339030873</v>
      </c>
      <c r="AI11" s="77">
        <f ca="1">+AH11/$J$49</f>
        <v>602175.85743050685</v>
      </c>
      <c r="AJ11" s="77">
        <f ca="1">+AI11*$J$47</f>
        <v>13609.174377929456</v>
      </c>
      <c r="AK11" s="75">
        <f ca="1">ROUND(+AJ11+AG11,5)</f>
        <v>6075995.5951899998</v>
      </c>
    </row>
    <row r="12" spans="1:37" ht="15.6">
      <c r="A12" s="34"/>
      <c r="B12" s="58" t="s">
        <v>582</v>
      </c>
      <c r="C12" s="88">
        <v>5.1000000000000004E-3</v>
      </c>
      <c r="D12" s="55"/>
      <c r="E12" s="34"/>
      <c r="F12" s="89">
        <f t="shared" si="7"/>
        <v>6</v>
      </c>
      <c r="G12" s="61"/>
      <c r="H12" s="79" t="s">
        <v>583</v>
      </c>
      <c r="I12" s="80">
        <f ca="1">IF(I14&lt;0,0,+J38*I14)</f>
        <v>0</v>
      </c>
      <c r="J12" s="80">
        <f ca="1">+K12-I12</f>
        <v>111290.67530565598</v>
      </c>
      <c r="K12" s="80">
        <f ca="1">+(K9-K11)*taxrate</f>
        <v>111290.67530565598</v>
      </c>
      <c r="L12" s="61"/>
      <c r="M12" s="80">
        <f ca="1">+K12</f>
        <v>111290.67530565598</v>
      </c>
      <c r="O12" s="64"/>
      <c r="P12" s="34"/>
      <c r="R12" s="81">
        <v>2</v>
      </c>
      <c r="S12" s="82">
        <f ca="1">IF((AK7/Investment*100)&gt;0,(AK7/Investment*100),0)</f>
        <v>185.0139941775295</v>
      </c>
      <c r="T12" s="95">
        <f ca="1">EXP(y_inter2-(slope*LN(+S12)))</f>
        <v>8.5724241334421905</v>
      </c>
      <c r="U12" s="84">
        <f ca="1">(+S12*T12/100)/100</f>
        <v>0.15860184287119869</v>
      </c>
      <c r="V12" s="84">
        <f>regDebt_weighted</f>
        <v>3.5860000000000003E-2</v>
      </c>
      <c r="W12" s="84">
        <f ca="1">+U12-V12</f>
        <v>0.12274184287119869</v>
      </c>
      <c r="X12" s="84">
        <f ca="1">+((W12*(1-0.34))-Pfd_weighted)/Equity_percent</f>
        <v>0.21749888457846259</v>
      </c>
      <c r="Y12" s="84">
        <f>+Y11</f>
        <v>2.5000000000000001E-3</v>
      </c>
      <c r="Z12" s="84">
        <f ca="1">+X12+Y12</f>
        <v>0.21999888457846259</v>
      </c>
      <c r="AA12" s="84">
        <f ca="1">Z12*equityP</f>
        <v>0.12778769045260838</v>
      </c>
      <c r="AB12" s="84">
        <f ca="1">+AA12/(1-taxrate)</f>
        <v>0.16175657019317516</v>
      </c>
      <c r="AC12" s="84">
        <f>debtP*Debt_Rate</f>
        <v>1.3521189462017025E-2</v>
      </c>
      <c r="AD12" s="84">
        <f ca="1">+AC12+AB12</f>
        <v>0.17527775965519218</v>
      </c>
      <c r="AE12" s="84">
        <f ca="1">+AD12/(S12/100)</f>
        <v>9.473756860089462E-2</v>
      </c>
      <c r="AF12" s="84">
        <f ca="1">1-AE12</f>
        <v>0.90526243139910534</v>
      </c>
      <c r="AG12" s="85">
        <f ca="1">expenses/(AF12)</f>
        <v>6062386.4208104173</v>
      </c>
      <c r="AH12" s="86">
        <f ca="1">+AG12-Revenue</f>
        <v>531639.53339030873</v>
      </c>
      <c r="AI12" s="87">
        <f ca="1">+AH12/$J$49</f>
        <v>602175.85743050685</v>
      </c>
      <c r="AJ12" s="87">
        <f ca="1">+AI12*$J$47</f>
        <v>13609.174377929456</v>
      </c>
      <c r="AK12" s="85">
        <f t="shared" ref="AK12:AK14" ca="1" si="8">ROUND(+AJ12+AG12,5)</f>
        <v>6075995.5951899998</v>
      </c>
    </row>
    <row r="13" spans="1:37" ht="15.6">
      <c r="A13" s="34"/>
      <c r="B13" s="58" t="s">
        <v>584</v>
      </c>
      <c r="C13" s="88">
        <v>0</v>
      </c>
      <c r="D13" s="55"/>
      <c r="E13" s="34"/>
      <c r="F13" s="89">
        <f t="shared" si="7"/>
        <v>7</v>
      </c>
      <c r="G13" s="61"/>
      <c r="H13" s="61"/>
      <c r="I13" s="50"/>
      <c r="J13" s="50"/>
      <c r="K13" s="80"/>
      <c r="L13" s="61"/>
      <c r="M13" s="61"/>
      <c r="O13" s="64"/>
      <c r="P13" s="34"/>
      <c r="R13" s="90">
        <v>3</v>
      </c>
      <c r="S13" s="82">
        <f ca="1">IF((AK8/Investment*100)&gt;0,(AK8/Investment*100),0)</f>
        <v>185.0139941775295</v>
      </c>
      <c r="T13" s="83">
        <f ca="1">EXP(y_inter3-(slope*LN(S13)))</f>
        <v>8.5724241334421905</v>
      </c>
      <c r="U13" s="84">
        <f ca="1">(+S13*T13/100)/100</f>
        <v>0.15860184287119869</v>
      </c>
      <c r="V13" s="84">
        <f>regDebt_weighted</f>
        <v>3.5860000000000003E-2</v>
      </c>
      <c r="W13" s="84">
        <f ca="1">+U13-V13</f>
        <v>0.12274184287119869</v>
      </c>
      <c r="X13" s="84">
        <f ca="1">+((W13*(1-0.34))-Pfd_weighted)/Equity_percent</f>
        <v>0.21749888457846259</v>
      </c>
      <c r="Y13" s="84">
        <f>+Y12</f>
        <v>2.5000000000000001E-3</v>
      </c>
      <c r="Z13" s="84">
        <f t="shared" ref="Z13:Z14" ca="1" si="9">+X13+Y13</f>
        <v>0.21999888457846259</v>
      </c>
      <c r="AA13" s="84">
        <f ca="1">Z13*equityP</f>
        <v>0.12778769045260838</v>
      </c>
      <c r="AB13" s="84">
        <f ca="1">+AA13/(1-taxrate)</f>
        <v>0.16175657019317516</v>
      </c>
      <c r="AC13" s="84">
        <f>debtP*Debt_Rate</f>
        <v>1.3521189462017025E-2</v>
      </c>
      <c r="AD13" s="84">
        <f ca="1">+AC13+AB13</f>
        <v>0.17527775965519218</v>
      </c>
      <c r="AE13" s="84">
        <f ca="1">+AD13/(S13/100)</f>
        <v>9.473756860089462E-2</v>
      </c>
      <c r="AF13" s="84">
        <f ca="1">1-AE13</f>
        <v>0.90526243139910534</v>
      </c>
      <c r="AG13" s="85">
        <f ca="1">expenses/(AF13)</f>
        <v>6062386.4208104173</v>
      </c>
      <c r="AH13" s="86">
        <f ca="1">+AG13-Revenue</f>
        <v>531639.53339030873</v>
      </c>
      <c r="AI13" s="87">
        <f ca="1">+AH13/$J$49</f>
        <v>602175.85743050685</v>
      </c>
      <c r="AJ13" s="87">
        <f ca="1">+AI13*$J$47</f>
        <v>13609.174377929456</v>
      </c>
      <c r="AK13" s="85">
        <f t="shared" ca="1" si="8"/>
        <v>6075995.5951899998</v>
      </c>
    </row>
    <row r="14" spans="1:37" ht="16.2" thickBot="1">
      <c r="A14" s="34"/>
      <c r="B14" s="96" t="s">
        <v>585</v>
      </c>
      <c r="C14" s="88">
        <v>0</v>
      </c>
      <c r="D14" s="55"/>
      <c r="E14" s="34"/>
      <c r="F14" s="89">
        <f t="shared" si="7"/>
        <v>8</v>
      </c>
      <c r="G14" s="61"/>
      <c r="H14" s="61" t="s">
        <v>586</v>
      </c>
      <c r="I14" s="97">
        <f ca="1">+I9-SUM(I11:I13)</f>
        <v>-1753.7947829501427</v>
      </c>
      <c r="J14" s="50"/>
      <c r="K14" s="97">
        <f ca="1">+K9-SUM(K11:K13)</f>
        <v>418664.92138794402</v>
      </c>
      <c r="L14" s="61"/>
      <c r="M14" s="97">
        <f ca="1">+M9-SUM(M11:M13)</f>
        <v>418664.92138794402</v>
      </c>
      <c r="O14" s="64"/>
      <c r="P14" s="34"/>
      <c r="R14" s="93">
        <v>4</v>
      </c>
      <c r="S14" s="82">
        <f ca="1">IF((AK9/Investment*100)&gt;0,(AK9/Investment*100),0)</f>
        <v>185.0139941775295</v>
      </c>
      <c r="T14" s="98">
        <f ca="1">EXP(y_inter4-(slope*LN(S14)))</f>
        <v>8.5724241334421905</v>
      </c>
      <c r="U14" s="84">
        <f ca="1">(+S14*T14/100)/100</f>
        <v>0.15860184287119869</v>
      </c>
      <c r="V14" s="84">
        <f>regDebt_weighted</f>
        <v>3.5860000000000003E-2</v>
      </c>
      <c r="W14" s="84">
        <f ca="1">+U14-V14</f>
        <v>0.12274184287119869</v>
      </c>
      <c r="X14" s="84">
        <f ca="1">+((W14*(1-0.34))-Pfd_weighted)/Equity_percent</f>
        <v>0.21749888457846259</v>
      </c>
      <c r="Y14" s="84">
        <f>+Y13</f>
        <v>2.5000000000000001E-3</v>
      </c>
      <c r="Z14" s="84">
        <f t="shared" ca="1" si="9"/>
        <v>0.21999888457846259</v>
      </c>
      <c r="AA14" s="84">
        <f ca="1">Z14*equityP</f>
        <v>0.12778769045260838</v>
      </c>
      <c r="AB14" s="84">
        <f ca="1">+AA14/(1-taxrate)</f>
        <v>0.16175657019317516</v>
      </c>
      <c r="AC14" s="84">
        <f>debtP*Debt_Rate</f>
        <v>1.3521189462017025E-2</v>
      </c>
      <c r="AD14" s="84">
        <f ca="1">+AC14+AB14</f>
        <v>0.17527775965519218</v>
      </c>
      <c r="AE14" s="84">
        <f ca="1">+AD14/(S14/100)</f>
        <v>9.473756860089462E-2</v>
      </c>
      <c r="AF14" s="84">
        <f ca="1">1-AE14</f>
        <v>0.90526243139910534</v>
      </c>
      <c r="AG14" s="85">
        <f ca="1">expenses/(AF14)</f>
        <v>6062386.4208104173</v>
      </c>
      <c r="AH14" s="86">
        <f ca="1">+AG14-Revenue</f>
        <v>531639.53339030873</v>
      </c>
      <c r="AI14" s="87">
        <f ca="1">+AH14/$J$49</f>
        <v>602175.85743050685</v>
      </c>
      <c r="AJ14" s="87">
        <f ca="1">+AI14*$J$47</f>
        <v>13609.174377929456</v>
      </c>
      <c r="AK14" s="85">
        <f t="shared" ca="1" si="8"/>
        <v>6075995.5951899998</v>
      </c>
    </row>
    <row r="15" spans="1:37" ht="16.2" thickTop="1">
      <c r="A15" s="34"/>
      <c r="B15" s="96" t="s">
        <v>587</v>
      </c>
      <c r="C15" s="88">
        <v>2.5000000000000001E-3</v>
      </c>
      <c r="D15" s="34"/>
      <c r="E15" s="34"/>
      <c r="F15" s="89">
        <f t="shared" si="7"/>
        <v>9</v>
      </c>
      <c r="G15" s="50"/>
      <c r="H15" s="50"/>
      <c r="I15" s="50"/>
      <c r="J15" s="50"/>
      <c r="K15" s="99"/>
      <c r="L15" s="50"/>
      <c r="M15" s="50"/>
      <c r="O15" s="64"/>
      <c r="P15" s="34"/>
      <c r="R15" s="53" t="s">
        <v>588</v>
      </c>
    </row>
    <row r="16" spans="1:37" ht="15.6">
      <c r="A16" s="34"/>
      <c r="B16" s="34"/>
      <c r="C16" s="34"/>
      <c r="D16" s="55" t="s">
        <v>589</v>
      </c>
      <c r="E16" s="34"/>
      <c r="F16" s="89">
        <f t="shared" si="7"/>
        <v>10</v>
      </c>
      <c r="G16" s="50"/>
      <c r="H16" s="79" t="s">
        <v>590</v>
      </c>
      <c r="I16" s="100">
        <f>+I8/I7</f>
        <v>0.99228020791668037</v>
      </c>
      <c r="J16" s="101"/>
      <c r="K16" s="100">
        <f ca="1">+K8/K7</f>
        <v>0.90525200000000006</v>
      </c>
      <c r="L16" s="102"/>
      <c r="M16" s="100">
        <f ca="1">+M8/M7</f>
        <v>0.90546424443985907</v>
      </c>
      <c r="O16" s="64"/>
      <c r="P16" s="34"/>
      <c r="R16" s="71">
        <v>1</v>
      </c>
      <c r="S16" s="72">
        <f ca="1">AK11/Investment*100</f>
        <v>184.82489902403481</v>
      </c>
      <c r="T16" s="73">
        <f ca="1">EXP(y_inter1-(slope*LN(+S16)))</f>
        <v>8.5750676435693691</v>
      </c>
      <c r="U16" s="74">
        <f ca="1">(+S16*T16/100)/100</f>
        <v>0.15848860113469768</v>
      </c>
      <c r="V16" s="74">
        <f>regDebt_weighted</f>
        <v>3.5860000000000003E-2</v>
      </c>
      <c r="W16" s="74">
        <f ca="1">+U16-V16</f>
        <v>0.12262860113469767</v>
      </c>
      <c r="X16" s="74">
        <f ca="1">+((W16*(1-0.34))-Pfd_weighted)/Equity_percent</f>
        <v>0.217281618456106</v>
      </c>
      <c r="Y16" s="74">
        <f>+Y14</f>
        <v>2.5000000000000001E-3</v>
      </c>
      <c r="Z16" s="74">
        <f ca="1">+X16+Y16</f>
        <v>0.219781618456106</v>
      </c>
      <c r="AA16" s="74">
        <f ca="1">Z16*equityP</f>
        <v>0.12766149010371686</v>
      </c>
      <c r="AB16" s="74">
        <f ca="1">+AA16/(1-taxrate)</f>
        <v>0.16159682291609728</v>
      </c>
      <c r="AC16" s="74">
        <f>debtP*Debt_Rate</f>
        <v>1.3521189462017025E-2</v>
      </c>
      <c r="AD16" s="74">
        <f ca="1">+AC16+AB16</f>
        <v>0.17511801237811431</v>
      </c>
      <c r="AE16" s="74">
        <f ca="1">+AD16/(S16/100)</f>
        <v>9.474806333065644E-2</v>
      </c>
      <c r="AF16" s="74">
        <f ca="1">1-AE16</f>
        <v>0.90525193666934356</v>
      </c>
      <c r="AG16" s="75">
        <f ca="1">expenses/(AF16)</f>
        <v>6062456.7030209498</v>
      </c>
      <c r="AH16" s="76">
        <f ca="1">+AG16-Revenue</f>
        <v>531709.81560084131</v>
      </c>
      <c r="AI16" s="77">
        <f ca="1">+AH16/$J$49</f>
        <v>602255.46447199164</v>
      </c>
      <c r="AJ16" s="77">
        <f ca="1">+AI16*$J$47</f>
        <v>13610.973497067012</v>
      </c>
      <c r="AK16" s="75">
        <f ca="1">ROUND(+AJ16+AG16,5)</f>
        <v>6076067.6765200002</v>
      </c>
    </row>
    <row r="17" spans="1:37" ht="15.6">
      <c r="A17" s="34"/>
      <c r="B17" s="103" t="s">
        <v>591</v>
      </c>
      <c r="C17" s="104"/>
      <c r="D17" s="34" t="s">
        <v>592</v>
      </c>
      <c r="E17" s="34"/>
      <c r="F17" s="89">
        <f t="shared" si="7"/>
        <v>11</v>
      </c>
      <c r="G17" s="50"/>
      <c r="H17" s="50"/>
      <c r="I17" s="50"/>
      <c r="K17" s="50"/>
      <c r="L17" s="79"/>
      <c r="M17" s="79"/>
      <c r="N17" s="100"/>
      <c r="O17" s="34"/>
      <c r="P17" s="34"/>
      <c r="R17" s="81">
        <v>2</v>
      </c>
      <c r="S17" s="82">
        <f ca="1">AK12/Investment*100</f>
        <v>184.82489902403481</v>
      </c>
      <c r="T17" s="95">
        <f ca="1">EXP(y_inter2-(slope*LN(+S17)))</f>
        <v>8.5750676435693691</v>
      </c>
      <c r="U17" s="84">
        <f ca="1">(+S17*T17/100)/100</f>
        <v>0.15848860113469768</v>
      </c>
      <c r="V17" s="84">
        <f>regDebt_weighted</f>
        <v>3.5860000000000003E-2</v>
      </c>
      <c r="W17" s="84">
        <f ca="1">+U17-V17</f>
        <v>0.12262860113469767</v>
      </c>
      <c r="X17" s="84">
        <f ca="1">+((W17*(1-0.34))-Pfd_weighted)/Equity_percent</f>
        <v>0.217281618456106</v>
      </c>
      <c r="Y17" s="84">
        <f>+Y16</f>
        <v>2.5000000000000001E-3</v>
      </c>
      <c r="Z17" s="84">
        <f ca="1">+X17+Y17</f>
        <v>0.219781618456106</v>
      </c>
      <c r="AA17" s="84">
        <f ca="1">Z17*equityP</f>
        <v>0.12766149010371686</v>
      </c>
      <c r="AB17" s="84">
        <f ca="1">+AA17/(1-taxrate)</f>
        <v>0.16159682291609728</v>
      </c>
      <c r="AC17" s="84">
        <f>debtP*Debt_Rate</f>
        <v>1.3521189462017025E-2</v>
      </c>
      <c r="AD17" s="84">
        <f ca="1">+AC17+AB17</f>
        <v>0.17511801237811431</v>
      </c>
      <c r="AE17" s="84">
        <f ca="1">+AD17/(S17/100)</f>
        <v>9.474806333065644E-2</v>
      </c>
      <c r="AF17" s="84">
        <f ca="1">1-AE17</f>
        <v>0.90525193666934356</v>
      </c>
      <c r="AG17" s="85">
        <f ca="1">expenses/(AF17)</f>
        <v>6062456.7030209498</v>
      </c>
      <c r="AH17" s="86">
        <f ca="1">+AG17-Revenue</f>
        <v>531709.81560084131</v>
      </c>
      <c r="AI17" s="87">
        <f ca="1">+AH17/$J$49</f>
        <v>602255.46447199164</v>
      </c>
      <c r="AJ17" s="87">
        <f ca="1">+AI17*$J$47</f>
        <v>13610.973497067012</v>
      </c>
      <c r="AK17" s="85">
        <f t="shared" ref="AK17:AK19" ca="1" si="10">ROUND(+AJ17+AG17,5)</f>
        <v>6076067.6765200002</v>
      </c>
    </row>
    <row r="18" spans="1:37" ht="15.6">
      <c r="A18" s="34"/>
      <c r="B18" s="219"/>
      <c r="C18" s="219"/>
      <c r="D18" s="34"/>
      <c r="E18" s="34"/>
      <c r="F18" s="89">
        <f t="shared" si="7"/>
        <v>12</v>
      </c>
      <c r="G18" s="50"/>
      <c r="H18" s="105" t="s">
        <v>593</v>
      </c>
      <c r="I18" s="106"/>
      <c r="J18" s="106"/>
      <c r="K18" s="106"/>
      <c r="L18" s="106"/>
      <c r="M18" s="107"/>
      <c r="O18" s="34"/>
      <c r="P18" s="34"/>
      <c r="R18" s="90">
        <v>3</v>
      </c>
      <c r="S18" s="82">
        <f ca="1">AK13/Investment*100</f>
        <v>184.82489902403481</v>
      </c>
      <c r="T18" s="83">
        <f ca="1">EXP(y_inter3-(slope*LN(S18)))</f>
        <v>8.5750676435693691</v>
      </c>
      <c r="U18" s="84">
        <f ca="1">(+S18*T18/100)/100</f>
        <v>0.15848860113469768</v>
      </c>
      <c r="V18" s="84">
        <f>regDebt_weighted</f>
        <v>3.5860000000000003E-2</v>
      </c>
      <c r="W18" s="84">
        <f ca="1">+U18-V18</f>
        <v>0.12262860113469767</v>
      </c>
      <c r="X18" s="84">
        <f ca="1">+((W18*(1-0.34))-Pfd_weighted)/Equity_percent</f>
        <v>0.217281618456106</v>
      </c>
      <c r="Y18" s="84">
        <f>+Y17</f>
        <v>2.5000000000000001E-3</v>
      </c>
      <c r="Z18" s="84">
        <f t="shared" ref="Z18:Z19" ca="1" si="11">+X18+Y18</f>
        <v>0.219781618456106</v>
      </c>
      <c r="AA18" s="84">
        <f ca="1">Z18*equityP</f>
        <v>0.12766149010371686</v>
      </c>
      <c r="AB18" s="84">
        <f ca="1">+AA18/(1-taxrate)</f>
        <v>0.16159682291609728</v>
      </c>
      <c r="AC18" s="84">
        <f>debtP*Debt_Rate</f>
        <v>1.3521189462017025E-2</v>
      </c>
      <c r="AD18" s="84">
        <f ca="1">+AC18+AB18</f>
        <v>0.17511801237811431</v>
      </c>
      <c r="AE18" s="84">
        <f ca="1">+AD18/(S18/100)</f>
        <v>9.474806333065644E-2</v>
      </c>
      <c r="AF18" s="84">
        <f ca="1">1-AE18</f>
        <v>0.90525193666934356</v>
      </c>
      <c r="AG18" s="85">
        <f ca="1">expenses/(AF18)</f>
        <v>6062456.7030209498</v>
      </c>
      <c r="AH18" s="86">
        <f ca="1">+AG18-Revenue</f>
        <v>531709.81560084131</v>
      </c>
      <c r="AI18" s="87">
        <f ca="1">+AH18/$J$49</f>
        <v>602255.46447199164</v>
      </c>
      <c r="AJ18" s="87">
        <f ca="1">+AI18*$J$47</f>
        <v>13610.973497067012</v>
      </c>
      <c r="AK18" s="85">
        <f t="shared" ca="1" si="10"/>
        <v>6076067.6765200002</v>
      </c>
    </row>
    <row r="19" spans="1:37" ht="15.6">
      <c r="A19" s="34"/>
      <c r="B19" s="220" t="s">
        <v>594</v>
      </c>
      <c r="C19" s="220"/>
      <c r="D19" s="34"/>
      <c r="E19" s="34"/>
      <c r="F19" s="89">
        <f t="shared" si="7"/>
        <v>13</v>
      </c>
      <c r="G19" s="50"/>
      <c r="H19" s="56"/>
      <c r="I19" s="79" t="s">
        <v>595</v>
      </c>
      <c r="J19" s="80">
        <f>+Revenue</f>
        <v>5530746.8874201085</v>
      </c>
      <c r="K19" s="108"/>
      <c r="L19" s="79" t="s">
        <v>596</v>
      </c>
      <c r="M19" s="109">
        <f ca="1">+J7</f>
        <v>531709.39147655014</v>
      </c>
      <c r="O19" s="34"/>
      <c r="P19" s="34"/>
      <c r="R19" s="93">
        <v>4</v>
      </c>
      <c r="S19" s="82">
        <f ca="1">AK14/Investment*100</f>
        <v>184.82489902403481</v>
      </c>
      <c r="T19" s="98">
        <f ca="1">EXP(y_inter4-(slope*LN(S19)))</f>
        <v>8.5750676435693691</v>
      </c>
      <c r="U19" s="84">
        <f ca="1">(+S19*T19/100)/100</f>
        <v>0.15848860113469768</v>
      </c>
      <c r="V19" s="84">
        <f>regDebt_weighted</f>
        <v>3.5860000000000003E-2</v>
      </c>
      <c r="W19" s="84">
        <f ca="1">+U19-V19</f>
        <v>0.12262860113469767</v>
      </c>
      <c r="X19" s="84">
        <f ca="1">+((W19*(1-0.34))-Pfd_weighted)/Equity_percent</f>
        <v>0.217281618456106</v>
      </c>
      <c r="Y19" s="84">
        <f>+Y18</f>
        <v>2.5000000000000001E-3</v>
      </c>
      <c r="Z19" s="84">
        <f t="shared" ca="1" si="11"/>
        <v>0.219781618456106</v>
      </c>
      <c r="AA19" s="84">
        <f ca="1">Z19*equityP</f>
        <v>0.12766149010371686</v>
      </c>
      <c r="AB19" s="84">
        <f ca="1">+AA19/(1-taxrate)</f>
        <v>0.16159682291609728</v>
      </c>
      <c r="AC19" s="84">
        <f>debtP*Debt_Rate</f>
        <v>1.3521189462017025E-2</v>
      </c>
      <c r="AD19" s="84">
        <f ca="1">+AC19+AB19</f>
        <v>0.17511801237811431</v>
      </c>
      <c r="AE19" s="84">
        <f ca="1">+AD19/(S19/100)</f>
        <v>9.474806333065644E-2</v>
      </c>
      <c r="AF19" s="84">
        <f ca="1">1-AE19</f>
        <v>0.90525193666934356</v>
      </c>
      <c r="AG19" s="85">
        <f ca="1">expenses/(AF19)</f>
        <v>6062456.7030209498</v>
      </c>
      <c r="AH19" s="86">
        <f ca="1">+AG19-Revenue</f>
        <v>531709.81560084131</v>
      </c>
      <c r="AI19" s="87">
        <f ca="1">+AH19/$J$49</f>
        <v>602255.46447199164</v>
      </c>
      <c r="AJ19" s="87">
        <f ca="1">+AI19*$J$47</f>
        <v>13610.973497067012</v>
      </c>
      <c r="AK19" s="85">
        <f t="shared" ca="1" si="10"/>
        <v>6076067.6765200002</v>
      </c>
    </row>
    <row r="20" spans="1:37" ht="15.6">
      <c r="A20" s="34"/>
      <c r="B20" s="104"/>
      <c r="C20" s="34"/>
      <c r="D20" s="34"/>
      <c r="E20" s="34"/>
      <c r="F20" s="89">
        <f t="shared" si="7"/>
        <v>14</v>
      </c>
      <c r="G20" s="50"/>
      <c r="H20" s="56"/>
      <c r="I20" s="79" t="s">
        <v>597</v>
      </c>
      <c r="J20" s="80">
        <f ca="1">+J21-J19</f>
        <v>545320.35411667172</v>
      </c>
      <c r="K20" s="110"/>
      <c r="L20" s="79" t="s">
        <v>598</v>
      </c>
      <c r="M20" s="109">
        <f ca="1">+L8</f>
        <v>13610.962640121463</v>
      </c>
      <c r="O20" s="34"/>
      <c r="P20" s="34"/>
      <c r="R20" s="53" t="s">
        <v>599</v>
      </c>
    </row>
    <row r="21" spans="1:37" ht="16.2" thickBot="1">
      <c r="A21" s="34"/>
      <c r="B21" s="104"/>
      <c r="C21" s="104"/>
      <c r="D21" s="34"/>
      <c r="E21" s="34"/>
      <c r="F21" s="89">
        <f t="shared" si="7"/>
        <v>15</v>
      </c>
      <c r="G21" s="50"/>
      <c r="H21" s="56"/>
      <c r="I21" s="111" t="s">
        <v>593</v>
      </c>
      <c r="J21" s="112">
        <f ca="1">+M7</f>
        <v>6076067.2415367803</v>
      </c>
      <c r="K21" s="238">
        <f ca="1">+'Rate Sheet'!H6*J21</f>
        <v>23569.046184330378</v>
      </c>
      <c r="L21" s="111" t="s">
        <v>597</v>
      </c>
      <c r="M21" s="113">
        <f ca="1">+M19+M20</f>
        <v>545320.3541166716</v>
      </c>
      <c r="O21" s="34"/>
      <c r="P21" s="64">
        <v>585664</v>
      </c>
      <c r="R21" s="71">
        <v>1</v>
      </c>
      <c r="S21" s="72">
        <f ca="1">AK16/Investment*100</f>
        <v>184.8270916563911</v>
      </c>
      <c r="T21" s="73">
        <f ca="1">EXP(y_inter1-(slope*LN(+S21)))</f>
        <v>8.5750369708651686</v>
      </c>
      <c r="U21" s="74">
        <f ca="1">(+S21*T21/100)/100</f>
        <v>0.15848991441710389</v>
      </c>
      <c r="V21" s="74">
        <f>regDebt_weighted</f>
        <v>3.5860000000000003E-2</v>
      </c>
      <c r="W21" s="74">
        <f ca="1">+U21-V21</f>
        <v>0.12262991441710389</v>
      </c>
      <c r="X21" s="74">
        <f ca="1">+((W21*(1-0.34))-Pfd_weighted)/Equity_percent</f>
        <v>0.21728413812583883</v>
      </c>
      <c r="Y21" s="74">
        <f>+Y19</f>
        <v>2.5000000000000001E-3</v>
      </c>
      <c r="Z21" s="74">
        <f ca="1">+X21+Y21</f>
        <v>0.21978413812583883</v>
      </c>
      <c r="AA21" s="74">
        <f ca="1">Z21*equityP</f>
        <v>0.12766295366920938</v>
      </c>
      <c r="AB21" s="74">
        <f ca="1">+AA21/(1-taxrate)</f>
        <v>0.16159867553064478</v>
      </c>
      <c r="AC21" s="74">
        <f>debtP*Debt_Rate</f>
        <v>1.3521189462017025E-2</v>
      </c>
      <c r="AD21" s="74">
        <f ca="1">+AC21+AB21</f>
        <v>0.1751198649926618</v>
      </c>
      <c r="AE21" s="74">
        <f ca="1">+AD21/(S21/100)</f>
        <v>9.4747941669841435E-2</v>
      </c>
      <c r="AF21" s="74">
        <f ca="1">1-AE21</f>
        <v>0.90525205833015854</v>
      </c>
      <c r="AG21" s="75">
        <f ca="1">expenses/(AF21)</f>
        <v>6062455.8882606663</v>
      </c>
      <c r="AH21" s="76">
        <f ca="1">+AG21-Revenue</f>
        <v>531709.00084055774</v>
      </c>
      <c r="AI21" s="77">
        <f ca="1">+AH21/$J$49</f>
        <v>602254.54161177983</v>
      </c>
      <c r="AJ21" s="77">
        <f ca="1">+AI21*$J$47</f>
        <v>13610.952640426225</v>
      </c>
      <c r="AK21" s="75">
        <f ca="1">ROUND(+AJ21+AG21,5)</f>
        <v>6076066.8409000002</v>
      </c>
    </row>
    <row r="22" spans="1:37" ht="21" customHeight="1" thickTop="1">
      <c r="A22" s="34"/>
      <c r="B22" s="104"/>
      <c r="C22" s="34"/>
      <c r="D22" s="34"/>
      <c r="E22" s="34"/>
      <c r="F22" s="89">
        <f t="shared" si="7"/>
        <v>16</v>
      </c>
      <c r="G22" s="50"/>
      <c r="H22" s="114"/>
      <c r="I22" s="115"/>
      <c r="J22" s="116" t="s">
        <v>600</v>
      </c>
      <c r="K22" s="117">
        <f ca="1">+(J21/J19)-1</f>
        <v>9.8597958868272162E-2</v>
      </c>
      <c r="L22" s="115"/>
      <c r="M22" s="118"/>
      <c r="O22" s="34"/>
      <c r="P22" s="34"/>
      <c r="R22" s="81">
        <v>2</v>
      </c>
      <c r="S22" s="82">
        <f ca="1">AK17/Investment*100</f>
        <v>184.8270916563911</v>
      </c>
      <c r="T22" s="95">
        <f ca="1">EXP(y_inter2-(slope*LN(+S22)))</f>
        <v>8.5750369708651686</v>
      </c>
      <c r="U22" s="84">
        <f ca="1">(+S22*T22/100)/100</f>
        <v>0.15848991441710389</v>
      </c>
      <c r="V22" s="84">
        <f>regDebt_weighted</f>
        <v>3.5860000000000003E-2</v>
      </c>
      <c r="W22" s="84">
        <f ca="1">+U22-V22</f>
        <v>0.12262991441710389</v>
      </c>
      <c r="X22" s="84">
        <f ca="1">+((W22*(1-0.34))-Pfd_weighted)/Equity_percent</f>
        <v>0.21728413812583883</v>
      </c>
      <c r="Y22" s="84">
        <f>+Y21</f>
        <v>2.5000000000000001E-3</v>
      </c>
      <c r="Z22" s="84">
        <f ca="1">+X22+Y22</f>
        <v>0.21978413812583883</v>
      </c>
      <c r="AA22" s="84">
        <f ca="1">Z22*equityP</f>
        <v>0.12766295366920938</v>
      </c>
      <c r="AB22" s="84">
        <f ca="1">+AA22/(1-taxrate)</f>
        <v>0.16159867553064478</v>
      </c>
      <c r="AC22" s="84">
        <f>debtP*Debt_Rate</f>
        <v>1.3521189462017025E-2</v>
      </c>
      <c r="AD22" s="84">
        <f ca="1">+AC22+AB22</f>
        <v>0.1751198649926618</v>
      </c>
      <c r="AE22" s="84">
        <f ca="1">+AD22/(S22/100)</f>
        <v>9.4747941669841435E-2</v>
      </c>
      <c r="AF22" s="84">
        <f ca="1">1-AE22</f>
        <v>0.90525205833015854</v>
      </c>
      <c r="AG22" s="85">
        <f ca="1">expenses/(AF22)</f>
        <v>6062455.8882606663</v>
      </c>
      <c r="AH22" s="86">
        <f ca="1">+AG22-Revenue</f>
        <v>531709.00084055774</v>
      </c>
      <c r="AI22" s="87">
        <f ca="1">+AH22/$J$49</f>
        <v>602254.54161177983</v>
      </c>
      <c r="AJ22" s="87">
        <f ca="1">+AI22*$J$47</f>
        <v>13610.952640426225</v>
      </c>
      <c r="AK22" s="85">
        <f t="shared" ref="AK22:AK24" ca="1" si="12">ROUND(+AJ22+AG22,5)</f>
        <v>6076066.8409000002</v>
      </c>
    </row>
    <row r="23" spans="1:37" ht="15.6">
      <c r="A23" s="34"/>
      <c r="B23" s="119" t="s">
        <v>601</v>
      </c>
      <c r="C23" s="120"/>
      <c r="D23" s="120"/>
      <c r="E23" s="120"/>
      <c r="F23" s="89">
        <f t="shared" si="7"/>
        <v>17</v>
      </c>
      <c r="H23" s="50"/>
      <c r="I23" s="50"/>
      <c r="J23" s="50"/>
      <c r="K23" s="50"/>
      <c r="L23" s="50"/>
      <c r="M23" s="50"/>
      <c r="N23" s="50"/>
      <c r="O23" s="34"/>
      <c r="P23" s="121"/>
      <c r="R23" s="90">
        <v>3</v>
      </c>
      <c r="S23" s="82">
        <f ca="1">AK18/Investment*100</f>
        <v>184.8270916563911</v>
      </c>
      <c r="T23" s="83">
        <f ca="1">EXP(y_inter3-(slope*LN(S23)))</f>
        <v>8.5750369708651686</v>
      </c>
      <c r="U23" s="84">
        <f ca="1">(+S23*T23/100)/100</f>
        <v>0.15848991441710389</v>
      </c>
      <c r="V23" s="84">
        <f>regDebt_weighted</f>
        <v>3.5860000000000003E-2</v>
      </c>
      <c r="W23" s="84">
        <f ca="1">+U23-V23</f>
        <v>0.12262991441710389</v>
      </c>
      <c r="X23" s="84">
        <f ca="1">+((W23*(1-0.34))-Pfd_weighted)/Equity_percent</f>
        <v>0.21728413812583883</v>
      </c>
      <c r="Y23" s="84">
        <f>+Y22</f>
        <v>2.5000000000000001E-3</v>
      </c>
      <c r="Z23" s="84">
        <f t="shared" ref="Z23:Z24" ca="1" si="13">+X23+Y23</f>
        <v>0.21978413812583883</v>
      </c>
      <c r="AA23" s="84">
        <f ca="1">Z23*equityP</f>
        <v>0.12766295366920938</v>
      </c>
      <c r="AB23" s="84">
        <f ca="1">+AA23/(1-taxrate)</f>
        <v>0.16159867553064478</v>
      </c>
      <c r="AC23" s="84">
        <f>debtP*Debt_Rate</f>
        <v>1.3521189462017025E-2</v>
      </c>
      <c r="AD23" s="84">
        <f ca="1">+AC23+AB23</f>
        <v>0.1751198649926618</v>
      </c>
      <c r="AE23" s="84">
        <f ca="1">+AD23/(S23/100)</f>
        <v>9.4747941669841435E-2</v>
      </c>
      <c r="AF23" s="84">
        <f ca="1">1-AE23</f>
        <v>0.90525205833015854</v>
      </c>
      <c r="AG23" s="85">
        <f ca="1">expenses/(AF23)</f>
        <v>6062455.8882606663</v>
      </c>
      <c r="AH23" s="86">
        <f ca="1">+AG23-Revenue</f>
        <v>531709.00084055774</v>
      </c>
      <c r="AI23" s="87">
        <f ca="1">+AH23/$J$49</f>
        <v>602254.54161177983</v>
      </c>
      <c r="AJ23" s="87">
        <f ca="1">+AI23*$J$47</f>
        <v>13610.952640426225</v>
      </c>
      <c r="AK23" s="85">
        <f t="shared" ca="1" si="12"/>
        <v>6076066.8409000002</v>
      </c>
    </row>
    <row r="24" spans="1:37" ht="15.6">
      <c r="A24" s="34"/>
      <c r="B24" s="122" t="s">
        <v>602</v>
      </c>
      <c r="C24" s="120"/>
      <c r="D24" s="120"/>
      <c r="E24" s="120"/>
      <c r="F24" s="89">
        <f t="shared" si="7"/>
        <v>18</v>
      </c>
      <c r="H24" s="123" t="s">
        <v>603</v>
      </c>
      <c r="K24" s="124" t="s">
        <v>604</v>
      </c>
      <c r="L24" s="124"/>
      <c r="M24" s="124"/>
      <c r="N24" s="124"/>
      <c r="O24" s="34"/>
      <c r="P24" s="34"/>
      <c r="R24" s="93">
        <v>4</v>
      </c>
      <c r="S24" s="82">
        <f ca="1">AK19/Investment*100</f>
        <v>184.8270916563911</v>
      </c>
      <c r="T24" s="98">
        <f ca="1">EXP(y_inter4-(slope*LN(S24)))</f>
        <v>8.5750369708651686</v>
      </c>
      <c r="U24" s="84">
        <f ca="1">(+S24*T24/100)/100</f>
        <v>0.15848991441710389</v>
      </c>
      <c r="V24" s="84">
        <f>regDebt_weighted</f>
        <v>3.5860000000000003E-2</v>
      </c>
      <c r="W24" s="84">
        <f ca="1">+U24-V24</f>
        <v>0.12262991441710389</v>
      </c>
      <c r="X24" s="84">
        <f ca="1">+((W24*(1-0.34))-Pfd_weighted)/Equity_percent</f>
        <v>0.21728413812583883</v>
      </c>
      <c r="Y24" s="84">
        <f>+Y23</f>
        <v>2.5000000000000001E-3</v>
      </c>
      <c r="Z24" s="84">
        <f t="shared" ca="1" si="13"/>
        <v>0.21978413812583883</v>
      </c>
      <c r="AA24" s="84">
        <f ca="1">Z24*equityP</f>
        <v>0.12766295366920938</v>
      </c>
      <c r="AB24" s="84">
        <f ca="1">+AA24/(1-taxrate)</f>
        <v>0.16159867553064478</v>
      </c>
      <c r="AC24" s="84">
        <f>debtP*Debt_Rate</f>
        <v>1.3521189462017025E-2</v>
      </c>
      <c r="AD24" s="84">
        <f ca="1">+AC24+AB24</f>
        <v>0.1751198649926618</v>
      </c>
      <c r="AE24" s="84">
        <f ca="1">+AD24/(S24/100)</f>
        <v>9.4747941669841435E-2</v>
      </c>
      <c r="AF24" s="84">
        <f ca="1">1-AE24</f>
        <v>0.90525205833015854</v>
      </c>
      <c r="AG24" s="85">
        <f ca="1">expenses/(AF24)</f>
        <v>6062455.8882606663</v>
      </c>
      <c r="AH24" s="86">
        <f ca="1">+AG24-Revenue</f>
        <v>531709.00084055774</v>
      </c>
      <c r="AI24" s="87">
        <f ca="1">+AH24/$J$49</f>
        <v>602254.54161177983</v>
      </c>
      <c r="AJ24" s="87">
        <f ca="1">+AI24*$J$47</f>
        <v>13610.952640426225</v>
      </c>
      <c r="AK24" s="85">
        <f t="shared" ca="1" si="12"/>
        <v>6076066.8409000002</v>
      </c>
    </row>
    <row r="25" spans="1:37" ht="15.6">
      <c r="A25" s="34"/>
      <c r="B25" s="122" t="s">
        <v>605</v>
      </c>
      <c r="C25" s="120"/>
      <c r="D25" s="120"/>
      <c r="E25" s="120"/>
      <c r="F25" s="89">
        <f t="shared" si="7"/>
        <v>19</v>
      </c>
      <c r="H25" s="125" t="s">
        <v>606</v>
      </c>
      <c r="I25" s="126" t="s">
        <v>607</v>
      </c>
      <c r="J25" s="127" t="s">
        <v>608</v>
      </c>
      <c r="K25" s="125" t="s">
        <v>609</v>
      </c>
      <c r="L25" s="127" t="s">
        <v>610</v>
      </c>
      <c r="M25" s="127" t="s">
        <v>608</v>
      </c>
      <c r="O25" s="34"/>
      <c r="P25" s="121"/>
      <c r="R25" s="53" t="s">
        <v>611</v>
      </c>
      <c r="W25" s="128"/>
      <c r="X25" s="129"/>
      <c r="Y25" s="129"/>
      <c r="Z25" s="129"/>
      <c r="AA25" s="83"/>
      <c r="AB25" s="83"/>
      <c r="AC25" s="129"/>
      <c r="AE25" s="129"/>
      <c r="AF25" s="129"/>
      <c r="AG25" s="83"/>
      <c r="AH25" s="128"/>
    </row>
    <row r="26" spans="1:37" ht="15.6">
      <c r="A26" s="34"/>
      <c r="B26" s="122" t="s">
        <v>612</v>
      </c>
      <c r="C26" s="120"/>
      <c r="D26" s="120"/>
      <c r="E26" s="120"/>
      <c r="F26" s="89">
        <f t="shared" si="7"/>
        <v>20</v>
      </c>
      <c r="H26" s="79" t="s">
        <v>562</v>
      </c>
      <c r="I26" s="130">
        <f>1-I27</f>
        <v>0.58085608341815431</v>
      </c>
      <c r="J26" s="131">
        <f>+I26*J28</f>
        <v>1909525.7310699625</v>
      </c>
      <c r="K26" s="100">
        <f ca="1">+K34</f>
        <v>0.21925073570668982</v>
      </c>
      <c r="L26" s="130">
        <f ca="1">+K26*I26</f>
        <v>0.12735312362913673</v>
      </c>
      <c r="M26" s="80">
        <f ca="1">+J26*K26</f>
        <v>418664.92138794402</v>
      </c>
      <c r="O26" s="34"/>
      <c r="P26" s="121"/>
      <c r="R26" s="71">
        <v>1</v>
      </c>
      <c r="S26" s="72">
        <f ca="1">AK21/Investment*100</f>
        <v>184.82706623777787</v>
      </c>
      <c r="T26" s="73">
        <f ca="1">EXP(y_inter1-(slope*LN(+S26)))</f>
        <v>8.575037326443093</v>
      </c>
      <c r="U26" s="74">
        <f ca="1">(+S26*T26/100)/100</f>
        <v>0.15848989919259152</v>
      </c>
      <c r="V26" s="74">
        <f>regDebt_weighted</f>
        <v>3.5860000000000003E-2</v>
      </c>
      <c r="W26" s="74">
        <f ca="1">+U26-V26</f>
        <v>0.12262989919259151</v>
      </c>
      <c r="X26" s="74">
        <f ca="1">+((W26*(1-0.34))-Pfd_weighted)/Equity_percent</f>
        <v>0.21728410891601857</v>
      </c>
      <c r="Y26" s="74">
        <f>+Y24</f>
        <v>2.5000000000000001E-3</v>
      </c>
      <c r="Z26" s="74">
        <f ca="1">+X26+Y26</f>
        <v>0.21978410891601857</v>
      </c>
      <c r="AA26" s="74">
        <f ca="1">Z26*equityP</f>
        <v>0.12766293670250758</v>
      </c>
      <c r="AB26" s="74">
        <f ca="1">+AA26/(1-taxrate)</f>
        <v>0.16159865405380705</v>
      </c>
      <c r="AC26" s="74">
        <f>debtP*Debt_Rate</f>
        <v>1.3521189462017025E-2</v>
      </c>
      <c r="AD26" s="74">
        <f ca="1">+AC26+AB26</f>
        <v>0.17511984351582408</v>
      </c>
      <c r="AE26" s="74">
        <f ca="1">+AD26/(S26/100)</f>
        <v>9.4747943080227451E-2</v>
      </c>
      <c r="AF26" s="74">
        <f ca="1">1-AE26</f>
        <v>0.90525205691977251</v>
      </c>
      <c r="AG26" s="75">
        <f ca="1">expenses/(AF26)</f>
        <v>6062455.8977059955</v>
      </c>
      <c r="AH26" s="76">
        <f ca="1">+AG26-Revenue</f>
        <v>531709.01028588694</v>
      </c>
      <c r="AI26" s="77">
        <f ca="1">+AH26/$J$49</f>
        <v>602254.55231028679</v>
      </c>
      <c r="AJ26" s="77">
        <f ca="1">+AI26*$J$47</f>
        <v>13610.952882212483</v>
      </c>
      <c r="AK26" s="75">
        <f ca="1">ROUND(+AJ26+AG26,5)</f>
        <v>6076066.8505899999</v>
      </c>
    </row>
    <row r="27" spans="1:37" ht="15.6">
      <c r="A27" s="34"/>
      <c r="B27" s="122" t="s">
        <v>613</v>
      </c>
      <c r="C27" s="120"/>
      <c r="D27" s="120"/>
      <c r="E27" s="120"/>
      <c r="F27" s="89">
        <f t="shared" si="7"/>
        <v>21</v>
      </c>
      <c r="H27" s="79" t="s">
        <v>564</v>
      </c>
      <c r="I27" s="130">
        <f>IF(A64=TRUE,C8,0)</f>
        <v>0.41914391658184569</v>
      </c>
      <c r="J27" s="132">
        <f>+I27*J28</f>
        <v>1377907.740975312</v>
      </c>
      <c r="K27" s="100">
        <f>IF(A64=TRUE,C9,0)</f>
        <v>3.2259061690035909E-2</v>
      </c>
      <c r="L27" s="130">
        <f>+K27*I27</f>
        <v>1.3521189462017025E-2</v>
      </c>
      <c r="M27" s="80">
        <f>+K27*J27</f>
        <v>44450.010819300609</v>
      </c>
      <c r="O27" s="34"/>
      <c r="P27" s="34"/>
      <c r="R27" s="81">
        <v>2</v>
      </c>
      <c r="S27" s="82">
        <f ca="1">AK22/Investment*100</f>
        <v>184.82706623777787</v>
      </c>
      <c r="T27" s="95">
        <f ca="1">EXP(y_inter2-(slope*LN(+S27)))</f>
        <v>8.575037326443093</v>
      </c>
      <c r="U27" s="84">
        <f ca="1">(+S27*T27/100)/100</f>
        <v>0.15848989919259152</v>
      </c>
      <c r="V27" s="84">
        <f>regDebt_weighted</f>
        <v>3.5860000000000003E-2</v>
      </c>
      <c r="W27" s="84">
        <f ca="1">+U27-V27</f>
        <v>0.12262989919259151</v>
      </c>
      <c r="X27" s="84">
        <f ca="1">+((W27*(1-0.34))-Pfd_weighted)/Equity_percent</f>
        <v>0.21728410891601857</v>
      </c>
      <c r="Y27" s="84">
        <f>+Y26</f>
        <v>2.5000000000000001E-3</v>
      </c>
      <c r="Z27" s="84">
        <f ca="1">+X27+Y27</f>
        <v>0.21978410891601857</v>
      </c>
      <c r="AA27" s="84">
        <f ca="1">Z27*equityP</f>
        <v>0.12766293670250758</v>
      </c>
      <c r="AB27" s="84">
        <f ca="1">+AA27/(1-taxrate)</f>
        <v>0.16159865405380705</v>
      </c>
      <c r="AC27" s="84">
        <f>debtP*Debt_Rate</f>
        <v>1.3521189462017025E-2</v>
      </c>
      <c r="AD27" s="84">
        <f ca="1">+AC27+AB27</f>
        <v>0.17511984351582408</v>
      </c>
      <c r="AE27" s="84">
        <f ca="1">+AD27/(S27/100)</f>
        <v>9.4747943080227451E-2</v>
      </c>
      <c r="AF27" s="84">
        <f ca="1">1-AE27</f>
        <v>0.90525205691977251</v>
      </c>
      <c r="AG27" s="85">
        <f ca="1">expenses/(AF27)</f>
        <v>6062455.8977059955</v>
      </c>
      <c r="AH27" s="86">
        <f ca="1">+AG27-Revenue</f>
        <v>531709.01028588694</v>
      </c>
      <c r="AI27" s="87">
        <f ca="1">+AH27/$J$49</f>
        <v>602254.55231028679</v>
      </c>
      <c r="AJ27" s="87">
        <f ca="1">+AI27*$J$47</f>
        <v>13610.952882212483</v>
      </c>
      <c r="AK27" s="85">
        <f t="shared" ref="AK27:AK29" ca="1" si="14">ROUND(+AJ27+AG27,5)</f>
        <v>6076066.8505899999</v>
      </c>
    </row>
    <row r="28" spans="1:37" ht="16.2" thickBot="1">
      <c r="A28" s="34"/>
      <c r="B28" s="34"/>
      <c r="C28" s="34"/>
      <c r="D28" s="34"/>
      <c r="E28" s="34"/>
      <c r="F28" s="89">
        <f t="shared" si="7"/>
        <v>22</v>
      </c>
      <c r="H28" s="79" t="s">
        <v>614</v>
      </c>
      <c r="I28" s="130">
        <f>SUM(I26:I27)</f>
        <v>1</v>
      </c>
      <c r="J28" s="133">
        <f>IF(A64=TRUE,C7,0)</f>
        <v>3287433.4720452745</v>
      </c>
      <c r="K28" s="134"/>
      <c r="L28" s="135">
        <f ca="1">SUM(L26:L27)</f>
        <v>0.14087431309115375</v>
      </c>
      <c r="M28" s="133">
        <f ca="1">SUM(M26:M27)</f>
        <v>463114.93220724462</v>
      </c>
      <c r="O28" s="34"/>
      <c r="P28" s="34"/>
      <c r="R28" s="90">
        <v>3</v>
      </c>
      <c r="S28" s="82">
        <f ca="1">AK23/Investment*100</f>
        <v>184.82706623777787</v>
      </c>
      <c r="T28" s="83">
        <f ca="1">EXP(y_inter3-(slope*LN(S28)))</f>
        <v>8.575037326443093</v>
      </c>
      <c r="U28" s="84">
        <f ca="1">(+S28*T28/100)/100</f>
        <v>0.15848989919259152</v>
      </c>
      <c r="V28" s="84">
        <f>regDebt_weighted</f>
        <v>3.5860000000000003E-2</v>
      </c>
      <c r="W28" s="84">
        <f ca="1">+U28-V28</f>
        <v>0.12262989919259151</v>
      </c>
      <c r="X28" s="84">
        <f ca="1">+((W28*(1-0.34))-Pfd_weighted)/Equity_percent</f>
        <v>0.21728410891601857</v>
      </c>
      <c r="Y28" s="84">
        <f>+Y27</f>
        <v>2.5000000000000001E-3</v>
      </c>
      <c r="Z28" s="84">
        <f t="shared" ref="Z28:Z29" ca="1" si="15">+X28+Y28</f>
        <v>0.21978410891601857</v>
      </c>
      <c r="AA28" s="84">
        <f ca="1">Z28*equityP</f>
        <v>0.12766293670250758</v>
      </c>
      <c r="AB28" s="84">
        <f ca="1">+AA28/(1-taxrate)</f>
        <v>0.16159865405380705</v>
      </c>
      <c r="AC28" s="84">
        <f>debtP*Debt_Rate</f>
        <v>1.3521189462017025E-2</v>
      </c>
      <c r="AD28" s="84">
        <f ca="1">+AC28+AB28</f>
        <v>0.17511984351582408</v>
      </c>
      <c r="AE28" s="84">
        <f ca="1">+AD28/(S28/100)</f>
        <v>9.4747943080227451E-2</v>
      </c>
      <c r="AF28" s="84">
        <f ca="1">1-AE28</f>
        <v>0.90525205691977251</v>
      </c>
      <c r="AG28" s="85">
        <f ca="1">expenses/(AF28)</f>
        <v>6062455.8977059955</v>
      </c>
      <c r="AH28" s="86">
        <f ca="1">+AG28-Revenue</f>
        <v>531709.01028588694</v>
      </c>
      <c r="AI28" s="87">
        <f ca="1">+AH28/$J$49</f>
        <v>602254.55231028679</v>
      </c>
      <c r="AJ28" s="87">
        <f ca="1">+AI28*$J$47</f>
        <v>13610.952882212483</v>
      </c>
      <c r="AK28" s="85">
        <f t="shared" ca="1" si="14"/>
        <v>6076066.8505899999</v>
      </c>
    </row>
    <row r="29" spans="1:37" ht="16.2" thickTop="1">
      <c r="A29" s="34"/>
      <c r="B29" s="34"/>
      <c r="C29" s="34"/>
      <c r="D29" s="34"/>
      <c r="E29" s="34"/>
      <c r="F29" s="89">
        <f t="shared" si="7"/>
        <v>23</v>
      </c>
      <c r="G29" s="50"/>
      <c r="H29" s="50"/>
      <c r="I29" s="50"/>
      <c r="J29" s="50"/>
      <c r="K29" s="50"/>
      <c r="L29" s="50"/>
      <c r="M29" s="50"/>
      <c r="N29" s="50"/>
      <c r="O29" s="34"/>
      <c r="P29" s="34"/>
      <c r="R29" s="93">
        <v>4</v>
      </c>
      <c r="S29" s="82">
        <f ca="1">AK24/Investment*100</f>
        <v>184.82706623777787</v>
      </c>
      <c r="T29" s="98">
        <f ca="1">EXP(y_inter4-(slope*LN(S29)))</f>
        <v>8.575037326443093</v>
      </c>
      <c r="U29" s="84">
        <f ca="1">(+S29*T29/100)/100</f>
        <v>0.15848989919259152</v>
      </c>
      <c r="V29" s="84">
        <f>regDebt_weighted</f>
        <v>3.5860000000000003E-2</v>
      </c>
      <c r="W29" s="84">
        <f ca="1">+U29-V29</f>
        <v>0.12262989919259151</v>
      </c>
      <c r="X29" s="84">
        <f ca="1">+((W29*(1-0.34))-Pfd_weighted)/Equity_percent</f>
        <v>0.21728410891601857</v>
      </c>
      <c r="Y29" s="84">
        <f>+Y28</f>
        <v>2.5000000000000001E-3</v>
      </c>
      <c r="Z29" s="84">
        <f t="shared" ca="1" si="15"/>
        <v>0.21978410891601857</v>
      </c>
      <c r="AA29" s="84">
        <f ca="1">Z29*equityP</f>
        <v>0.12766293670250758</v>
      </c>
      <c r="AB29" s="84">
        <f ca="1">+AA29/(1-taxrate)</f>
        <v>0.16159865405380705</v>
      </c>
      <c r="AC29" s="84">
        <f>debtP*Debt_Rate</f>
        <v>1.3521189462017025E-2</v>
      </c>
      <c r="AD29" s="84">
        <f ca="1">+AC29+AB29</f>
        <v>0.17511984351582408</v>
      </c>
      <c r="AE29" s="84">
        <f ca="1">+AD29/(S29/100)</f>
        <v>9.4747943080227451E-2</v>
      </c>
      <c r="AF29" s="84">
        <f ca="1">1-AE29</f>
        <v>0.90525205691977251</v>
      </c>
      <c r="AG29" s="85">
        <f ca="1">expenses/(AF29)</f>
        <v>6062455.8977059955</v>
      </c>
      <c r="AH29" s="86">
        <f ca="1">+AG29-Revenue</f>
        <v>531709.01028588694</v>
      </c>
      <c r="AI29" s="87">
        <f ca="1">+AH29/$J$49</f>
        <v>602254.55231028679</v>
      </c>
      <c r="AJ29" s="87">
        <f ca="1">+AI29*$J$47</f>
        <v>13610.952882212483</v>
      </c>
      <c r="AK29" s="85">
        <f t="shared" ca="1" si="14"/>
        <v>6076066.8505899999</v>
      </c>
    </row>
    <row r="30" spans="1:37" ht="15.6">
      <c r="A30" s="34"/>
      <c r="B30" s="34"/>
      <c r="C30" s="34"/>
      <c r="D30" s="136"/>
      <c r="E30" s="34"/>
      <c r="F30" s="89">
        <f t="shared" si="7"/>
        <v>24</v>
      </c>
      <c r="G30" s="50"/>
      <c r="H30" s="50"/>
      <c r="I30" s="50"/>
      <c r="J30" s="137" t="s">
        <v>615</v>
      </c>
      <c r="K30" s="137" t="s">
        <v>616</v>
      </c>
      <c r="L30" s="50"/>
      <c r="M30" s="50"/>
      <c r="N30" s="50"/>
      <c r="O30" s="34"/>
      <c r="P30" s="34"/>
      <c r="R30" s="53" t="s">
        <v>617</v>
      </c>
      <c r="W30" s="128"/>
      <c r="X30" s="129"/>
      <c r="Z30" s="129"/>
      <c r="AA30" s="83"/>
      <c r="AB30" s="83"/>
      <c r="AC30" s="129"/>
      <c r="AE30" s="129"/>
      <c r="AF30" s="129"/>
      <c r="AG30" s="83"/>
      <c r="AH30" s="128"/>
      <c r="AJ30" s="83"/>
    </row>
    <row r="31" spans="1:37" ht="15.6">
      <c r="A31" s="34"/>
      <c r="B31" s="34"/>
      <c r="C31" s="34"/>
      <c r="D31" s="136"/>
      <c r="E31" s="34"/>
      <c r="F31" s="89">
        <f t="shared" si="7"/>
        <v>25</v>
      </c>
      <c r="G31" s="50"/>
      <c r="H31" s="138" t="s">
        <v>618</v>
      </c>
      <c r="I31" s="139"/>
      <c r="J31" s="140" t="s">
        <v>619</v>
      </c>
      <c r="K31" s="140" t="s">
        <v>619</v>
      </c>
      <c r="L31" s="221"/>
      <c r="M31" s="221"/>
      <c r="N31" s="221"/>
      <c r="O31" s="34"/>
      <c r="P31" s="34"/>
      <c r="R31" s="71">
        <v>1</v>
      </c>
      <c r="S31" s="72">
        <f ca="1">AK26/Investment*100</f>
        <v>184.82706653253669</v>
      </c>
      <c r="T31" s="73">
        <f ca="1">EXP(y_inter1-(slope*LN(+S31)))</f>
        <v>8.5750373223197478</v>
      </c>
      <c r="U31" s="74">
        <f ca="1">(+S31*T31/100)/100</f>
        <v>0.15848989936913774</v>
      </c>
      <c r="V31" s="74">
        <f>regDebt_weighted</f>
        <v>3.5860000000000003E-2</v>
      </c>
      <c r="W31" s="74">
        <f ca="1">+U31-V31</f>
        <v>0.12262989936913773</v>
      </c>
      <c r="X31" s="74">
        <f ca="1">+((W31*(1-0.34))-Pfd_weighted)/Equity_percent</f>
        <v>0.21728410925474098</v>
      </c>
      <c r="Y31" s="74">
        <f>+Y29</f>
        <v>2.5000000000000001E-3</v>
      </c>
      <c r="Z31" s="74">
        <f ca="1">+X31+Y31</f>
        <v>0.21978410925474098</v>
      </c>
      <c r="AA31" s="74">
        <f ca="1">Z31*equityP</f>
        <v>0.12766293689925656</v>
      </c>
      <c r="AB31" s="74">
        <f ca="1">+AA31/(1-taxrate)</f>
        <v>0.16159865430285641</v>
      </c>
      <c r="AC31" s="74">
        <f>debtP*Debt_Rate</f>
        <v>1.3521189462017025E-2</v>
      </c>
      <c r="AD31" s="74">
        <f ca="1">+AC31+AB31</f>
        <v>0.17511984376487344</v>
      </c>
      <c r="AE31" s="74">
        <f ca="1">+AD31/(S31/100)</f>
        <v>9.4747943063872408E-2</v>
      </c>
      <c r="AF31" s="74">
        <f ca="1">1-AE31</f>
        <v>0.90525205693612754</v>
      </c>
      <c r="AG31" s="75">
        <f ca="1">expenses/(AF31)</f>
        <v>6062455.8975964654</v>
      </c>
      <c r="AH31" s="76">
        <f ca="1">+AG31-Revenue</f>
        <v>531709.01017635688</v>
      </c>
      <c r="AI31" s="77">
        <f ca="1">+AH31/$J$49</f>
        <v>602254.55218622461</v>
      </c>
      <c r="AJ31" s="77">
        <f ca="1">+AI31*$J$47</f>
        <v>13610.952879408678</v>
      </c>
      <c r="AK31" s="75">
        <f ca="1">ROUND(+AJ31+AG31,5)</f>
        <v>6076066.8504799996</v>
      </c>
    </row>
    <row r="32" spans="1:37" ht="15.6">
      <c r="A32" s="34"/>
      <c r="B32" s="34"/>
      <c r="C32" s="34"/>
      <c r="D32" s="136"/>
      <c r="E32" s="34"/>
      <c r="F32" s="89">
        <f t="shared" si="7"/>
        <v>26</v>
      </c>
      <c r="G32" s="50"/>
      <c r="H32" s="61"/>
      <c r="I32" s="61"/>
      <c r="J32" s="61"/>
      <c r="K32" s="61"/>
      <c r="L32" s="50"/>
      <c r="M32" s="50"/>
      <c r="N32" s="50"/>
      <c r="O32" s="34"/>
      <c r="P32" s="34"/>
      <c r="R32" s="81">
        <v>2</v>
      </c>
      <c r="S32" s="82">
        <f ca="1">AK27/Investment*100</f>
        <v>184.82706653253669</v>
      </c>
      <c r="T32" s="95">
        <f ca="1">EXP(y_inter2-(slope*LN(+S32)))</f>
        <v>8.5750373223197478</v>
      </c>
      <c r="U32" s="84">
        <f ca="1">(+S32*T32/100)/100</f>
        <v>0.15848989936913774</v>
      </c>
      <c r="V32" s="84">
        <f>regDebt_weighted</f>
        <v>3.5860000000000003E-2</v>
      </c>
      <c r="W32" s="84">
        <f ca="1">+U32-V32</f>
        <v>0.12262989936913773</v>
      </c>
      <c r="X32" s="84">
        <f ca="1">+((W32*(1-0.34))-Pfd_weighted)/Equity_percent</f>
        <v>0.21728410925474098</v>
      </c>
      <c r="Y32" s="84">
        <f>+Y31</f>
        <v>2.5000000000000001E-3</v>
      </c>
      <c r="Z32" s="84">
        <f ca="1">+X32+Y32</f>
        <v>0.21978410925474098</v>
      </c>
      <c r="AA32" s="84">
        <f ca="1">Z32*equityP</f>
        <v>0.12766293689925656</v>
      </c>
      <c r="AB32" s="84">
        <f ca="1">+AA32/(1-taxrate)</f>
        <v>0.16159865430285641</v>
      </c>
      <c r="AC32" s="84">
        <f>debtP*Debt_Rate</f>
        <v>1.3521189462017025E-2</v>
      </c>
      <c r="AD32" s="84">
        <f ca="1">+AC32+AB32</f>
        <v>0.17511984376487344</v>
      </c>
      <c r="AE32" s="84">
        <f ca="1">+AD32/(S32/100)</f>
        <v>9.4747943063872408E-2</v>
      </c>
      <c r="AF32" s="84">
        <f ca="1">1-AE32</f>
        <v>0.90525205693612754</v>
      </c>
      <c r="AG32" s="85">
        <f ca="1">expenses/(AF32)</f>
        <v>6062455.8975964654</v>
      </c>
      <c r="AH32" s="86">
        <f ca="1">+AG32-Revenue</f>
        <v>531709.01017635688</v>
      </c>
      <c r="AI32" s="87">
        <f ca="1">+AH32/$J$49</f>
        <v>602254.55218622461</v>
      </c>
      <c r="AJ32" s="87">
        <f ca="1">+AI32*$J$47</f>
        <v>13610.952879408678</v>
      </c>
      <c r="AK32" s="85">
        <f t="shared" ref="AK32:AK34" ca="1" si="16">ROUND(+AJ32+AG32,5)</f>
        <v>6076066.8504799996</v>
      </c>
    </row>
    <row r="33" spans="1:48" ht="15.6">
      <c r="A33" s="34"/>
      <c r="B33" s="34"/>
      <c r="C33" s="34"/>
      <c r="D33" s="34"/>
      <c r="E33" s="34"/>
      <c r="F33" s="89">
        <f t="shared" si="7"/>
        <v>27</v>
      </c>
      <c r="G33" s="50"/>
      <c r="H33" s="61" t="s">
        <v>620</v>
      </c>
      <c r="I33" s="61"/>
      <c r="J33" s="141">
        <f ca="1">+K9/J28</f>
        <v>0.17472767506851919</v>
      </c>
      <c r="K33" s="141">
        <f ca="1">+(M14+M11)/J28</f>
        <v>0.14087431309115375</v>
      </c>
      <c r="L33" s="79"/>
      <c r="M33" s="79"/>
      <c r="N33" s="80"/>
      <c r="O33" s="34"/>
      <c r="P33" s="34"/>
      <c r="R33" s="90">
        <v>3</v>
      </c>
      <c r="S33" s="82">
        <f ca="1">AK28/Investment*100</f>
        <v>184.82706653253669</v>
      </c>
      <c r="T33" s="83">
        <f ca="1">EXP(y_inter3-(slope*LN(S33)))</f>
        <v>8.5750373223197478</v>
      </c>
      <c r="U33" s="84">
        <f ca="1">(+S33*T33/100)/100</f>
        <v>0.15848989936913774</v>
      </c>
      <c r="V33" s="84">
        <f>regDebt_weighted</f>
        <v>3.5860000000000003E-2</v>
      </c>
      <c r="W33" s="84">
        <f ca="1">+U33-V33</f>
        <v>0.12262989936913773</v>
      </c>
      <c r="X33" s="84">
        <f ca="1">+((W33*(1-0.34))-Pfd_weighted)/Equity_percent</f>
        <v>0.21728410925474098</v>
      </c>
      <c r="Y33" s="84">
        <f>+Y32</f>
        <v>2.5000000000000001E-3</v>
      </c>
      <c r="Z33" s="84">
        <f t="shared" ref="Z33:Z34" ca="1" si="17">+X33+Y33</f>
        <v>0.21978410925474098</v>
      </c>
      <c r="AA33" s="84">
        <f ca="1">Z33*equityP</f>
        <v>0.12766293689925656</v>
      </c>
      <c r="AB33" s="84">
        <f ca="1">+AA33/(1-taxrate)</f>
        <v>0.16159865430285641</v>
      </c>
      <c r="AC33" s="84">
        <f>debtP*Debt_Rate</f>
        <v>1.3521189462017025E-2</v>
      </c>
      <c r="AD33" s="84">
        <f ca="1">+AC33+AB33</f>
        <v>0.17511984376487344</v>
      </c>
      <c r="AE33" s="84">
        <f ca="1">+AD33/(S33/100)</f>
        <v>9.4747943063872408E-2</v>
      </c>
      <c r="AF33" s="84">
        <f ca="1">1-AE33</f>
        <v>0.90525205693612754</v>
      </c>
      <c r="AG33" s="85">
        <f ca="1">expenses/(AF33)</f>
        <v>6062455.8975964654</v>
      </c>
      <c r="AH33" s="86">
        <f ca="1">+AG33-Revenue</f>
        <v>531709.01017635688</v>
      </c>
      <c r="AI33" s="87">
        <f ca="1">+AH33/$J$49</f>
        <v>602254.55218622461</v>
      </c>
      <c r="AJ33" s="87">
        <f ca="1">+AI33*$J$47</f>
        <v>13610.952879408678</v>
      </c>
      <c r="AK33" s="85">
        <f t="shared" ca="1" si="16"/>
        <v>6076066.8504799996</v>
      </c>
    </row>
    <row r="34" spans="1:48" ht="15.6">
      <c r="A34" s="34"/>
      <c r="B34" s="34"/>
      <c r="C34" s="34"/>
      <c r="D34" s="34"/>
      <c r="E34" s="34"/>
      <c r="F34" s="89">
        <f t="shared" si="7"/>
        <v>28</v>
      </c>
      <c r="G34" s="50"/>
      <c r="H34" s="61" t="s">
        <v>621</v>
      </c>
      <c r="I34" s="61"/>
      <c r="J34" s="141">
        <f ca="1">+(M9-M11)/J26</f>
        <v>0.27753257684391114</v>
      </c>
      <c r="K34" s="141">
        <f ca="1">+M14/J26</f>
        <v>0.21925073570668982</v>
      </c>
      <c r="L34" s="79"/>
      <c r="M34" s="79"/>
      <c r="N34" s="80"/>
      <c r="O34" s="142"/>
      <c r="P34" s="34"/>
      <c r="R34" s="93">
        <v>4</v>
      </c>
      <c r="S34" s="82">
        <f ca="1">AK29/Investment*100</f>
        <v>184.82706653253669</v>
      </c>
      <c r="T34" s="98">
        <f ca="1">EXP(y_inter4-(slope*LN(S34)))</f>
        <v>8.5750373223197478</v>
      </c>
      <c r="U34" s="84">
        <f ca="1">(+S34*T34/100)/100</f>
        <v>0.15848989936913774</v>
      </c>
      <c r="V34" s="84">
        <f>regDebt_weighted</f>
        <v>3.5860000000000003E-2</v>
      </c>
      <c r="W34" s="84">
        <f ca="1">+U34-V34</f>
        <v>0.12262989936913773</v>
      </c>
      <c r="X34" s="84">
        <f ca="1">+((W34*(1-0.34))-Pfd_weighted)/Equity_percent</f>
        <v>0.21728410925474098</v>
      </c>
      <c r="Y34" s="84">
        <f>+Y33</f>
        <v>2.5000000000000001E-3</v>
      </c>
      <c r="Z34" s="84">
        <f t="shared" ca="1" si="17"/>
        <v>0.21978410925474098</v>
      </c>
      <c r="AA34" s="84">
        <f ca="1">Z34*equityP</f>
        <v>0.12766293689925656</v>
      </c>
      <c r="AB34" s="84">
        <f ca="1">+AA34/(1-taxrate)</f>
        <v>0.16159865430285641</v>
      </c>
      <c r="AC34" s="84">
        <f>debtP*Debt_Rate</f>
        <v>1.3521189462017025E-2</v>
      </c>
      <c r="AD34" s="84">
        <f ca="1">+AC34+AB34</f>
        <v>0.17511984376487344</v>
      </c>
      <c r="AE34" s="84">
        <f ca="1">+AD34/(S34/100)</f>
        <v>9.4747943063872408E-2</v>
      </c>
      <c r="AF34" s="84">
        <f ca="1">1-AE34</f>
        <v>0.90525205693612754</v>
      </c>
      <c r="AG34" s="85">
        <f ca="1">expenses/(AF34)</f>
        <v>6062455.8975964654</v>
      </c>
      <c r="AH34" s="86">
        <f ca="1">+AG34-Revenue</f>
        <v>531709.01017635688</v>
      </c>
      <c r="AI34" s="87">
        <f ca="1">+AH34/$J$49</f>
        <v>602254.55218622461</v>
      </c>
      <c r="AJ34" s="87">
        <f ca="1">+AI34*$J$47</f>
        <v>13610.952879408678</v>
      </c>
      <c r="AK34" s="85">
        <f t="shared" ca="1" si="16"/>
        <v>6076066.8504799996</v>
      </c>
    </row>
    <row r="35" spans="1:48" ht="15.6">
      <c r="A35" s="34"/>
      <c r="B35" s="34"/>
      <c r="C35" s="34"/>
      <c r="D35" s="34"/>
      <c r="E35" s="34"/>
      <c r="F35" s="89">
        <f t="shared" si="7"/>
        <v>29</v>
      </c>
      <c r="G35" s="50"/>
      <c r="H35" s="143" t="s">
        <v>566</v>
      </c>
      <c r="I35" s="61"/>
      <c r="J35" s="141">
        <f ca="1">+K8/K7</f>
        <v>0.90525200000000006</v>
      </c>
      <c r="K35" s="141">
        <f ca="1">+M8/M7</f>
        <v>0.90546424443985907</v>
      </c>
      <c r="L35" s="79"/>
      <c r="M35" s="79"/>
      <c r="N35" s="80"/>
      <c r="O35" s="34"/>
      <c r="P35" s="34"/>
      <c r="R35" s="53" t="s">
        <v>622</v>
      </c>
      <c r="X35" s="129"/>
      <c r="Y35" s="129"/>
      <c r="Z35" s="129"/>
      <c r="AA35" s="144"/>
      <c r="AB35" s="83"/>
      <c r="AC35" s="129"/>
      <c r="AE35" s="129"/>
      <c r="AF35" s="129"/>
      <c r="AG35" s="83"/>
      <c r="AH35" s="128"/>
      <c r="AJ35" s="83"/>
    </row>
    <row r="36" spans="1:48" ht="15.6">
      <c r="A36" s="34"/>
      <c r="B36" s="34"/>
      <c r="C36" s="34"/>
      <c r="D36" s="34"/>
      <c r="E36" s="34"/>
      <c r="F36" s="89">
        <f t="shared" si="7"/>
        <v>30</v>
      </c>
      <c r="G36" s="50"/>
      <c r="H36" s="61" t="s">
        <v>623</v>
      </c>
      <c r="I36" s="61"/>
      <c r="J36" s="141">
        <f ca="1">+K9/K7</f>
        <v>9.4747999999999999E-2</v>
      </c>
      <c r="K36" s="141">
        <f ca="1">+J36</f>
        <v>9.4747999999999999E-2</v>
      </c>
      <c r="L36" s="50"/>
      <c r="M36" s="50"/>
      <c r="N36" s="80"/>
      <c r="O36" s="34"/>
      <c r="P36" s="34"/>
      <c r="R36" s="71">
        <v>1</v>
      </c>
      <c r="S36" s="72">
        <f ca="1">AK31/Investment*100</f>
        <v>184.82706652919057</v>
      </c>
      <c r="T36" s="73">
        <f ca="1">EXP(y_inter1-(slope*LN(+S36)))</f>
        <v>8.575037322366553</v>
      </c>
      <c r="U36" s="74">
        <f ca="1">(+S36*T36/100)/100</f>
        <v>0.15848989936713351</v>
      </c>
      <c r="V36" s="74">
        <f>regDebt_weighted</f>
        <v>3.5860000000000003E-2</v>
      </c>
      <c r="W36" s="74">
        <f ca="1">+U36-V36</f>
        <v>0.1226298993671335</v>
      </c>
      <c r="X36" s="74">
        <f ca="1">+((W36*(1-0.34))-Pfd_weighted)/Equity_percent</f>
        <v>0.21728410925089567</v>
      </c>
      <c r="Y36" s="74">
        <f>+Y34</f>
        <v>2.5000000000000001E-3</v>
      </c>
      <c r="Z36" s="74">
        <f ca="1">+X36+Y36</f>
        <v>0.21978410925089567</v>
      </c>
      <c r="AA36" s="74">
        <f ca="1">Z36*equityP</f>
        <v>0.12766293689702299</v>
      </c>
      <c r="AB36" s="74">
        <f ca="1">+AA36/(1-taxrate)</f>
        <v>0.16159865430002909</v>
      </c>
      <c r="AC36" s="74">
        <f>debtP*Debt_Rate</f>
        <v>1.3521189462017025E-2</v>
      </c>
      <c r="AD36" s="74">
        <f ca="1">+AC36+AB36</f>
        <v>0.17511984376204612</v>
      </c>
      <c r="AE36" s="74">
        <f ca="1">+AD36/(S36/100)</f>
        <v>9.4747943064058024E-2</v>
      </c>
      <c r="AF36" s="74">
        <f ca="1">1-AE36</f>
        <v>0.90525205693594202</v>
      </c>
      <c r="AG36" s="75">
        <f ca="1">expenses/(AF36)</f>
        <v>6062455.8975977078</v>
      </c>
      <c r="AH36" s="76">
        <f ca="1">+AG36-Revenue</f>
        <v>531709.01017759927</v>
      </c>
      <c r="AI36" s="77">
        <f ca="1">+AH36/$J$49</f>
        <v>602254.55218763184</v>
      </c>
      <c r="AJ36" s="77">
        <f ca="1">+AI36*$J$47</f>
        <v>13610.952879440481</v>
      </c>
      <c r="AK36" s="75">
        <f ca="1">ROUND(+AJ36+AG36,5)</f>
        <v>6076066.8504799996</v>
      </c>
    </row>
    <row r="37" spans="1:48" ht="15.6">
      <c r="A37" s="34"/>
      <c r="B37" s="34"/>
      <c r="C37" s="34"/>
      <c r="D37" s="64"/>
      <c r="E37" s="34"/>
      <c r="F37" s="89">
        <f t="shared" si="7"/>
        <v>31</v>
      </c>
      <c r="G37" s="50"/>
      <c r="H37" s="61" t="s">
        <v>624</v>
      </c>
      <c r="I37" s="145"/>
      <c r="J37" s="146">
        <f ca="1">+S39/100</f>
        <v>1.8482706652919056</v>
      </c>
      <c r="K37" s="146">
        <f ca="1">+J37</f>
        <v>1.8482706652919056</v>
      </c>
      <c r="L37" s="50"/>
      <c r="M37" s="50"/>
      <c r="N37" s="50"/>
      <c r="O37" s="34"/>
      <c r="P37" s="34"/>
      <c r="R37" s="81">
        <v>2</v>
      </c>
      <c r="S37" s="82">
        <f ca="1">AK32/Investment*100</f>
        <v>184.82706652919057</v>
      </c>
      <c r="T37" s="95">
        <f ca="1">EXP(y_inter2-(slope*LN(+S37)))</f>
        <v>8.575037322366553</v>
      </c>
      <c r="U37" s="84">
        <f ca="1">(+S37*T37/100)/100</f>
        <v>0.15848989936713351</v>
      </c>
      <c r="V37" s="84">
        <f>regDebt_weighted</f>
        <v>3.5860000000000003E-2</v>
      </c>
      <c r="W37" s="84">
        <f ca="1">+U37-V37</f>
        <v>0.1226298993671335</v>
      </c>
      <c r="X37" s="84">
        <f ca="1">+((W37*(1-0.34))-Pfd_weighted)/Equity_percent</f>
        <v>0.21728410925089567</v>
      </c>
      <c r="Y37" s="84">
        <f>+Y36</f>
        <v>2.5000000000000001E-3</v>
      </c>
      <c r="Z37" s="84">
        <f ca="1">+X37+Y37</f>
        <v>0.21978410925089567</v>
      </c>
      <c r="AA37" s="84">
        <f ca="1">Z37*equityP</f>
        <v>0.12766293689702299</v>
      </c>
      <c r="AB37" s="84">
        <f ca="1">+AA37/(1-taxrate)</f>
        <v>0.16159865430002909</v>
      </c>
      <c r="AC37" s="84">
        <f>debtP*Debt_Rate</f>
        <v>1.3521189462017025E-2</v>
      </c>
      <c r="AD37" s="84">
        <f ca="1">+AC37+AB37</f>
        <v>0.17511984376204612</v>
      </c>
      <c r="AE37" s="84">
        <f ca="1">+AD37/(S37/100)</f>
        <v>9.4747943064058024E-2</v>
      </c>
      <c r="AF37" s="84">
        <f ca="1">1-AE37</f>
        <v>0.90525205693594202</v>
      </c>
      <c r="AG37" s="85">
        <f ca="1">expenses/(AF37)</f>
        <v>6062455.8975977078</v>
      </c>
      <c r="AH37" s="86">
        <f ca="1">+AG37-Revenue</f>
        <v>531709.01017759927</v>
      </c>
      <c r="AI37" s="87">
        <f ca="1">+AH37/$J$49</f>
        <v>602254.55218763184</v>
      </c>
      <c r="AJ37" s="87">
        <f ca="1">+AI37*$J$47</f>
        <v>13610.952879440481</v>
      </c>
      <c r="AK37" s="85">
        <f t="shared" ref="AK37:AK39" ca="1" si="18">ROUND(+AJ37+AG37,5)</f>
        <v>6076066.8504799996</v>
      </c>
    </row>
    <row r="38" spans="1:48" ht="15.6">
      <c r="A38" s="34"/>
      <c r="B38" s="34"/>
      <c r="C38" s="34"/>
      <c r="D38" s="64"/>
      <c r="E38" s="34"/>
      <c r="F38" s="89">
        <f t="shared" si="7"/>
        <v>32</v>
      </c>
      <c r="G38" s="50"/>
      <c r="H38" s="61" t="s">
        <v>625</v>
      </c>
      <c r="I38" s="50"/>
      <c r="J38" s="141">
        <f>+C10</f>
        <v>0.21</v>
      </c>
      <c r="K38" s="141">
        <f>+J38</f>
        <v>0.21</v>
      </c>
      <c r="L38" s="50"/>
      <c r="M38" s="50"/>
      <c r="N38" s="50"/>
      <c r="O38" s="34"/>
      <c r="P38" s="34"/>
      <c r="Q38" s="147"/>
      <c r="R38" s="90">
        <v>3</v>
      </c>
      <c r="S38" s="82">
        <f ca="1">AK33/Investment*100</f>
        <v>184.82706652919057</v>
      </c>
      <c r="T38" s="83">
        <f ca="1">EXP(y_inter3-(slope*LN(S38)))</f>
        <v>8.575037322366553</v>
      </c>
      <c r="U38" s="84">
        <f ca="1">(+S38*T38/100)/100</f>
        <v>0.15848989936713351</v>
      </c>
      <c r="V38" s="84">
        <f>regDebt_weighted</f>
        <v>3.5860000000000003E-2</v>
      </c>
      <c r="W38" s="84">
        <f ca="1">+U38-V38</f>
        <v>0.1226298993671335</v>
      </c>
      <c r="X38" s="84">
        <f ca="1">+((W38*(1-0.34))-Pfd_weighted)/Equity_percent</f>
        <v>0.21728410925089567</v>
      </c>
      <c r="Y38" s="84">
        <f>+Y37</f>
        <v>2.5000000000000001E-3</v>
      </c>
      <c r="Z38" s="84">
        <f t="shared" ref="Z38:Z39" ca="1" si="19">+X38+Y38</f>
        <v>0.21978410925089567</v>
      </c>
      <c r="AA38" s="84">
        <f ca="1">Z38*equityP</f>
        <v>0.12766293689702299</v>
      </c>
      <c r="AB38" s="84">
        <f ca="1">+AA38/(1-taxrate)</f>
        <v>0.16159865430002909</v>
      </c>
      <c r="AC38" s="84">
        <f>debtP*Debt_Rate</f>
        <v>1.3521189462017025E-2</v>
      </c>
      <c r="AD38" s="84">
        <f ca="1">+AC38+AB38</f>
        <v>0.17511984376204612</v>
      </c>
      <c r="AE38" s="84">
        <f ca="1">+AD38/(S38/100)</f>
        <v>9.4747943064058024E-2</v>
      </c>
      <c r="AF38" s="84">
        <f ca="1">1-AE38</f>
        <v>0.90525205693594202</v>
      </c>
      <c r="AG38" s="85">
        <f ca="1">expenses/(AF38)</f>
        <v>6062455.8975977078</v>
      </c>
      <c r="AH38" s="86">
        <f ca="1">+AG38-Revenue</f>
        <v>531709.01017759927</v>
      </c>
      <c r="AI38" s="87">
        <f ca="1">+AH38/$J$49</f>
        <v>602254.55218763184</v>
      </c>
      <c r="AJ38" s="87">
        <f ca="1">+AI38*$J$47</f>
        <v>13610.952879440481</v>
      </c>
      <c r="AK38" s="85">
        <f t="shared" ca="1" si="18"/>
        <v>6076066.8504799996</v>
      </c>
    </row>
    <row r="39" spans="1:48" ht="15.6">
      <c r="A39" s="34"/>
      <c r="B39" s="34"/>
      <c r="C39" s="34"/>
      <c r="D39" s="136"/>
      <c r="E39" s="34"/>
      <c r="F39" s="89">
        <f t="shared" si="7"/>
        <v>33</v>
      </c>
      <c r="G39" s="50"/>
      <c r="H39" s="50"/>
      <c r="I39" s="50"/>
      <c r="J39" s="50"/>
      <c r="K39" s="50"/>
      <c r="L39" s="50"/>
      <c r="M39" s="50"/>
      <c r="N39" s="50"/>
      <c r="O39" s="34"/>
      <c r="P39" s="34"/>
      <c r="R39" s="93">
        <v>4</v>
      </c>
      <c r="S39" s="82">
        <f ca="1">AK34/Investment*100</f>
        <v>184.82706652919057</v>
      </c>
      <c r="T39" s="98">
        <f ca="1">EXP(y_inter4-(slope*LN(S39)))</f>
        <v>8.575037322366553</v>
      </c>
      <c r="U39" s="84">
        <f ca="1">(+S39*T39/100)/100</f>
        <v>0.15848989936713351</v>
      </c>
      <c r="V39" s="84">
        <f>regDebt_weighted</f>
        <v>3.5860000000000003E-2</v>
      </c>
      <c r="W39" s="84">
        <f ca="1">+U39-V39</f>
        <v>0.1226298993671335</v>
      </c>
      <c r="X39" s="84">
        <f ca="1">+((W39*(1-0.34))-Pfd_weighted)/Equity_percent</f>
        <v>0.21728410925089567</v>
      </c>
      <c r="Y39" s="84">
        <f>+Y38</f>
        <v>2.5000000000000001E-3</v>
      </c>
      <c r="Z39" s="84">
        <f t="shared" ca="1" si="19"/>
        <v>0.21978410925089567</v>
      </c>
      <c r="AA39" s="84">
        <f ca="1">Z39*equityP</f>
        <v>0.12766293689702299</v>
      </c>
      <c r="AB39" s="84">
        <f ca="1">+AA39/(1-taxrate)</f>
        <v>0.16159865430002909</v>
      </c>
      <c r="AC39" s="84">
        <f>debtP*Debt_Rate</f>
        <v>1.3521189462017025E-2</v>
      </c>
      <c r="AD39" s="84">
        <f ca="1">+AC39+AB39</f>
        <v>0.17511984376204612</v>
      </c>
      <c r="AE39" s="84">
        <f ca="1">+AD39/(S39/100)</f>
        <v>9.4747943064058024E-2</v>
      </c>
      <c r="AF39" s="84">
        <f ca="1">1-AE39</f>
        <v>0.90525205693594202</v>
      </c>
      <c r="AG39" s="85">
        <f ca="1">expenses/(AF39)</f>
        <v>6062455.8975977078</v>
      </c>
      <c r="AH39" s="86">
        <f ca="1">+AG39-Revenue</f>
        <v>531709.01017759927</v>
      </c>
      <c r="AI39" s="87">
        <f ca="1">+AH39/$J$49</f>
        <v>602254.55218763184</v>
      </c>
      <c r="AJ39" s="87">
        <f ca="1">+AI39*$J$47</f>
        <v>13610.952879440481</v>
      </c>
      <c r="AK39" s="85">
        <f t="shared" ca="1" si="18"/>
        <v>6076066.8504799996</v>
      </c>
    </row>
    <row r="40" spans="1:48" ht="15.6">
      <c r="A40" s="34"/>
      <c r="B40" s="34"/>
      <c r="C40" s="34"/>
      <c r="D40" s="34"/>
      <c r="E40" s="34"/>
      <c r="F40" s="89">
        <f t="shared" si="7"/>
        <v>34</v>
      </c>
      <c r="G40" s="145"/>
      <c r="H40" s="50"/>
      <c r="I40" s="50"/>
      <c r="J40" s="50"/>
      <c r="K40" s="50"/>
      <c r="L40" s="50"/>
      <c r="M40" s="50"/>
      <c r="N40" s="50"/>
      <c r="O40" s="34"/>
      <c r="P40" s="34"/>
      <c r="X40" s="129"/>
      <c r="Y40" s="129"/>
      <c r="Z40" s="129"/>
      <c r="AA40" s="144"/>
      <c r="AB40" s="83"/>
      <c r="AC40" s="129"/>
      <c r="AE40" s="129"/>
      <c r="AF40" s="129"/>
      <c r="AG40" s="83"/>
      <c r="AH40" s="128"/>
      <c r="AJ40" s="83"/>
    </row>
    <row r="41" spans="1:48" ht="15.6">
      <c r="A41" s="34"/>
      <c r="B41" s="34"/>
      <c r="C41" s="34"/>
      <c r="D41" s="34"/>
      <c r="E41" s="34"/>
      <c r="F41" s="89">
        <f t="shared" si="7"/>
        <v>35</v>
      </c>
      <c r="G41" s="50"/>
      <c r="H41" s="138" t="s">
        <v>626</v>
      </c>
      <c r="I41" s="148"/>
      <c r="J41" s="50"/>
      <c r="K41" s="50"/>
      <c r="L41" s="50"/>
      <c r="M41" s="50"/>
      <c r="N41" s="50"/>
      <c r="O41" s="34"/>
      <c r="P41" s="34"/>
      <c r="R41" s="149" t="s">
        <v>627</v>
      </c>
      <c r="S41" s="150"/>
      <c r="T41" s="106"/>
      <c r="U41" s="106"/>
      <c r="V41" s="107"/>
      <c r="X41" s="151"/>
      <c r="Y41" s="151"/>
      <c r="Z41" s="151"/>
      <c r="AA41" s="144"/>
      <c r="AB41" s="83"/>
      <c r="AC41" s="129"/>
      <c r="AE41" s="129"/>
      <c r="AF41" s="129"/>
      <c r="AG41" s="83"/>
      <c r="AH41" s="128"/>
      <c r="AJ41" s="83"/>
    </row>
    <row r="42" spans="1:48" ht="15.6">
      <c r="A42" s="34"/>
      <c r="B42" s="34"/>
      <c r="C42" s="34"/>
      <c r="D42" s="34"/>
      <c r="E42" s="34"/>
      <c r="F42" s="89">
        <f t="shared" si="7"/>
        <v>36</v>
      </c>
      <c r="G42" s="50"/>
      <c r="H42" s="50"/>
      <c r="I42" s="50"/>
      <c r="J42" s="152" t="s">
        <v>628</v>
      </c>
      <c r="K42" s="153" t="s">
        <v>567</v>
      </c>
      <c r="L42" s="50"/>
      <c r="M42" s="50"/>
      <c r="N42" s="50"/>
      <c r="O42" s="34"/>
      <c r="P42" s="34"/>
      <c r="R42" s="154" t="s">
        <v>629</v>
      </c>
      <c r="S42" s="155"/>
      <c r="V42" s="156"/>
      <c r="X42" s="129"/>
      <c r="Y42" s="129"/>
      <c r="Z42" s="129"/>
      <c r="AA42" s="144"/>
      <c r="AB42" s="83"/>
      <c r="AC42" s="129"/>
      <c r="AE42" s="129"/>
      <c r="AF42" s="129"/>
      <c r="AG42" s="83"/>
      <c r="AJ42" s="83"/>
    </row>
    <row r="43" spans="1:48" ht="15.6">
      <c r="A43" s="34"/>
      <c r="B43" s="34"/>
      <c r="C43" s="34"/>
      <c r="D43" s="34"/>
      <c r="E43" s="34"/>
      <c r="F43" s="89">
        <f t="shared" si="7"/>
        <v>37</v>
      </c>
      <c r="G43" s="50"/>
      <c r="H43" s="61" t="s">
        <v>630</v>
      </c>
      <c r="I43" s="157"/>
      <c r="J43" s="158">
        <f>IF(A64=TRUE,C11,0)</f>
        <v>1.7500000000000002E-2</v>
      </c>
      <c r="K43" s="159">
        <f ca="1">+J43*($J$7/$J$49)</f>
        <v>10539.462221333033</v>
      </c>
      <c r="L43" s="50"/>
      <c r="M43" s="50"/>
      <c r="N43" s="50"/>
      <c r="O43" s="34"/>
      <c r="P43" s="34"/>
      <c r="R43" s="90">
        <v>0</v>
      </c>
      <c r="S43" s="160">
        <v>1</v>
      </c>
      <c r="U43" s="161" t="s">
        <v>623</v>
      </c>
      <c r="V43" s="162">
        <f ca="1">VLOOKUP(R48,R36:AG39,14)</f>
        <v>9.4747943064058024E-2</v>
      </c>
      <c r="AC43" s="129"/>
      <c r="AE43" s="129"/>
      <c r="AJ43" s="83"/>
      <c r="AN43" s="129"/>
      <c r="AO43" s="129"/>
      <c r="AP43" s="129"/>
      <c r="AQ43" s="129"/>
      <c r="AR43" s="129"/>
      <c r="AS43" s="129"/>
      <c r="AT43" s="129"/>
      <c r="AU43" s="129"/>
      <c r="AV43" s="129"/>
    </row>
    <row r="44" spans="1:48" ht="15.6">
      <c r="A44" s="34"/>
      <c r="B44" s="34"/>
      <c r="C44" s="34"/>
      <c r="D44" s="34"/>
      <c r="E44" s="34"/>
      <c r="F44" s="89">
        <f t="shared" si="7"/>
        <v>38</v>
      </c>
      <c r="G44" s="50"/>
      <c r="H44" s="61" t="s">
        <v>631</v>
      </c>
      <c r="I44" s="157"/>
      <c r="J44" s="158">
        <f>IF(A64=TRUE,C12,0)</f>
        <v>5.1000000000000004E-3</v>
      </c>
      <c r="K44" s="159">
        <f ca="1">+J44*($J$7/$J$49)</f>
        <v>3071.5004187884838</v>
      </c>
      <c r="L44" s="50"/>
      <c r="M44" s="50"/>
      <c r="N44" s="50"/>
      <c r="O44" s="34"/>
      <c r="P44" s="34"/>
      <c r="R44" s="90">
        <v>50</v>
      </c>
      <c r="S44" s="160">
        <v>2</v>
      </c>
      <c r="U44" s="161" t="s">
        <v>566</v>
      </c>
      <c r="V44" s="162">
        <f ca="1">ROUND(1-V43,6)</f>
        <v>0.90525199999999995</v>
      </c>
      <c r="AA44" s="163"/>
      <c r="AB44" s="53"/>
      <c r="AC44" s="53"/>
      <c r="AE44" s="129"/>
      <c r="AH44" s="128"/>
      <c r="AJ44" s="83"/>
      <c r="AN44" s="129"/>
      <c r="AO44" s="129"/>
      <c r="AP44" s="129"/>
      <c r="AQ44" s="129"/>
      <c r="AR44" s="129"/>
      <c r="AS44" s="129"/>
      <c r="AT44" s="129"/>
      <c r="AU44" s="129"/>
      <c r="AV44" s="129"/>
    </row>
    <row r="45" spans="1:48" ht="15.6">
      <c r="A45" s="34"/>
      <c r="B45" s="34"/>
      <c r="C45" s="34"/>
      <c r="D45" s="34"/>
      <c r="E45" s="34"/>
      <c r="F45" s="89">
        <f t="shared" si="7"/>
        <v>39</v>
      </c>
      <c r="G45" s="50"/>
      <c r="H45" s="61" t="s">
        <v>632</v>
      </c>
      <c r="I45" s="157"/>
      <c r="J45" s="158">
        <f>IF(A64=TRUE,C13,0)</f>
        <v>0</v>
      </c>
      <c r="K45" s="159">
        <f ca="1">+J45*($J$7/$J$49)</f>
        <v>0</v>
      </c>
      <c r="L45" s="50"/>
      <c r="M45" s="50"/>
      <c r="N45" s="50"/>
      <c r="O45" s="34"/>
      <c r="P45" s="34"/>
      <c r="R45" s="90">
        <v>125</v>
      </c>
      <c r="S45" s="160">
        <v>3</v>
      </c>
      <c r="U45" s="44" t="s">
        <v>633</v>
      </c>
      <c r="V45" s="164">
        <f ca="1">+M7/Revenue-1</f>
        <v>9.8597958868272162E-2</v>
      </c>
      <c r="W45" s="87"/>
      <c r="X45" s="129"/>
      <c r="Y45" s="129"/>
      <c r="Z45" s="129"/>
      <c r="AA45" s="163"/>
      <c r="AB45" s="83"/>
      <c r="AC45" s="129"/>
      <c r="AE45" s="129"/>
      <c r="AF45" s="129"/>
      <c r="AG45" s="83"/>
      <c r="AH45" s="128"/>
      <c r="AJ45" s="83"/>
      <c r="AN45" s="129"/>
      <c r="AO45" s="129"/>
      <c r="AP45" s="129"/>
      <c r="AQ45" s="129"/>
      <c r="AR45" s="129"/>
      <c r="AS45" s="129"/>
      <c r="AT45" s="129"/>
      <c r="AU45" s="129"/>
      <c r="AV45" s="129"/>
    </row>
    <row r="46" spans="1:48" ht="15.6">
      <c r="A46" s="34"/>
      <c r="B46" s="34"/>
      <c r="C46" s="34"/>
      <c r="D46" s="34"/>
      <c r="E46" s="34"/>
      <c r="F46" s="89">
        <f t="shared" si="7"/>
        <v>40</v>
      </c>
      <c r="G46" s="50"/>
      <c r="H46" s="61" t="s">
        <v>634</v>
      </c>
      <c r="I46" s="157"/>
      <c r="J46" s="158">
        <f>IF(A64=TRUE,C14,0)</f>
        <v>0</v>
      </c>
      <c r="K46" s="159">
        <f ca="1">+J46*($J$7/$J$49)</f>
        <v>0</v>
      </c>
      <c r="L46" s="50"/>
      <c r="M46" s="50"/>
      <c r="N46" s="50"/>
      <c r="O46" s="34"/>
      <c r="P46" s="34"/>
      <c r="R46" s="93">
        <v>401</v>
      </c>
      <c r="S46" s="165">
        <v>4</v>
      </c>
      <c r="T46" s="115"/>
      <c r="U46" s="115"/>
      <c r="V46" s="118"/>
      <c r="X46" s="129"/>
      <c r="Y46" s="129"/>
      <c r="Z46" s="129"/>
      <c r="AA46" s="144"/>
      <c r="AB46" s="83"/>
      <c r="AC46" s="129"/>
      <c r="AE46" s="129"/>
      <c r="AF46" s="129"/>
      <c r="AG46" s="83"/>
      <c r="AH46" s="128"/>
      <c r="AJ46" s="83"/>
      <c r="AN46" s="129"/>
      <c r="AO46" s="129"/>
      <c r="AP46" s="129"/>
      <c r="AQ46" s="129"/>
      <c r="AR46" s="129"/>
      <c r="AS46" s="129"/>
      <c r="AT46" s="129"/>
      <c r="AU46" s="129"/>
      <c r="AV46" s="129"/>
    </row>
    <row r="47" spans="1:48" ht="16.2" thickBot="1">
      <c r="A47" s="34"/>
      <c r="B47" s="34"/>
      <c r="C47" s="34"/>
      <c r="D47" s="34"/>
      <c r="E47" s="34"/>
      <c r="F47" s="89">
        <f t="shared" si="7"/>
        <v>41</v>
      </c>
      <c r="G47" s="50"/>
      <c r="H47" s="61" t="s">
        <v>635</v>
      </c>
      <c r="I47" s="145"/>
      <c r="J47" s="166">
        <f>SUM(J43:J46)</f>
        <v>2.2600000000000002E-2</v>
      </c>
      <c r="K47" s="133">
        <f ca="1">+K43+K44+K45+K46</f>
        <v>13610.962640121517</v>
      </c>
      <c r="L47" s="50"/>
      <c r="M47" s="50"/>
      <c r="N47" s="50"/>
      <c r="O47" s="34"/>
      <c r="P47" s="34"/>
      <c r="R47" s="72">
        <f ca="1">VLOOKUP(R48,R36:S39,2)</f>
        <v>184.82706652919057</v>
      </c>
      <c r="S47" s="167" t="s">
        <v>636</v>
      </c>
      <c r="T47" s="107"/>
      <c r="X47" s="44" t="s">
        <v>637</v>
      </c>
      <c r="AE47" s="129"/>
      <c r="AH47" s="128"/>
      <c r="AJ47" s="83"/>
    </row>
    <row r="48" spans="1:48" ht="16.2" thickTop="1">
      <c r="A48" s="34"/>
      <c r="B48" s="34"/>
      <c r="C48" s="34"/>
      <c r="D48" s="34"/>
      <c r="E48" s="34"/>
      <c r="F48" s="89">
        <f t="shared" si="7"/>
        <v>42</v>
      </c>
      <c r="G48" s="50"/>
      <c r="H48" s="50"/>
      <c r="I48" s="50"/>
      <c r="J48" s="168"/>
      <c r="K48" s="50"/>
      <c r="L48" s="50"/>
      <c r="M48" s="50"/>
      <c r="N48" s="50"/>
      <c r="O48" s="34"/>
      <c r="P48" s="34"/>
      <c r="R48" s="90">
        <f ca="1">VLOOKUP(S36,R43:S46,2)</f>
        <v>3</v>
      </c>
      <c r="S48" s="169" t="s">
        <v>638</v>
      </c>
      <c r="T48" s="156"/>
      <c r="X48" s="44" t="s">
        <v>639</v>
      </c>
      <c r="AC48" s="53"/>
      <c r="AE48" s="129"/>
      <c r="AJ48" s="83"/>
    </row>
    <row r="49" spans="1:48" ht="15.6">
      <c r="A49" s="34"/>
      <c r="B49" s="34"/>
      <c r="C49" s="34"/>
      <c r="D49" s="34"/>
      <c r="E49" s="34"/>
      <c r="F49" s="89">
        <f t="shared" si="7"/>
        <v>43</v>
      </c>
      <c r="G49" s="56"/>
      <c r="H49" s="61" t="s">
        <v>640</v>
      </c>
      <c r="I49" s="50"/>
      <c r="J49" s="141">
        <f ca="1">((K35)-J47)</f>
        <v>0.88286424443985911</v>
      </c>
      <c r="K49" s="50"/>
      <c r="L49" s="50"/>
      <c r="M49" s="50"/>
      <c r="N49" s="50"/>
      <c r="O49" s="34"/>
      <c r="P49" s="34"/>
      <c r="R49" s="90"/>
      <c r="S49" s="169"/>
      <c r="T49" s="156"/>
      <c r="X49" s="44" t="s">
        <v>641</v>
      </c>
      <c r="AC49" s="129"/>
      <c r="AE49" s="129"/>
      <c r="AF49" s="129"/>
      <c r="AG49" s="83"/>
      <c r="AJ49" s="83"/>
    </row>
    <row r="50" spans="1:48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170"/>
      <c r="L50" s="34"/>
      <c r="M50" s="34"/>
      <c r="N50" s="171"/>
      <c r="O50" s="34"/>
      <c r="P50" s="34"/>
      <c r="R50" s="172">
        <f ca="1">+V44</f>
        <v>0.90525199999999995</v>
      </c>
      <c r="S50" s="173" t="s">
        <v>566</v>
      </c>
      <c r="T50" s="174"/>
      <c r="X50" s="44" t="s">
        <v>642</v>
      </c>
      <c r="AC50" s="129"/>
      <c r="AE50" s="129"/>
      <c r="AF50" s="129"/>
      <c r="AG50" s="83"/>
      <c r="AH50" s="129"/>
      <c r="AJ50" s="83"/>
      <c r="AN50" s="129"/>
      <c r="AO50" s="129"/>
      <c r="AP50" s="129"/>
      <c r="AQ50" s="129"/>
      <c r="AR50" s="129"/>
      <c r="AS50" s="129"/>
      <c r="AT50" s="129"/>
      <c r="AU50" s="129"/>
      <c r="AV50" s="129"/>
    </row>
    <row r="51" spans="1:48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R51" s="44"/>
      <c r="AB51" s="83"/>
      <c r="AC51" s="129"/>
      <c r="AE51" s="129"/>
      <c r="AF51" s="129"/>
      <c r="AG51" s="83"/>
      <c r="AH51" s="128"/>
      <c r="AJ51" s="83"/>
      <c r="AN51" s="129"/>
      <c r="AO51" s="129"/>
      <c r="AP51" s="129"/>
      <c r="AQ51" s="129"/>
      <c r="AR51" s="129"/>
      <c r="AS51" s="129"/>
      <c r="AT51" s="129"/>
      <c r="AU51" s="129"/>
      <c r="AV51" s="129"/>
    </row>
    <row r="52" spans="1:48">
      <c r="A52" s="34"/>
      <c r="B52" s="34"/>
      <c r="C52" s="34"/>
      <c r="D52" s="34"/>
      <c r="E52" s="34"/>
      <c r="F52" s="34"/>
      <c r="G52" s="34"/>
      <c r="H52" s="34"/>
      <c r="I52" s="34"/>
      <c r="J52" s="175"/>
      <c r="K52" s="175"/>
      <c r="L52" s="175"/>
      <c r="M52" s="175"/>
      <c r="N52" s="34"/>
      <c r="O52" s="34"/>
      <c r="P52" s="34"/>
      <c r="R52" s="44"/>
      <c r="AB52" s="83"/>
      <c r="AC52" s="129"/>
      <c r="AE52" s="129"/>
      <c r="AF52" s="129"/>
      <c r="AG52" s="83"/>
      <c r="AH52" s="128"/>
      <c r="AJ52" s="83"/>
      <c r="AN52" s="129"/>
      <c r="AO52" s="129"/>
      <c r="AP52" s="129"/>
      <c r="AQ52" s="129"/>
      <c r="AR52" s="129"/>
      <c r="AS52" s="129"/>
      <c r="AT52" s="129"/>
      <c r="AU52" s="129"/>
      <c r="AV52" s="129"/>
    </row>
    <row r="53" spans="1:48" ht="15.6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175"/>
      <c r="L53" s="175"/>
      <c r="M53" s="175"/>
      <c r="N53" s="34"/>
      <c r="O53" s="34"/>
      <c r="P53" s="34"/>
      <c r="R53" s="44"/>
      <c r="S53" s="44" t="s">
        <v>643</v>
      </c>
      <c r="T53" s="129"/>
      <c r="U53" s="176"/>
      <c r="W53" s="177" t="s">
        <v>644</v>
      </c>
      <c r="X53" s="178"/>
      <c r="Y53" s="178"/>
      <c r="Z53" s="178"/>
      <c r="AA53" s="178"/>
      <c r="AB53" s="178"/>
      <c r="AE53" s="129"/>
      <c r="AH53" s="128"/>
      <c r="AJ53" s="83"/>
      <c r="AN53" s="129"/>
      <c r="AO53" s="129"/>
      <c r="AP53" s="129"/>
      <c r="AQ53" s="129"/>
      <c r="AR53" s="129"/>
      <c r="AS53" s="129"/>
      <c r="AT53" s="129"/>
      <c r="AU53" s="129"/>
      <c r="AV53" s="129"/>
    </row>
    <row r="54" spans="1:48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179"/>
      <c r="M54" s="179"/>
      <c r="N54" s="34"/>
      <c r="O54" s="34"/>
      <c r="P54" s="34"/>
      <c r="R54" s="180"/>
      <c r="S54" s="181" t="s">
        <v>607</v>
      </c>
      <c r="T54" s="181" t="s">
        <v>645</v>
      </c>
      <c r="U54" s="182" t="s">
        <v>610</v>
      </c>
      <c r="W54" s="183" t="s">
        <v>646</v>
      </c>
      <c r="X54" s="184">
        <v>3.7226020000000002</v>
      </c>
      <c r="Y54" s="185" t="s">
        <v>647</v>
      </c>
      <c r="Z54" s="186">
        <v>3.7226020000000002</v>
      </c>
      <c r="AC54" s="53"/>
      <c r="AE54" s="129"/>
      <c r="AJ54" s="83"/>
    </row>
    <row r="55" spans="1:48">
      <c r="A55" s="34"/>
      <c r="B55" s="34"/>
      <c r="C55" s="34"/>
      <c r="D55" s="34"/>
      <c r="E55" s="34"/>
      <c r="F55" s="34"/>
      <c r="G55" s="34"/>
      <c r="H55" s="34"/>
      <c r="I55" s="34"/>
      <c r="J55" s="179"/>
      <c r="K55" s="34"/>
      <c r="L55" s="179"/>
      <c r="M55" s="179"/>
      <c r="N55" s="34"/>
      <c r="O55" s="34"/>
      <c r="P55" s="34"/>
      <c r="R55" s="45" t="s">
        <v>564</v>
      </c>
      <c r="S55" s="163">
        <v>0.56200000000000006</v>
      </c>
      <c r="T55" s="163">
        <v>6.3799999999999996E-2</v>
      </c>
      <c r="U55" s="187">
        <f>ROUND(+S55*T55,5)</f>
        <v>3.5860000000000003E-2</v>
      </c>
      <c r="W55" s="188" t="s">
        <v>648</v>
      </c>
      <c r="X55" s="189">
        <v>3.7226020000000002</v>
      </c>
      <c r="Y55" s="190" t="s">
        <v>649</v>
      </c>
      <c r="Z55" s="191">
        <v>3.7226020000000002</v>
      </c>
      <c r="AC55" s="129"/>
      <c r="AE55" s="129"/>
      <c r="AF55" s="129"/>
      <c r="AG55" s="83"/>
      <c r="AJ55" s="83"/>
    </row>
    <row r="56" spans="1:48" ht="15.6">
      <c r="A56" s="34"/>
      <c r="B56" s="34"/>
      <c r="C56" s="34"/>
      <c r="D56" s="34"/>
      <c r="E56" s="175"/>
      <c r="F56" s="34"/>
      <c r="G56" s="34"/>
      <c r="H56" s="34"/>
      <c r="I56" s="34"/>
      <c r="J56" s="179"/>
      <c r="K56" s="34"/>
      <c r="L56" s="179"/>
      <c r="M56" s="179"/>
      <c r="N56" s="34"/>
      <c r="O56" s="34"/>
      <c r="P56" s="34"/>
      <c r="R56" s="45" t="s">
        <v>650</v>
      </c>
      <c r="S56" s="163">
        <v>9.4E-2</v>
      </c>
      <c r="T56" s="163">
        <v>6.59E-2</v>
      </c>
      <c r="U56" s="187">
        <f>ROUND(+S56*T56,5)</f>
        <v>6.1900000000000002E-3</v>
      </c>
      <c r="W56" s="45"/>
      <c r="Y56" s="192"/>
      <c r="Z56" s="193"/>
      <c r="AC56" s="129"/>
      <c r="AE56" s="129"/>
      <c r="AF56" s="129"/>
      <c r="AG56" s="83"/>
      <c r="AH56" s="128"/>
      <c r="AJ56" s="83"/>
      <c r="AN56" s="129"/>
    </row>
    <row r="57" spans="1:48">
      <c r="A57" s="34"/>
      <c r="B57" s="34"/>
      <c r="C57" s="34"/>
      <c r="D57" s="34"/>
      <c r="E57" s="175"/>
      <c r="F57" s="175"/>
      <c r="G57" s="175"/>
      <c r="H57" s="194"/>
      <c r="I57" s="175"/>
      <c r="J57" s="179"/>
      <c r="K57" s="34"/>
      <c r="L57" s="34"/>
      <c r="M57" s="34"/>
      <c r="N57" s="34"/>
      <c r="O57" s="34"/>
      <c r="P57" s="34"/>
      <c r="R57" s="45" t="s">
        <v>562</v>
      </c>
      <c r="S57" s="195">
        <v>0.34399999999999997</v>
      </c>
      <c r="T57" s="196"/>
      <c r="U57" s="197"/>
      <c r="W57" s="114"/>
      <c r="X57" s="198" t="s">
        <v>651</v>
      </c>
      <c r="Y57" s="199">
        <v>0.30151749999999999</v>
      </c>
      <c r="Z57" s="200"/>
      <c r="AC57" s="129"/>
      <c r="AE57" s="129"/>
      <c r="AF57" s="129"/>
      <c r="AG57" s="83"/>
      <c r="AH57" s="128"/>
      <c r="AJ57" s="83"/>
    </row>
    <row r="58" spans="1:48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R58" s="114"/>
      <c r="S58" s="195">
        <f>SUM(S55:S57)</f>
        <v>1</v>
      </c>
      <c r="T58" s="201"/>
      <c r="U58" s="202"/>
      <c r="X58" s="129"/>
      <c r="Y58" s="129"/>
      <c r="Z58" s="129"/>
      <c r="AA58" s="144"/>
      <c r="AB58" s="83"/>
      <c r="AC58" s="129"/>
      <c r="AE58" s="129"/>
      <c r="AF58" s="129"/>
      <c r="AG58" s="83"/>
      <c r="AH58" s="128"/>
      <c r="AJ58" s="83"/>
    </row>
    <row r="59" spans="1:48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X59" s="203"/>
      <c r="Y59" s="203"/>
      <c r="Z59" s="203"/>
      <c r="AE59" s="129"/>
      <c r="AH59" s="128"/>
      <c r="AJ59" s="83"/>
      <c r="AN59" s="128"/>
      <c r="AO59" s="128"/>
      <c r="AP59" s="128"/>
      <c r="AQ59" s="128"/>
      <c r="AR59" s="128"/>
      <c r="AS59" s="128"/>
      <c r="AT59" s="128"/>
      <c r="AU59" s="128"/>
      <c r="AV59" s="128"/>
    </row>
    <row r="60" spans="1:48">
      <c r="A60" s="34"/>
      <c r="B60" s="34"/>
      <c r="C60" s="34"/>
      <c r="D60" s="34"/>
      <c r="E60" s="175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R60" s="44"/>
      <c r="S60" s="204"/>
      <c r="W60" s="180"/>
      <c r="X60" s="205" t="s">
        <v>618</v>
      </c>
      <c r="Y60" s="205" t="s">
        <v>652</v>
      </c>
      <c r="Z60" s="206" t="s">
        <v>543</v>
      </c>
      <c r="AE60" s="129"/>
      <c r="AJ60" s="83"/>
      <c r="AN60" s="128"/>
      <c r="AO60" s="128"/>
      <c r="AP60" s="128"/>
      <c r="AQ60" s="128"/>
      <c r="AR60" s="128"/>
      <c r="AS60" s="128"/>
      <c r="AT60" s="128"/>
      <c r="AU60" s="128"/>
      <c r="AV60" s="128"/>
    </row>
    <row r="61" spans="1:48">
      <c r="A61" s="34"/>
      <c r="B61" s="34"/>
      <c r="C61" s="34"/>
      <c r="D61" s="34"/>
      <c r="E61" s="34"/>
      <c r="F61" s="175"/>
      <c r="G61" s="175"/>
      <c r="H61" s="175"/>
      <c r="I61" s="175"/>
      <c r="J61" s="175"/>
      <c r="K61" s="175"/>
      <c r="L61" s="175"/>
      <c r="M61" s="175"/>
      <c r="N61" s="175"/>
      <c r="O61" s="34"/>
      <c r="P61" s="34"/>
      <c r="R61" s="44"/>
      <c r="W61" s="45"/>
      <c r="X61" s="207"/>
      <c r="Y61" s="207"/>
      <c r="Z61" s="208"/>
      <c r="AE61" s="129"/>
      <c r="AF61" s="129"/>
      <c r="AG61" s="83"/>
      <c r="AJ61" s="83"/>
      <c r="AN61" s="128"/>
      <c r="AO61" s="128"/>
      <c r="AP61" s="128"/>
      <c r="AQ61" s="128"/>
      <c r="AR61" s="128"/>
      <c r="AS61" s="128"/>
      <c r="AT61" s="128"/>
      <c r="AU61" s="128"/>
      <c r="AV61" s="128"/>
    </row>
    <row r="62" spans="1:48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R62" s="44"/>
      <c r="S62" s="204"/>
      <c r="W62" s="45"/>
      <c r="X62" s="161" t="s">
        <v>620</v>
      </c>
      <c r="Y62" s="162">
        <f t="shared" ref="Y62:Z67" ca="1" si="20">+J33</f>
        <v>0.17472767506851919</v>
      </c>
      <c r="Z62" s="162">
        <f t="shared" ca="1" si="20"/>
        <v>0.14087431309115375</v>
      </c>
      <c r="AE62" s="129"/>
      <c r="AF62" s="129"/>
      <c r="AG62" s="83"/>
      <c r="AH62" s="128"/>
      <c r="AJ62" s="83"/>
      <c r="AN62" s="128"/>
      <c r="AO62" s="128"/>
      <c r="AP62" s="128"/>
      <c r="AQ62" s="128"/>
      <c r="AR62" s="128"/>
      <c r="AS62" s="128"/>
      <c r="AT62" s="128"/>
      <c r="AU62" s="128"/>
      <c r="AV62" s="128"/>
    </row>
    <row r="63" spans="1:48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R63" s="44"/>
      <c r="W63" s="45"/>
      <c r="X63" s="161" t="s">
        <v>621</v>
      </c>
      <c r="Y63" s="162">
        <f t="shared" ca="1" si="20"/>
        <v>0.27753257684391114</v>
      </c>
      <c r="Z63" s="162">
        <f t="shared" ca="1" si="20"/>
        <v>0.21925073570668982</v>
      </c>
      <c r="AE63" s="129"/>
      <c r="AF63" s="129"/>
      <c r="AG63" s="83"/>
      <c r="AH63" s="128"/>
      <c r="AJ63" s="83"/>
    </row>
    <row r="64" spans="1:48">
      <c r="A64" s="44" t="b">
        <v>1</v>
      </c>
      <c r="B64" s="34"/>
      <c r="C64" s="34"/>
      <c r="F64" s="34"/>
      <c r="G64" s="34"/>
      <c r="H64" s="34"/>
      <c r="I64" s="34"/>
      <c r="J64" s="34"/>
      <c r="K64" s="34"/>
      <c r="L64" s="34"/>
      <c r="M64" s="34"/>
      <c r="N64" s="34"/>
      <c r="R64" s="44"/>
      <c r="S64" s="204"/>
      <c r="W64" s="45"/>
      <c r="X64" s="161" t="s">
        <v>566</v>
      </c>
      <c r="Y64" s="162">
        <f t="shared" ca="1" si="20"/>
        <v>0.90525200000000006</v>
      </c>
      <c r="Z64" s="162">
        <f t="shared" ca="1" si="20"/>
        <v>0.90546424443985907</v>
      </c>
      <c r="AE64" s="129"/>
      <c r="AF64" s="129"/>
      <c r="AG64" s="83"/>
      <c r="AH64" s="128"/>
      <c r="AJ64" s="83"/>
    </row>
    <row r="65" spans="8:40">
      <c r="H65" s="128"/>
      <c r="I65" s="128"/>
      <c r="J65" s="128"/>
      <c r="K65" s="128"/>
      <c r="L65" s="128"/>
      <c r="M65" s="128"/>
      <c r="N65" s="128"/>
      <c r="O65" s="128"/>
      <c r="R65" s="44"/>
      <c r="W65" s="45"/>
      <c r="X65" s="161" t="s">
        <v>623</v>
      </c>
      <c r="Y65" s="162">
        <f t="shared" ca="1" si="20"/>
        <v>9.4747999999999999E-2</v>
      </c>
      <c r="Z65" s="162">
        <f t="shared" ca="1" si="20"/>
        <v>9.4747999999999999E-2</v>
      </c>
      <c r="AE65" s="129"/>
      <c r="AH65" s="128"/>
      <c r="AJ65" s="83"/>
      <c r="AN65" s="128"/>
    </row>
    <row r="66" spans="8:40">
      <c r="H66" s="128"/>
      <c r="I66" s="128"/>
      <c r="J66" s="128"/>
      <c r="K66" s="128"/>
      <c r="L66" s="128"/>
      <c r="M66" s="128"/>
      <c r="N66" s="128"/>
      <c r="O66" s="128"/>
      <c r="R66" s="44"/>
      <c r="S66" s="204"/>
      <c r="W66" s="45"/>
      <c r="X66" s="161" t="s">
        <v>624</v>
      </c>
      <c r="Y66" s="162">
        <f t="shared" ca="1" si="20"/>
        <v>1.8482706652919056</v>
      </c>
      <c r="Z66" s="162">
        <f t="shared" ca="1" si="20"/>
        <v>1.8482706652919056</v>
      </c>
      <c r="AE66" s="129"/>
      <c r="AJ66" s="83"/>
    </row>
    <row r="67" spans="8:40">
      <c r="O67" s="128"/>
      <c r="W67" s="114"/>
      <c r="X67" s="210" t="s">
        <v>625</v>
      </c>
      <c r="Y67" s="211">
        <f t="shared" si="20"/>
        <v>0.21</v>
      </c>
      <c r="Z67" s="211">
        <f t="shared" si="20"/>
        <v>0.21</v>
      </c>
      <c r="AE67" s="129"/>
      <c r="AF67" s="129"/>
      <c r="AG67" s="83"/>
      <c r="AJ67" s="83"/>
    </row>
    <row r="68" spans="8:40">
      <c r="O68" s="128"/>
      <c r="W68" s="161"/>
      <c r="AE68" s="129"/>
      <c r="AF68" s="129"/>
      <c r="AG68" s="83"/>
      <c r="AH68" s="128"/>
      <c r="AJ68" s="83"/>
    </row>
    <row r="69" spans="8:40">
      <c r="O69" s="128"/>
      <c r="X69" s="129"/>
      <c r="Y69" s="129"/>
      <c r="Z69" s="129"/>
      <c r="AA69" s="144"/>
      <c r="AB69" s="83"/>
      <c r="AC69" s="129"/>
      <c r="AE69" s="129"/>
      <c r="AF69" s="129"/>
      <c r="AG69" s="83"/>
      <c r="AH69" s="128"/>
      <c r="AJ69" s="83"/>
    </row>
    <row r="70" spans="8:40">
      <c r="X70" s="129"/>
      <c r="Y70" s="129"/>
      <c r="Z70" s="129"/>
      <c r="AA70" s="144"/>
      <c r="AB70" s="83"/>
      <c r="AC70" s="129"/>
      <c r="AE70" s="129"/>
      <c r="AF70" s="129"/>
      <c r="AG70" s="83"/>
      <c r="AH70" s="128"/>
      <c r="AJ70" s="83"/>
    </row>
    <row r="71" spans="8:40">
      <c r="AE71" s="129"/>
      <c r="AH71" s="128"/>
      <c r="AJ71" s="83"/>
    </row>
    <row r="72" spans="8:40">
      <c r="AA72" s="53"/>
      <c r="AB72" s="53"/>
      <c r="AC72" s="53"/>
      <c r="AE72" s="129"/>
      <c r="AJ72" s="83"/>
    </row>
    <row r="73" spans="8:40">
      <c r="X73" s="129"/>
      <c r="Y73" s="129"/>
      <c r="Z73" s="129"/>
      <c r="AA73" s="144"/>
      <c r="AB73" s="83"/>
      <c r="AC73" s="129"/>
      <c r="AE73" s="129"/>
      <c r="AF73" s="129"/>
      <c r="AG73" s="83"/>
      <c r="AJ73" s="83"/>
    </row>
    <row r="74" spans="8:40">
      <c r="X74" s="129"/>
      <c r="Y74" s="129"/>
      <c r="Z74" s="129"/>
      <c r="AA74" s="144"/>
      <c r="AB74" s="83"/>
      <c r="AC74" s="129"/>
      <c r="AE74" s="129"/>
      <c r="AF74" s="129"/>
      <c r="AG74" s="83"/>
      <c r="AH74" s="128"/>
      <c r="AJ74" s="83"/>
    </row>
    <row r="75" spans="8:40">
      <c r="X75" s="129"/>
      <c r="Y75" s="129"/>
      <c r="Z75" s="129"/>
      <c r="AA75" s="144"/>
      <c r="AB75" s="83"/>
      <c r="AC75" s="129"/>
      <c r="AE75" s="129"/>
      <c r="AF75" s="129"/>
      <c r="AG75" s="83"/>
      <c r="AH75" s="128"/>
      <c r="AJ75" s="83"/>
    </row>
    <row r="76" spans="8:40">
      <c r="X76" s="129"/>
      <c r="Y76" s="129"/>
      <c r="Z76" s="129"/>
      <c r="AA76" s="144"/>
      <c r="AB76" s="83"/>
      <c r="AC76" s="129"/>
      <c r="AE76" s="129"/>
      <c r="AF76" s="129"/>
      <c r="AG76" s="83"/>
      <c r="AH76" s="128"/>
      <c r="AJ76" s="83"/>
    </row>
    <row r="77" spans="8:40">
      <c r="AE77" s="129"/>
      <c r="AH77" s="128"/>
      <c r="AJ77" s="83"/>
    </row>
    <row r="79" spans="8:40">
      <c r="X79" s="129"/>
      <c r="Y79" s="129"/>
      <c r="Z79" s="129"/>
      <c r="AA79" s="144"/>
      <c r="AB79" s="83"/>
      <c r="AC79" s="129"/>
      <c r="AF79" s="129"/>
      <c r="AG79" s="83"/>
    </row>
    <row r="80" spans="8:40">
      <c r="X80" s="129"/>
      <c r="Y80" s="129"/>
      <c r="Z80" s="129"/>
      <c r="AA80" s="144"/>
      <c r="AB80" s="83"/>
      <c r="AC80" s="129"/>
      <c r="AF80" s="129"/>
      <c r="AG80" s="83"/>
      <c r="AH80" s="128"/>
    </row>
    <row r="81" spans="24:34">
      <c r="X81" s="129"/>
      <c r="Y81" s="129"/>
      <c r="Z81" s="129"/>
      <c r="AA81" s="144"/>
      <c r="AB81" s="83"/>
      <c r="AC81" s="129"/>
      <c r="AF81" s="129"/>
      <c r="AG81" s="83"/>
      <c r="AH81" s="128"/>
    </row>
    <row r="82" spans="24:34">
      <c r="X82" s="129"/>
      <c r="Y82" s="129"/>
      <c r="Z82" s="129"/>
      <c r="AA82" s="144"/>
      <c r="AB82" s="83"/>
      <c r="AC82" s="129"/>
      <c r="AF82" s="129"/>
      <c r="AG82" s="83"/>
      <c r="AH82" s="128"/>
    </row>
    <row r="83" spans="24:34">
      <c r="AH83" s="128"/>
    </row>
    <row r="85" spans="24:34">
      <c r="X85" s="129"/>
      <c r="Y85" s="129"/>
      <c r="Z85" s="129"/>
      <c r="AA85" s="144"/>
      <c r="AB85" s="83"/>
      <c r="AC85" s="129"/>
      <c r="AF85" s="129"/>
      <c r="AG85" s="83"/>
    </row>
    <row r="86" spans="24:34">
      <c r="X86" s="129"/>
      <c r="Y86" s="129"/>
      <c r="Z86" s="129"/>
      <c r="AA86" s="144"/>
      <c r="AB86" s="83"/>
      <c r="AC86" s="129"/>
      <c r="AF86" s="129"/>
      <c r="AG86" s="83"/>
      <c r="AH86" s="128"/>
    </row>
    <row r="87" spans="24:34">
      <c r="X87" s="129"/>
      <c r="Y87" s="129"/>
      <c r="Z87" s="129"/>
      <c r="AA87" s="144"/>
      <c r="AB87" s="83"/>
      <c r="AC87" s="129"/>
      <c r="AF87" s="129"/>
      <c r="AG87" s="83"/>
      <c r="AH87" s="128"/>
    </row>
    <row r="88" spans="24:34">
      <c r="X88" s="129"/>
      <c r="Y88" s="129"/>
      <c r="Z88" s="129"/>
      <c r="AA88" s="144"/>
      <c r="AB88" s="83"/>
      <c r="AC88" s="129"/>
      <c r="AF88" s="129"/>
      <c r="AG88" s="83"/>
      <c r="AH88" s="128"/>
    </row>
    <row r="89" spans="24:34">
      <c r="AH89" s="128"/>
    </row>
    <row r="91" spans="24:34">
      <c r="X91" s="129"/>
      <c r="Y91" s="129"/>
      <c r="Z91" s="129"/>
      <c r="AA91" s="144"/>
      <c r="AB91" s="83"/>
      <c r="AC91" s="129"/>
      <c r="AF91" s="129"/>
      <c r="AG91" s="83"/>
    </row>
    <row r="92" spans="24:34">
      <c r="X92" s="129"/>
      <c r="Y92" s="129"/>
      <c r="Z92" s="129"/>
      <c r="AA92" s="144"/>
      <c r="AB92" s="83"/>
      <c r="AC92" s="129"/>
      <c r="AF92" s="129"/>
      <c r="AG92" s="83"/>
      <c r="AH92" s="128"/>
    </row>
    <row r="93" spans="24:34">
      <c r="X93" s="129"/>
      <c r="Y93" s="129"/>
      <c r="Z93" s="129"/>
      <c r="AA93" s="144"/>
      <c r="AB93" s="83"/>
      <c r="AC93" s="129"/>
      <c r="AF93" s="129"/>
      <c r="AG93" s="83"/>
      <c r="AH93" s="128"/>
    </row>
    <row r="94" spans="24:34">
      <c r="X94" s="129"/>
      <c r="Y94" s="129"/>
      <c r="Z94" s="129"/>
      <c r="AA94" s="144"/>
      <c r="AB94" s="83"/>
      <c r="AC94" s="129"/>
      <c r="AF94" s="129"/>
      <c r="AG94" s="83"/>
      <c r="AH94" s="128"/>
    </row>
    <row r="95" spans="24:34">
      <c r="AH95" s="128"/>
    </row>
    <row r="97" spans="24:34">
      <c r="X97" s="129"/>
      <c r="Y97" s="129"/>
      <c r="Z97" s="129"/>
      <c r="AA97" s="144"/>
      <c r="AB97" s="83"/>
      <c r="AC97" s="129"/>
      <c r="AF97" s="129"/>
      <c r="AG97" s="83"/>
    </row>
    <row r="98" spans="24:34">
      <c r="X98" s="129"/>
      <c r="Y98" s="129"/>
      <c r="Z98" s="129"/>
      <c r="AA98" s="144"/>
      <c r="AB98" s="83"/>
      <c r="AC98" s="129"/>
      <c r="AF98" s="129"/>
      <c r="AG98" s="83"/>
      <c r="AH98" s="128"/>
    </row>
    <row r="99" spans="24:34">
      <c r="X99" s="129"/>
      <c r="Y99" s="129"/>
      <c r="Z99" s="129"/>
      <c r="AA99" s="144"/>
      <c r="AB99" s="83"/>
      <c r="AC99" s="129"/>
      <c r="AF99" s="129"/>
      <c r="AG99" s="83"/>
      <c r="AH99" s="128"/>
    </row>
    <row r="100" spans="24:34">
      <c r="X100" s="129"/>
      <c r="Y100" s="129"/>
      <c r="Z100" s="129"/>
      <c r="AA100" s="144"/>
      <c r="AB100" s="83"/>
      <c r="AC100" s="129"/>
      <c r="AF100" s="129"/>
      <c r="AG100" s="83"/>
      <c r="AH100" s="128"/>
    </row>
    <row r="101" spans="24:34">
      <c r="AH101" s="128"/>
    </row>
    <row r="103" spans="24:34">
      <c r="X103" s="129"/>
      <c r="Y103" s="129"/>
      <c r="Z103" s="129"/>
      <c r="AA103" s="144"/>
      <c r="AB103" s="83"/>
      <c r="AC103" s="129"/>
      <c r="AF103" s="129"/>
      <c r="AG103" s="83"/>
    </row>
    <row r="104" spans="24:34">
      <c r="X104" s="129"/>
      <c r="Y104" s="129"/>
      <c r="Z104" s="129"/>
      <c r="AA104" s="144"/>
      <c r="AB104" s="83"/>
      <c r="AC104" s="129"/>
      <c r="AF104" s="129"/>
      <c r="AG104" s="83"/>
      <c r="AH104" s="128"/>
    </row>
    <row r="105" spans="24:34">
      <c r="X105" s="129"/>
      <c r="Y105" s="129"/>
      <c r="Z105" s="129"/>
      <c r="AA105" s="144"/>
      <c r="AB105" s="83"/>
      <c r="AC105" s="129"/>
      <c r="AF105" s="129"/>
      <c r="AG105" s="83"/>
      <c r="AH105" s="128"/>
    </row>
    <row r="106" spans="24:34">
      <c r="X106" s="129"/>
      <c r="Y106" s="129"/>
      <c r="Z106" s="129"/>
      <c r="AA106" s="144"/>
      <c r="AB106" s="83"/>
      <c r="AC106" s="129"/>
      <c r="AF106" s="129"/>
      <c r="AG106" s="83"/>
      <c r="AH106" s="128"/>
    </row>
    <row r="107" spans="24:34">
      <c r="AH107" s="128"/>
    </row>
    <row r="109" spans="24:34">
      <c r="X109" s="129"/>
      <c r="Y109" s="129"/>
      <c r="Z109" s="129"/>
      <c r="AA109" s="144"/>
      <c r="AB109" s="83"/>
      <c r="AC109" s="129"/>
      <c r="AF109" s="129"/>
      <c r="AG109" s="83"/>
    </row>
    <row r="110" spans="24:34">
      <c r="X110" s="129"/>
      <c r="Y110" s="129"/>
      <c r="Z110" s="129"/>
      <c r="AA110" s="144"/>
      <c r="AB110" s="83"/>
      <c r="AC110" s="129"/>
      <c r="AF110" s="129"/>
      <c r="AG110" s="83"/>
    </row>
    <row r="111" spans="24:34">
      <c r="X111" s="129"/>
      <c r="Y111" s="129"/>
      <c r="Z111" s="129"/>
      <c r="AA111" s="144"/>
      <c r="AB111" s="83"/>
      <c r="AC111" s="129"/>
      <c r="AF111" s="129"/>
      <c r="AG111" s="83"/>
    </row>
    <row r="112" spans="24:34">
      <c r="X112" s="129"/>
      <c r="Y112" s="129"/>
      <c r="Z112" s="129"/>
      <c r="AA112" s="144"/>
      <c r="AB112" s="83"/>
      <c r="AC112" s="129"/>
      <c r="AF112" s="129"/>
      <c r="AG112" s="83"/>
    </row>
  </sheetData>
  <mergeCells count="5">
    <mergeCell ref="B2:C2"/>
    <mergeCell ref="AH2:AK2"/>
    <mergeCell ref="B18:C18"/>
    <mergeCell ref="B19:C19"/>
    <mergeCell ref="L31:N31"/>
  </mergeCells>
  <pageMargins left="0.25" right="0.25" top="0.27" bottom="0.4" header="0.18" footer="0.25"/>
  <pageSetup scale="55" orientation="portrait" errors="blank" r:id="rId1"/>
  <headerFooter alignWithMargins="0">
    <oddHeader>&amp;C&amp;"-,Bold"&amp;KFF0000TEXT IN RED BOX CONFIDENTIAL PER WAC 480-07-160&amp;R&amp;F
&amp;P of &amp;N</oddHeader>
    <oddFooter>&amp;L&amp;F - &amp;A&amp;CPrinted &amp;D - &amp;T&amp;RPage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658279BF80DEED458859F412C3AF31C0" ma:contentTypeVersion="19" ma:contentTypeDescription="" ma:contentTypeScope="" ma:versionID="7eb2f5649b4609e2366b4b6ac86ebb78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TG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227</IndustryCode>
    <CaseStatus xmlns="dc463f71-b30c-4ab2-9473-d307f9d35888">Pending</CaseStatus>
    <OpenedDate xmlns="dc463f71-b30c-4ab2-9473-d307f9d35888">2025-08-21T07:00:00+00:00</OpenedDate>
    <SignificantOrder xmlns="dc463f71-b30c-4ab2-9473-d307f9d35888">false</SignificantOrder>
    <Date1 xmlns="dc463f71-b30c-4ab2-9473-d307f9d35888">2025-08-21T07:00:00+00:00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Waste Control, Inc</CaseCompanyNames>
    <Nickname xmlns="http://schemas.microsoft.com/sharepoint/v3" xsi:nil="true"/>
    <DocketNumber xmlns="dc463f71-b30c-4ab2-9473-d307f9d35888">250642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AFA2DFA4-C0D4-4412-AA44-409DF0E88423}"/>
</file>

<file path=customXml/itemProps2.xml><?xml version="1.0" encoding="utf-8"?>
<ds:datastoreItem xmlns:ds="http://schemas.openxmlformats.org/officeDocument/2006/customXml" ds:itemID="{351FC6C9-D000-45D1-8981-44923B1A0B36}"/>
</file>

<file path=customXml/itemProps3.xml><?xml version="1.0" encoding="utf-8"?>
<ds:datastoreItem xmlns:ds="http://schemas.openxmlformats.org/officeDocument/2006/customXml" ds:itemID="{432383A7-575E-478D-A74C-7C5FF3542722}"/>
</file>

<file path=customXml/itemProps4.xml><?xml version="1.0" encoding="utf-8"?>
<ds:datastoreItem xmlns:ds="http://schemas.openxmlformats.org/officeDocument/2006/customXml" ds:itemID="{FD803CBC-7075-4694-8839-FD7C48C166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17</vt:i4>
      </vt:variant>
    </vt:vector>
  </HeadingPairs>
  <TitlesOfParts>
    <vt:vector size="20" baseType="lpstr">
      <vt:lpstr>Rate Sheet</vt:lpstr>
      <vt:lpstr>Staff Price Out</vt:lpstr>
      <vt:lpstr>LG Public</vt:lpstr>
      <vt:lpstr>'LG Public'!Debt_Rate</vt:lpstr>
      <vt:lpstr>'LG Public'!debtP</vt:lpstr>
      <vt:lpstr>'LG Public'!Equity_percent</vt:lpstr>
      <vt:lpstr>'LG Public'!equityP</vt:lpstr>
      <vt:lpstr>'LG Public'!expenses</vt:lpstr>
      <vt:lpstr>'LG Public'!Investment</vt:lpstr>
      <vt:lpstr>'LG Public'!Pfd_weighted</vt:lpstr>
      <vt:lpstr>'LG Public'!Print_Area</vt:lpstr>
      <vt:lpstr>'Rate Sheet'!Print_Area</vt:lpstr>
      <vt:lpstr>'LG Public'!regDebt_weighted</vt:lpstr>
      <vt:lpstr>'LG Public'!Revenue</vt:lpstr>
      <vt:lpstr>'LG Public'!slope</vt:lpstr>
      <vt:lpstr>'LG Public'!taxrate</vt:lpstr>
      <vt:lpstr>'LG Public'!y_inter1</vt:lpstr>
      <vt:lpstr>'LG Public'!y_inter2</vt:lpstr>
      <vt:lpstr>'LG Public'!y_inter3</vt:lpstr>
      <vt:lpstr>'LG Public'!y_inter4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Vandenburg</dc:creator>
  <cp:lastModifiedBy>Brian Vandenburg</cp:lastModifiedBy>
  <cp:lastPrinted>2025-08-21T00:15:23Z</cp:lastPrinted>
  <dcterms:created xsi:type="dcterms:W3CDTF">2025-08-15T19:36:47Z</dcterms:created>
  <dcterms:modified xsi:type="dcterms:W3CDTF">2025-08-21T00:16:37Z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0x0101006E56B4D1795A2E4DB2F0B01679ED314A00658279BF80DEED458859F412C3AF31C0</vt:lpwstr>
  </property>
  <property fmtid="{D5CDD505-2E9C-101B-9397-08002B2CF9AE}" pid="3" name="_docset_NoMedatataSyncRequired">
    <vt:lpwstr>False</vt:lpwstr>
  </property>
</Properties>
</file>