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J:\Regulatory Filings\2025 Regulatory Filings\EIA Annual Filings\Annual EIA Filing\"/>
    </mc:Choice>
  </mc:AlternateContent>
  <xr:revisionPtr revIDLastSave="0" documentId="13_ncr:1_{4D172E89-5D6D-43DE-BE47-ED9CF0C72448}" xr6:coauthVersionLast="47" xr6:coauthVersionMax="47" xr10:uidLastSave="{00000000-0000-0000-0000-000000000000}"/>
  <bookViews>
    <workbookView xWindow="-120" yWindow="-120" windowWidth="25335" windowHeight="14340" tabRatio="653" activeTab="1" xr2:uid="{00000000-000D-0000-FFFF-FFFF00000000}"/>
  </bookViews>
  <sheets>
    <sheet name="Summary" sheetId="6" r:id="rId1"/>
    <sheet name="Facility Detail" sheetId="1" r:id="rId2"/>
    <sheet name="Generation Rollup" sheetId="9" r:id="rId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Facility">'Facility Detail'!$B$599:$B$604</definedName>
    <definedName name="LaborBonus" localSheetId="2">'Facility Detail'!$B$588:$B$590</definedName>
    <definedName name="LaborBonus">'Facility Detail'!$B$588:$B$590</definedName>
    <definedName name="OwnedCont">#REF!</definedName>
    <definedName name="_xlnm.Print_Area" localSheetId="1">'Facility Detail'!$A$1:$I$752</definedName>
    <definedName name="_xlnm.Print_Area" localSheetId="2">'Generation Rollup'!$A$1:$H$40</definedName>
    <definedName name="_xlnm.Print_Area" localSheetId="0">Summary!$A$1:$O$39</definedName>
    <definedName name="REN_Expenditure_Amount_2014">#REF!</definedName>
    <definedName name="REN_Load_2012">#REF!</definedName>
    <definedName name="REN_Load_2013">#REF!</definedName>
    <definedName name="REN_RetailRevenueRequirement_2014">#REF!</definedName>
    <definedName name="Resourc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6" l="1"/>
  <c r="E12" i="6"/>
  <c r="G7" i="9" l="1"/>
  <c r="G6" i="9"/>
  <c r="G5" i="9"/>
  <c r="F7" i="9"/>
  <c r="F6" i="9"/>
  <c r="F5" i="9"/>
  <c r="E7" i="9"/>
  <c r="E6" i="9"/>
  <c r="E5" i="9"/>
  <c r="D7" i="9"/>
  <c r="D6" i="9"/>
  <c r="D5" i="9"/>
  <c r="C7" i="9"/>
  <c r="C6" i="9"/>
  <c r="C5" i="9"/>
  <c r="B6" i="9"/>
  <c r="B5" i="9"/>
  <c r="G8" i="9"/>
  <c r="F8" i="9"/>
  <c r="E8" i="9"/>
  <c r="D8" i="9"/>
  <c r="C8" i="9"/>
  <c r="B8" i="9"/>
  <c r="G17" i="6"/>
  <c r="G22" i="9"/>
  <c r="H12" i="6"/>
  <c r="G12" i="6"/>
  <c r="H21" i="9"/>
  <c r="H22" i="9"/>
  <c r="H23" i="9"/>
  <c r="H24" i="9"/>
  <c r="H25" i="9"/>
  <c r="H26" i="9"/>
  <c r="H27" i="9"/>
  <c r="H28" i="9"/>
  <c r="H29" i="9"/>
  <c r="H30" i="9"/>
  <c r="H31" i="9"/>
  <c r="H32" i="9"/>
  <c r="H33" i="9"/>
  <c r="H34" i="9"/>
  <c r="H36" i="9"/>
  <c r="H37" i="9"/>
  <c r="H38" i="9"/>
  <c r="H39" i="9"/>
  <c r="H40" i="9"/>
  <c r="F9" i="6" l="1"/>
  <c r="G9" i="6"/>
  <c r="H9" i="6"/>
  <c r="D17" i="6" l="1"/>
  <c r="E17" i="6"/>
  <c r="F17" i="6"/>
  <c r="H17" i="6"/>
  <c r="C17" i="6"/>
  <c r="B57" i="1"/>
  <c r="D57" i="1"/>
  <c r="D64" i="1" s="1"/>
  <c r="B58" i="1"/>
  <c r="F58" i="1"/>
  <c r="B59" i="1"/>
  <c r="E59" i="1"/>
  <c r="B60" i="1"/>
  <c r="G60" i="1"/>
  <c r="B61" i="1"/>
  <c r="F61" i="1"/>
  <c r="B62" i="1"/>
  <c r="C73" i="1"/>
  <c r="B76" i="1" s="1"/>
  <c r="E75" i="1"/>
  <c r="F75" i="1" s="1"/>
  <c r="G75" i="1" s="1"/>
  <c r="H75" i="1" s="1"/>
  <c r="I75" i="1" s="1"/>
  <c r="D79" i="1"/>
  <c r="E79" i="1"/>
  <c r="F79" i="1"/>
  <c r="G79" i="1"/>
  <c r="H79" i="1"/>
  <c r="I79" i="1"/>
  <c r="D81" i="1"/>
  <c r="E81" i="1" s="1"/>
  <c r="F81" i="1" s="1"/>
  <c r="G81" i="1" s="1"/>
  <c r="H81" i="1" s="1"/>
  <c r="I81" i="1" s="1"/>
  <c r="D82" i="1"/>
  <c r="E82" i="1"/>
  <c r="F82" i="1"/>
  <c r="F84" i="1" s="1"/>
  <c r="G82" i="1"/>
  <c r="H82" i="1"/>
  <c r="I82" i="1"/>
  <c r="D83" i="1"/>
  <c r="E83" i="1"/>
  <c r="F83" i="1"/>
  <c r="G83" i="1"/>
  <c r="H83" i="1"/>
  <c r="I83" i="1"/>
  <c r="D86" i="1"/>
  <c r="E86" i="1" s="1"/>
  <c r="F86" i="1" s="1"/>
  <c r="G86" i="1" s="1"/>
  <c r="H86" i="1" s="1"/>
  <c r="I86" i="1" s="1"/>
  <c r="D90" i="1"/>
  <c r="E90" i="1"/>
  <c r="F90" i="1"/>
  <c r="G90" i="1"/>
  <c r="H90" i="1"/>
  <c r="I90" i="1"/>
  <c r="D92" i="1"/>
  <c r="E92" i="1" s="1"/>
  <c r="F92" i="1" s="1"/>
  <c r="G92" i="1" s="1"/>
  <c r="H92" i="1" s="1"/>
  <c r="I92" i="1" s="1"/>
  <c r="B93" i="1"/>
  <c r="E93" i="1"/>
  <c r="B94" i="1"/>
  <c r="D94" i="1"/>
  <c r="D100" i="1" s="1"/>
  <c r="B95" i="1"/>
  <c r="F95" i="1"/>
  <c r="F100" i="1" s="1"/>
  <c r="G728" i="1" s="1"/>
  <c r="B96" i="1"/>
  <c r="E96" i="1"/>
  <c r="B97" i="1"/>
  <c r="G97" i="1"/>
  <c r="G100" i="1" s="1"/>
  <c r="B98" i="1"/>
  <c r="F98" i="1"/>
  <c r="B99" i="1"/>
  <c r="C109" i="1"/>
  <c r="B112" i="1" s="1"/>
  <c r="E111" i="1"/>
  <c r="F111" i="1" s="1"/>
  <c r="G111" i="1" s="1"/>
  <c r="H111" i="1" s="1"/>
  <c r="I111" i="1" s="1"/>
  <c r="D115" i="1"/>
  <c r="E115" i="1"/>
  <c r="F115" i="1"/>
  <c r="G115" i="1"/>
  <c r="H115" i="1"/>
  <c r="I115" i="1"/>
  <c r="D117" i="1"/>
  <c r="E117" i="1" s="1"/>
  <c r="F117" i="1" s="1"/>
  <c r="G117" i="1" s="1"/>
  <c r="H117" i="1" s="1"/>
  <c r="I117" i="1" s="1"/>
  <c r="D118" i="1"/>
  <c r="E118" i="1"/>
  <c r="F118" i="1"/>
  <c r="G118" i="1"/>
  <c r="H118" i="1"/>
  <c r="I118" i="1"/>
  <c r="D119" i="1"/>
  <c r="D120" i="1" s="1"/>
  <c r="E119" i="1"/>
  <c r="F119" i="1"/>
  <c r="G119" i="1"/>
  <c r="H119" i="1"/>
  <c r="I119" i="1"/>
  <c r="D122" i="1"/>
  <c r="E122" i="1" s="1"/>
  <c r="F122" i="1" s="1"/>
  <c r="G122" i="1" s="1"/>
  <c r="H122" i="1" s="1"/>
  <c r="I122" i="1" s="1"/>
  <c r="D126" i="1"/>
  <c r="E126" i="1"/>
  <c r="F126" i="1"/>
  <c r="G126" i="1"/>
  <c r="H126" i="1"/>
  <c r="I126" i="1"/>
  <c r="D128" i="1"/>
  <c r="E128" i="1" s="1"/>
  <c r="F128" i="1" s="1"/>
  <c r="G128" i="1" s="1"/>
  <c r="H128" i="1" s="1"/>
  <c r="I128" i="1" s="1"/>
  <c r="B129" i="1"/>
  <c r="E129" i="1"/>
  <c r="B130" i="1"/>
  <c r="D130" i="1"/>
  <c r="D136" i="1" s="1"/>
  <c r="B131" i="1"/>
  <c r="F131" i="1"/>
  <c r="B132" i="1"/>
  <c r="E132" i="1"/>
  <c r="B133" i="1"/>
  <c r="G133" i="1"/>
  <c r="B134" i="1"/>
  <c r="F134" i="1"/>
  <c r="B135" i="1"/>
  <c r="C145" i="1"/>
  <c r="B148" i="1" s="1"/>
  <c r="E147" i="1"/>
  <c r="F147" i="1" s="1"/>
  <c r="G147" i="1" s="1"/>
  <c r="H147" i="1" s="1"/>
  <c r="I147" i="1" s="1"/>
  <c r="D151" i="1"/>
  <c r="E151" i="1"/>
  <c r="F151" i="1"/>
  <c r="G151" i="1"/>
  <c r="H151" i="1"/>
  <c r="I151" i="1"/>
  <c r="D153" i="1"/>
  <c r="E153" i="1" s="1"/>
  <c r="F153" i="1" s="1"/>
  <c r="G153" i="1" s="1"/>
  <c r="H153" i="1" s="1"/>
  <c r="I153" i="1" s="1"/>
  <c r="D154" i="1"/>
  <c r="E154" i="1"/>
  <c r="F548" i="1" s="1"/>
  <c r="F154" i="1"/>
  <c r="G154" i="1"/>
  <c r="H154" i="1"/>
  <c r="I154" i="1"/>
  <c r="D155" i="1"/>
  <c r="E155" i="1"/>
  <c r="F155" i="1"/>
  <c r="G155" i="1"/>
  <c r="H155" i="1"/>
  <c r="I155" i="1"/>
  <c r="D158" i="1"/>
  <c r="E158" i="1" s="1"/>
  <c r="F158" i="1" s="1"/>
  <c r="G158" i="1" s="1"/>
  <c r="H158" i="1" s="1"/>
  <c r="I158" i="1" s="1"/>
  <c r="D162" i="1"/>
  <c r="E162" i="1"/>
  <c r="F162" i="1"/>
  <c r="G162" i="1"/>
  <c r="H162" i="1"/>
  <c r="I162" i="1"/>
  <c r="D164" i="1"/>
  <c r="E164" i="1" s="1"/>
  <c r="F164" i="1" s="1"/>
  <c r="G164" i="1" s="1"/>
  <c r="H164" i="1" s="1"/>
  <c r="I164" i="1" s="1"/>
  <c r="B165" i="1"/>
  <c r="E165" i="1"/>
  <c r="B166" i="1"/>
  <c r="D166" i="1"/>
  <c r="D172" i="1" s="1"/>
  <c r="B167" i="1"/>
  <c r="F167" i="1"/>
  <c r="B168" i="1"/>
  <c r="E168" i="1"/>
  <c r="B169" i="1"/>
  <c r="G169" i="1"/>
  <c r="H169" i="1" s="1"/>
  <c r="I169" i="1" s="1"/>
  <c r="I172" i="1" s="1"/>
  <c r="B170" i="1"/>
  <c r="F170" i="1"/>
  <c r="B171" i="1"/>
  <c r="C181" i="1"/>
  <c r="B184" i="1" s="1"/>
  <c r="E183" i="1"/>
  <c r="F183" i="1" s="1"/>
  <c r="G183" i="1" s="1"/>
  <c r="H183" i="1" s="1"/>
  <c r="I183" i="1" s="1"/>
  <c r="D187" i="1"/>
  <c r="E187" i="1"/>
  <c r="F187" i="1"/>
  <c r="G187" i="1"/>
  <c r="H187" i="1"/>
  <c r="I187" i="1"/>
  <c r="D189" i="1"/>
  <c r="E189" i="1" s="1"/>
  <c r="F189" i="1" s="1"/>
  <c r="G189" i="1" s="1"/>
  <c r="H189" i="1" s="1"/>
  <c r="I189" i="1" s="1"/>
  <c r="D190" i="1"/>
  <c r="E190" i="1"/>
  <c r="F190" i="1"/>
  <c r="G190" i="1"/>
  <c r="H190" i="1"/>
  <c r="I190" i="1"/>
  <c r="D191" i="1"/>
  <c r="E191" i="1"/>
  <c r="F191" i="1"/>
  <c r="G191" i="1"/>
  <c r="H191" i="1"/>
  <c r="I191" i="1"/>
  <c r="D194" i="1"/>
  <c r="E194" i="1" s="1"/>
  <c r="G584" i="1" s="1"/>
  <c r="D198" i="1"/>
  <c r="E198" i="1"/>
  <c r="F198" i="1"/>
  <c r="G198" i="1"/>
  <c r="H198" i="1"/>
  <c r="I198" i="1"/>
  <c r="D200" i="1"/>
  <c r="E200" i="1" s="1"/>
  <c r="F200" i="1" s="1"/>
  <c r="G200" i="1" s="1"/>
  <c r="H200" i="1" s="1"/>
  <c r="I200" i="1" s="1"/>
  <c r="B201" i="1"/>
  <c r="E201" i="1"/>
  <c r="B202" i="1"/>
  <c r="D202" i="1"/>
  <c r="D208" i="1" s="1"/>
  <c r="B203" i="1"/>
  <c r="F203" i="1"/>
  <c r="B204" i="1"/>
  <c r="E204" i="1"/>
  <c r="B205" i="1"/>
  <c r="G205" i="1"/>
  <c r="B206" i="1"/>
  <c r="F206" i="1"/>
  <c r="B207" i="1"/>
  <c r="C217" i="1"/>
  <c r="B220" i="1" s="1"/>
  <c r="E219" i="1"/>
  <c r="F219" i="1" s="1"/>
  <c r="G219" i="1" s="1"/>
  <c r="H219" i="1" s="1"/>
  <c r="I219" i="1" s="1"/>
  <c r="D223" i="1"/>
  <c r="E223" i="1"/>
  <c r="F223" i="1"/>
  <c r="G223" i="1"/>
  <c r="H223" i="1"/>
  <c r="I223" i="1"/>
  <c r="D225" i="1"/>
  <c r="E225" i="1" s="1"/>
  <c r="F225" i="1" s="1"/>
  <c r="G225" i="1" s="1"/>
  <c r="H225" i="1" s="1"/>
  <c r="I225" i="1" s="1"/>
  <c r="D226" i="1"/>
  <c r="E226" i="1"/>
  <c r="F226" i="1"/>
  <c r="G226" i="1"/>
  <c r="H226" i="1"/>
  <c r="I226" i="1"/>
  <c r="D227" i="1"/>
  <c r="E227" i="1"/>
  <c r="F227" i="1"/>
  <c r="G227" i="1"/>
  <c r="H227" i="1"/>
  <c r="I227" i="1"/>
  <c r="D230" i="1"/>
  <c r="E230" i="1" s="1"/>
  <c r="F230" i="1" s="1"/>
  <c r="G230" i="1" s="1"/>
  <c r="H230" i="1" s="1"/>
  <c r="I230" i="1" s="1"/>
  <c r="D234" i="1"/>
  <c r="E234" i="1"/>
  <c r="H620" i="1" s="1"/>
  <c r="F234" i="1"/>
  <c r="G234" i="1"/>
  <c r="H234" i="1"/>
  <c r="I234" i="1"/>
  <c r="D236" i="1"/>
  <c r="E236" i="1" s="1"/>
  <c r="F236" i="1" s="1"/>
  <c r="G236" i="1" s="1"/>
  <c r="H236" i="1" s="1"/>
  <c r="I236" i="1" s="1"/>
  <c r="B237" i="1"/>
  <c r="E237" i="1"/>
  <c r="B238" i="1"/>
  <c r="D238" i="1"/>
  <c r="D244" i="1" s="1"/>
  <c r="B239" i="1"/>
  <c r="F239" i="1"/>
  <c r="B240" i="1"/>
  <c r="E240" i="1"/>
  <c r="B241" i="1"/>
  <c r="G241" i="1"/>
  <c r="B242" i="1"/>
  <c r="F242" i="1"/>
  <c r="B243" i="1"/>
  <c r="C253" i="1"/>
  <c r="B256" i="1" s="1"/>
  <c r="E255" i="1"/>
  <c r="F255" i="1" s="1"/>
  <c r="G255" i="1" s="1"/>
  <c r="H255" i="1" s="1"/>
  <c r="I255" i="1" s="1"/>
  <c r="D259" i="1"/>
  <c r="E259" i="1"/>
  <c r="F259" i="1"/>
  <c r="G259" i="1"/>
  <c r="H259" i="1"/>
  <c r="I259" i="1"/>
  <c r="D261" i="1"/>
  <c r="E261" i="1" s="1"/>
  <c r="F261" i="1" s="1"/>
  <c r="G261" i="1" s="1"/>
  <c r="H261" i="1" s="1"/>
  <c r="I261" i="1" s="1"/>
  <c r="D262" i="1"/>
  <c r="E262" i="1"/>
  <c r="F262" i="1"/>
  <c r="G262" i="1"/>
  <c r="H262" i="1"/>
  <c r="I262" i="1"/>
  <c r="D263" i="1"/>
  <c r="E263" i="1"/>
  <c r="F263" i="1"/>
  <c r="G263" i="1"/>
  <c r="H263" i="1"/>
  <c r="I263" i="1"/>
  <c r="D266" i="1"/>
  <c r="E266" i="1" s="1"/>
  <c r="F266" i="1" s="1"/>
  <c r="G266" i="1" s="1"/>
  <c r="H266" i="1" s="1"/>
  <c r="I266" i="1" s="1"/>
  <c r="D270" i="1"/>
  <c r="E270" i="1"/>
  <c r="F270" i="1"/>
  <c r="G270" i="1"/>
  <c r="H270" i="1"/>
  <c r="I270" i="1"/>
  <c r="D272" i="1"/>
  <c r="E272" i="1" s="1"/>
  <c r="F272" i="1" s="1"/>
  <c r="G272" i="1" s="1"/>
  <c r="H272" i="1" s="1"/>
  <c r="I272" i="1" s="1"/>
  <c r="B273" i="1"/>
  <c r="E273" i="1"/>
  <c r="B274" i="1"/>
  <c r="D274" i="1"/>
  <c r="D280" i="1" s="1"/>
  <c r="B275" i="1"/>
  <c r="F275" i="1"/>
  <c r="B276" i="1"/>
  <c r="E276" i="1"/>
  <c r="B277" i="1"/>
  <c r="G277" i="1"/>
  <c r="B278" i="1"/>
  <c r="F278" i="1"/>
  <c r="B279" i="1"/>
  <c r="C289" i="1"/>
  <c r="B292" i="1" s="1"/>
  <c r="E291" i="1"/>
  <c r="F291" i="1" s="1"/>
  <c r="G291" i="1" s="1"/>
  <c r="H291" i="1" s="1"/>
  <c r="I291" i="1" s="1"/>
  <c r="D295" i="1"/>
  <c r="E295" i="1"/>
  <c r="F295" i="1"/>
  <c r="G295" i="1"/>
  <c r="H295" i="1"/>
  <c r="I295" i="1"/>
  <c r="D297" i="1"/>
  <c r="E297" i="1" s="1"/>
  <c r="F297" i="1" s="1"/>
  <c r="G297" i="1" s="1"/>
  <c r="H297" i="1" s="1"/>
  <c r="I297" i="1" s="1"/>
  <c r="D298" i="1"/>
  <c r="E298" i="1"/>
  <c r="F298" i="1"/>
  <c r="G298" i="1"/>
  <c r="H298" i="1"/>
  <c r="I298" i="1"/>
  <c r="D299" i="1"/>
  <c r="E299" i="1"/>
  <c r="F299" i="1"/>
  <c r="G299" i="1"/>
  <c r="H299" i="1"/>
  <c r="I299" i="1"/>
  <c r="D302" i="1"/>
  <c r="E302" i="1" s="1"/>
  <c r="F302" i="1" s="1"/>
  <c r="G302" i="1" s="1"/>
  <c r="H302" i="1" s="1"/>
  <c r="I302" i="1" s="1"/>
  <c r="D306" i="1"/>
  <c r="E306" i="1"/>
  <c r="F306" i="1"/>
  <c r="G306" i="1"/>
  <c r="H306" i="1"/>
  <c r="I306" i="1"/>
  <c r="D308" i="1"/>
  <c r="E308" i="1" s="1"/>
  <c r="F308" i="1" s="1"/>
  <c r="G308" i="1" s="1"/>
  <c r="H308" i="1" s="1"/>
  <c r="I308" i="1" s="1"/>
  <c r="B309" i="1"/>
  <c r="E309" i="1"/>
  <c r="B310" i="1"/>
  <c r="D310" i="1"/>
  <c r="D316" i="1" s="1"/>
  <c r="B311" i="1"/>
  <c r="F311" i="1"/>
  <c r="B312" i="1"/>
  <c r="E312" i="1"/>
  <c r="B313" i="1"/>
  <c r="G313" i="1"/>
  <c r="B314" i="1"/>
  <c r="F314" i="1"/>
  <c r="B315" i="1"/>
  <c r="C325" i="1"/>
  <c r="B328" i="1" s="1"/>
  <c r="E327" i="1"/>
  <c r="F327" i="1" s="1"/>
  <c r="G327" i="1" s="1"/>
  <c r="H327" i="1" s="1"/>
  <c r="I327" i="1" s="1"/>
  <c r="D331" i="1"/>
  <c r="E331" i="1"/>
  <c r="F331" i="1"/>
  <c r="G331" i="1"/>
  <c r="H331" i="1"/>
  <c r="I331" i="1"/>
  <c r="D333" i="1"/>
  <c r="E333" i="1" s="1"/>
  <c r="F333" i="1" s="1"/>
  <c r="G333" i="1" s="1"/>
  <c r="H333" i="1" s="1"/>
  <c r="I333" i="1" s="1"/>
  <c r="D334" i="1"/>
  <c r="E334" i="1"/>
  <c r="F334" i="1"/>
  <c r="G334" i="1"/>
  <c r="H334" i="1"/>
  <c r="I334" i="1"/>
  <c r="D335" i="1"/>
  <c r="D336" i="1" s="1"/>
  <c r="E335" i="1"/>
  <c r="F335" i="1"/>
  <c r="G335" i="1"/>
  <c r="H335" i="1"/>
  <c r="I335" i="1"/>
  <c r="D338" i="1"/>
  <c r="E338" i="1" s="1"/>
  <c r="F338" i="1" s="1"/>
  <c r="G338" i="1" s="1"/>
  <c r="H338" i="1" s="1"/>
  <c r="I338" i="1" s="1"/>
  <c r="D342" i="1"/>
  <c r="E342" i="1"/>
  <c r="F342" i="1"/>
  <c r="G342" i="1"/>
  <c r="H342" i="1"/>
  <c r="I342" i="1"/>
  <c r="D344" i="1"/>
  <c r="E344" i="1" s="1"/>
  <c r="F344" i="1" s="1"/>
  <c r="G344" i="1" s="1"/>
  <c r="H344" i="1" s="1"/>
  <c r="I344" i="1" s="1"/>
  <c r="B345" i="1"/>
  <c r="E345" i="1"/>
  <c r="B346" i="1"/>
  <c r="D346" i="1"/>
  <c r="D352" i="1" s="1"/>
  <c r="B347" i="1"/>
  <c r="F347" i="1"/>
  <c r="B348" i="1"/>
  <c r="E348" i="1"/>
  <c r="B349" i="1"/>
  <c r="G349" i="1"/>
  <c r="B350" i="1"/>
  <c r="F350" i="1"/>
  <c r="B351" i="1"/>
  <c r="C361" i="1"/>
  <c r="B364" i="1" s="1"/>
  <c r="E363" i="1"/>
  <c r="F363" i="1" s="1"/>
  <c r="G363" i="1" s="1"/>
  <c r="H363" i="1" s="1"/>
  <c r="I363" i="1" s="1"/>
  <c r="D367" i="1"/>
  <c r="E367" i="1"/>
  <c r="F367" i="1"/>
  <c r="G367" i="1"/>
  <c r="H367" i="1"/>
  <c r="I367" i="1"/>
  <c r="D369" i="1"/>
  <c r="E369" i="1" s="1"/>
  <c r="F369" i="1" s="1"/>
  <c r="G369" i="1" s="1"/>
  <c r="H369" i="1" s="1"/>
  <c r="I369" i="1" s="1"/>
  <c r="D370" i="1"/>
  <c r="E370" i="1"/>
  <c r="F370" i="1"/>
  <c r="G370" i="1"/>
  <c r="H370" i="1"/>
  <c r="I370" i="1"/>
  <c r="D371" i="1"/>
  <c r="E371" i="1"/>
  <c r="F371" i="1"/>
  <c r="G371" i="1"/>
  <c r="H371" i="1"/>
  <c r="I371" i="1"/>
  <c r="D374" i="1"/>
  <c r="E374" i="1" s="1"/>
  <c r="F374" i="1" s="1"/>
  <c r="G374" i="1" s="1"/>
  <c r="H374" i="1" s="1"/>
  <c r="I374" i="1" s="1"/>
  <c r="D378" i="1"/>
  <c r="E378" i="1"/>
  <c r="F378" i="1"/>
  <c r="G378" i="1"/>
  <c r="H378" i="1"/>
  <c r="I378" i="1"/>
  <c r="D380" i="1"/>
  <c r="E380" i="1" s="1"/>
  <c r="F380" i="1" s="1"/>
  <c r="G380" i="1" s="1"/>
  <c r="H380" i="1" s="1"/>
  <c r="I380" i="1" s="1"/>
  <c r="B381" i="1"/>
  <c r="E381" i="1"/>
  <c r="B382" i="1"/>
  <c r="D382" i="1"/>
  <c r="D388" i="1" s="1"/>
  <c r="B383" i="1"/>
  <c r="F383" i="1"/>
  <c r="B384" i="1"/>
  <c r="E384" i="1"/>
  <c r="B385" i="1"/>
  <c r="G385" i="1"/>
  <c r="B386" i="1"/>
  <c r="F386" i="1"/>
  <c r="B387" i="1"/>
  <c r="C397" i="1"/>
  <c r="B400" i="1" s="1"/>
  <c r="E399" i="1"/>
  <c r="F399" i="1" s="1"/>
  <c r="G399" i="1" s="1"/>
  <c r="H399" i="1" s="1"/>
  <c r="I399" i="1" s="1"/>
  <c r="D403" i="1"/>
  <c r="D406" i="1" s="1"/>
  <c r="E403" i="1"/>
  <c r="F403" i="1"/>
  <c r="F406" i="1" s="1"/>
  <c r="G403" i="1"/>
  <c r="G406" i="1" s="1"/>
  <c r="H403" i="1"/>
  <c r="H406" i="1" s="1"/>
  <c r="I403" i="1"/>
  <c r="D405" i="1"/>
  <c r="E405" i="1" s="1"/>
  <c r="F405" i="1" s="1"/>
  <c r="G405" i="1" s="1"/>
  <c r="H405" i="1" s="1"/>
  <c r="I405" i="1" s="1"/>
  <c r="D407" i="1"/>
  <c r="E407" i="1"/>
  <c r="F407" i="1"/>
  <c r="G407" i="1"/>
  <c r="H407" i="1"/>
  <c r="I407" i="1"/>
  <c r="D410" i="1"/>
  <c r="E410" i="1" s="1"/>
  <c r="F410" i="1" s="1"/>
  <c r="G410" i="1" s="1"/>
  <c r="H410" i="1" s="1"/>
  <c r="I410" i="1" s="1"/>
  <c r="F413" i="1"/>
  <c r="F414" i="1" s="1"/>
  <c r="G413" i="1"/>
  <c r="G414" i="1" s="1"/>
  <c r="H413" i="1"/>
  <c r="H414" i="1" s="1"/>
  <c r="I413" i="1"/>
  <c r="I414" i="1" s="1"/>
  <c r="D414" i="1"/>
  <c r="E414" i="1"/>
  <c r="D416" i="1"/>
  <c r="E416" i="1" s="1"/>
  <c r="F416" i="1" s="1"/>
  <c r="G416" i="1" s="1"/>
  <c r="H416" i="1" s="1"/>
  <c r="I416" i="1" s="1"/>
  <c r="B417" i="1"/>
  <c r="E417" i="1"/>
  <c r="B418" i="1"/>
  <c r="D418" i="1"/>
  <c r="D424" i="1" s="1"/>
  <c r="B419" i="1"/>
  <c r="F419" i="1"/>
  <c r="B420" i="1"/>
  <c r="E420" i="1"/>
  <c r="B421" i="1"/>
  <c r="G421" i="1"/>
  <c r="B422" i="1"/>
  <c r="F422" i="1"/>
  <c r="B423" i="1"/>
  <c r="H423" i="1"/>
  <c r="C431" i="1"/>
  <c r="B434" i="1" s="1"/>
  <c r="E433" i="1"/>
  <c r="F433" i="1" s="1"/>
  <c r="G433" i="1" s="1"/>
  <c r="H433" i="1" s="1"/>
  <c r="I433" i="1" s="1"/>
  <c r="D437" i="1"/>
  <c r="E437" i="1"/>
  <c r="F437" i="1"/>
  <c r="G437" i="1"/>
  <c r="H437" i="1"/>
  <c r="I437" i="1"/>
  <c r="D439" i="1"/>
  <c r="E439" i="1" s="1"/>
  <c r="F439" i="1" s="1"/>
  <c r="G439" i="1" s="1"/>
  <c r="H439" i="1" s="1"/>
  <c r="I439" i="1" s="1"/>
  <c r="D440" i="1"/>
  <c r="E440" i="1"/>
  <c r="F440" i="1"/>
  <c r="G440" i="1"/>
  <c r="H440" i="1"/>
  <c r="I440" i="1"/>
  <c r="D441" i="1"/>
  <c r="E441" i="1"/>
  <c r="F441" i="1"/>
  <c r="G441" i="1"/>
  <c r="H441" i="1"/>
  <c r="I441" i="1"/>
  <c r="D444" i="1"/>
  <c r="E444" i="1" s="1"/>
  <c r="F444" i="1" s="1"/>
  <c r="G444" i="1" s="1"/>
  <c r="H444" i="1" s="1"/>
  <c r="I444" i="1" s="1"/>
  <c r="D448" i="1"/>
  <c r="E448" i="1"/>
  <c r="F448" i="1"/>
  <c r="G448" i="1"/>
  <c r="H448" i="1"/>
  <c r="I448" i="1"/>
  <c r="D450" i="1"/>
  <c r="E450" i="1" s="1"/>
  <c r="F450" i="1" s="1"/>
  <c r="G450" i="1" s="1"/>
  <c r="H450" i="1" s="1"/>
  <c r="I450" i="1" s="1"/>
  <c r="B451" i="1"/>
  <c r="E451" i="1"/>
  <c r="B452" i="1"/>
  <c r="D452" i="1"/>
  <c r="D458" i="1" s="1"/>
  <c r="B453" i="1"/>
  <c r="F453" i="1"/>
  <c r="B454" i="1"/>
  <c r="E454" i="1"/>
  <c r="B455" i="1"/>
  <c r="G455" i="1"/>
  <c r="G458" i="1" s="1"/>
  <c r="B456" i="1"/>
  <c r="F456" i="1"/>
  <c r="B457" i="1"/>
  <c r="H458" i="1"/>
  <c r="I458" i="1"/>
  <c r="C467" i="1"/>
  <c r="B470" i="1" s="1"/>
  <c r="E469" i="1"/>
  <c r="F469" i="1" s="1"/>
  <c r="G469" i="1" s="1"/>
  <c r="H469" i="1" s="1"/>
  <c r="I469" i="1" s="1"/>
  <c r="D473" i="1"/>
  <c r="E473" i="1"/>
  <c r="F473" i="1"/>
  <c r="G473" i="1"/>
  <c r="H473" i="1"/>
  <c r="I473" i="1"/>
  <c r="D475" i="1"/>
  <c r="E475" i="1" s="1"/>
  <c r="F475" i="1" s="1"/>
  <c r="G475" i="1" s="1"/>
  <c r="H475" i="1" s="1"/>
  <c r="I475" i="1" s="1"/>
  <c r="D476" i="1"/>
  <c r="E476" i="1"/>
  <c r="F476" i="1"/>
  <c r="G476" i="1"/>
  <c r="H476" i="1"/>
  <c r="I476" i="1"/>
  <c r="D477" i="1"/>
  <c r="E477" i="1"/>
  <c r="F477" i="1"/>
  <c r="G477" i="1"/>
  <c r="H477" i="1"/>
  <c r="I477" i="1"/>
  <c r="D480" i="1"/>
  <c r="E480" i="1" s="1"/>
  <c r="F480" i="1" s="1"/>
  <c r="G480" i="1" s="1"/>
  <c r="H480" i="1" s="1"/>
  <c r="I480" i="1" s="1"/>
  <c r="D484" i="1"/>
  <c r="E484" i="1"/>
  <c r="F484" i="1"/>
  <c r="G484" i="1"/>
  <c r="H484" i="1"/>
  <c r="I484" i="1"/>
  <c r="D486" i="1"/>
  <c r="E486" i="1" s="1"/>
  <c r="F486" i="1" s="1"/>
  <c r="G486" i="1" s="1"/>
  <c r="H486" i="1" s="1"/>
  <c r="I486" i="1" s="1"/>
  <c r="B487" i="1"/>
  <c r="E487" i="1"/>
  <c r="B488" i="1"/>
  <c r="D488" i="1"/>
  <c r="D494" i="1" s="1"/>
  <c r="B489" i="1"/>
  <c r="F489" i="1"/>
  <c r="B490" i="1"/>
  <c r="E490" i="1"/>
  <c r="B491" i="1"/>
  <c r="G491" i="1"/>
  <c r="H491" i="1" s="1"/>
  <c r="B492" i="1"/>
  <c r="F492" i="1"/>
  <c r="B493" i="1"/>
  <c r="C503" i="1"/>
  <c r="B506" i="1" s="1"/>
  <c r="E505" i="1"/>
  <c r="F505" i="1" s="1"/>
  <c r="G505" i="1" s="1"/>
  <c r="H505" i="1" s="1"/>
  <c r="I505" i="1" s="1"/>
  <c r="D509" i="1"/>
  <c r="E509" i="1"/>
  <c r="F509" i="1"/>
  <c r="G509" i="1"/>
  <c r="H509" i="1"/>
  <c r="I509" i="1"/>
  <c r="D511" i="1"/>
  <c r="E511" i="1" s="1"/>
  <c r="F511" i="1" s="1"/>
  <c r="G511" i="1" s="1"/>
  <c r="H511" i="1" s="1"/>
  <c r="I511" i="1" s="1"/>
  <c r="D512" i="1"/>
  <c r="E512" i="1"/>
  <c r="F512" i="1"/>
  <c r="G512" i="1"/>
  <c r="H512" i="1"/>
  <c r="I512" i="1"/>
  <c r="D513" i="1"/>
  <c r="E513" i="1"/>
  <c r="F513" i="1"/>
  <c r="G513" i="1"/>
  <c r="H513" i="1"/>
  <c r="I513" i="1"/>
  <c r="D516" i="1"/>
  <c r="E516" i="1" s="1"/>
  <c r="F516" i="1" s="1"/>
  <c r="G516" i="1" s="1"/>
  <c r="H516" i="1" s="1"/>
  <c r="I516" i="1" s="1"/>
  <c r="D520" i="1"/>
  <c r="E520" i="1"/>
  <c r="F520" i="1"/>
  <c r="G520" i="1"/>
  <c r="H520" i="1"/>
  <c r="I520" i="1"/>
  <c r="D522" i="1"/>
  <c r="E522" i="1" s="1"/>
  <c r="F522" i="1" s="1"/>
  <c r="G522" i="1" s="1"/>
  <c r="H522" i="1" s="1"/>
  <c r="I522" i="1" s="1"/>
  <c r="B523" i="1"/>
  <c r="E523" i="1"/>
  <c r="B524" i="1"/>
  <c r="D524" i="1"/>
  <c r="D530" i="1" s="1"/>
  <c r="B525" i="1"/>
  <c r="F525" i="1"/>
  <c r="B526" i="1"/>
  <c r="E526" i="1"/>
  <c r="B527" i="1"/>
  <c r="G527" i="1"/>
  <c r="G530" i="1" s="1"/>
  <c r="B528" i="1"/>
  <c r="F528" i="1"/>
  <c r="B529" i="1"/>
  <c r="C539" i="1"/>
  <c r="B542" i="1" s="1"/>
  <c r="E541" i="1"/>
  <c r="F541" i="1" s="1"/>
  <c r="G541" i="1" s="1"/>
  <c r="H541" i="1" s="1"/>
  <c r="I541" i="1" s="1"/>
  <c r="D545" i="1"/>
  <c r="E545" i="1"/>
  <c r="F545" i="1"/>
  <c r="G545" i="1"/>
  <c r="H545" i="1"/>
  <c r="I545" i="1"/>
  <c r="D547" i="1"/>
  <c r="E547" i="1" s="1"/>
  <c r="F547" i="1" s="1"/>
  <c r="G547" i="1" s="1"/>
  <c r="H547" i="1" s="1"/>
  <c r="I547" i="1" s="1"/>
  <c r="D549" i="1"/>
  <c r="E549" i="1"/>
  <c r="F549" i="1"/>
  <c r="G549" i="1"/>
  <c r="H549" i="1"/>
  <c r="I549" i="1"/>
  <c r="D552" i="1"/>
  <c r="E552" i="1" s="1"/>
  <c r="F552" i="1" s="1"/>
  <c r="G552" i="1" s="1"/>
  <c r="H552" i="1" s="1"/>
  <c r="I552" i="1" s="1"/>
  <c r="D556" i="1"/>
  <c r="E556" i="1"/>
  <c r="F556" i="1"/>
  <c r="G556" i="1"/>
  <c r="H556" i="1"/>
  <c r="I556" i="1"/>
  <c r="D558" i="1"/>
  <c r="E558" i="1" s="1"/>
  <c r="F558" i="1" s="1"/>
  <c r="G558" i="1" s="1"/>
  <c r="H558" i="1" s="1"/>
  <c r="I558" i="1" s="1"/>
  <c r="B559" i="1"/>
  <c r="E559" i="1"/>
  <c r="B560" i="1"/>
  <c r="B561" i="1"/>
  <c r="F561" i="1"/>
  <c r="B562" i="1"/>
  <c r="E562" i="1"/>
  <c r="B563" i="1"/>
  <c r="G563" i="1"/>
  <c r="G566" i="1" s="1"/>
  <c r="I563" i="1"/>
  <c r="B564" i="1"/>
  <c r="F564" i="1"/>
  <c r="B565" i="1"/>
  <c r="H565" i="1"/>
  <c r="D566" i="1"/>
  <c r="H566" i="1"/>
  <c r="C575" i="1"/>
  <c r="B578" i="1" s="1"/>
  <c r="E577" i="1"/>
  <c r="F577" i="1" s="1"/>
  <c r="G577" i="1" s="1"/>
  <c r="H577" i="1" s="1"/>
  <c r="I577" i="1" s="1"/>
  <c r="D581" i="1"/>
  <c r="E581" i="1"/>
  <c r="E585" i="1" s="1"/>
  <c r="F581" i="1"/>
  <c r="F585" i="1" s="1"/>
  <c r="G581" i="1"/>
  <c r="G585" i="1" s="1"/>
  <c r="H581" i="1"/>
  <c r="H585" i="1" s="1"/>
  <c r="I581" i="1"/>
  <c r="I585" i="1" s="1"/>
  <c r="D583" i="1"/>
  <c r="E583" i="1" s="1"/>
  <c r="F583" i="1" s="1"/>
  <c r="G583" i="1" s="1"/>
  <c r="H583" i="1" s="1"/>
  <c r="I583" i="1" s="1"/>
  <c r="D588" i="1"/>
  <c r="E588" i="1" s="1"/>
  <c r="F588" i="1" s="1"/>
  <c r="G588" i="1" s="1"/>
  <c r="H588" i="1" s="1"/>
  <c r="I588" i="1" s="1"/>
  <c r="D592" i="1"/>
  <c r="E592" i="1"/>
  <c r="F592" i="1"/>
  <c r="G592" i="1"/>
  <c r="H592" i="1"/>
  <c r="I592" i="1"/>
  <c r="D594" i="1"/>
  <c r="E594" i="1" s="1"/>
  <c r="F594" i="1" s="1"/>
  <c r="G594" i="1" s="1"/>
  <c r="H594" i="1" s="1"/>
  <c r="I594" i="1" s="1"/>
  <c r="B595" i="1"/>
  <c r="E595" i="1"/>
  <c r="B596" i="1"/>
  <c r="D596" i="1"/>
  <c r="D602" i="1" s="1"/>
  <c r="B597" i="1"/>
  <c r="F597" i="1"/>
  <c r="B598" i="1"/>
  <c r="E598" i="1"/>
  <c r="B599" i="1"/>
  <c r="G599" i="1"/>
  <c r="G602" i="1" s="1"/>
  <c r="I599" i="1"/>
  <c r="I602" i="1" s="1"/>
  <c r="B600" i="1"/>
  <c r="F600" i="1"/>
  <c r="B601" i="1"/>
  <c r="H601" i="1"/>
  <c r="H602" i="1"/>
  <c r="C611" i="1"/>
  <c r="B614" i="1" s="1"/>
  <c r="E613" i="1"/>
  <c r="F613" i="1" s="1"/>
  <c r="G613" i="1" s="1"/>
  <c r="H613" i="1" s="1"/>
  <c r="I613" i="1" s="1"/>
  <c r="D617" i="1"/>
  <c r="D621" i="1" s="1"/>
  <c r="E617" i="1"/>
  <c r="E621" i="1" s="1"/>
  <c r="F617" i="1"/>
  <c r="F621" i="1" s="1"/>
  <c r="G617" i="1"/>
  <c r="G621" i="1" s="1"/>
  <c r="H617" i="1"/>
  <c r="H621" i="1" s="1"/>
  <c r="I617" i="1"/>
  <c r="I621" i="1" s="1"/>
  <c r="D619" i="1"/>
  <c r="E619" i="1" s="1"/>
  <c r="F619" i="1" s="1"/>
  <c r="G619" i="1" s="1"/>
  <c r="H619" i="1" s="1"/>
  <c r="I619" i="1" s="1"/>
  <c r="D624" i="1"/>
  <c r="E624" i="1" s="1"/>
  <c r="F624" i="1" s="1"/>
  <c r="G624" i="1" s="1"/>
  <c r="H624" i="1" s="1"/>
  <c r="I624" i="1" s="1"/>
  <c r="D628" i="1"/>
  <c r="E628" i="1"/>
  <c r="F628" i="1"/>
  <c r="G628" i="1"/>
  <c r="H628" i="1"/>
  <c r="I628" i="1"/>
  <c r="D630" i="1"/>
  <c r="E630" i="1" s="1"/>
  <c r="F630" i="1" s="1"/>
  <c r="G630" i="1" s="1"/>
  <c r="H630" i="1" s="1"/>
  <c r="I630" i="1" s="1"/>
  <c r="B631" i="1"/>
  <c r="E631" i="1"/>
  <c r="B632" i="1"/>
  <c r="D632" i="1"/>
  <c r="D638" i="1" s="1"/>
  <c r="B633" i="1"/>
  <c r="F633" i="1"/>
  <c r="B634" i="1"/>
  <c r="E634" i="1"/>
  <c r="B635" i="1"/>
  <c r="G635" i="1"/>
  <c r="G638" i="1" s="1"/>
  <c r="I635" i="1"/>
  <c r="I638" i="1" s="1"/>
  <c r="B636" i="1"/>
  <c r="F636" i="1"/>
  <c r="B637" i="1"/>
  <c r="H637" i="1"/>
  <c r="H638" i="1"/>
  <c r="C647" i="1"/>
  <c r="B650" i="1" s="1"/>
  <c r="E649" i="1"/>
  <c r="F649" i="1" s="1"/>
  <c r="G649" i="1" s="1"/>
  <c r="H649" i="1" s="1"/>
  <c r="I649" i="1" s="1"/>
  <c r="D653" i="1"/>
  <c r="E653" i="1"/>
  <c r="F653" i="1"/>
  <c r="G653" i="1"/>
  <c r="H653" i="1"/>
  <c r="I653" i="1"/>
  <c r="D655" i="1"/>
  <c r="E655" i="1" s="1"/>
  <c r="F655" i="1" s="1"/>
  <c r="G655" i="1" s="1"/>
  <c r="H655" i="1" s="1"/>
  <c r="I655" i="1" s="1"/>
  <c r="D656" i="1"/>
  <c r="E656" i="1"/>
  <c r="F656" i="1"/>
  <c r="G656" i="1"/>
  <c r="H656" i="1"/>
  <c r="I656" i="1"/>
  <c r="D657" i="1"/>
  <c r="E657" i="1"/>
  <c r="F657" i="1"/>
  <c r="G657" i="1"/>
  <c r="H657" i="1"/>
  <c r="I657" i="1"/>
  <c r="D660" i="1"/>
  <c r="E660" i="1" s="1"/>
  <c r="F660" i="1" s="1"/>
  <c r="G660" i="1" s="1"/>
  <c r="H660" i="1" s="1"/>
  <c r="I660" i="1" s="1"/>
  <c r="D664" i="1"/>
  <c r="E664" i="1"/>
  <c r="F664" i="1"/>
  <c r="G664" i="1"/>
  <c r="H664" i="1"/>
  <c r="I664" i="1"/>
  <c r="D666" i="1"/>
  <c r="E666" i="1" s="1"/>
  <c r="F666" i="1" s="1"/>
  <c r="G666" i="1" s="1"/>
  <c r="H666" i="1" s="1"/>
  <c r="I666" i="1" s="1"/>
  <c r="B667" i="1"/>
  <c r="E667" i="1"/>
  <c r="B668" i="1"/>
  <c r="D668" i="1"/>
  <c r="D674" i="1" s="1"/>
  <c r="B669" i="1"/>
  <c r="F669" i="1"/>
  <c r="B670" i="1"/>
  <c r="E670" i="1"/>
  <c r="B671" i="1"/>
  <c r="G671" i="1"/>
  <c r="G674" i="1" s="1"/>
  <c r="I671" i="1"/>
  <c r="I674" i="1" s="1"/>
  <c r="B672" i="1"/>
  <c r="F672" i="1"/>
  <c r="B673" i="1"/>
  <c r="H673" i="1"/>
  <c r="H674" i="1"/>
  <c r="C683" i="1"/>
  <c r="B686" i="1" s="1"/>
  <c r="E685" i="1"/>
  <c r="F685" i="1" s="1"/>
  <c r="G685" i="1" s="1"/>
  <c r="H685" i="1" s="1"/>
  <c r="I685" i="1" s="1"/>
  <c r="D689" i="1"/>
  <c r="D692" i="1" s="1"/>
  <c r="E689" i="1"/>
  <c r="E692" i="1" s="1"/>
  <c r="F689" i="1"/>
  <c r="F692" i="1" s="1"/>
  <c r="G689" i="1"/>
  <c r="H689" i="1"/>
  <c r="H692" i="1" s="1"/>
  <c r="I689" i="1"/>
  <c r="I692" i="1" s="1"/>
  <c r="D691" i="1"/>
  <c r="E691" i="1" s="1"/>
  <c r="F691" i="1" s="1"/>
  <c r="G691" i="1" s="1"/>
  <c r="H691" i="1" s="1"/>
  <c r="I691" i="1" s="1"/>
  <c r="G692" i="1"/>
  <c r="D693" i="1"/>
  <c r="E693" i="1"/>
  <c r="F693" i="1"/>
  <c r="G693" i="1"/>
  <c r="H693" i="1"/>
  <c r="I693" i="1"/>
  <c r="I694" i="1" s="1"/>
  <c r="D696" i="1"/>
  <c r="E696" i="1" s="1"/>
  <c r="F696" i="1" s="1"/>
  <c r="G696" i="1" s="1"/>
  <c r="H696" i="1" s="1"/>
  <c r="I696" i="1" s="1"/>
  <c r="D699" i="1"/>
  <c r="D700" i="1" s="1"/>
  <c r="E699" i="1"/>
  <c r="E700" i="1" s="1"/>
  <c r="F699" i="1"/>
  <c r="F700" i="1" s="1"/>
  <c r="G699" i="1"/>
  <c r="G700" i="1" s="1"/>
  <c r="H699" i="1"/>
  <c r="H700" i="1" s="1"/>
  <c r="I699" i="1"/>
  <c r="I700" i="1" s="1"/>
  <c r="D702" i="1"/>
  <c r="E702" i="1" s="1"/>
  <c r="F702" i="1" s="1"/>
  <c r="G702" i="1" s="1"/>
  <c r="H702" i="1" s="1"/>
  <c r="I702" i="1" s="1"/>
  <c r="B703" i="1"/>
  <c r="E703" i="1"/>
  <c r="B704" i="1"/>
  <c r="D704" i="1"/>
  <c r="D710" i="1" s="1"/>
  <c r="B705" i="1"/>
  <c r="F705" i="1"/>
  <c r="B706" i="1"/>
  <c r="E706" i="1"/>
  <c r="B707" i="1"/>
  <c r="G707" i="1"/>
  <c r="G710" i="1" s="1"/>
  <c r="I707" i="1"/>
  <c r="I710" i="1" s="1"/>
  <c r="B708" i="1"/>
  <c r="F708" i="1"/>
  <c r="B709" i="1"/>
  <c r="H709" i="1"/>
  <c r="H710" i="1"/>
  <c r="C718" i="1"/>
  <c r="B721" i="1" s="1"/>
  <c r="E720" i="1"/>
  <c r="F720" i="1" s="1"/>
  <c r="G720" i="1" s="1"/>
  <c r="H720" i="1" s="1"/>
  <c r="I720" i="1" s="1"/>
  <c r="D724" i="1"/>
  <c r="E724" i="1"/>
  <c r="F724" i="1"/>
  <c r="G724" i="1"/>
  <c r="H724" i="1"/>
  <c r="I724" i="1"/>
  <c r="D726" i="1"/>
  <c r="E726" i="1" s="1"/>
  <c r="F726" i="1" s="1"/>
  <c r="G726" i="1" s="1"/>
  <c r="H726" i="1" s="1"/>
  <c r="I726" i="1" s="1"/>
  <c r="D727" i="1"/>
  <c r="E727" i="1"/>
  <c r="F727" i="1"/>
  <c r="G727" i="1"/>
  <c r="H727" i="1"/>
  <c r="I727" i="1"/>
  <c r="D731" i="1"/>
  <c r="E731" i="1" s="1"/>
  <c r="F731" i="1" s="1"/>
  <c r="G731" i="1" s="1"/>
  <c r="H731" i="1" s="1"/>
  <c r="I731" i="1" s="1"/>
  <c r="D735" i="1"/>
  <c r="E735" i="1"/>
  <c r="F735" i="1"/>
  <c r="G735" i="1"/>
  <c r="H735" i="1"/>
  <c r="I735" i="1"/>
  <c r="D737" i="1"/>
  <c r="E737" i="1" s="1"/>
  <c r="F737" i="1" s="1"/>
  <c r="G737" i="1" s="1"/>
  <c r="H737" i="1" s="1"/>
  <c r="I737" i="1" s="1"/>
  <c r="B738" i="1"/>
  <c r="E738" i="1"/>
  <c r="B739" i="1"/>
  <c r="D739" i="1"/>
  <c r="D745" i="1" s="1"/>
  <c r="B740" i="1"/>
  <c r="F740" i="1"/>
  <c r="B741" i="1"/>
  <c r="E741" i="1"/>
  <c r="B742" i="1"/>
  <c r="G742" i="1"/>
  <c r="G745" i="1" s="1"/>
  <c r="I742" i="1"/>
  <c r="I745" i="1" s="1"/>
  <c r="B743" i="1"/>
  <c r="F743" i="1"/>
  <c r="B744" i="1"/>
  <c r="H744" i="1"/>
  <c r="H745" i="1"/>
  <c r="G19" i="6" l="1"/>
  <c r="F19" i="6"/>
  <c r="E514" i="1"/>
  <c r="E100" i="1"/>
  <c r="F64" i="1"/>
  <c r="C19" i="6"/>
  <c r="E19" i="6"/>
  <c r="H97" i="1"/>
  <c r="I97" i="1" s="1"/>
  <c r="I100" i="1" s="1"/>
  <c r="H19" i="6"/>
  <c r="D19" i="6"/>
  <c r="I514" i="1"/>
  <c r="G658" i="1"/>
  <c r="G678" i="1" s="1"/>
  <c r="I372" i="1"/>
  <c r="E372" i="1"/>
  <c r="F244" i="1"/>
  <c r="E172" i="1"/>
  <c r="F728" i="1"/>
  <c r="F336" i="1"/>
  <c r="H336" i="1"/>
  <c r="D228" i="1"/>
  <c r="D248" i="1" s="1"/>
  <c r="G172" i="1"/>
  <c r="F658" i="1"/>
  <c r="E336" i="1"/>
  <c r="E356" i="1" s="1"/>
  <c r="E300" i="1"/>
  <c r="F120" i="1"/>
  <c r="H120" i="1"/>
  <c r="H100" i="1"/>
  <c r="G84" i="1"/>
  <c r="F602" i="1"/>
  <c r="G336" i="1"/>
  <c r="I336" i="1"/>
  <c r="F316" i="1"/>
  <c r="E316" i="1"/>
  <c r="D300" i="1"/>
  <c r="D320" i="1" s="1"/>
  <c r="F104" i="1"/>
  <c r="I728" i="1"/>
  <c r="E728" i="1"/>
  <c r="D408" i="1"/>
  <c r="D428" i="1" s="1"/>
  <c r="G372" i="1"/>
  <c r="G264" i="1"/>
  <c r="H728" i="1"/>
  <c r="D728" i="1"/>
  <c r="G620" i="1"/>
  <c r="G622" i="1" s="1"/>
  <c r="G642" i="1" s="1"/>
  <c r="E494" i="1"/>
  <c r="I478" i="1"/>
  <c r="E478" i="1"/>
  <c r="E498" i="1" s="1"/>
  <c r="D372" i="1"/>
  <c r="D392" i="1" s="1"/>
  <c r="F300" i="1"/>
  <c r="F320" i="1" s="1"/>
  <c r="H300" i="1"/>
  <c r="E674" i="1"/>
  <c r="F694" i="1"/>
  <c r="E729" i="1"/>
  <c r="D478" i="1"/>
  <c r="D498" i="1" s="1"/>
  <c r="F424" i="1"/>
  <c r="E424" i="1"/>
  <c r="G408" i="1"/>
  <c r="F352" i="1"/>
  <c r="F356" i="1" s="1"/>
  <c r="E352" i="1"/>
  <c r="F172" i="1"/>
  <c r="E566" i="1"/>
  <c r="H442" i="1"/>
  <c r="H462" i="1" s="1"/>
  <c r="D442" i="1"/>
  <c r="D462" i="1" s="1"/>
  <c r="F442" i="1"/>
  <c r="F372" i="1"/>
  <c r="H372" i="1"/>
  <c r="G300" i="1"/>
  <c r="I300" i="1"/>
  <c r="H264" i="1"/>
  <c r="D264" i="1"/>
  <c r="D284" i="1" s="1"/>
  <c r="F264" i="1"/>
  <c r="E192" i="1"/>
  <c r="H172" i="1"/>
  <c r="H156" i="1"/>
  <c r="H176" i="1" s="1"/>
  <c r="D156" i="1"/>
  <c r="D176" i="1" s="1"/>
  <c r="H527" i="1"/>
  <c r="F494" i="1"/>
  <c r="D356" i="1"/>
  <c r="F228" i="1"/>
  <c r="H228" i="1"/>
  <c r="H192" i="1"/>
  <c r="D192" i="1"/>
  <c r="D212" i="1" s="1"/>
  <c r="F192" i="1"/>
  <c r="G156" i="1"/>
  <c r="E120" i="1"/>
  <c r="G586" i="1"/>
  <c r="G606" i="1" s="1"/>
  <c r="E745" i="1"/>
  <c r="E749" i="1" s="1"/>
  <c r="I729" i="1"/>
  <c r="I749" i="1" s="1"/>
  <c r="E710" i="1"/>
  <c r="E602" i="1"/>
  <c r="F530" i="1"/>
  <c r="E530" i="1"/>
  <c r="H514" i="1"/>
  <c r="D514" i="1"/>
  <c r="D534" i="1" s="1"/>
  <c r="F514" i="1"/>
  <c r="F534" i="1" s="1"/>
  <c r="F478" i="1"/>
  <c r="H478" i="1"/>
  <c r="F388" i="1"/>
  <c r="F392" i="1" s="1"/>
  <c r="F280" i="1"/>
  <c r="F284" i="1" s="1"/>
  <c r="I228" i="1"/>
  <c r="E228" i="1"/>
  <c r="G228" i="1"/>
  <c r="G192" i="1"/>
  <c r="I192" i="1"/>
  <c r="F136" i="1"/>
  <c r="F140" i="1" s="1"/>
  <c r="E136" i="1"/>
  <c r="H84" i="1"/>
  <c r="H104" i="1" s="1"/>
  <c r="D84" i="1"/>
  <c r="D104" i="1" s="1"/>
  <c r="H729" i="1"/>
  <c r="H749" i="1" s="1"/>
  <c r="G478" i="1"/>
  <c r="E442" i="1"/>
  <c r="I548" i="1"/>
  <c r="I550" i="1" s="1"/>
  <c r="I570" i="1" s="1"/>
  <c r="H35" i="9" s="1"/>
  <c r="E620" i="1"/>
  <c r="E622" i="1" s="1"/>
  <c r="I620" i="1"/>
  <c r="I622" i="1" s="1"/>
  <c r="I642" i="1" s="1"/>
  <c r="F620" i="1"/>
  <c r="F622" i="1" s="1"/>
  <c r="F194" i="1"/>
  <c r="G194" i="1" s="1"/>
  <c r="H194" i="1" s="1"/>
  <c r="I194" i="1" s="1"/>
  <c r="D584" i="1"/>
  <c r="D586" i="1" s="1"/>
  <c r="D606" i="1" s="1"/>
  <c r="H584" i="1"/>
  <c r="H586" i="1" s="1"/>
  <c r="H606" i="1" s="1"/>
  <c r="E584" i="1"/>
  <c r="I584" i="1"/>
  <c r="I586" i="1" s="1"/>
  <c r="I606" i="1" s="1"/>
  <c r="G729" i="1"/>
  <c r="G749" i="1" s="1"/>
  <c r="H622" i="1"/>
  <c r="H642" i="1" s="1"/>
  <c r="D620" i="1"/>
  <c r="D622" i="1" s="1"/>
  <c r="D642" i="1" s="1"/>
  <c r="F584" i="1"/>
  <c r="F586" i="1" s="1"/>
  <c r="F606" i="1" s="1"/>
  <c r="F248" i="1"/>
  <c r="G548" i="1"/>
  <c r="G550" i="1" s="1"/>
  <c r="G570" i="1" s="1"/>
  <c r="D548" i="1"/>
  <c r="D550" i="1" s="1"/>
  <c r="H548" i="1"/>
  <c r="H550" i="1" s="1"/>
  <c r="H570" i="1" s="1"/>
  <c r="D140" i="1"/>
  <c r="F745" i="1"/>
  <c r="F729" i="1"/>
  <c r="D729" i="1"/>
  <c r="D749" i="1" s="1"/>
  <c r="H694" i="1"/>
  <c r="H714" i="1" s="1"/>
  <c r="D694" i="1"/>
  <c r="D714" i="1" s="1"/>
  <c r="E694" i="1"/>
  <c r="E714" i="1" s="1"/>
  <c r="F674" i="1"/>
  <c r="F678" i="1" s="1"/>
  <c r="E548" i="1"/>
  <c r="E550" i="1" s="1"/>
  <c r="E570" i="1" s="1"/>
  <c r="F498" i="1"/>
  <c r="H408" i="1"/>
  <c r="H428" i="1" s="1"/>
  <c r="F710" i="1"/>
  <c r="I714" i="1"/>
  <c r="G694" i="1"/>
  <c r="G714" i="1" s="1"/>
  <c r="I658" i="1"/>
  <c r="I678" i="1" s="1"/>
  <c r="E658" i="1"/>
  <c r="F550" i="1"/>
  <c r="G514" i="1"/>
  <c r="F458" i="1"/>
  <c r="F462" i="1" s="1"/>
  <c r="E458" i="1"/>
  <c r="G442" i="1"/>
  <c r="G462" i="1" s="1"/>
  <c r="I442" i="1"/>
  <c r="I462" i="1" s="1"/>
  <c r="F156" i="1"/>
  <c r="F176" i="1" s="1"/>
  <c r="H658" i="1"/>
  <c r="H678" i="1" s="1"/>
  <c r="D658" i="1"/>
  <c r="D678" i="1" s="1"/>
  <c r="F638" i="1"/>
  <c r="E638" i="1"/>
  <c r="F566" i="1"/>
  <c r="D570" i="1"/>
  <c r="F408" i="1"/>
  <c r="I264" i="1"/>
  <c r="E264" i="1"/>
  <c r="F208" i="1"/>
  <c r="F212" i="1" s="1"/>
  <c r="E208" i="1"/>
  <c r="E212" i="1" s="1"/>
  <c r="I156" i="1"/>
  <c r="I176" i="1" s="1"/>
  <c r="E156" i="1"/>
  <c r="E176" i="1" s="1"/>
  <c r="G176" i="1"/>
  <c r="G120" i="1"/>
  <c r="I120" i="1"/>
  <c r="I84" i="1"/>
  <c r="E84" i="1"/>
  <c r="E104" i="1" s="1"/>
  <c r="G104" i="1"/>
  <c r="H60" i="1"/>
  <c r="G64" i="1"/>
  <c r="E586" i="1"/>
  <c r="I491" i="1"/>
  <c r="I494" i="1" s="1"/>
  <c r="I498" i="1" s="1"/>
  <c r="H494" i="1"/>
  <c r="H498" i="1" s="1"/>
  <c r="H421" i="1"/>
  <c r="I421" i="1" s="1"/>
  <c r="H205" i="1"/>
  <c r="G208" i="1"/>
  <c r="I527" i="1"/>
  <c r="I530" i="1" s="1"/>
  <c r="H530" i="1"/>
  <c r="H534" i="1" s="1"/>
  <c r="G534" i="1"/>
  <c r="H313" i="1"/>
  <c r="G316" i="1"/>
  <c r="G320" i="1" s="1"/>
  <c r="H349" i="1"/>
  <c r="G352" i="1"/>
  <c r="E140" i="1"/>
  <c r="G494" i="1"/>
  <c r="H385" i="1"/>
  <c r="G388" i="1"/>
  <c r="E388" i="1"/>
  <c r="E392" i="1" s="1"/>
  <c r="E320" i="1"/>
  <c r="H241" i="1"/>
  <c r="G244" i="1"/>
  <c r="E244" i="1"/>
  <c r="E248" i="1" s="1"/>
  <c r="I406" i="1"/>
  <c r="I408" i="1" s="1"/>
  <c r="I428" i="1" s="1"/>
  <c r="E406" i="1"/>
  <c r="E408" i="1" s="1"/>
  <c r="E428" i="1" s="1"/>
  <c r="H277" i="1"/>
  <c r="G280" i="1"/>
  <c r="G284" i="1" s="1"/>
  <c r="E280" i="1"/>
  <c r="H133" i="1"/>
  <c r="G136" i="1"/>
  <c r="B40" i="9"/>
  <c r="A40" i="9"/>
  <c r="G428" i="1" l="1"/>
  <c r="G356" i="1"/>
  <c r="I534" i="1"/>
  <c r="E678" i="1"/>
  <c r="F714" i="1"/>
  <c r="I104" i="1"/>
  <c r="G212" i="1"/>
  <c r="F428" i="1"/>
  <c r="E534" i="1"/>
  <c r="G498" i="1"/>
  <c r="G248" i="1"/>
  <c r="G140" i="1"/>
  <c r="F749" i="1"/>
  <c r="G392" i="1"/>
  <c r="E462" i="1"/>
  <c r="E606" i="1"/>
  <c r="E642" i="1"/>
  <c r="F642" i="1"/>
  <c r="E284" i="1"/>
  <c r="F570" i="1"/>
  <c r="I133" i="1"/>
  <c r="I136" i="1" s="1"/>
  <c r="I140" i="1" s="1"/>
  <c r="H136" i="1"/>
  <c r="H140" i="1" s="1"/>
  <c r="I277" i="1"/>
  <c r="I280" i="1" s="1"/>
  <c r="I284" i="1" s="1"/>
  <c r="H280" i="1"/>
  <c r="H284" i="1" s="1"/>
  <c r="H244" i="1"/>
  <c r="H248" i="1" s="1"/>
  <c r="I241" i="1"/>
  <c r="I244" i="1" s="1"/>
  <c r="I248" i="1" s="1"/>
  <c r="H352" i="1"/>
  <c r="H356" i="1" s="1"/>
  <c r="I349" i="1"/>
  <c r="I352" i="1" s="1"/>
  <c r="I356" i="1" s="1"/>
  <c r="I205" i="1"/>
  <c r="I208" i="1" s="1"/>
  <c r="I212" i="1" s="1"/>
  <c r="H208" i="1"/>
  <c r="H212" i="1" s="1"/>
  <c r="I60" i="1"/>
  <c r="I64" i="1" s="1"/>
  <c r="H64" i="1"/>
  <c r="H388" i="1"/>
  <c r="H392" i="1" s="1"/>
  <c r="I385" i="1"/>
  <c r="I388" i="1" s="1"/>
  <c r="I392" i="1" s="1"/>
  <c r="I313" i="1"/>
  <c r="I316" i="1" s="1"/>
  <c r="I320" i="1" s="1"/>
  <c r="H316" i="1"/>
  <c r="H320" i="1" s="1"/>
  <c r="H30" i="6" l="1"/>
  <c r="H18" i="6" l="1"/>
  <c r="B39" i="9"/>
  <c r="A39" i="9"/>
  <c r="G32" i="6" l="1"/>
  <c r="H32" i="6"/>
  <c r="F32" i="6"/>
  <c r="C32" i="6"/>
  <c r="D32" i="6" l="1"/>
  <c r="C39" i="9"/>
  <c r="G39" i="9"/>
  <c r="E32" i="6"/>
  <c r="D39" i="9"/>
  <c r="F39" i="9"/>
  <c r="E39" i="9" l="1"/>
  <c r="A29" i="6" l="1"/>
  <c r="A28" i="6"/>
  <c r="A27" i="6"/>
  <c r="A26" i="6"/>
  <c r="A25" i="6"/>
  <c r="A24" i="6"/>
  <c r="A23" i="6"/>
  <c r="C33" i="6"/>
  <c r="D33" i="6" s="1"/>
  <c r="E33" i="6" s="1"/>
  <c r="F33" i="6" s="1"/>
  <c r="G33" i="6" s="1"/>
  <c r="H33" i="6" s="1"/>
  <c r="C16" i="6"/>
  <c r="C11" i="6"/>
  <c r="C22" i="6"/>
  <c r="C6" i="6"/>
  <c r="B56" i="1" l="1"/>
  <c r="E38" i="9" l="1"/>
  <c r="D38" i="9"/>
  <c r="C38" i="9"/>
  <c r="G38" i="9"/>
  <c r="F38" i="9"/>
  <c r="B37" i="9"/>
  <c r="B38" i="9"/>
  <c r="A37" i="9"/>
  <c r="A38" i="9"/>
  <c r="B36" i="9"/>
  <c r="A36" i="9"/>
  <c r="B14" i="6" l="1"/>
  <c r="B20" i="6"/>
  <c r="B34" i="6" l="1"/>
  <c r="I42" i="1" l="1"/>
  <c r="I45" i="1"/>
  <c r="I46" i="1"/>
  <c r="I53" i="1"/>
  <c r="H20" i="6" l="1"/>
  <c r="I47" i="1"/>
  <c r="I68" i="1" l="1"/>
  <c r="H13" i="6"/>
  <c r="G30" i="6"/>
  <c r="D55" i="1" l="1"/>
  <c r="D44" i="1"/>
  <c r="A35" i="9" l="1"/>
  <c r="B34" i="9"/>
  <c r="B35" i="9"/>
  <c r="A34" i="9"/>
  <c r="B33" i="9" l="1"/>
  <c r="A33" i="9"/>
  <c r="B32" i="9"/>
  <c r="H53" i="1" l="1"/>
  <c r="H46" i="1"/>
  <c r="H45" i="1"/>
  <c r="H47" i="1" s="1"/>
  <c r="G13" i="6" s="1"/>
  <c r="H42" i="1"/>
  <c r="H68" i="1" l="1"/>
  <c r="F18" i="6" l="1"/>
  <c r="G18" i="6"/>
  <c r="F20" i="6" l="1"/>
  <c r="G20" i="6"/>
  <c r="F27" i="6"/>
  <c r="E27" i="6" l="1"/>
  <c r="E30" i="6" s="1"/>
  <c r="A32" i="9"/>
  <c r="E18" i="6" l="1"/>
  <c r="E9" i="6"/>
  <c r="G53" i="1"/>
  <c r="G46" i="1"/>
  <c r="G45" i="1"/>
  <c r="G42" i="1"/>
  <c r="E40" i="9" l="1"/>
  <c r="F40" i="9"/>
  <c r="C40" i="9"/>
  <c r="G40" i="9"/>
  <c r="D40" i="9"/>
  <c r="G24" i="9"/>
  <c r="G28" i="9"/>
  <c r="G30" i="9"/>
  <c r="G29" i="9"/>
  <c r="G26" i="9"/>
  <c r="G27" i="9"/>
  <c r="G25" i="9"/>
  <c r="G23" i="9"/>
  <c r="G31" i="9"/>
  <c r="G21" i="9"/>
  <c r="G47" i="1"/>
  <c r="E20" i="6"/>
  <c r="G68" i="1" l="1"/>
  <c r="F13" i="6"/>
  <c r="D18" i="6"/>
  <c r="C18" i="6"/>
  <c r="C20" i="6" l="1"/>
  <c r="A36" i="6"/>
  <c r="E56" i="1" l="1"/>
  <c r="E64" i="1" s="1"/>
  <c r="F22" i="9"/>
  <c r="F23" i="9"/>
  <c r="F24" i="9"/>
  <c r="F25" i="9"/>
  <c r="F26" i="9"/>
  <c r="F27" i="9"/>
  <c r="F28" i="9"/>
  <c r="F29" i="9"/>
  <c r="F31" i="9" l="1"/>
  <c r="B31" i="9"/>
  <c r="A31" i="9"/>
  <c r="B30" i="9"/>
  <c r="A30" i="9"/>
  <c r="B29" i="9"/>
  <c r="A29" i="9"/>
  <c r="B28" i="9"/>
  <c r="A28" i="9"/>
  <c r="B27" i="9"/>
  <c r="A27" i="9"/>
  <c r="B26" i="9"/>
  <c r="A26" i="9"/>
  <c r="B25" i="9"/>
  <c r="A25" i="9"/>
  <c r="B24" i="9"/>
  <c r="A24" i="9"/>
  <c r="B23" i="9"/>
  <c r="A23" i="9"/>
  <c r="B22" i="9"/>
  <c r="A22" i="9"/>
  <c r="B21" i="9"/>
  <c r="A21" i="9"/>
  <c r="C11" i="9" l="1"/>
  <c r="B10" i="9"/>
  <c r="D9" i="9"/>
  <c r="D13" i="9"/>
  <c r="E12" i="9"/>
  <c r="F11" i="9"/>
  <c r="G12" i="9"/>
  <c r="C12" i="9"/>
  <c r="B11" i="9"/>
  <c r="D10" i="9"/>
  <c r="E9" i="9"/>
  <c r="E13" i="9"/>
  <c r="F12" i="9"/>
  <c r="G9" i="9"/>
  <c r="G13" i="9"/>
  <c r="C9" i="9"/>
  <c r="C13" i="9"/>
  <c r="B12" i="9"/>
  <c r="D11" i="9"/>
  <c r="E10" i="9"/>
  <c r="F9" i="9"/>
  <c r="F13" i="9"/>
  <c r="G10" i="9"/>
  <c r="C10" i="9"/>
  <c r="B9" i="9"/>
  <c r="B13" i="9"/>
  <c r="D12" i="9"/>
  <c r="E11" i="9"/>
  <c r="F10" i="9"/>
  <c r="G11" i="9"/>
  <c r="D9" i="6"/>
  <c r="F21" i="9" l="1"/>
  <c r="F42" i="1"/>
  <c r="E42" i="1"/>
  <c r="D12" i="6" s="1"/>
  <c r="D42" i="1"/>
  <c r="C12" i="6" s="1"/>
  <c r="A20" i="6"/>
  <c r="F53" i="1"/>
  <c r="E53" i="1"/>
  <c r="D53" i="1"/>
  <c r="F45" i="1"/>
  <c r="F46" i="1"/>
  <c r="E45" i="1"/>
  <c r="E46" i="1"/>
  <c r="D45" i="1"/>
  <c r="D46" i="1"/>
  <c r="E55" i="1"/>
  <c r="F55" i="1" s="1"/>
  <c r="G55" i="1" s="1"/>
  <c r="H55" i="1" s="1"/>
  <c r="I55" i="1" s="1"/>
  <c r="C36" i="1"/>
  <c r="B39" i="1" s="1"/>
  <c r="E38" i="1"/>
  <c r="E49" i="1" s="1"/>
  <c r="C36" i="9" l="1"/>
  <c r="D36" i="9"/>
  <c r="E36" i="9"/>
  <c r="G36" i="9"/>
  <c r="F36" i="9"/>
  <c r="G37" i="9"/>
  <c r="C37" i="9"/>
  <c r="D37" i="9"/>
  <c r="E37" i="9"/>
  <c r="F37" i="9"/>
  <c r="C28" i="9"/>
  <c r="D23" i="9"/>
  <c r="C26" i="9"/>
  <c r="F47" i="1"/>
  <c r="C30" i="9"/>
  <c r="D28" i="9"/>
  <c r="E47" i="1"/>
  <c r="D49" i="1"/>
  <c r="E44" i="1"/>
  <c r="F38" i="1"/>
  <c r="F49" i="1" s="1"/>
  <c r="C29" i="9"/>
  <c r="C25" i="9"/>
  <c r="D47" i="1"/>
  <c r="D22" i="9"/>
  <c r="D27" i="9"/>
  <c r="C27" i="9"/>
  <c r="D20" i="6"/>
  <c r="C22" i="9"/>
  <c r="E68" i="1" l="1"/>
  <c r="D13" i="6"/>
  <c r="D68" i="1"/>
  <c r="C13" i="6"/>
  <c r="F68" i="1"/>
  <c r="E13" i="6"/>
  <c r="D34" i="9"/>
  <c r="G34" i="9"/>
  <c r="D35" i="9"/>
  <c r="C35" i="9"/>
  <c r="E34" i="9"/>
  <c r="C34" i="9"/>
  <c r="F34" i="9"/>
  <c r="E33" i="9"/>
  <c r="F33" i="9"/>
  <c r="C33" i="9"/>
  <c r="D33" i="9"/>
  <c r="G33" i="9"/>
  <c r="C32" i="9"/>
  <c r="D32" i="9"/>
  <c r="E32" i="9"/>
  <c r="C21" i="9"/>
  <c r="F44" i="1"/>
  <c r="G38" i="1"/>
  <c r="H38" i="1" s="1"/>
  <c r="I38" i="1" s="1"/>
  <c r="E21" i="9"/>
  <c r="E23" i="9"/>
  <c r="E22" i="9"/>
  <c r="E26" i="9"/>
  <c r="E27" i="9"/>
  <c r="E29" i="9"/>
  <c r="E24" i="9"/>
  <c r="E28" i="9"/>
  <c r="E25" i="9"/>
  <c r="D29" i="9"/>
  <c r="D26" i="9"/>
  <c r="D25" i="9"/>
  <c r="D21" i="9"/>
  <c r="C24" i="9"/>
  <c r="D24" i="9"/>
  <c r="C23" i="9"/>
  <c r="F14" i="6" l="1"/>
  <c r="B7" i="9"/>
  <c r="E14" i="6"/>
  <c r="E34" i="6" s="1"/>
  <c r="C14" i="6"/>
  <c r="C34" i="6" s="1"/>
  <c r="G14" i="6"/>
  <c r="G34" i="6" s="1"/>
  <c r="D14" i="6"/>
  <c r="D34" i="6" s="1"/>
  <c r="I49" i="1"/>
  <c r="I44" i="1"/>
  <c r="F32" i="9"/>
  <c r="G32" i="9"/>
  <c r="H14" i="6"/>
  <c r="H34" i="6" s="1"/>
  <c r="H44" i="1"/>
  <c r="H49" i="1"/>
  <c r="G44" i="1"/>
  <c r="G49" i="1"/>
  <c r="E31" i="9"/>
  <c r="G14" i="9" l="1"/>
  <c r="D30" i="9"/>
  <c r="E30" i="9"/>
  <c r="C31" i="9"/>
  <c r="D31" i="9" l="1"/>
  <c r="F30" i="9"/>
  <c r="B14" i="9"/>
  <c r="C14" i="9" l="1"/>
  <c r="G35" i="9" l="1"/>
  <c r="E35" i="9" l="1"/>
  <c r="D14" i="9" s="1"/>
  <c r="F35" i="9"/>
  <c r="E14" i="9" s="1"/>
  <c r="F30" i="6"/>
  <c r="F34" i="6" s="1"/>
  <c r="F14" i="9"/>
  <c r="B11" i="6" l="1"/>
  <c r="B16" i="6"/>
  <c r="D11" i="6"/>
  <c r="E11" i="6" s="1"/>
  <c r="F11" i="6" s="1"/>
  <c r="G11" i="6" s="1"/>
  <c r="H11" i="6" s="1"/>
  <c r="B22" i="6"/>
  <c r="D22" i="6"/>
  <c r="E22" i="6" s="1"/>
  <c r="F22" i="6" s="1"/>
  <c r="G22" i="6" s="1"/>
  <c r="H22" i="6" s="1"/>
  <c r="B6" i="6"/>
  <c r="D6" i="6"/>
  <c r="E6" i="6" s="1"/>
  <c r="F6" i="6" s="1"/>
  <c r="G6" i="6" s="1"/>
  <c r="H6" i="6" s="1"/>
  <c r="D16" i="6"/>
  <c r="E16" i="6" s="1"/>
  <c r="F16" i="6" s="1"/>
  <c r="G16" i="6" s="1"/>
  <c r="H16" i="6" s="1"/>
  <c r="B33" i="6" l="1"/>
</calcChain>
</file>

<file path=xl/sharedStrings.xml><?xml version="1.0" encoding="utf-8"?>
<sst xmlns="http://schemas.openxmlformats.org/spreadsheetml/2006/main" count="579" uniqueCount="130">
  <si>
    <t>Eligible</t>
  </si>
  <si>
    <t>Not Eligible</t>
  </si>
  <si>
    <t>---</t>
  </si>
  <si>
    <t>Reporting Entity:</t>
  </si>
  <si>
    <t>Facility Name:</t>
  </si>
  <si>
    <t>Reporting Date:</t>
  </si>
  <si>
    <t>Distributed Generation Bonus</t>
  </si>
  <si>
    <t>Quantity Required for Compliance</t>
  </si>
  <si>
    <t>WA State RCW 19.285 Requirement</t>
  </si>
  <si>
    <t>Facility 21</t>
  </si>
  <si>
    <t>Facility 22</t>
  </si>
  <si>
    <t>Facility 23</t>
  </si>
  <si>
    <t>Facility 24</t>
  </si>
  <si>
    <t>Facility 25</t>
  </si>
  <si>
    <t>Facility 26</t>
  </si>
  <si>
    <t>Facility 27</t>
  </si>
  <si>
    <t>Facility 28</t>
  </si>
  <si>
    <t>Facility 29</t>
  </si>
  <si>
    <t>Facility 30</t>
  </si>
  <si>
    <t>Extra Apprenticeship Credit</t>
  </si>
  <si>
    <t>Delivered Load to Retail Customers (MWh)</t>
  </si>
  <si>
    <t>Adjustment for Events Beyond Control</t>
  </si>
  <si>
    <t>Facility WREGIS ID:</t>
  </si>
  <si>
    <t>Extra Apprenticeship Credit Eligibility:</t>
  </si>
  <si>
    <t>Distributed Generation Bonus Eligibility:</t>
  </si>
  <si>
    <t>Net Surplus Adjustments</t>
  </si>
  <si>
    <t>Percent of Qualifying MWh Allocated to WA</t>
  </si>
  <si>
    <t>MWh Allocated to WA Compliance</t>
  </si>
  <si>
    <t>Eligible MWh Available for RCW 19.285 Compliance</t>
  </si>
  <si>
    <t>Bonus Incentives Transferred</t>
  </si>
  <si>
    <t>Renewable Bonus Incentives</t>
  </si>
  <si>
    <t>Total Quantity Available for RCW 19.285 Compliance</t>
  </si>
  <si>
    <t>Percent of MWh Qualifying Under RCW 19.285</t>
  </si>
  <si>
    <t>Contribution to RCW 19.285 Compliance</t>
  </si>
  <si>
    <t>RCW 19.285 Compliance Surplus / (Deficit)</t>
  </si>
  <si>
    <t>REC Sales / Transfers</t>
  </si>
  <si>
    <t>Quantity from Bonus Incentives</t>
  </si>
  <si>
    <t>Total Quantity from Bonus Incentives</t>
  </si>
  <si>
    <t>Qualifying MWh Allocated to WA</t>
  </si>
  <si>
    <t>Quantity of RECs Sold</t>
  </si>
  <si>
    <t>Facility Name</t>
  </si>
  <si>
    <t>Bonus Incentives Not Realized</t>
  </si>
  <si>
    <t>Total Sold / Transferred / Unrealized</t>
  </si>
  <si>
    <t>Adjustments</t>
  </si>
  <si>
    <t>Palouse Wind</t>
  </si>
  <si>
    <t>Avista</t>
  </si>
  <si>
    <t>Long Lake #3</t>
  </si>
  <si>
    <t>Little Falls #4</t>
  </si>
  <si>
    <t>Cabinet Gorge #2</t>
  </si>
  <si>
    <t>Cabinet Gorge #3</t>
  </si>
  <si>
    <t>Cabinet Gorge #4</t>
  </si>
  <si>
    <t>Noxon Rapids #1</t>
  </si>
  <si>
    <t>Noxon Rapids #2</t>
  </si>
  <si>
    <t>Noxon Rapids #3</t>
  </si>
  <si>
    <t>Noxon Rapids #4</t>
  </si>
  <si>
    <t>Total</t>
  </si>
  <si>
    <t>W2103</t>
  </si>
  <si>
    <t>W2102</t>
  </si>
  <si>
    <t>W1560</t>
  </si>
  <si>
    <t>W1561</t>
  </si>
  <si>
    <t>W1562</t>
  </si>
  <si>
    <t>W1530</t>
  </si>
  <si>
    <t>W1552</t>
  </si>
  <si>
    <t>W1554</t>
  </si>
  <si>
    <t>W1555</t>
  </si>
  <si>
    <t>N/A</t>
  </si>
  <si>
    <t>Type</t>
  </si>
  <si>
    <t>Wind</t>
  </si>
  <si>
    <t>Contract</t>
  </si>
  <si>
    <t>4/2008</t>
  </si>
  <si>
    <t>Water (Incremental Hydro)</t>
  </si>
  <si>
    <t>Compliance Contribution by Generation Type</t>
  </si>
  <si>
    <t>Solar</t>
  </si>
  <si>
    <t>Biomass</t>
  </si>
  <si>
    <t>Geothermal</t>
  </si>
  <si>
    <t>Landfill Gas</t>
  </si>
  <si>
    <t>Sewage Treatment Gas</t>
  </si>
  <si>
    <t>Wave, Ocean, Tidal</t>
  </si>
  <si>
    <t>Biodiesel Fuel</t>
  </si>
  <si>
    <t>Facility Type</t>
  </si>
  <si>
    <t>On-Line Date:</t>
  </si>
  <si>
    <t>Ownership/Contract:</t>
  </si>
  <si>
    <t>Ownership</t>
  </si>
  <si>
    <t>Eligible Quantity Acquired **</t>
  </si>
  <si>
    <t>W2906</t>
  </si>
  <si>
    <t>MWh Allocated to WA Compliance *</t>
  </si>
  <si>
    <t>RCW 19.285 Compliance Need</t>
  </si>
  <si>
    <t xml:space="preserve">Sales and Transfers </t>
  </si>
  <si>
    <t>Bonus Incentives Not Realized***</t>
  </si>
  <si>
    <t>W249</t>
  </si>
  <si>
    <t xml:space="preserve">** In 2008, Avista purchased 50,000 renewable energy certificates per year generated from the Stateline Wind Project for the 2012 through 2015 period to comply with RCW 19.285 requirements.  The renewable energy certificates for 2012 through 2014 were sold because they were determined to be surplus of the Company’s needs in 2011 because of the acquisition of the Palouse Wind Power Purchase Agreement and decisions concerning the need for reserves for qualifying hydroelectric upgrades. The 2015 renewable energy certificates were not sold since they are eligible to be used for 2016 compliance obligations. </t>
  </si>
  <si>
    <t>Nine Mile #1</t>
  </si>
  <si>
    <t>Nine Mile #2</t>
  </si>
  <si>
    <t>EWEB (Stateline) Wind REC Purchase</t>
  </si>
  <si>
    <t>W216</t>
  </si>
  <si>
    <t>W283</t>
  </si>
  <si>
    <t>Kettle Falls</t>
  </si>
  <si>
    <t>W130 &amp; W797</t>
  </si>
  <si>
    <t>Quantity of RECs Sold **</t>
  </si>
  <si>
    <t>***The Company sold RECs  from its Palouse Wind facility, which has been certified to receive bonus apprenticeship credits, to a non-Washington utility, thus the bonus incentives were not realized.</t>
  </si>
  <si>
    <t>* 2016 only shows a partial year to reflect the qualified generation in 2016 because the upgrade project at Nine Mile #1 was completed in July 2016.</t>
  </si>
  <si>
    <t>Boulder Community Solar</t>
  </si>
  <si>
    <t>W4757</t>
  </si>
  <si>
    <t>Rathdrum Solar</t>
  </si>
  <si>
    <t>Adams-Neilson Solar Farm</t>
  </si>
  <si>
    <t>Extra Apprenticeship Labor Bonus</t>
  </si>
  <si>
    <t>Start Year</t>
  </si>
  <si>
    <t>Facility Types</t>
  </si>
  <si>
    <t>* All of the output for Rathdrum Solar is retired for the benefit of customers who participate in the voluntary Buck-A-Block Program.</t>
  </si>
  <si>
    <t>** RECs are not being sold, but are retired on behalf of the customers who participate in the Buck-A-Block Program.</t>
  </si>
  <si>
    <t>Extra Apprenticeship Credit **</t>
  </si>
  <si>
    <t>Quantity of RECs Sold ***</t>
  </si>
  <si>
    <t>*** RECs are not being sold, but are assigned to the customers who participate in the Solar Select Program.</t>
  </si>
  <si>
    <t>W7340</t>
  </si>
  <si>
    <t>* This solar project supporting the Solar Select Program went into production in December 2018. All generation and RECs are assigned to the customers who voluntarily participate in this program.</t>
  </si>
  <si>
    <t>** This project is not eligible for the apprenticeship credit and the eligibility for the distributed generation bonus credit has not been determined.</t>
  </si>
  <si>
    <t>* All of the RECs from the Boulder Community Solar Project are currently allocated to the customers participating in this program. RECs will be available to meet EIA goals after the completion of the program on June 30, 2020.</t>
  </si>
  <si>
    <t>Rattlesnake Flat Wind</t>
  </si>
  <si>
    <t>** RECs are not sold, but were retired on behalf of the participants in this program through June 30, 2020.</t>
  </si>
  <si>
    <t>Quantity of RECs Sold *</t>
  </si>
  <si>
    <t>* Combinaion of RECs sold and transferred to CARB in lieu of greenhouse gas compliance requirements.</t>
  </si>
  <si>
    <t>** Discounted for non-qualifying RECs sold from old growth fuel, RECs transferred to CARB in lieu of greenhouse gas emissions fees and 4.7% old growth.</t>
  </si>
  <si>
    <t>Grant PUD Fish Bypasses</t>
  </si>
  <si>
    <t>W10997</t>
  </si>
  <si>
    <t xml:space="preserve">* Wanapum and Priest Rapids are eligible resources under the Energy Independence Act, but the project had not been registed in WREGIS by the owners until recently so it was not eligible under WAC 480-109-210. Avista recently received 59,674 RECs from 2020 in its WREGIS account, but these resources have been determined to be ineligible for use by Avista because Grand PUD uses hydro method 3 and Avista uses hydro method 1. The amount listed for 2013 was done before the WREGIS requirement was instituted. </t>
  </si>
  <si>
    <t>Net Surplus Adjustment</t>
  </si>
  <si>
    <t>EIA Qualifying Percentage (Method Two)</t>
  </si>
  <si>
    <t>W14351</t>
  </si>
  <si>
    <t>Clearwater Wind</t>
  </si>
  <si>
    <t>* 2016 was the first year of eligibility for Kettle Falls as a legacy biomass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</si>
</sst>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409]mmmm\ d\,\ yyyy;@"/>
    <numFmt numFmtId="166" formatCode="_(* #,##0.0_);_(* \(#,##0.0\);_(* &quot;-&quot;??_);_(@_)"/>
  </numFmts>
  <fonts count="15" x14ac:knownFonts="1">
    <font>
      <sz val="10"/>
      <name val="Arial"/>
    </font>
    <font>
      <sz val="10"/>
      <name val="Arial"/>
      <family val="2"/>
    </font>
    <font>
      <sz val="11"/>
      <name val="Calibri"/>
      <family val="2"/>
    </font>
    <font>
      <b/>
      <sz val="11"/>
      <name val="Calibri"/>
      <family val="2"/>
    </font>
    <font>
      <b/>
      <sz val="14"/>
      <name val="Calibri"/>
      <family val="2"/>
    </font>
    <font>
      <sz val="8"/>
      <name val="Arial"/>
      <family val="2"/>
    </font>
    <font>
      <b/>
      <sz val="16"/>
      <name val="Calibri"/>
      <family val="2"/>
    </font>
    <font>
      <b/>
      <sz val="12"/>
      <name val="Calibri"/>
      <family val="2"/>
    </font>
    <font>
      <b/>
      <sz val="16"/>
      <name val="Calibri"/>
      <family val="2"/>
      <scheme val="minor"/>
    </font>
    <font>
      <sz val="10"/>
      <name val="Calibri"/>
      <family val="2"/>
      <scheme val="minor"/>
    </font>
    <font>
      <sz val="11"/>
      <name val="Calibri"/>
      <family val="2"/>
      <scheme val="minor"/>
    </font>
    <font>
      <b/>
      <sz val="12"/>
      <name val="Calibri"/>
      <family val="2"/>
      <scheme val="minor"/>
    </font>
    <font>
      <b/>
      <sz val="11"/>
      <name val="Calibri"/>
      <family val="2"/>
      <scheme val="minor"/>
    </font>
    <font>
      <sz val="10"/>
      <color theme="1"/>
      <name val="Arial"/>
      <family val="2"/>
    </font>
    <font>
      <sz val="12"/>
      <name val="Times New Roman"/>
      <family val="1"/>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s>
  <borders count="3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mediumDashDotDot">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bottom style="mediumDashDotDot">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style="mediumDashDotDot">
        <color indexed="64"/>
      </top>
      <bottom style="mediumDashDotDot">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66">
    <xf numFmtId="0" fontId="0" fillId="0" borderId="0" xfId="0"/>
    <xf numFmtId="0" fontId="2" fillId="0" borderId="0" xfId="0" applyFont="1"/>
    <xf numFmtId="0" fontId="2" fillId="0" borderId="0" xfId="0" applyFont="1" applyAlignment="1">
      <alignment horizontal="center"/>
    </xf>
    <xf numFmtId="164" fontId="2" fillId="2" borderId="1" xfId="1" applyNumberFormat="1" applyFont="1" applyFill="1" applyBorder="1"/>
    <xf numFmtId="164" fontId="2" fillId="2" borderId="2" xfId="1" applyNumberFormat="1" applyFont="1" applyFill="1" applyBorder="1"/>
    <xf numFmtId="164" fontId="2" fillId="2" borderId="3" xfId="1" applyNumberFormat="1" applyFont="1" applyFill="1" applyBorder="1"/>
    <xf numFmtId="0" fontId="3" fillId="0" borderId="0" xfId="0" applyFont="1"/>
    <xf numFmtId="164" fontId="3" fillId="0" borderId="0" xfId="1" applyNumberFormat="1" applyFont="1"/>
    <xf numFmtId="0" fontId="2" fillId="0" borderId="4" xfId="0" applyFont="1" applyBorder="1"/>
    <xf numFmtId="0" fontId="4" fillId="0" borderId="0" xfId="0" applyFont="1"/>
    <xf numFmtId="164" fontId="2" fillId="2" borderId="5" xfId="1" applyNumberFormat="1" applyFont="1" applyFill="1" applyBorder="1"/>
    <xf numFmtId="164" fontId="2" fillId="2" borderId="2" xfId="1" applyNumberFormat="1" applyFont="1" applyFill="1" applyBorder="1" applyAlignment="1">
      <alignment horizontal="center"/>
    </xf>
    <xf numFmtId="164" fontId="2" fillId="2" borderId="3" xfId="1" applyNumberFormat="1" applyFont="1" applyFill="1" applyBorder="1" applyAlignment="1">
      <alignment horizontal="center"/>
    </xf>
    <xf numFmtId="164" fontId="2" fillId="0" borderId="2" xfId="1" applyNumberFormat="1" applyFont="1" applyBorder="1"/>
    <xf numFmtId="164" fontId="2" fillId="0" borderId="3" xfId="1" applyNumberFormat="1" applyFont="1" applyBorder="1"/>
    <xf numFmtId="43" fontId="2" fillId="0" borderId="0" xfId="0" applyNumberFormat="1" applyFont="1"/>
    <xf numFmtId="0" fontId="6" fillId="0" borderId="0" xfId="0" applyFont="1"/>
    <xf numFmtId="164" fontId="2" fillId="0" borderId="0" xfId="1" applyNumberFormat="1" applyFont="1" applyFill="1" applyBorder="1" applyAlignment="1">
      <alignment horizontal="center"/>
    </xf>
    <xf numFmtId="164" fontId="3" fillId="0" borderId="0" xfId="1" applyNumberFormat="1" applyFont="1" applyFill="1" applyBorder="1" applyAlignment="1">
      <alignment horizontal="center" vertical="center"/>
    </xf>
    <xf numFmtId="164" fontId="2" fillId="0" borderId="0" xfId="1" applyNumberFormat="1" applyFont="1" applyFill="1" applyBorder="1"/>
    <xf numFmtId="0" fontId="2" fillId="2" borderId="1"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3" xfId="0" applyFont="1" applyFill="1" applyBorder="1" applyAlignment="1">
      <alignment horizontal="center"/>
    </xf>
    <xf numFmtId="0" fontId="2" fillId="3" borderId="13" xfId="0" applyFont="1" applyFill="1" applyBorder="1" applyAlignment="1">
      <alignment horizontal="center"/>
    </xf>
    <xf numFmtId="164" fontId="3" fillId="0" borderId="0" xfId="1" applyNumberFormat="1" applyFont="1" applyFill="1" applyBorder="1"/>
    <xf numFmtId="164" fontId="2" fillId="0" borderId="0" xfId="1" applyNumberFormat="1" applyFont="1" applyBorder="1"/>
    <xf numFmtId="0" fontId="7" fillId="0" borderId="0" xfId="0" applyFont="1" applyAlignment="1">
      <alignment horizontal="center" vertical="center" wrapText="1"/>
    </xf>
    <xf numFmtId="0" fontId="3" fillId="0" borderId="0" xfId="0" applyFont="1" applyAlignment="1">
      <alignment horizontal="left"/>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2" borderId="11" xfId="0" applyFont="1" applyFill="1" applyBorder="1" applyAlignment="1">
      <alignment horizontal="center"/>
    </xf>
    <xf numFmtId="164" fontId="2" fillId="4" borderId="0" xfId="1" applyNumberFormat="1" applyFont="1" applyFill="1" applyBorder="1"/>
    <xf numFmtId="164" fontId="3" fillId="4" borderId="14" xfId="1" applyNumberFormat="1" applyFont="1" applyFill="1" applyBorder="1"/>
    <xf numFmtId="164" fontId="2" fillId="5" borderId="0" xfId="1" applyNumberFormat="1" applyFont="1" applyFill="1" applyBorder="1"/>
    <xf numFmtId="164" fontId="3" fillId="5" borderId="14" xfId="1" applyNumberFormat="1" applyFont="1" applyFill="1" applyBorder="1"/>
    <xf numFmtId="164" fontId="3" fillId="0" borderId="14" xfId="1" applyNumberFormat="1" applyFont="1" applyBorder="1"/>
    <xf numFmtId="0" fontId="6" fillId="0" borderId="7" xfId="0" applyFont="1" applyBorder="1" applyAlignment="1">
      <alignment horizontal="centerContinuous"/>
    </xf>
    <xf numFmtId="0" fontId="6" fillId="0" borderId="15" xfId="0" applyFont="1" applyBorder="1" applyAlignment="1">
      <alignment horizontal="centerContinuous"/>
    </xf>
    <xf numFmtId="164" fontId="7" fillId="6" borderId="16" xfId="1" applyNumberFormat="1" applyFont="1" applyFill="1" applyBorder="1"/>
    <xf numFmtId="164" fontId="7" fillId="6" borderId="17" xfId="1" applyNumberFormat="1" applyFont="1" applyFill="1" applyBorder="1"/>
    <xf numFmtId="164" fontId="7" fillId="6" borderId="18" xfId="1" applyNumberFormat="1" applyFont="1" applyFill="1" applyBorder="1"/>
    <xf numFmtId="43" fontId="2" fillId="0" borderId="0" xfId="1" applyFont="1"/>
    <xf numFmtId="164" fontId="3" fillId="5" borderId="0" xfId="1" applyNumberFormat="1" applyFont="1" applyFill="1" applyBorder="1"/>
    <xf numFmtId="9" fontId="2" fillId="2" borderId="10" xfId="2" applyFont="1" applyFill="1" applyBorder="1" applyAlignment="1">
      <alignment horizontal="right"/>
    </xf>
    <xf numFmtId="9" fontId="2" fillId="2" borderId="11" xfId="2" applyFont="1" applyFill="1" applyBorder="1"/>
    <xf numFmtId="9" fontId="2" fillId="2" borderId="13" xfId="2" applyFont="1" applyFill="1" applyBorder="1"/>
    <xf numFmtId="164" fontId="2" fillId="0" borderId="1" xfId="1" applyNumberFormat="1" applyFont="1" applyFill="1" applyBorder="1"/>
    <xf numFmtId="164" fontId="2" fillId="0" borderId="10" xfId="1" applyNumberFormat="1" applyFont="1" applyFill="1" applyBorder="1"/>
    <xf numFmtId="164" fontId="2" fillId="0" borderId="11" xfId="1" applyNumberFormat="1" applyFont="1" applyBorder="1"/>
    <xf numFmtId="164" fontId="2" fillId="0" borderId="13" xfId="1" applyNumberFormat="1" applyFont="1" applyBorder="1"/>
    <xf numFmtId="9" fontId="2" fillId="2" borderId="19" xfId="2" applyFont="1" applyFill="1" applyBorder="1" applyAlignment="1">
      <alignment horizontal="right"/>
    </xf>
    <xf numFmtId="9" fontId="2" fillId="2" borderId="20" xfId="2" applyFont="1" applyFill="1" applyBorder="1"/>
    <xf numFmtId="9" fontId="2" fillId="2" borderId="21" xfId="2" applyFont="1" applyFill="1" applyBorder="1"/>
    <xf numFmtId="164" fontId="2" fillId="2" borderId="10" xfId="1" applyNumberFormat="1" applyFont="1" applyFill="1" applyBorder="1" applyAlignment="1"/>
    <xf numFmtId="164" fontId="2" fillId="2" borderId="11" xfId="1" applyNumberFormat="1" applyFont="1" applyFill="1" applyBorder="1" applyAlignment="1"/>
    <xf numFmtId="164" fontId="2" fillId="2" borderId="13" xfId="1" applyNumberFormat="1" applyFont="1" applyFill="1" applyBorder="1" applyAlignment="1"/>
    <xf numFmtId="164" fontId="2" fillId="0" borderId="2" xfId="1" applyNumberFormat="1" applyFont="1" applyFill="1" applyBorder="1"/>
    <xf numFmtId="164" fontId="2" fillId="0" borderId="11" xfId="1" applyNumberFormat="1" applyFont="1" applyFill="1" applyBorder="1"/>
    <xf numFmtId="164" fontId="2" fillId="7" borderId="3" xfId="1" applyNumberFormat="1" applyFont="1" applyFill="1" applyBorder="1"/>
    <xf numFmtId="164" fontId="2" fillId="7" borderId="9" xfId="1" applyNumberFormat="1" applyFont="1" applyFill="1" applyBorder="1"/>
    <xf numFmtId="164" fontId="2" fillId="7" borderId="10" xfId="1" applyNumberFormat="1" applyFont="1" applyFill="1" applyBorder="1"/>
    <xf numFmtId="0" fontId="7" fillId="0" borderId="0" xfId="0" applyFont="1" applyAlignment="1">
      <alignment horizontal="left" vertical="center" wrapText="1"/>
    </xf>
    <xf numFmtId="164" fontId="7" fillId="6" borderId="17" xfId="1" applyNumberFormat="1" applyFont="1" applyFill="1" applyBorder="1" applyAlignment="1">
      <alignment horizontal="center" vertical="center"/>
    </xf>
    <xf numFmtId="164" fontId="2" fillId="0" borderId="2" xfId="1" applyNumberFormat="1" applyFont="1" applyFill="1" applyBorder="1" applyAlignment="1">
      <alignment horizontal="center"/>
    </xf>
    <xf numFmtId="164" fontId="2" fillId="0" borderId="11" xfId="1" applyNumberFormat="1" applyFont="1" applyFill="1" applyBorder="1" applyAlignment="1">
      <alignment horizontal="center" vertical="center"/>
    </xf>
    <xf numFmtId="164" fontId="2" fillId="0" borderId="5" xfId="1" applyNumberFormat="1" applyFont="1" applyFill="1" applyBorder="1"/>
    <xf numFmtId="0" fontId="2" fillId="0" borderId="22" xfId="0" applyFont="1" applyBorder="1"/>
    <xf numFmtId="164" fontId="2" fillId="0" borderId="23" xfId="1" applyNumberFormat="1" applyFont="1" applyBorder="1"/>
    <xf numFmtId="164" fontId="2" fillId="7" borderId="24" xfId="1" applyNumberFormat="1" applyFont="1" applyFill="1" applyBorder="1"/>
    <xf numFmtId="164" fontId="2" fillId="7" borderId="12" xfId="1" applyNumberFormat="1" applyFont="1" applyFill="1" applyBorder="1"/>
    <xf numFmtId="164" fontId="2" fillId="7" borderId="5" xfId="1" applyNumberFormat="1" applyFont="1" applyFill="1" applyBorder="1"/>
    <xf numFmtId="164" fontId="2" fillId="7" borderId="11" xfId="1" applyNumberFormat="1" applyFont="1" applyFill="1" applyBorder="1"/>
    <xf numFmtId="0" fontId="3" fillId="0" borderId="0" xfId="0" applyFont="1" applyAlignment="1">
      <alignment horizontal="left" indent="2"/>
    </xf>
    <xf numFmtId="0" fontId="2" fillId="0" borderId="0" xfId="0" applyFont="1" applyAlignment="1">
      <alignment horizontal="left"/>
    </xf>
    <xf numFmtId="0" fontId="2" fillId="0" borderId="0" xfId="0" applyFont="1" applyAlignment="1">
      <alignment horizontal="left" vertical="center"/>
    </xf>
    <xf numFmtId="0" fontId="0" fillId="0" borderId="22" xfId="0" applyBorder="1"/>
    <xf numFmtId="0" fontId="7" fillId="0" borderId="0" xfId="0" applyFont="1"/>
    <xf numFmtId="0" fontId="2" fillId="0" borderId="22" xfId="0" applyFont="1" applyBorder="1" applyAlignment="1">
      <alignment horizontal="left" indent="2"/>
    </xf>
    <xf numFmtId="0" fontId="2" fillId="0" borderId="22" xfId="0" applyFont="1" applyBorder="1" applyAlignment="1">
      <alignment horizontal="left" vertical="center" wrapText="1" indent="2" shrinkToFit="1"/>
    </xf>
    <xf numFmtId="164" fontId="2" fillId="2" borderId="1" xfId="1" applyNumberFormat="1" applyFont="1" applyFill="1" applyBorder="1" applyAlignment="1"/>
    <xf numFmtId="164" fontId="2" fillId="2" borderId="2" xfId="1" applyNumberFormat="1" applyFont="1" applyFill="1" applyBorder="1" applyAlignment="1"/>
    <xf numFmtId="164" fontId="2" fillId="2" borderId="3" xfId="1" applyNumberFormat="1" applyFont="1" applyFill="1" applyBorder="1" applyAlignment="1"/>
    <xf numFmtId="164" fontId="2" fillId="2" borderId="9" xfId="1" applyNumberFormat="1" applyFont="1" applyFill="1" applyBorder="1" applyAlignment="1"/>
    <xf numFmtId="164" fontId="2" fillId="2" borderId="5" xfId="1" applyNumberFormat="1" applyFont="1" applyFill="1" applyBorder="1" applyAlignment="1"/>
    <xf numFmtId="164" fontId="2" fillId="2" borderId="12" xfId="1" applyNumberFormat="1" applyFont="1" applyFill="1" applyBorder="1" applyAlignment="1"/>
    <xf numFmtId="0" fontId="2" fillId="0" borderId="0" xfId="0" applyFont="1" applyAlignment="1">
      <alignment horizontal="left" vertical="center" wrapText="1" indent="2" shrinkToFit="1"/>
    </xf>
    <xf numFmtId="164" fontId="2" fillId="0" borderId="20" xfId="1" applyNumberFormat="1" applyFont="1" applyFill="1" applyBorder="1" applyAlignment="1">
      <alignment horizontal="center" vertical="center"/>
    </xf>
    <xf numFmtId="9" fontId="2" fillId="0" borderId="11" xfId="2" applyFont="1" applyBorder="1" applyAlignment="1">
      <alignment horizontal="center"/>
    </xf>
    <xf numFmtId="9" fontId="2" fillId="0" borderId="13" xfId="2" applyFont="1" applyBorder="1" applyAlignment="1">
      <alignment horizontal="center"/>
    </xf>
    <xf numFmtId="164" fontId="2" fillId="0" borderId="14" xfId="1" applyNumberFormat="1" applyFont="1" applyBorder="1" applyAlignment="1">
      <alignment horizontal="center"/>
    </xf>
    <xf numFmtId="164" fontId="2" fillId="0" borderId="14" xfId="1" applyNumberFormat="1" applyFont="1" applyFill="1" applyBorder="1" applyAlignment="1">
      <alignment horizontal="center"/>
    </xf>
    <xf numFmtId="164" fontId="2" fillId="2" borderId="16" xfId="1" applyNumberFormat="1" applyFont="1" applyFill="1" applyBorder="1"/>
    <xf numFmtId="164" fontId="2" fillId="2" borderId="17" xfId="1" applyNumberFormat="1" applyFont="1" applyFill="1" applyBorder="1"/>
    <xf numFmtId="164" fontId="2" fillId="2" borderId="18" xfId="1" applyNumberFormat="1" applyFont="1" applyFill="1" applyBorder="1"/>
    <xf numFmtId="0" fontId="2" fillId="0" borderId="0" xfId="0" applyFont="1" applyAlignment="1">
      <alignment horizontal="left" indent="2"/>
    </xf>
    <xf numFmtId="0" fontId="8" fillId="0" borderId="0" xfId="3" applyFont="1"/>
    <xf numFmtId="0" fontId="9" fillId="0" borderId="0" xfId="3" applyFont="1"/>
    <xf numFmtId="0" fontId="10" fillId="0" borderId="0" xfId="3" applyFont="1" applyAlignment="1">
      <alignment horizontal="center"/>
    </xf>
    <xf numFmtId="0" fontId="10" fillId="0" borderId="0" xfId="3" applyFont="1"/>
    <xf numFmtId="164" fontId="10" fillId="0" borderId="1" xfId="1" applyNumberFormat="1" applyFont="1" applyBorder="1"/>
    <xf numFmtId="164" fontId="10" fillId="0" borderId="2" xfId="1" applyNumberFormat="1" applyFont="1" applyBorder="1"/>
    <xf numFmtId="164" fontId="10" fillId="0" borderId="3" xfId="1" applyNumberFormat="1" applyFont="1" applyBorder="1"/>
    <xf numFmtId="164" fontId="10" fillId="0" borderId="9" xfId="1" applyNumberFormat="1" applyFont="1" applyBorder="1"/>
    <xf numFmtId="164" fontId="10" fillId="0" borderId="5" xfId="1" applyNumberFormat="1" applyFont="1" applyBorder="1"/>
    <xf numFmtId="164" fontId="10" fillId="0" borderId="12" xfId="1" applyNumberFormat="1" applyFont="1" applyBorder="1"/>
    <xf numFmtId="164" fontId="10" fillId="0" borderId="10" xfId="1" applyNumberFormat="1" applyFont="1" applyBorder="1"/>
    <xf numFmtId="164" fontId="10" fillId="0" borderId="11" xfId="1" applyNumberFormat="1" applyFont="1" applyBorder="1"/>
    <xf numFmtId="164" fontId="10" fillId="0" borderId="13" xfId="1" applyNumberFormat="1" applyFont="1" applyBorder="1"/>
    <xf numFmtId="0" fontId="11" fillId="0" borderId="0" xfId="3" applyFont="1"/>
    <xf numFmtId="164" fontId="11" fillId="0" borderId="0" xfId="1" applyNumberFormat="1" applyFont="1"/>
    <xf numFmtId="0" fontId="12" fillId="0" borderId="0" xfId="3" applyFont="1" applyAlignment="1">
      <alignment horizontal="left"/>
    </xf>
    <xf numFmtId="0" fontId="12" fillId="0" borderId="0" xfId="3" applyFont="1" applyAlignment="1">
      <alignment horizontal="center"/>
    </xf>
    <xf numFmtId="0" fontId="10" fillId="0" borderId="6" xfId="3" applyFont="1" applyBorder="1"/>
    <xf numFmtId="0" fontId="10" fillId="0" borderId="8" xfId="3" applyFont="1" applyBorder="1"/>
    <xf numFmtId="14" fontId="2" fillId="3" borderId="2" xfId="0" applyNumberFormat="1" applyFont="1" applyFill="1" applyBorder="1" applyAlignment="1">
      <alignment horizontal="center"/>
    </xf>
    <xf numFmtId="14" fontId="2" fillId="3" borderId="5" xfId="0" applyNumberFormat="1" applyFont="1" applyFill="1" applyBorder="1" applyAlignment="1">
      <alignment horizontal="center"/>
    </xf>
    <xf numFmtId="164" fontId="2" fillId="0" borderId="0" xfId="0" applyNumberFormat="1" applyFont="1"/>
    <xf numFmtId="0" fontId="13" fillId="8" borderId="0" xfId="0" applyFont="1" applyFill="1"/>
    <xf numFmtId="0" fontId="2" fillId="0" borderId="0" xfId="0" applyFont="1" applyAlignment="1">
      <alignment vertical="center" wrapText="1"/>
    </xf>
    <xf numFmtId="164" fontId="2" fillId="7" borderId="2" xfId="1" applyNumberFormat="1" applyFont="1" applyFill="1" applyBorder="1"/>
    <xf numFmtId="164" fontId="2" fillId="0" borderId="9" xfId="1" applyNumberFormat="1" applyFont="1" applyFill="1" applyBorder="1"/>
    <xf numFmtId="164" fontId="2" fillId="8" borderId="12" xfId="1" applyNumberFormat="1" applyFont="1" applyFill="1" applyBorder="1"/>
    <xf numFmtId="164" fontId="2" fillId="9" borderId="13" xfId="1" applyNumberFormat="1" applyFont="1" applyFill="1" applyBorder="1"/>
    <xf numFmtId="1" fontId="2" fillId="0" borderId="0" xfId="0" applyNumberFormat="1" applyFont="1"/>
    <xf numFmtId="17" fontId="2" fillId="3" borderId="5" xfId="0" applyNumberFormat="1" applyFont="1" applyFill="1" applyBorder="1" applyAlignment="1">
      <alignment horizontal="center"/>
    </xf>
    <xf numFmtId="164" fontId="2" fillId="7" borderId="0" xfId="1" applyNumberFormat="1" applyFont="1" applyFill="1" applyBorder="1"/>
    <xf numFmtId="164" fontId="2" fillId="9" borderId="0" xfId="1" applyNumberFormat="1" applyFont="1" applyFill="1" applyBorder="1"/>
    <xf numFmtId="37" fontId="10" fillId="0" borderId="9" xfId="1" applyNumberFormat="1" applyFont="1" applyBorder="1"/>
    <xf numFmtId="0" fontId="2" fillId="0" borderId="26" xfId="0" applyFont="1" applyBorder="1" applyAlignment="1">
      <alignment horizontal="left" vertical="center" wrapText="1"/>
    </xf>
    <xf numFmtId="164" fontId="2" fillId="0" borderId="24" xfId="1" applyNumberFormat="1" applyFont="1" applyFill="1" applyBorder="1"/>
    <xf numFmtId="164" fontId="2" fillId="0" borderId="12" xfId="1" applyNumberFormat="1" applyFont="1" applyFill="1" applyBorder="1"/>
    <xf numFmtId="166" fontId="2" fillId="0" borderId="1" xfId="1" applyNumberFormat="1" applyFont="1" applyFill="1" applyBorder="1"/>
    <xf numFmtId="166" fontId="2" fillId="0" borderId="2" xfId="1" applyNumberFormat="1" applyFont="1" applyBorder="1"/>
    <xf numFmtId="166" fontId="2" fillId="0" borderId="23" xfId="1" applyNumberFormat="1" applyFont="1" applyBorder="1"/>
    <xf numFmtId="166" fontId="3" fillId="5" borderId="0" xfId="1" applyNumberFormat="1" applyFont="1" applyFill="1" applyBorder="1"/>
    <xf numFmtId="9" fontId="2" fillId="0" borderId="13" xfId="2" applyFont="1" applyFill="1" applyBorder="1" applyAlignment="1">
      <alignment horizontal="center"/>
    </xf>
    <xf numFmtId="164" fontId="2" fillId="0" borderId="17" xfId="1" applyNumberFormat="1" applyFont="1" applyFill="1" applyBorder="1"/>
    <xf numFmtId="0" fontId="0" fillId="8" borderId="0" xfId="0" applyFill="1"/>
    <xf numFmtId="164" fontId="2" fillId="9" borderId="3" xfId="1" applyNumberFormat="1" applyFont="1" applyFill="1" applyBorder="1" applyAlignment="1">
      <alignment horizontal="center"/>
    </xf>
    <xf numFmtId="164" fontId="2" fillId="10" borderId="24" xfId="1" applyNumberFormat="1" applyFont="1" applyFill="1" applyBorder="1"/>
    <xf numFmtId="3" fontId="14" fillId="0" borderId="0" xfId="0" applyNumberFormat="1" applyFont="1" applyAlignment="1">
      <alignment vertical="center"/>
    </xf>
    <xf numFmtId="0" fontId="2" fillId="2" borderId="6" xfId="0" applyFont="1" applyFill="1" applyBorder="1"/>
    <xf numFmtId="0" fontId="2" fillId="2" borderId="8" xfId="0" applyFont="1" applyFill="1" applyBorder="1"/>
    <xf numFmtId="0" fontId="2" fillId="2" borderId="28" xfId="0" quotePrefix="1" applyFont="1" applyFill="1" applyBorder="1"/>
    <xf numFmtId="0" fontId="2" fillId="2" borderId="7" xfId="0" applyFont="1" applyFill="1" applyBorder="1" applyAlignment="1">
      <alignment horizontal="center"/>
    </xf>
    <xf numFmtId="0" fontId="2" fillId="2" borderId="28" xfId="0" applyFont="1" applyFill="1" applyBorder="1"/>
    <xf numFmtId="0" fontId="2" fillId="0" borderId="0" xfId="0" applyFont="1" applyAlignment="1">
      <alignment horizontal="left" vertical="center" wrapText="1"/>
    </xf>
    <xf numFmtId="10" fontId="2" fillId="3" borderId="3" xfId="0" applyNumberFormat="1" applyFont="1" applyFill="1" applyBorder="1" applyAlignment="1">
      <alignment horizontal="center"/>
    </xf>
    <xf numFmtId="10" fontId="2" fillId="3" borderId="12" xfId="0" applyNumberFormat="1" applyFont="1" applyFill="1" applyBorder="1" applyAlignment="1">
      <alignment horizontal="center"/>
    </xf>
    <xf numFmtId="0" fontId="6" fillId="0" borderId="7" xfId="0" applyFont="1" applyBorder="1" applyAlignment="1">
      <alignment horizontal="center"/>
    </xf>
    <xf numFmtId="0" fontId="6" fillId="0" borderId="15" xfId="0" applyFont="1" applyBorder="1" applyAlignment="1">
      <alignment horizontal="center"/>
    </xf>
    <xf numFmtId="165" fontId="4" fillId="2" borderId="25" xfId="0" applyNumberFormat="1" applyFont="1" applyFill="1" applyBorder="1" applyAlignment="1">
      <alignment horizontal="center" vertical="center"/>
    </xf>
    <xf numFmtId="165" fontId="4" fillId="2" borderId="15" xfId="0" applyNumberFormat="1" applyFont="1" applyFill="1" applyBorder="1" applyAlignment="1">
      <alignment horizontal="center" vertical="center"/>
    </xf>
    <xf numFmtId="0" fontId="2" fillId="0" borderId="0" xfId="0" quotePrefix="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43" fontId="6" fillId="2" borderId="27" xfId="0" applyNumberFormat="1" applyFont="1" applyFill="1" applyBorder="1" applyAlignment="1">
      <alignment horizontal="center" vertical="center"/>
    </xf>
    <xf numFmtId="43" fontId="6" fillId="2" borderId="0" xfId="0" applyNumberFormat="1" applyFont="1" applyFill="1" applyAlignment="1">
      <alignment horizontal="center" vertical="center"/>
    </xf>
    <xf numFmtId="0" fontId="2" fillId="0" borderId="26" xfId="0" applyFont="1" applyBorder="1" applyAlignment="1">
      <alignment horizontal="left" vertical="center" wrapText="1"/>
    </xf>
    <xf numFmtId="0" fontId="2" fillId="0" borderId="29" xfId="0" applyFont="1" applyBorder="1" applyAlignment="1">
      <alignment horizontal="left" vertical="center" wrapText="1"/>
    </xf>
    <xf numFmtId="0" fontId="2" fillId="0" borderId="26" xfId="0" applyFont="1" applyBorder="1" applyAlignment="1">
      <alignment horizontal="left" vertical="top" wrapText="1"/>
    </xf>
  </cellXfs>
  <cellStyles count="4">
    <cellStyle name="Comma" xfId="1" builtinId="3"/>
    <cellStyle name="Normal" xfId="0" builtinId="0"/>
    <cellStyle name="Normal 2" xfId="3" xr:uid="{00000000-0005-0000-0000-000002000000}"/>
    <cellStyle name="Percent" xfId="2" builtinId="5"/>
  </cellStyles>
  <dxfs count="1">
    <dxf>
      <font>
        <condense val="0"/>
        <extend val="0"/>
        <color indexed="1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O40"/>
  <sheetViews>
    <sheetView showGridLines="0" view="pageBreakPreview" topLeftCell="A11" zoomScaleNormal="100" zoomScaleSheetLayoutView="100" workbookViewId="0">
      <selection activeCell="K15" sqref="K15"/>
    </sheetView>
  </sheetViews>
  <sheetFormatPr defaultColWidth="12.140625" defaultRowHeight="15" x14ac:dyDescent="0.25"/>
  <cols>
    <col min="1" max="1" width="50.5703125" style="1" customWidth="1"/>
    <col min="2" max="9" width="14.7109375" style="1" customWidth="1"/>
    <col min="10" max="12" width="12.140625" style="1"/>
    <col min="13" max="13" width="12.140625" style="1" customWidth="1"/>
    <col min="14" max="16384" width="12.140625" style="1"/>
  </cols>
  <sheetData>
    <row r="1" spans="1:15" x14ac:dyDescent="0.25">
      <c r="B1" s="15"/>
      <c r="I1" s="142"/>
    </row>
    <row r="2" spans="1:15" ht="21" x14ac:dyDescent="0.35">
      <c r="A2" s="16" t="s">
        <v>3</v>
      </c>
      <c r="B2" s="161" t="s">
        <v>45</v>
      </c>
      <c r="C2" s="162"/>
      <c r="D2" s="162"/>
      <c r="E2" s="162"/>
      <c r="F2" s="162"/>
      <c r="G2" s="162"/>
      <c r="H2" s="162"/>
      <c r="I2" s="162"/>
    </row>
    <row r="3" spans="1:15" x14ac:dyDescent="0.25">
      <c r="B3" s="15"/>
      <c r="J3" s="46"/>
    </row>
    <row r="4" spans="1:15" ht="18.75" x14ac:dyDescent="0.3">
      <c r="A4" s="9" t="s">
        <v>5</v>
      </c>
      <c r="B4" s="156">
        <v>45808</v>
      </c>
      <c r="C4" s="157"/>
      <c r="I4" s="145"/>
      <c r="J4" s="46"/>
    </row>
    <row r="5" spans="1:15" x14ac:dyDescent="0.25">
      <c r="B5" s="15"/>
      <c r="J5" s="46"/>
    </row>
    <row r="6" spans="1:15" ht="18.75" x14ac:dyDescent="0.3">
      <c r="A6" s="9" t="s">
        <v>86</v>
      </c>
      <c r="B6" s="2">
        <f>C6 - 1</f>
        <v>2020</v>
      </c>
      <c r="C6" s="2">
        <f>'Facility Detail'!$B$761</f>
        <v>2021</v>
      </c>
      <c r="D6" s="2">
        <f t="shared" ref="D6:H6" si="0">C6+1</f>
        <v>2022</v>
      </c>
      <c r="E6" s="2">
        <f t="shared" si="0"/>
        <v>2023</v>
      </c>
      <c r="F6" s="2">
        <f t="shared" si="0"/>
        <v>2024</v>
      </c>
      <c r="G6" s="2">
        <f t="shared" si="0"/>
        <v>2025</v>
      </c>
      <c r="H6" s="2">
        <f t="shared" si="0"/>
        <v>2026</v>
      </c>
      <c r="I6" s="2"/>
      <c r="J6" s="2"/>
      <c r="K6" s="2"/>
      <c r="L6" s="2"/>
      <c r="M6" s="2"/>
      <c r="N6" s="2"/>
      <c r="O6" s="2"/>
    </row>
    <row r="7" spans="1:15" x14ac:dyDescent="0.25">
      <c r="A7" s="82" t="s">
        <v>20</v>
      </c>
      <c r="B7" s="11">
        <v>5461691</v>
      </c>
      <c r="C7" s="11">
        <v>5730588</v>
      </c>
      <c r="D7" s="11">
        <v>5894971</v>
      </c>
      <c r="E7" s="12">
        <v>5739294</v>
      </c>
      <c r="F7" s="12">
        <v>5880681</v>
      </c>
      <c r="G7" s="12">
        <v>5934195</v>
      </c>
      <c r="H7" s="12">
        <v>5988196</v>
      </c>
      <c r="I7" s="143"/>
      <c r="J7" s="143"/>
      <c r="K7" s="143"/>
      <c r="L7" s="143"/>
      <c r="M7" s="143"/>
      <c r="N7" s="143"/>
      <c r="O7" s="143"/>
    </row>
    <row r="8" spans="1:15" x14ac:dyDescent="0.25">
      <c r="A8" s="82" t="s">
        <v>8</v>
      </c>
      <c r="B8" s="92">
        <v>0.15</v>
      </c>
      <c r="C8" s="92">
        <v>0.15</v>
      </c>
      <c r="D8" s="92">
        <v>0.15</v>
      </c>
      <c r="E8" s="93">
        <v>0.15</v>
      </c>
      <c r="F8" s="93">
        <v>0.15</v>
      </c>
      <c r="G8" s="93">
        <v>0.15</v>
      </c>
      <c r="H8" s="93">
        <v>0.15</v>
      </c>
      <c r="I8" s="140"/>
      <c r="J8" s="140"/>
      <c r="K8" s="140"/>
      <c r="L8" s="140"/>
      <c r="M8" s="140"/>
      <c r="N8" s="140"/>
      <c r="O8" s="140"/>
    </row>
    <row r="9" spans="1:15" x14ac:dyDescent="0.25">
      <c r="A9" s="77" t="s">
        <v>7</v>
      </c>
      <c r="B9" s="95">
        <v>846070</v>
      </c>
      <c r="C9" s="94">
        <v>835093</v>
      </c>
      <c r="D9" s="94">
        <f>ROUND( IF( SUM(B7:C7) = 0, 0, AVERAGE(B7:C7) * D8 ),0)</f>
        <v>839421</v>
      </c>
      <c r="E9" s="94">
        <f t="shared" ref="E9" si="1">ROUND( IF( SUM(C7:D7) = 0, 0, AVERAGE(C7:D7) * E8 ),0)</f>
        <v>871917</v>
      </c>
      <c r="F9" s="94">
        <f t="shared" ref="F9" si="2">ROUND( IF( SUM(D7:E7) = 0, 0, AVERAGE(D7:E7) * F8 ),0)</f>
        <v>872570</v>
      </c>
      <c r="G9" s="94">
        <f t="shared" ref="G9" si="3">ROUND( IF( SUM(E7:F7) = 0, 0, AVERAGE(E7:F7) * G8 ),0)</f>
        <v>871498</v>
      </c>
      <c r="H9" s="94">
        <f t="shared" ref="H9" si="4">ROUND( IF( SUM(F7:G7) = 0, 0, AVERAGE(F7:G7) * H8 ),0)</f>
        <v>886116</v>
      </c>
      <c r="I9" s="95"/>
      <c r="J9" s="95"/>
      <c r="K9" s="95"/>
      <c r="L9" s="95"/>
      <c r="M9" s="95"/>
      <c r="N9" s="95"/>
      <c r="O9" s="95"/>
    </row>
    <row r="10" spans="1:15" x14ac:dyDescent="0.25">
      <c r="D10" s="128"/>
      <c r="E10" s="128"/>
      <c r="F10" s="128"/>
      <c r="G10" s="128"/>
      <c r="H10" s="128"/>
      <c r="I10" s="128"/>
      <c r="J10" s="128"/>
      <c r="K10" s="122"/>
      <c r="L10" s="122"/>
      <c r="M10" s="122"/>
      <c r="N10" s="122"/>
      <c r="O10" s="122"/>
    </row>
    <row r="11" spans="1:15" ht="18.75" x14ac:dyDescent="0.3">
      <c r="A11" s="9" t="s">
        <v>83</v>
      </c>
      <c r="B11" s="2">
        <f>C11 - 1</f>
        <v>2020</v>
      </c>
      <c r="C11" s="2">
        <f>'Facility Detail'!$B$761</f>
        <v>2021</v>
      </c>
      <c r="D11" s="2">
        <f>C11+1</f>
        <v>2022</v>
      </c>
      <c r="E11" s="2">
        <f>D11+1</f>
        <v>2023</v>
      </c>
      <c r="F11" s="2">
        <f t="shared" ref="F11" si="5">E11+1</f>
        <v>2024</v>
      </c>
      <c r="G11" s="2">
        <f t="shared" ref="G11:H11" si="6">F11+1</f>
        <v>2025</v>
      </c>
      <c r="H11" s="2">
        <f t="shared" si="6"/>
        <v>2026</v>
      </c>
      <c r="I11" s="2"/>
      <c r="J11" s="2"/>
      <c r="K11" s="2"/>
      <c r="L11" s="2"/>
      <c r="M11" s="2"/>
      <c r="N11" s="2"/>
      <c r="O11" s="2"/>
    </row>
    <row r="12" spans="1:15" x14ac:dyDescent="0.25">
      <c r="A12" s="82" t="s">
        <v>38</v>
      </c>
      <c r="B12" s="13">
        <v>897016</v>
      </c>
      <c r="C12" s="13">
        <f xml:space="preserve"> 'Facility Detail'!D42 + 'Facility Detail'!D79 + 'Facility Detail'!D115 + 'Facility Detail'!D151 + 'Facility Detail'!D187 + 'Facility Detail'!D223 + 'Facility Detail'!D259 + 'Facility Detail'!D295 + 'Facility Detail'!D331 + 'Facility Detail'!D367 + 'Facility Detail'!D403 + 'Facility Detail'!D437 + 'Facility Detail'!D473 + 'Facility Detail'!D509 + 'Facility Detail'!D545 + 'Facility Detail'!D581 + 'Facility Detail'!D617 + 'Facility Detail'!D653 + 'Facility Detail'!D589 + 'Facility Detail'!D724</f>
        <v>876578</v>
      </c>
      <c r="D12" s="13">
        <f xml:space="preserve"> 'Facility Detail'!E42 + 'Facility Detail'!E79 + 'Facility Detail'!E115 + 'Facility Detail'!E151 + 'Facility Detail'!E187 + 'Facility Detail'!E223 + 'Facility Detail'!E259 + 'Facility Detail'!E295 + 'Facility Detail'!E331 + 'Facility Detail'!E367 + 'Facility Detail'!E403 + 'Facility Detail'!E437 + 'Facility Detail'!E473 + 'Facility Detail'!E509 + 'Facility Detail'!E545 + 'Facility Detail'!E581 + 'Facility Detail'!E617 + 'Facility Detail'!E653 + 'Facility Detail'!E589 + 'Facility Detail'!E724</f>
        <v>827903</v>
      </c>
      <c r="E12" s="13">
        <f xml:space="preserve"> 'Facility Detail'!F42 + 'Facility Detail'!F79 + 'Facility Detail'!F115 + 'Facility Detail'!F151 + 'Facility Detail'!F187 + 'Facility Detail'!F223 + 'Facility Detail'!F259 + 'Facility Detail'!F295 + 'Facility Detail'!F331 + 'Facility Detail'!F367 + 'Facility Detail'!F403 + 'Facility Detail'!F437 + 'Facility Detail'!F473 + 'Facility Detail'!F509 + 'Facility Detail'!F545 + 'Facility Detail'!F581 + 'Facility Detail'!F617 + 'Facility Detail'!F653 + 'Facility Detail'!F689 + 'Facility Detail'!F724</f>
        <v>1111060</v>
      </c>
      <c r="F12" s="13">
        <f xml:space="preserve"> 'Facility Detail'!G42 + 'Facility Detail'!G79 + 'Facility Detail'!G115 + 'Facility Detail'!G151 + 'Facility Detail'!G187 + 'Facility Detail'!G223 + 'Facility Detail'!G259 + 'Facility Detail'!G295 + 'Facility Detail'!G331 + 'Facility Detail'!G367 + 'Facility Detail'!G403 + 'Facility Detail'!G437 + 'Facility Detail'!G473 + 'Facility Detail'!G509 + 'Facility Detail'!G545 + 'Facility Detail'!G581 + 'Facility Detail'!G617 + 'Facility Detail'!G653 + 'Facility Detail'!G689 + 'Facility Detail'!G724</f>
        <v>1361215</v>
      </c>
      <c r="G12" s="13">
        <f xml:space="preserve"> 'Facility Detail'!H42 + 'Facility Detail'!H79 + 'Facility Detail'!H115 + 'Facility Detail'!H151 + 'Facility Detail'!H187 + 'Facility Detail'!H223 + 'Facility Detail'!H259 + 'Facility Detail'!H295 + 'Facility Detail'!H331 + 'Facility Detail'!H367 + 'Facility Detail'!H403 + 'Facility Detail'!H437 + 'Facility Detail'!H473 + 'Facility Detail'!H509 + 'Facility Detail'!H545 + 'Facility Detail'!H581 + 'Facility Detail'!H617 + 'Facility Detail'!H653 + 'Facility Detail'!H689 + 'Facility Detail'!H724</f>
        <v>1530945</v>
      </c>
      <c r="H12" s="13">
        <f xml:space="preserve"> 'Facility Detail'!I42 + 'Facility Detail'!I79 + 'Facility Detail'!I115 + 'Facility Detail'!I151 + 'Facility Detail'!I187 + 'Facility Detail'!I223 + 'Facility Detail'!I259 + 'Facility Detail'!I295 + 'Facility Detail'!I331 + 'Facility Detail'!I367 + 'Facility Detail'!I403 + 'Facility Detail'!I437 + 'Facility Detail'!I473 + 'Facility Detail'!I509 + 'Facility Detail'!I545 + 'Facility Detail'!I581 + 'Facility Detail'!I617 + 'Facility Detail'!I653 + 'Facility Detail'!I689 + 'Facility Detail'!I724</f>
        <v>1530945</v>
      </c>
      <c r="I12" s="137"/>
      <c r="J12" s="137"/>
      <c r="K12" s="137"/>
      <c r="L12" s="137"/>
      <c r="M12" s="137"/>
      <c r="N12" s="137"/>
      <c r="O12" s="137"/>
    </row>
    <row r="13" spans="1:15" x14ac:dyDescent="0.25">
      <c r="A13" s="82" t="s">
        <v>36</v>
      </c>
      <c r="B13" s="72">
        <v>82012</v>
      </c>
      <c r="C13" s="72">
        <f xml:space="preserve"> 'Facility Detail'!D47 + 'Facility Detail'!D84 + 'Facility Detail'!D120 + 'Facility Detail'!D156 + 'Facility Detail'!D192 + 'Facility Detail'!D228 + 'Facility Detail'!D264 + 'Facility Detail'!D300 + 'Facility Detail'!D336 + 'Facility Detail'!D372 + 'Facility Detail'!D408 + 'Facility Detail'!D442+'Facility Detail'!D478+'Facility Detail'!D514+'Facility Detail'!D550+'Facility Detail'!D586+'Facility Detail'!D622+'Facility Detail'!D658  + 'Facility Detail'!D694 +'Facility Detail'!D729</f>
        <v>156878</v>
      </c>
      <c r="D13" s="72">
        <f xml:space="preserve"> 'Facility Detail'!E47 + 'Facility Detail'!E84 + 'Facility Detail'!E120 + 'Facility Detail'!E156 + 'Facility Detail'!E192 + 'Facility Detail'!E228 + 'Facility Detail'!E264 + 'Facility Detail'!E300 + 'Facility Detail'!E336 + 'Facility Detail'!E372 + 'Facility Detail'!E408 + 'Facility Detail'!E442+'Facility Detail'!E478+'Facility Detail'!E514+'Facility Detail'!E550+'Facility Detail'!E586+'Facility Detail'!E622+'Facility Detail'!E658  + 'Facility Detail'!E694 +'Facility Detail'!E729</f>
        <v>136136.6</v>
      </c>
      <c r="E13" s="72">
        <f xml:space="preserve"> 'Facility Detail'!F47 + 'Facility Detail'!F84 + 'Facility Detail'!F120 + 'Facility Detail'!F156 + 'Facility Detail'!F192 + 'Facility Detail'!F228 + 'Facility Detail'!F264 + 'Facility Detail'!F300 + 'Facility Detail'!F336 + 'Facility Detail'!F372 + 'Facility Detail'!F408 + 'Facility Detail'!F442+'Facility Detail'!F478+'Facility Detail'!F514+'Facility Detail'!F550+'Facility Detail'!F586+'Facility Detail'!F622+'Facility Detail'!F658  + 'Facility Detail'!F694 +'Facility Detail'!F729</f>
        <v>128183</v>
      </c>
      <c r="F13" s="72">
        <f xml:space="preserve"> 'Facility Detail'!G47 + 'Facility Detail'!G84 + 'Facility Detail'!G120 + 'Facility Detail'!G156 + 'Facility Detail'!G192 + 'Facility Detail'!G228 + 'Facility Detail'!G264 + 'Facility Detail'!G300 + 'Facility Detail'!G336 + 'Facility Detail'!G372 + 'Facility Detail'!G408 + 'Facility Detail'!G442+'Facility Detail'!G478+'Facility Detail'!G514+'Facility Detail'!G550+'Facility Detail'!G586+'Facility Detail'!G622+'Facility Detail'!G658  + 'Facility Detail'!G694 +'Facility Detail'!G729</f>
        <v>148744.6</v>
      </c>
      <c r="G13" s="72">
        <f xml:space="preserve"> 'Facility Detail'!H47 + 'Facility Detail'!H84 + 'Facility Detail'!H120 + 'Facility Detail'!H156 + 'Facility Detail'!H192 + 'Facility Detail'!H228 + 'Facility Detail'!H264 + 'Facility Detail'!H300 + 'Facility Detail'!H336 + 'Facility Detail'!H372 + 'Facility Detail'!H408 + 'Facility Detail'!H442+'Facility Detail'!H478+'Facility Detail'!H514+'Facility Detail'!H550+'Facility Detail'!H586+'Facility Detail'!H622+'Facility Detail'!H658  + 'Facility Detail'!H694 +'Facility Detail'!H729</f>
        <v>131665</v>
      </c>
      <c r="H13" s="72">
        <f xml:space="preserve"> 'Facility Detail'!I47 + 'Facility Detail'!I84 + 'Facility Detail'!I120 + 'Facility Detail'!I156 + 'Facility Detail'!I192 + 'Facility Detail'!I228 + 'Facility Detail'!I264 + 'Facility Detail'!I300 + 'Facility Detail'!I336 + 'Facility Detail'!I372 + 'Facility Detail'!I408 + 'Facility Detail'!I442+'Facility Detail'!I478+'Facility Detail'!I514+'Facility Detail'!I550+'Facility Detail'!I586+'Facility Detail'!I622+'Facility Detail'!I658  + 'Facility Detail'!I694 +'Facility Detail'!I729</f>
        <v>131665</v>
      </c>
      <c r="I13" s="138"/>
      <c r="J13" s="138"/>
      <c r="K13" s="138"/>
      <c r="L13" s="138"/>
      <c r="M13" s="138"/>
      <c r="N13" s="138"/>
      <c r="O13" s="138"/>
    </row>
    <row r="14" spans="1:15" x14ac:dyDescent="0.25">
      <c r="A14" s="77" t="s">
        <v>31</v>
      </c>
      <c r="B14" s="47">
        <f>SUM(B12:B13)</f>
        <v>979028</v>
      </c>
      <c r="C14" s="47">
        <f>SUM(C12:C13)</f>
        <v>1033456</v>
      </c>
      <c r="D14" s="47">
        <f>SUM(D12:D13)</f>
        <v>964039.6</v>
      </c>
      <c r="E14" s="47">
        <f t="shared" ref="E14:G14" si="7">SUM(E12:E13)</f>
        <v>1239243</v>
      </c>
      <c r="F14" s="139">
        <f t="shared" si="7"/>
        <v>1509959.6</v>
      </c>
      <c r="G14" s="47">
        <f t="shared" si="7"/>
        <v>1662610</v>
      </c>
      <c r="H14" s="47">
        <f t="shared" ref="H14" si="8">SUM(H12:H13)</f>
        <v>1662610</v>
      </c>
      <c r="I14" s="29"/>
      <c r="J14" s="29"/>
      <c r="K14" s="29"/>
      <c r="L14" s="29"/>
      <c r="M14" s="29"/>
      <c r="N14" s="29"/>
      <c r="O14" s="29"/>
    </row>
    <row r="15" spans="1:15" x14ac:dyDescent="0.25">
      <c r="A15" s="6"/>
      <c r="B15" s="47"/>
      <c r="C15" s="47"/>
      <c r="D15" s="47"/>
      <c r="E15" s="47"/>
      <c r="F15" s="47"/>
      <c r="G15" s="47"/>
      <c r="H15" s="47"/>
      <c r="I15" s="29"/>
      <c r="J15" s="29"/>
      <c r="K15" s="19"/>
      <c r="L15" s="19"/>
      <c r="M15" s="19"/>
      <c r="N15" s="19"/>
      <c r="O15" s="19"/>
    </row>
    <row r="16" spans="1:15" ht="18.75" x14ac:dyDescent="0.3">
      <c r="A16" s="9" t="s">
        <v>87</v>
      </c>
      <c r="B16" s="2">
        <f>C16 - 1</f>
        <v>2020</v>
      </c>
      <c r="C16" s="2">
        <f>'Facility Detail'!$B$761</f>
        <v>2021</v>
      </c>
      <c r="D16" s="2">
        <f>C16+1</f>
        <v>2022</v>
      </c>
      <c r="E16" s="2">
        <f t="shared" ref="E16" si="9">D16+1</f>
        <v>2023</v>
      </c>
      <c r="F16" s="2">
        <f t="shared" ref="F16" si="10">E16+1</f>
        <v>2024</v>
      </c>
      <c r="G16" s="2">
        <f t="shared" ref="G16:H16" si="11">F16+1</f>
        <v>2025</v>
      </c>
      <c r="H16" s="2">
        <f t="shared" si="11"/>
        <v>2026</v>
      </c>
      <c r="I16" s="2"/>
      <c r="J16" s="2"/>
      <c r="K16" s="2"/>
      <c r="L16" s="2"/>
      <c r="M16" s="2"/>
      <c r="N16" s="2"/>
      <c r="O16" s="2"/>
    </row>
    <row r="17" spans="1:15" x14ac:dyDescent="0.25">
      <c r="A17" s="82" t="s">
        <v>39</v>
      </c>
      <c r="B17" s="68">
        <v>-144967</v>
      </c>
      <c r="C17" s="68">
        <f>( 'Facility Detail'!D50 + 'Facility Detail'!D87 + 'Facility Detail'!D123 + 'Facility Detail'!D159 + 'Facility Detail'!D195 + 'Facility Detail'!D231 + 'Facility Detail'!D267 + 'Facility Detail'!D303 + 'Facility Detail'!D339 + 'Facility Detail'!D375 + 'Facility Detail'!D411 + 'Facility Detail'!D445 + 'Facility Detail'!D461 + 'Facility Detail'!D517 + 'Facility Detail'!D553 + 'Facility Detail'!D589 + 'Facility Detail'!D625 + 'Facility Detail'!D661 + 'Facility Detail'!D697 + 'Facility Detail'!D732)</f>
        <v>-336994</v>
      </c>
      <c r="D17" s="68">
        <f>( 'Facility Detail'!E50 + 'Facility Detail'!E87 + 'Facility Detail'!E123 + 'Facility Detail'!E159 + 'Facility Detail'!E195 + 'Facility Detail'!E231 + 'Facility Detail'!E267 + 'Facility Detail'!E303 + 'Facility Detail'!E339 + 'Facility Detail'!E375 + 'Facility Detail'!E411 + 'Facility Detail'!E445 + 'Facility Detail'!E461 + 'Facility Detail'!E517 + 'Facility Detail'!E553 + 'Facility Detail'!E589 + 'Facility Detail'!E625 + 'Facility Detail'!E661 + 'Facility Detail'!E697 + 'Facility Detail'!E732)</f>
        <v>-287280</v>
      </c>
      <c r="E17" s="68">
        <f>( 'Facility Detail'!F50 + 'Facility Detail'!F87 + 'Facility Detail'!F123 + 'Facility Detail'!F159 + 'Facility Detail'!F195 + 'Facility Detail'!F231 + 'Facility Detail'!F267 + 'Facility Detail'!F303 + 'Facility Detail'!F339 + 'Facility Detail'!F375 + 'Facility Detail'!F411 + 'Facility Detail'!F445 + 'Facility Detail'!F461 + 'Facility Detail'!F517 + 'Facility Detail'!F553 + 'Facility Detail'!F589 + 'Facility Detail'!F625 + 'Facility Detail'!F661 + 'Facility Detail'!F697 + 'Facility Detail'!F732)</f>
        <v>-64690</v>
      </c>
      <c r="F17" s="68">
        <f>( 'Facility Detail'!G50 + 'Facility Detail'!G87 + 'Facility Detail'!G123 + 'Facility Detail'!G159 + 'Facility Detail'!G195 + 'Facility Detail'!G231 + 'Facility Detail'!G267 + 'Facility Detail'!G303 + 'Facility Detail'!G339 + 'Facility Detail'!G375 + 'Facility Detail'!G411 + 'Facility Detail'!G445 + 'Facility Detail'!G461 + 'Facility Detail'!G517 + 'Facility Detail'!G553 + 'Facility Detail'!G589 + 'Facility Detail'!G625 + 'Facility Detail'!G661 + 'Facility Detail'!G697 + 'Facility Detail'!G732)</f>
        <v>-140957</v>
      </c>
      <c r="G17" s="68">
        <f>( 'Facility Detail'!H50 + 'Facility Detail'!H87 + 'Facility Detail'!H123 + 'Facility Detail'!H159 + 'Facility Detail'!H195 + 'Facility Detail'!H231 + 'Facility Detail'!H267 + 'Facility Detail'!H303 + 'Facility Detail'!H339 + 'Facility Detail'!H375 + 'Facility Detail'!H411 + 'Facility Detail'!H445 + 'Facility Detail'!H461 + 'Facility Detail'!H517 + 'Facility Detail'!H553 + 'Facility Detail'!H589 + 'Facility Detail'!H625 + 'Facility Detail'!H661 + 'Facility Detail'!H697 + 'Facility Detail'!H732)</f>
        <v>-50827</v>
      </c>
      <c r="H17" s="68">
        <f>( 'Facility Detail'!I50 + 'Facility Detail'!I87 + 'Facility Detail'!I123 + 'Facility Detail'!I159 + 'Facility Detail'!I195 + 'Facility Detail'!I231 + 'Facility Detail'!I267 + 'Facility Detail'!I303 + 'Facility Detail'!I339 + 'Facility Detail'!I375 + 'Facility Detail'!I411 + 'Facility Detail'!I445 + 'Facility Detail'!I461 + 'Facility Detail'!I517 + 'Facility Detail'!I553 + 'Facility Detail'!I589 + 'Facility Detail'!I625 + 'Facility Detail'!I661 + 'Facility Detail'!I697 + 'Facility Detail'!I732)</f>
        <v>-50827</v>
      </c>
      <c r="I17" s="68"/>
      <c r="J17" s="68"/>
      <c r="K17" s="68"/>
      <c r="L17" s="68"/>
      <c r="M17" s="68"/>
      <c r="N17" s="68"/>
      <c r="O17" s="68"/>
    </row>
    <row r="18" spans="1:15" x14ac:dyDescent="0.25">
      <c r="A18" s="83" t="s">
        <v>29</v>
      </c>
      <c r="B18" s="91">
        <v>0</v>
      </c>
      <c r="C18" s="91">
        <f xml:space="preserve"> -1 * ( 'Facility Detail'!D51 + 'Facility Detail'!D88 + 'Facility Detail'!D124 + 'Facility Detail'!D160 + 'Facility Detail'!D196 + 'Facility Detail'!D232 + 'Facility Detail'!D268 + 'Facility Detail'!D304 + 'Facility Detail'!D340 + 'Facility Detail'!D376 + 'Facility Detail'!D412)</f>
        <v>0</v>
      </c>
      <c r="D18" s="91">
        <f xml:space="preserve"> -1 * ( 'Facility Detail'!E51 + 'Facility Detail'!E88 + 'Facility Detail'!E124 + 'Facility Detail'!E160 + 'Facility Detail'!E196 + 'Facility Detail'!E232 + 'Facility Detail'!E268 + 'Facility Detail'!E304 + 'Facility Detail'!E340 + 'Facility Detail'!E376 + 'Facility Detail'!E412)</f>
        <v>0</v>
      </c>
      <c r="E18" s="91">
        <f xml:space="preserve"> -1 * ( 'Facility Detail'!F51 + 'Facility Detail'!F88 + 'Facility Detail'!F124 + 'Facility Detail'!F160 + 'Facility Detail'!F196 + 'Facility Detail'!F232 + 'Facility Detail'!F268 + 'Facility Detail'!F304 + 'Facility Detail'!F340 + 'Facility Detail'!F376 + 'Facility Detail'!F412)</f>
        <v>0</v>
      </c>
      <c r="F18" s="91">
        <f xml:space="preserve"> -1 * ( 'Facility Detail'!G51 + 'Facility Detail'!G88 + 'Facility Detail'!G124 + 'Facility Detail'!G160 + 'Facility Detail'!G196 + 'Facility Detail'!G232 + 'Facility Detail'!G268 + 'Facility Detail'!G304 + 'Facility Detail'!G340 + 'Facility Detail'!G376 + 'Facility Detail'!G412)</f>
        <v>0</v>
      </c>
      <c r="G18" s="91">
        <f xml:space="preserve"> -1 * ( 'Facility Detail'!H51 + 'Facility Detail'!H88 + 'Facility Detail'!H124 + 'Facility Detail'!H160 + 'Facility Detail'!H196 + 'Facility Detail'!H232 + 'Facility Detail'!H268 + 'Facility Detail'!H304 + 'Facility Detail'!H340 + 'Facility Detail'!H376 + 'Facility Detail'!H412)</f>
        <v>0</v>
      </c>
      <c r="H18" s="91">
        <f xml:space="preserve"> -1 * ( 'Facility Detail'!I51 + 'Facility Detail'!I88 + 'Facility Detail'!I124 + 'Facility Detail'!I160 + 'Facility Detail'!I196 + 'Facility Detail'!I232 + 'Facility Detail'!I268 + 'Facility Detail'!I304 + 'Facility Detail'!I340 + 'Facility Detail'!I376 + 'Facility Detail'!I412 + 'Facility Detail'!I446 + 'Facility Detail'!I482 + 'Facility Detail'!I518 + 'Facility Detail'!I554 + 'Facility Detail'!I590 + 'Facility Detail'!I626 + 'Facility Detail'!I662 + 'Facility Detail'!I698)</f>
        <v>0</v>
      </c>
      <c r="I18" s="91"/>
      <c r="J18" s="68"/>
      <c r="K18" s="68"/>
      <c r="L18" s="68"/>
      <c r="M18" s="68"/>
      <c r="N18" s="68"/>
      <c r="O18" s="68"/>
    </row>
    <row r="19" spans="1:15" x14ac:dyDescent="0.25">
      <c r="A19" s="90" t="s">
        <v>88</v>
      </c>
      <c r="B19" s="69">
        <v>-9280</v>
      </c>
      <c r="C19" s="69">
        <f>( 'Facility Detail'!D52 + 'Facility Detail'!D89 + 'Facility Detail'!D125 + 'Facility Detail'!D161 + 'Facility Detail'!D197 + 'Facility Detail'!D233 + 'Facility Detail'!D269 + 'Facility Detail'!D305 + 'Facility Detail'!D341 + 'Facility Detail'!D377 + 'Facility Detail'!D413 + 'Facility Detail'!D447 + 'Facility Detail'!D463 + 'Facility Detail'!D519 + 'Facility Detail'!D555 + 'Facility Detail'!D591 + 'Facility Detail'!D627 + 'Facility Detail'!D663 + 'Facility Detail'!D699 + 'Facility Detail'!D734)</f>
        <v>-35836</v>
      </c>
      <c r="D19" s="69">
        <f>( 'Facility Detail'!E52 + 'Facility Detail'!E89 + 'Facility Detail'!E125 + 'Facility Detail'!E161 + 'Facility Detail'!E197 + 'Facility Detail'!E233 + 'Facility Detail'!E269 + 'Facility Detail'!E305 + 'Facility Detail'!E341 + 'Facility Detail'!E377 + 'Facility Detail'!E413 + 'Facility Detail'!E447 + 'Facility Detail'!E463 + 'Facility Detail'!E519 + 'Facility Detail'!E555 + 'Facility Detail'!E591 + 'Facility Detail'!E627 + 'Facility Detail'!E663 + 'Facility Detail'!E699 + 'Facility Detail'!E734)</f>
        <v>-19253</v>
      </c>
      <c r="E19" s="69">
        <f>( 'Facility Detail'!F52 + 'Facility Detail'!F89 + 'Facility Detail'!F125 + 'Facility Detail'!F161 + 'Facility Detail'!F197 + 'Facility Detail'!F233 + 'Facility Detail'!F269 + 'Facility Detail'!F305 + 'Facility Detail'!F341 + 'Facility Detail'!F377 + 'Facility Detail'!F413 + 'Facility Detail'!F447 + 'Facility Detail'!F463 + 'Facility Detail'!F519 + 'Facility Detail'!F555 + 'Facility Detail'!F591 + 'Facility Detail'!F627 + 'Facility Detail'!F663 + 'Facility Detail'!F699 + 'Facility Detail'!F734)</f>
        <v>-3497</v>
      </c>
      <c r="F19" s="69">
        <f>( 'Facility Detail'!G52 + 'Facility Detail'!G89 + 'Facility Detail'!G125 + 'Facility Detail'!G161 + 'Facility Detail'!G197 + 'Facility Detail'!G233 + 'Facility Detail'!G269 + 'Facility Detail'!G305 + 'Facility Detail'!G341 + 'Facility Detail'!G377 + 'Facility Detail'!G413 + 'Facility Detail'!G447 + 'Facility Detail'!G463 + 'Facility Detail'!G519 + 'Facility Detail'!G555 + 'Facility Detail'!G591 + 'Facility Detail'!G627 + 'Facility Detail'!G663 + 'Facility Detail'!G699 + 'Facility Detail'!G734)</f>
        <v>-19</v>
      </c>
      <c r="G19" s="69">
        <f>( 'Facility Detail'!H52 + 'Facility Detail'!H89 + 'Facility Detail'!H125 + 'Facility Detail'!H161 + 'Facility Detail'!H197 + 'Facility Detail'!H233 + 'Facility Detail'!H269 + 'Facility Detail'!H305 + 'Facility Detail'!H341 + 'Facility Detail'!H377 + 'Facility Detail'!H413 + 'Facility Detail'!H447 + 'Facility Detail'!H463 + 'Facility Detail'!H519 + 'Facility Detail'!H555 + 'Facility Detail'!H591 + 'Facility Detail'!H627 + 'Facility Detail'!H663 + 'Facility Detail'!H699 + 'Facility Detail'!H734)</f>
        <v>-19</v>
      </c>
      <c r="H19" s="69">
        <f>( 'Facility Detail'!I52 + 'Facility Detail'!I89 + 'Facility Detail'!I125 + 'Facility Detail'!I161 + 'Facility Detail'!I197 + 'Facility Detail'!I233 + 'Facility Detail'!I269 + 'Facility Detail'!I305 + 'Facility Detail'!I341 + 'Facility Detail'!I377 + 'Facility Detail'!I413 + 'Facility Detail'!I447 + 'Facility Detail'!I463 + 'Facility Detail'!I519 + 'Facility Detail'!I555 + 'Facility Detail'!I591 + 'Facility Detail'!I627 + 'Facility Detail'!I663 + 'Facility Detail'!I699 + 'Facility Detail'!I734)</f>
        <v>-19</v>
      </c>
      <c r="I19" s="69"/>
      <c r="J19" s="68"/>
      <c r="K19" s="68"/>
      <c r="L19" s="68"/>
      <c r="M19" s="68"/>
      <c r="N19" s="68"/>
      <c r="O19" s="68"/>
    </row>
    <row r="20" spans="1:15" x14ac:dyDescent="0.25">
      <c r="A20" s="77" t="str">
        <f>'Facility Detail'!B53</f>
        <v>Total Sold / Transferred / Unrealized</v>
      </c>
      <c r="B20" s="18">
        <f>SUM(B17:B19)</f>
        <v>-154247</v>
      </c>
      <c r="C20" s="18">
        <f>SUM(C17:C19)</f>
        <v>-372830</v>
      </c>
      <c r="D20" s="18">
        <f>SUM(D17:D19)</f>
        <v>-306533</v>
      </c>
      <c r="E20" s="18">
        <f t="shared" ref="E20:G20" si="12">SUM(E17:E19)</f>
        <v>-68187</v>
      </c>
      <c r="F20" s="18">
        <f t="shared" si="12"/>
        <v>-140976</v>
      </c>
      <c r="G20" s="18">
        <f t="shared" si="12"/>
        <v>-50846</v>
      </c>
      <c r="H20" s="18">
        <f t="shared" ref="H20" si="13">SUM(H17:H19)</f>
        <v>-50846</v>
      </c>
      <c r="I20" s="18"/>
      <c r="J20" s="18"/>
      <c r="K20" s="18"/>
      <c r="L20" s="18"/>
      <c r="M20" s="18"/>
      <c r="N20" s="18"/>
      <c r="O20" s="18"/>
    </row>
    <row r="21" spans="1:15" x14ac:dyDescent="0.25">
      <c r="B21" s="17"/>
      <c r="C21" s="17"/>
      <c r="D21" s="17"/>
      <c r="E21" s="17"/>
      <c r="F21" s="17"/>
      <c r="G21" s="17"/>
      <c r="H21" s="17"/>
      <c r="I21" s="17"/>
      <c r="J21" s="17"/>
      <c r="K21" s="17"/>
      <c r="L21" s="17"/>
      <c r="M21" s="17"/>
      <c r="N21" s="17"/>
      <c r="O21" s="17"/>
    </row>
    <row r="22" spans="1:15" ht="18.75" x14ac:dyDescent="0.3">
      <c r="A22" s="9" t="s">
        <v>43</v>
      </c>
      <c r="B22" s="2">
        <f>C22 - 1</f>
        <v>2020</v>
      </c>
      <c r="C22" s="2">
        <f>'Facility Detail'!$B$761</f>
        <v>2021</v>
      </c>
      <c r="D22" s="2">
        <f>C22+1</f>
        <v>2022</v>
      </c>
      <c r="E22" s="2">
        <f t="shared" ref="E22" si="14">D22+1</f>
        <v>2023</v>
      </c>
      <c r="F22" s="2">
        <f t="shared" ref="F22" si="15">E22+1</f>
        <v>2024</v>
      </c>
      <c r="G22" s="2">
        <f t="shared" ref="G22:H22" si="16">F22+1</f>
        <v>2025</v>
      </c>
      <c r="H22" s="2">
        <f t="shared" si="16"/>
        <v>2026</v>
      </c>
      <c r="I22" s="2"/>
      <c r="J22" s="2"/>
      <c r="K22" s="2"/>
      <c r="L22" s="2"/>
      <c r="M22" s="2"/>
      <c r="N22" s="2"/>
      <c r="O22" s="2"/>
    </row>
    <row r="23" spans="1:15" x14ac:dyDescent="0.25">
      <c r="A23" s="99" t="str">
        <f xml:space="preserve"> 'Facility Detail'!$B$761 &amp; " Surplus Applied to " &amp; ( 'Facility Detail'!$B$761 + 1 )</f>
        <v>2021 Surplus Applied to 2022</v>
      </c>
      <c r="B23" s="73"/>
      <c r="C23" s="134"/>
      <c r="D23" s="134"/>
      <c r="E23" s="73"/>
      <c r="F23" s="73"/>
      <c r="G23" s="73"/>
      <c r="H23" s="73"/>
      <c r="I23" s="144"/>
      <c r="J23" s="144"/>
      <c r="K23" s="144"/>
      <c r="L23" s="144"/>
      <c r="M23" s="144"/>
      <c r="N23" s="144"/>
      <c r="O23" s="144"/>
    </row>
    <row r="24" spans="1:15" x14ac:dyDescent="0.25">
      <c r="A24" s="99" t="str">
        <f xml:space="preserve"> ( 'Facility Detail'!$B$761 + 1 ) &amp; " Surplus Applied to " &amp; ( 'Facility Detail'!$B$761 )</f>
        <v>2022 Surplus Applied to 2021</v>
      </c>
      <c r="B24" s="73"/>
      <c r="C24" s="134"/>
      <c r="D24" s="134"/>
      <c r="E24" s="73"/>
      <c r="F24" s="73"/>
      <c r="G24" s="73"/>
      <c r="H24" s="73"/>
      <c r="I24" s="144"/>
      <c r="J24" s="144"/>
      <c r="K24" s="144"/>
      <c r="L24" s="144"/>
      <c r="M24" s="144"/>
      <c r="N24" s="144"/>
      <c r="O24" s="144"/>
    </row>
    <row r="25" spans="1:15" x14ac:dyDescent="0.25">
      <c r="A25" s="99" t="str">
        <f xml:space="preserve"> ( 'Facility Detail'!$B$761 + 1 ) &amp; " Surplus Applied to " &amp; ( 'Facility Detail'!$B$761 + 2 )</f>
        <v>2022 Surplus Applied to 2023</v>
      </c>
      <c r="B25" s="73"/>
      <c r="C25" s="73"/>
      <c r="D25" s="134"/>
      <c r="E25" s="134"/>
      <c r="F25" s="73"/>
      <c r="G25" s="73"/>
      <c r="H25" s="73"/>
      <c r="I25" s="144"/>
      <c r="J25" s="144"/>
      <c r="K25" s="144"/>
      <c r="L25" s="144"/>
      <c r="M25" s="144"/>
      <c r="N25" s="144"/>
      <c r="O25" s="144"/>
    </row>
    <row r="26" spans="1:15" x14ac:dyDescent="0.25">
      <c r="A26" s="99" t="str">
        <f xml:space="preserve"> ( 'Facility Detail'!$B$761 + 2 ) &amp; " Surplus Applied to " &amp; ( 'Facility Detail'!$B$761 + 1 )</f>
        <v>2023 Surplus Applied to 2022</v>
      </c>
      <c r="B26" s="73"/>
      <c r="C26" s="73"/>
      <c r="D26" s="134"/>
      <c r="E26" s="134"/>
      <c r="F26" s="73"/>
      <c r="G26" s="73"/>
      <c r="H26" s="73"/>
      <c r="I26" s="144"/>
      <c r="J26" s="144"/>
      <c r="K26" s="144"/>
      <c r="L26" s="144"/>
      <c r="M26" s="144"/>
      <c r="N26" s="144"/>
      <c r="O26" s="144"/>
    </row>
    <row r="27" spans="1:15" x14ac:dyDescent="0.25">
      <c r="A27" s="99" t="str">
        <f xml:space="preserve"> ( 'Facility Detail'!$B$761 + 2 ) &amp; " Surplus Applied to " &amp; ( 'Facility Detail'!$B$761 + 3 )</f>
        <v>2023 Surplus Applied to 2024</v>
      </c>
      <c r="B27" s="73"/>
      <c r="C27" s="73"/>
      <c r="D27" s="73"/>
      <c r="E27" s="134">
        <f>-F27</f>
        <v>0</v>
      </c>
      <c r="F27" s="134">
        <f>'Facility Detail'!G458</f>
        <v>0</v>
      </c>
      <c r="G27" s="73"/>
      <c r="H27" s="73"/>
      <c r="I27" s="144"/>
      <c r="J27" s="144"/>
      <c r="K27" s="144"/>
      <c r="L27" s="144"/>
      <c r="M27" s="144"/>
      <c r="N27" s="144"/>
      <c r="O27" s="144"/>
    </row>
    <row r="28" spans="1:15" x14ac:dyDescent="0.25">
      <c r="A28" s="99" t="str">
        <f xml:space="preserve"> ( 'Facility Detail'!$B$761 + 3 ) &amp; " Surplus Applied to " &amp; ( 'Facility Detail'!$B$761 + 2 )</f>
        <v>2024 Surplus Applied to 2023</v>
      </c>
      <c r="B28" s="73"/>
      <c r="C28" s="73"/>
      <c r="D28" s="73"/>
      <c r="E28" s="134"/>
      <c r="F28" s="134"/>
      <c r="G28" s="73"/>
      <c r="H28" s="144"/>
      <c r="I28" s="144"/>
      <c r="J28" s="144"/>
      <c r="K28" s="144"/>
      <c r="L28" s="144"/>
      <c r="M28" s="144"/>
      <c r="N28" s="144"/>
      <c r="O28" s="144"/>
    </row>
    <row r="29" spans="1:15" x14ac:dyDescent="0.25">
      <c r="A29" s="99" t="str">
        <f xml:space="preserve"> ( 'Facility Detail'!$B$761 + 3 ) &amp; " Surplus Applied to " &amp; ( 'Facility Detail'!$B$761 + 4 )</f>
        <v>2024 Surplus Applied to 2025</v>
      </c>
      <c r="B29" s="73"/>
      <c r="C29" s="73"/>
      <c r="D29" s="73"/>
      <c r="E29" s="73"/>
      <c r="F29" s="134"/>
      <c r="G29" s="134"/>
      <c r="H29" s="144"/>
      <c r="I29" s="144"/>
      <c r="J29" s="144"/>
      <c r="K29" s="144"/>
      <c r="L29" s="144"/>
      <c r="M29" s="144"/>
      <c r="N29" s="144"/>
      <c r="O29" s="144"/>
    </row>
    <row r="30" spans="1:15" x14ac:dyDescent="0.25">
      <c r="A30" s="77" t="s">
        <v>125</v>
      </c>
      <c r="B30" s="141">
        <v>21290</v>
      </c>
      <c r="C30" s="141">
        <v>648256</v>
      </c>
      <c r="D30" s="141">
        <v>363533</v>
      </c>
      <c r="E30" s="141">
        <f t="shared" ref="C30:H30" si="17">SUM(E23:E29)</f>
        <v>0</v>
      </c>
      <c r="F30" s="141">
        <f t="shared" si="17"/>
        <v>0</v>
      </c>
      <c r="G30" s="141">
        <f t="shared" si="17"/>
        <v>0</v>
      </c>
      <c r="H30" s="141">
        <f t="shared" si="17"/>
        <v>0</v>
      </c>
      <c r="I30" s="141"/>
      <c r="J30" s="141"/>
      <c r="K30" s="141"/>
      <c r="L30" s="141"/>
      <c r="M30" s="141"/>
      <c r="N30" s="141"/>
      <c r="O30" s="141"/>
    </row>
    <row r="31" spans="1:15" x14ac:dyDescent="0.25">
      <c r="A31" s="77"/>
      <c r="B31" s="30"/>
      <c r="C31" s="30"/>
      <c r="D31" s="30"/>
      <c r="E31" s="30"/>
      <c r="F31" s="30"/>
      <c r="G31" s="30"/>
      <c r="H31" s="30"/>
      <c r="I31" s="19"/>
      <c r="J31" s="19"/>
      <c r="K31" s="19"/>
      <c r="L31" s="19"/>
      <c r="M31" s="19"/>
      <c r="N31" s="19"/>
      <c r="O31" s="19"/>
    </row>
    <row r="32" spans="1:15" x14ac:dyDescent="0.25">
      <c r="A32" s="77" t="s">
        <v>21</v>
      </c>
      <c r="B32" s="141">
        <v>0</v>
      </c>
      <c r="C32" s="141">
        <f xml:space="preserve"> 'Facility Detail'!D66 + 'Facility Detail'!D102 + 'Facility Detail'!D138 + 'Facility Detail'!D174 + 'Facility Detail'!D210 + 'Facility Detail'!D246 + 'Facility Detail'!D282 + 'Facility Detail'!D318 + 'Facility Detail'!D354 + 'Facility Detail'!D390 + 'Facility Detail'!D426+ 'Facility Detail'!D460+ 'Facility Detail'!D496+ 'Facility Detail'!D532+ 'Facility Detail'!D568+ 'Facility Detail'!D604+ 'Facility Detail'!D640+ 'Facility Detail'!D676+ 'Facility Detail'!D710</f>
        <v>0</v>
      </c>
      <c r="D32" s="141">
        <f xml:space="preserve"> 'Facility Detail'!E66 + 'Facility Detail'!E102 + 'Facility Detail'!E138 + 'Facility Detail'!E174 + 'Facility Detail'!E210 + 'Facility Detail'!E246 + 'Facility Detail'!E282 + 'Facility Detail'!E318 + 'Facility Detail'!E354 + 'Facility Detail'!E390 + 'Facility Detail'!E426+ 'Facility Detail'!E460+ 'Facility Detail'!E496+ 'Facility Detail'!E532+ 'Facility Detail'!E568+ 'Facility Detail'!E604+ 'Facility Detail'!E640+ 'Facility Detail'!E676+ 'Facility Detail'!E710</f>
        <v>0</v>
      </c>
      <c r="E32" s="141">
        <f xml:space="preserve"> 'Facility Detail'!F66 + 'Facility Detail'!F102 + 'Facility Detail'!F138 + 'Facility Detail'!F174 + 'Facility Detail'!F210 + 'Facility Detail'!F246 + 'Facility Detail'!F282 + 'Facility Detail'!F318 + 'Facility Detail'!F354 + 'Facility Detail'!F390 + 'Facility Detail'!F426+ 'Facility Detail'!F460+ 'Facility Detail'!F496+ 'Facility Detail'!F532+ 'Facility Detail'!F568+ 'Facility Detail'!F604+ 'Facility Detail'!F640+ 'Facility Detail'!F676+ 'Facility Detail'!F710</f>
        <v>0</v>
      </c>
      <c r="F32" s="141">
        <f xml:space="preserve"> 'Facility Detail'!G66 + 'Facility Detail'!G102 + 'Facility Detail'!G138 + 'Facility Detail'!G174 + 'Facility Detail'!G210 + 'Facility Detail'!G246 + 'Facility Detail'!G282 + 'Facility Detail'!G318 + 'Facility Detail'!G354 + 'Facility Detail'!G390 + 'Facility Detail'!G426+ 'Facility Detail'!G460+ 'Facility Detail'!G496+ 'Facility Detail'!G532+ 'Facility Detail'!G568+ 'Facility Detail'!G604+ 'Facility Detail'!G640+ 'Facility Detail'!G676+ 'Facility Detail'!G710</f>
        <v>0</v>
      </c>
      <c r="G32" s="141">
        <f xml:space="preserve"> 'Facility Detail'!H66 + 'Facility Detail'!H102 + 'Facility Detail'!H138 + 'Facility Detail'!H174 + 'Facility Detail'!H210 + 'Facility Detail'!H246 + 'Facility Detail'!H282 + 'Facility Detail'!H318 + 'Facility Detail'!H354 + 'Facility Detail'!H390 + 'Facility Detail'!H426+ 'Facility Detail'!H460+ 'Facility Detail'!H496+ 'Facility Detail'!H532+ 'Facility Detail'!H568+ 'Facility Detail'!H604+ 'Facility Detail'!H640+ 'Facility Detail'!H676+ 'Facility Detail'!H710</f>
        <v>0</v>
      </c>
      <c r="H32" s="141">
        <f xml:space="preserve"> 'Facility Detail'!I66 + 'Facility Detail'!I102 + 'Facility Detail'!I138 + 'Facility Detail'!I174 + 'Facility Detail'!I210 + 'Facility Detail'!I246 + 'Facility Detail'!I282 + 'Facility Detail'!I318 + 'Facility Detail'!I354 + 'Facility Detail'!I390 + 'Facility Detail'!I426+ 'Facility Detail'!I460+ 'Facility Detail'!I496+ 'Facility Detail'!I532+ 'Facility Detail'!I568+ 'Facility Detail'!I604+ 'Facility Detail'!I640+ 'Facility Detail'!I676+ 'Facility Detail'!I710</f>
        <v>0</v>
      </c>
      <c r="I32" s="141"/>
      <c r="J32" s="141"/>
      <c r="K32" s="141"/>
      <c r="L32" s="141"/>
      <c r="M32" s="141"/>
      <c r="N32" s="141"/>
      <c r="O32" s="141"/>
    </row>
    <row r="33" spans="1:15" x14ac:dyDescent="0.25">
      <c r="B33" s="2">
        <f>C33 - 1</f>
        <v>2020</v>
      </c>
      <c r="C33" s="2">
        <f>'Facility Detail'!$B$761</f>
        <v>2021</v>
      </c>
      <c r="D33" s="2">
        <f>C33+1</f>
        <v>2022</v>
      </c>
      <c r="E33" s="2">
        <f t="shared" ref="E33:H33" si="18">D33+1</f>
        <v>2023</v>
      </c>
      <c r="F33" s="2">
        <f t="shared" si="18"/>
        <v>2024</v>
      </c>
      <c r="G33" s="2">
        <f t="shared" si="18"/>
        <v>2025</v>
      </c>
      <c r="H33" s="2">
        <f t="shared" si="18"/>
        <v>2026</v>
      </c>
      <c r="I33" s="2"/>
      <c r="J33" s="2"/>
      <c r="K33" s="2"/>
      <c r="L33" s="2"/>
      <c r="M33" s="2"/>
      <c r="N33" s="2"/>
      <c r="O33" s="2"/>
    </row>
    <row r="34" spans="1:15" ht="32.25" customHeight="1" x14ac:dyDescent="0.25">
      <c r="A34" s="66" t="s">
        <v>34</v>
      </c>
      <c r="B34" s="67">
        <f t="shared" ref="B34:H34" si="19">B14 + B20 - B9 + B30 +B32</f>
        <v>1</v>
      </c>
      <c r="C34" s="67">
        <f t="shared" si="19"/>
        <v>473789</v>
      </c>
      <c r="D34" s="67">
        <f t="shared" si="19"/>
        <v>181618.59999999998</v>
      </c>
      <c r="E34" s="67">
        <f t="shared" si="19"/>
        <v>299139</v>
      </c>
      <c r="F34" s="67">
        <f t="shared" si="19"/>
        <v>496413.60000000009</v>
      </c>
      <c r="G34" s="67">
        <f t="shared" si="19"/>
        <v>740266</v>
      </c>
      <c r="H34" s="67">
        <f t="shared" si="19"/>
        <v>725648</v>
      </c>
      <c r="I34" s="67"/>
      <c r="J34" s="67"/>
      <c r="K34" s="67"/>
      <c r="L34" s="67"/>
      <c r="M34" s="67"/>
      <c r="N34" s="67"/>
      <c r="O34" s="67"/>
    </row>
    <row r="35" spans="1:15" x14ac:dyDescent="0.25">
      <c r="D35" s="121"/>
      <c r="E35" s="121"/>
      <c r="F35" s="15"/>
    </row>
    <row r="36" spans="1:15" ht="31.5" customHeight="1" x14ac:dyDescent="0.25">
      <c r="A36" s="158" t="str">
        <f>"* Any surplus shown in " &amp; YEAR( B4 ) &amp; " or " &amp; YEAR( B4 ) + 1 &amp; " may be sold or used for compliance in subsequent years.  Compliance deficits shown" &amp; " in " &amp;  YEAR( B4 ) + 1 &amp; "  may be filled by REC procurement from subsequent years."</f>
        <v>* Any surplus shown in 2025 or 2026 may be sold or used for compliance in subsequent years.  Compliance deficits shown in 2026  may be filled by REC procurement from subsequent years.</v>
      </c>
      <c r="B36" s="158"/>
      <c r="C36" s="158"/>
      <c r="D36" s="158"/>
      <c r="E36" s="158"/>
      <c r="F36" s="158"/>
      <c r="G36" s="158"/>
    </row>
    <row r="37" spans="1:15" ht="96.75" customHeight="1" x14ac:dyDescent="0.25">
      <c r="A37" s="159" t="s">
        <v>90</v>
      </c>
      <c r="B37" s="159"/>
      <c r="C37" s="159"/>
      <c r="D37" s="159"/>
      <c r="E37" s="159"/>
      <c r="F37" s="159"/>
      <c r="G37" s="159"/>
    </row>
    <row r="38" spans="1:15" ht="46.5" customHeight="1" x14ac:dyDescent="0.25">
      <c r="A38" s="160" t="s">
        <v>99</v>
      </c>
      <c r="B38" s="160"/>
      <c r="C38" s="160"/>
      <c r="D38" s="160"/>
      <c r="E38" s="160"/>
      <c r="F38" s="160"/>
      <c r="G38" s="160"/>
    </row>
    <row r="39" spans="1:15" ht="30.75" customHeight="1" x14ac:dyDescent="0.25">
      <c r="A39" s="123"/>
      <c r="B39" s="123"/>
      <c r="C39" s="123"/>
      <c r="D39" s="123"/>
      <c r="E39" s="123"/>
      <c r="F39" s="123"/>
      <c r="G39" s="123"/>
      <c r="H39" s="123"/>
      <c r="I39" s="123"/>
      <c r="J39" s="123"/>
    </row>
    <row r="40" spans="1:15" x14ac:dyDescent="0.25">
      <c r="A40" s="123"/>
      <c r="B40" s="123"/>
      <c r="C40" s="123"/>
      <c r="D40" s="123"/>
      <c r="E40" s="123"/>
      <c r="F40" s="123"/>
      <c r="G40" s="123"/>
      <c r="H40" s="123"/>
      <c r="I40" s="123"/>
    </row>
  </sheetData>
  <mergeCells count="5">
    <mergeCell ref="B4:C4"/>
    <mergeCell ref="A36:G36"/>
    <mergeCell ref="A37:G37"/>
    <mergeCell ref="A38:G38"/>
    <mergeCell ref="B2:I2"/>
  </mergeCells>
  <phoneticPr fontId="5" type="noConversion"/>
  <conditionalFormatting sqref="B34:O34">
    <cfRule type="cellIs" dxfId="0" priority="1" stopIfTrue="1" operator="lessThan">
      <formula>0</formula>
    </cfRule>
  </conditionalFormatting>
  <pageMargins left="0.75" right="0.75" top="1" bottom="1" header="0.5" footer="0.5"/>
  <pageSetup scale="37" orientation="portrait" r:id="rId1"/>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N773"/>
  <sheetViews>
    <sheetView showGridLines="0" tabSelected="1" view="pageBreakPreview" zoomScale="75" zoomScaleNormal="85" zoomScaleSheetLayoutView="75" workbookViewId="0">
      <selection activeCell="C6" sqref="C6"/>
    </sheetView>
  </sheetViews>
  <sheetFormatPr defaultColWidth="9.140625" defaultRowHeight="15" x14ac:dyDescent="0.25"/>
  <cols>
    <col min="1" max="1" width="5.28515625" style="1" customWidth="1"/>
    <col min="2" max="2" width="37.42578125" style="1" customWidth="1"/>
    <col min="3" max="3" width="13.140625" style="1" bestFit="1" customWidth="1"/>
    <col min="4" max="4" width="25.42578125" style="1" customWidth="1"/>
    <col min="5" max="5" width="18.42578125" style="1" customWidth="1"/>
    <col min="6" max="8" width="16.85546875" style="1" customWidth="1"/>
    <col min="9" max="9" width="20.5703125" style="1" bestFit="1" customWidth="1"/>
    <col min="10" max="10" width="17.85546875" style="1" customWidth="1"/>
    <col min="11" max="12" width="14.85546875" style="1" bestFit="1" customWidth="1"/>
    <col min="13" max="13" width="14.85546875" style="1" customWidth="1"/>
    <col min="14" max="14" width="14.7109375" style="1" customWidth="1"/>
    <col min="15" max="22" width="12.140625" style="1" customWidth="1"/>
    <col min="23" max="16384" width="9.140625" style="1"/>
  </cols>
  <sheetData>
    <row r="1" spans="2:9" ht="63" x14ac:dyDescent="0.25">
      <c r="B1" s="31" t="s">
        <v>4</v>
      </c>
      <c r="C1" s="31" t="s">
        <v>22</v>
      </c>
      <c r="D1" s="31" t="s">
        <v>66</v>
      </c>
      <c r="E1" s="31" t="s">
        <v>23</v>
      </c>
      <c r="F1" s="31" t="s">
        <v>24</v>
      </c>
      <c r="G1" s="31" t="s">
        <v>80</v>
      </c>
      <c r="H1" s="31" t="s">
        <v>81</v>
      </c>
      <c r="I1" s="31" t="s">
        <v>126</v>
      </c>
    </row>
    <row r="2" spans="2:9" x14ac:dyDescent="0.25">
      <c r="B2" s="20" t="s">
        <v>46</v>
      </c>
      <c r="C2" s="33" t="s">
        <v>56</v>
      </c>
      <c r="D2" s="23" t="s">
        <v>70</v>
      </c>
      <c r="E2" s="23" t="s">
        <v>1</v>
      </c>
      <c r="F2" s="23" t="s">
        <v>1</v>
      </c>
      <c r="G2" s="119">
        <v>36462</v>
      </c>
      <c r="H2" s="27" t="s">
        <v>82</v>
      </c>
      <c r="I2" s="152">
        <v>0.1086</v>
      </c>
    </row>
    <row r="3" spans="2:9" x14ac:dyDescent="0.25">
      <c r="B3" s="21" t="s">
        <v>47</v>
      </c>
      <c r="C3" s="34" t="s">
        <v>57</v>
      </c>
      <c r="D3" s="24" t="s">
        <v>70</v>
      </c>
      <c r="E3" s="24" t="s">
        <v>1</v>
      </c>
      <c r="F3" s="24" t="s">
        <v>1</v>
      </c>
      <c r="G3" s="120">
        <v>37209</v>
      </c>
      <c r="H3" s="26" t="s">
        <v>82</v>
      </c>
      <c r="I3" s="153">
        <v>4.3999999999999997E-2</v>
      </c>
    </row>
    <row r="4" spans="2:9" x14ac:dyDescent="0.25">
      <c r="B4" s="21" t="s">
        <v>48</v>
      </c>
      <c r="C4" s="34" t="s">
        <v>58</v>
      </c>
      <c r="D4" s="24" t="s">
        <v>70</v>
      </c>
      <c r="E4" s="24" t="s">
        <v>1</v>
      </c>
      <c r="F4" s="24" t="s">
        <v>1</v>
      </c>
      <c r="G4" s="120">
        <v>38065</v>
      </c>
      <c r="H4" s="26" t="s">
        <v>82</v>
      </c>
      <c r="I4" s="153">
        <v>0.1065</v>
      </c>
    </row>
    <row r="5" spans="2:9" x14ac:dyDescent="0.25">
      <c r="B5" s="21" t="s">
        <v>49</v>
      </c>
      <c r="C5" s="34" t="s">
        <v>59</v>
      </c>
      <c r="D5" s="24" t="s">
        <v>70</v>
      </c>
      <c r="E5" s="24" t="s">
        <v>1</v>
      </c>
      <c r="F5" s="24" t="s">
        <v>1</v>
      </c>
      <c r="G5" s="120">
        <v>36977</v>
      </c>
      <c r="H5" s="26" t="s">
        <v>82</v>
      </c>
      <c r="I5" s="153">
        <v>7.7399999999999997E-2</v>
      </c>
    </row>
    <row r="6" spans="2:9" x14ac:dyDescent="0.25">
      <c r="B6" s="21" t="s">
        <v>50</v>
      </c>
      <c r="C6" s="34" t="s">
        <v>60</v>
      </c>
      <c r="D6" s="24" t="s">
        <v>70</v>
      </c>
      <c r="E6" s="24" t="s">
        <v>1</v>
      </c>
      <c r="F6" s="24" t="s">
        <v>1</v>
      </c>
      <c r="G6" s="120">
        <v>39177</v>
      </c>
      <c r="H6" s="26" t="s">
        <v>82</v>
      </c>
      <c r="I6" s="153">
        <v>6.0400000000000002E-2</v>
      </c>
    </row>
    <row r="7" spans="2:9" x14ac:dyDescent="0.25">
      <c r="B7" s="21" t="s">
        <v>51</v>
      </c>
      <c r="C7" s="34" t="s">
        <v>61</v>
      </c>
      <c r="D7" s="24" t="s">
        <v>70</v>
      </c>
      <c r="E7" s="24" t="s">
        <v>1</v>
      </c>
      <c r="F7" s="24" t="s">
        <v>1</v>
      </c>
      <c r="G7" s="120">
        <v>39954</v>
      </c>
      <c r="H7" s="26" t="s">
        <v>82</v>
      </c>
      <c r="I7" s="153">
        <v>6.0999999999999999E-2</v>
      </c>
    </row>
    <row r="8" spans="2:9" x14ac:dyDescent="0.25">
      <c r="B8" s="21" t="s">
        <v>52</v>
      </c>
      <c r="C8" s="34" t="s">
        <v>62</v>
      </c>
      <c r="D8" s="24" t="s">
        <v>70</v>
      </c>
      <c r="E8" s="24" t="s">
        <v>1</v>
      </c>
      <c r="F8" s="24" t="s">
        <v>1</v>
      </c>
      <c r="G8" s="120">
        <v>40669</v>
      </c>
      <c r="H8" s="26" t="s">
        <v>82</v>
      </c>
      <c r="I8" s="153">
        <v>2.3800000000000002E-2</v>
      </c>
    </row>
    <row r="9" spans="2:9" x14ac:dyDescent="0.25">
      <c r="B9" s="21" t="s">
        <v>53</v>
      </c>
      <c r="C9" s="34" t="s">
        <v>63</v>
      </c>
      <c r="D9" s="24" t="s">
        <v>70</v>
      </c>
      <c r="E9" s="24" t="s">
        <v>1</v>
      </c>
      <c r="F9" s="24" t="s">
        <v>1</v>
      </c>
      <c r="G9" s="120">
        <v>40340</v>
      </c>
      <c r="H9" s="26" t="s">
        <v>82</v>
      </c>
      <c r="I9" s="153">
        <v>6.88E-2</v>
      </c>
    </row>
    <row r="10" spans="2:9" x14ac:dyDescent="0.25">
      <c r="B10" s="21" t="s">
        <v>54</v>
      </c>
      <c r="C10" s="34" t="s">
        <v>64</v>
      </c>
      <c r="D10" s="24" t="s">
        <v>70</v>
      </c>
      <c r="E10" s="24" t="s">
        <v>1</v>
      </c>
      <c r="F10" s="24" t="s">
        <v>1</v>
      </c>
      <c r="G10" s="120">
        <v>41031</v>
      </c>
      <c r="H10" s="26" t="s">
        <v>82</v>
      </c>
      <c r="I10" s="153">
        <v>3.7499999999999999E-2</v>
      </c>
    </row>
    <row r="11" spans="2:9" x14ac:dyDescent="0.25">
      <c r="B11" s="21" t="s">
        <v>122</v>
      </c>
      <c r="C11" s="34" t="s">
        <v>65</v>
      </c>
      <c r="D11" s="24" t="s">
        <v>70</v>
      </c>
      <c r="E11" s="24" t="s">
        <v>1</v>
      </c>
      <c r="F11" s="24" t="s">
        <v>1</v>
      </c>
      <c r="G11" s="24" t="s">
        <v>69</v>
      </c>
      <c r="H11" s="26" t="s">
        <v>68</v>
      </c>
      <c r="I11" s="153"/>
    </row>
    <row r="12" spans="2:9" x14ac:dyDescent="0.25">
      <c r="B12" s="21" t="s">
        <v>44</v>
      </c>
      <c r="C12" s="34" t="s">
        <v>84</v>
      </c>
      <c r="D12" s="24" t="s">
        <v>67</v>
      </c>
      <c r="E12" s="24" t="s">
        <v>0</v>
      </c>
      <c r="F12" s="24" t="s">
        <v>1</v>
      </c>
      <c r="G12" s="120">
        <v>41257</v>
      </c>
      <c r="H12" s="26" t="s">
        <v>68</v>
      </c>
      <c r="I12" s="26"/>
    </row>
    <row r="13" spans="2:9" x14ac:dyDescent="0.25">
      <c r="B13" s="21" t="s">
        <v>93</v>
      </c>
      <c r="C13" s="34" t="s">
        <v>89</v>
      </c>
      <c r="D13" s="24" t="s">
        <v>67</v>
      </c>
      <c r="E13" s="24" t="s">
        <v>1</v>
      </c>
      <c r="F13" s="24" t="s">
        <v>1</v>
      </c>
      <c r="G13" s="120">
        <v>37246</v>
      </c>
      <c r="H13" s="26" t="s">
        <v>68</v>
      </c>
      <c r="I13" s="26"/>
    </row>
    <row r="14" spans="2:9" x14ac:dyDescent="0.25">
      <c r="B14" s="21" t="s">
        <v>91</v>
      </c>
      <c r="C14" s="34" t="s">
        <v>94</v>
      </c>
      <c r="D14" s="24" t="s">
        <v>70</v>
      </c>
      <c r="E14" s="24" t="s">
        <v>1</v>
      </c>
      <c r="F14" s="24" t="s">
        <v>1</v>
      </c>
      <c r="G14" s="129">
        <v>42552</v>
      </c>
      <c r="H14" s="26" t="s">
        <v>82</v>
      </c>
      <c r="I14" s="153">
        <v>0.2752</v>
      </c>
    </row>
    <row r="15" spans="2:9" x14ac:dyDescent="0.25">
      <c r="B15" s="21" t="s">
        <v>92</v>
      </c>
      <c r="C15" s="34" t="s">
        <v>95</v>
      </c>
      <c r="D15" s="24" t="s">
        <v>70</v>
      </c>
      <c r="E15" s="24" t="s">
        <v>1</v>
      </c>
      <c r="F15" s="24" t="s">
        <v>1</v>
      </c>
      <c r="G15" s="129">
        <v>42552</v>
      </c>
      <c r="H15" s="26" t="s">
        <v>82</v>
      </c>
      <c r="I15" s="153">
        <v>0.22939999999999999</v>
      </c>
    </row>
    <row r="16" spans="2:9" x14ac:dyDescent="0.25">
      <c r="B16" s="21" t="s">
        <v>96</v>
      </c>
      <c r="C16" s="34" t="s">
        <v>97</v>
      </c>
      <c r="D16" s="24" t="s">
        <v>73</v>
      </c>
      <c r="E16" s="24" t="s">
        <v>1</v>
      </c>
      <c r="F16" s="24" t="s">
        <v>1</v>
      </c>
      <c r="G16" s="120">
        <v>42370</v>
      </c>
      <c r="H16" s="26" t="s">
        <v>82</v>
      </c>
      <c r="I16" s="26"/>
    </row>
    <row r="17" spans="2:9" x14ac:dyDescent="0.25">
      <c r="B17" s="21" t="s">
        <v>101</v>
      </c>
      <c r="C17" s="34" t="s">
        <v>102</v>
      </c>
      <c r="D17" s="24" t="s">
        <v>72</v>
      </c>
      <c r="E17" s="24" t="s">
        <v>1</v>
      </c>
      <c r="F17" s="24" t="s">
        <v>0</v>
      </c>
      <c r="G17" s="129">
        <v>42248</v>
      </c>
      <c r="H17" s="26" t="s">
        <v>82</v>
      </c>
      <c r="I17" s="26"/>
    </row>
    <row r="18" spans="2:9" x14ac:dyDescent="0.25">
      <c r="B18" s="21" t="s">
        <v>103</v>
      </c>
      <c r="C18" s="34" t="s">
        <v>65</v>
      </c>
      <c r="D18" s="24" t="s">
        <v>72</v>
      </c>
      <c r="E18" s="24" t="s">
        <v>1</v>
      </c>
      <c r="F18" s="24" t="s">
        <v>0</v>
      </c>
      <c r="G18" s="24">
        <v>2012</v>
      </c>
      <c r="H18" s="26" t="s">
        <v>82</v>
      </c>
      <c r="I18" s="26"/>
    </row>
    <row r="19" spans="2:9" x14ac:dyDescent="0.25">
      <c r="B19" s="21" t="s">
        <v>104</v>
      </c>
      <c r="C19" s="34" t="s">
        <v>113</v>
      </c>
      <c r="D19" s="24" t="s">
        <v>72</v>
      </c>
      <c r="E19" s="24" t="s">
        <v>1</v>
      </c>
      <c r="F19" s="24" t="s">
        <v>1</v>
      </c>
      <c r="G19" s="129">
        <v>43435</v>
      </c>
      <c r="H19" s="26" t="s">
        <v>68</v>
      </c>
      <c r="I19" s="26"/>
    </row>
    <row r="20" spans="2:9" x14ac:dyDescent="0.25">
      <c r="B20" s="21" t="s">
        <v>117</v>
      </c>
      <c r="C20" s="34" t="s">
        <v>123</v>
      </c>
      <c r="D20" s="24" t="s">
        <v>67</v>
      </c>
      <c r="E20" s="24" t="s">
        <v>0</v>
      </c>
      <c r="F20" s="24" t="s">
        <v>1</v>
      </c>
      <c r="G20" s="120">
        <v>44188</v>
      </c>
      <c r="H20" s="26" t="s">
        <v>68</v>
      </c>
      <c r="I20" s="26"/>
    </row>
    <row r="21" spans="2:9" x14ac:dyDescent="0.25">
      <c r="B21" s="21" t="s">
        <v>128</v>
      </c>
      <c r="C21" s="34" t="s">
        <v>127</v>
      </c>
      <c r="D21" s="24" t="s">
        <v>67</v>
      </c>
      <c r="E21" s="24" t="s">
        <v>1</v>
      </c>
      <c r="F21" s="24" t="s">
        <v>1</v>
      </c>
      <c r="G21" s="120">
        <v>44882</v>
      </c>
      <c r="H21" s="26" t="s">
        <v>68</v>
      </c>
      <c r="I21" s="26"/>
    </row>
    <row r="22" spans="2:9" x14ac:dyDescent="0.25">
      <c r="B22" s="21" t="s">
        <v>9</v>
      </c>
      <c r="C22" s="34"/>
      <c r="D22" s="24"/>
      <c r="E22" s="24" t="s">
        <v>2</v>
      </c>
      <c r="F22" s="24" t="s">
        <v>2</v>
      </c>
      <c r="G22" s="24"/>
      <c r="H22" s="26"/>
      <c r="I22" s="26"/>
    </row>
    <row r="23" spans="2:9" x14ac:dyDescent="0.25">
      <c r="B23" s="21" t="s">
        <v>10</v>
      </c>
      <c r="C23" s="34"/>
      <c r="D23" s="24"/>
      <c r="E23" s="24" t="s">
        <v>2</v>
      </c>
      <c r="F23" s="24" t="s">
        <v>2</v>
      </c>
      <c r="G23" s="24"/>
      <c r="H23" s="26"/>
      <c r="I23" s="26"/>
    </row>
    <row r="24" spans="2:9" x14ac:dyDescent="0.25">
      <c r="B24" s="21" t="s">
        <v>11</v>
      </c>
      <c r="C24" s="34"/>
      <c r="D24" s="24"/>
      <c r="E24" s="24" t="s">
        <v>2</v>
      </c>
      <c r="F24" s="24" t="s">
        <v>2</v>
      </c>
      <c r="G24" s="24"/>
      <c r="H24" s="26"/>
      <c r="I24" s="26"/>
    </row>
    <row r="25" spans="2:9" x14ac:dyDescent="0.25">
      <c r="B25" s="21" t="s">
        <v>12</v>
      </c>
      <c r="C25" s="34"/>
      <c r="D25" s="24"/>
      <c r="E25" s="24" t="s">
        <v>2</v>
      </c>
      <c r="F25" s="24" t="s">
        <v>2</v>
      </c>
      <c r="G25" s="24"/>
      <c r="H25" s="26"/>
      <c r="I25" s="26"/>
    </row>
    <row r="26" spans="2:9" x14ac:dyDescent="0.25">
      <c r="B26" s="21" t="s">
        <v>13</v>
      </c>
      <c r="C26" s="34"/>
      <c r="D26" s="24"/>
      <c r="E26" s="24" t="s">
        <v>2</v>
      </c>
      <c r="F26" s="24" t="s">
        <v>2</v>
      </c>
      <c r="G26" s="24"/>
      <c r="H26" s="26"/>
      <c r="I26" s="26"/>
    </row>
    <row r="27" spans="2:9" x14ac:dyDescent="0.25">
      <c r="B27" s="21" t="s">
        <v>14</v>
      </c>
      <c r="C27" s="34"/>
      <c r="D27" s="24"/>
      <c r="E27" s="24" t="s">
        <v>2</v>
      </c>
      <c r="F27" s="24" t="s">
        <v>2</v>
      </c>
      <c r="G27" s="24"/>
      <c r="H27" s="26"/>
      <c r="I27" s="26"/>
    </row>
    <row r="28" spans="2:9" x14ac:dyDescent="0.25">
      <c r="B28" s="21" t="s">
        <v>15</v>
      </c>
      <c r="C28" s="34"/>
      <c r="D28" s="24"/>
      <c r="E28" s="24" t="s">
        <v>2</v>
      </c>
      <c r="F28" s="24" t="s">
        <v>2</v>
      </c>
      <c r="G28" s="24"/>
      <c r="H28" s="26"/>
      <c r="I28" s="26"/>
    </row>
    <row r="29" spans="2:9" x14ac:dyDescent="0.25">
      <c r="B29" s="21" t="s">
        <v>16</v>
      </c>
      <c r="C29" s="34"/>
      <c r="D29" s="24"/>
      <c r="E29" s="24" t="s">
        <v>2</v>
      </c>
      <c r="F29" s="24" t="s">
        <v>2</v>
      </c>
      <c r="G29" s="24"/>
      <c r="H29" s="26"/>
      <c r="I29" s="26"/>
    </row>
    <row r="30" spans="2:9" x14ac:dyDescent="0.25">
      <c r="B30" s="21" t="s">
        <v>17</v>
      </c>
      <c r="C30" s="34"/>
      <c r="D30" s="24"/>
      <c r="E30" s="24" t="s">
        <v>2</v>
      </c>
      <c r="F30" s="24" t="s">
        <v>2</v>
      </c>
      <c r="G30" s="24"/>
      <c r="H30" s="26"/>
      <c r="I30" s="26"/>
    </row>
    <row r="31" spans="2:9" x14ac:dyDescent="0.25">
      <c r="B31" s="22" t="s">
        <v>18</v>
      </c>
      <c r="C31" s="35"/>
      <c r="D31" s="25"/>
      <c r="E31" s="25" t="s">
        <v>2</v>
      </c>
      <c r="F31" s="25" t="s">
        <v>2</v>
      </c>
      <c r="G31" s="25"/>
      <c r="H31" s="28"/>
      <c r="I31" s="28"/>
    </row>
    <row r="32" spans="2:9" x14ac:dyDescent="0.25">
      <c r="B32" s="2"/>
    </row>
    <row r="33" spans="1:9" ht="31.5" customHeight="1" thickBot="1" x14ac:dyDescent="0.3">
      <c r="B33" s="160"/>
      <c r="C33" s="160"/>
      <c r="D33" s="160"/>
      <c r="E33" s="160"/>
      <c r="F33" s="160"/>
    </row>
    <row r="34" spans="1:9" x14ac:dyDescent="0.25">
      <c r="A34" s="8"/>
      <c r="B34" s="8"/>
      <c r="C34" s="8"/>
      <c r="D34" s="8"/>
      <c r="E34" s="8"/>
      <c r="F34" s="8"/>
      <c r="G34" s="8"/>
      <c r="H34" s="8"/>
      <c r="I34" s="8"/>
    </row>
    <row r="36" spans="1:9" ht="21" x14ac:dyDescent="0.35">
      <c r="A36" s="16" t="s">
        <v>4</v>
      </c>
      <c r="C36" s="41" t="str">
        <f>B2</f>
        <v>Long Lake #3</v>
      </c>
      <c r="D36" s="42"/>
    </row>
    <row r="38" spans="1:9" ht="18.75" x14ac:dyDescent="0.3">
      <c r="A38" s="9" t="s">
        <v>27</v>
      </c>
      <c r="D38" s="2">
        <v>2021</v>
      </c>
      <c r="E38" s="2">
        <f t="shared" ref="E38:I38" si="0">D38+1</f>
        <v>2022</v>
      </c>
      <c r="F38" s="2">
        <f t="shared" si="0"/>
        <v>2023</v>
      </c>
      <c r="G38" s="2">
        <f t="shared" si="0"/>
        <v>2024</v>
      </c>
      <c r="H38" s="2">
        <f t="shared" si="0"/>
        <v>2025</v>
      </c>
      <c r="I38" s="2">
        <f t="shared" si="0"/>
        <v>2026</v>
      </c>
    </row>
    <row r="39" spans="1:9" x14ac:dyDescent="0.25">
      <c r="B39" s="78" t="str">
        <f>"Total MWh Produced / Purchased from " &amp; C36</f>
        <v>Total MWh Produced / Purchased from Long Lake #3</v>
      </c>
      <c r="C39" s="71"/>
      <c r="D39" s="3">
        <v>14200</v>
      </c>
      <c r="E39" s="3">
        <v>12319</v>
      </c>
      <c r="F39" s="3">
        <v>9621</v>
      </c>
      <c r="G39" s="3">
        <v>13618</v>
      </c>
      <c r="H39" s="3">
        <v>13262</v>
      </c>
      <c r="I39" s="3">
        <v>13262</v>
      </c>
    </row>
    <row r="40" spans="1:9" x14ac:dyDescent="0.25">
      <c r="B40" s="78" t="s">
        <v>32</v>
      </c>
      <c r="C40" s="71"/>
      <c r="D40" s="55">
        <v>1</v>
      </c>
      <c r="E40" s="56">
        <v>1</v>
      </c>
      <c r="F40" s="57">
        <v>1</v>
      </c>
      <c r="G40" s="57">
        <v>1</v>
      </c>
      <c r="H40" s="57">
        <v>1</v>
      </c>
      <c r="I40" s="57">
        <v>1</v>
      </c>
    </row>
    <row r="41" spans="1:9" x14ac:dyDescent="0.25">
      <c r="B41" s="78" t="s">
        <v>26</v>
      </c>
      <c r="C41" s="71"/>
      <c r="D41" s="48">
        <v>1</v>
      </c>
      <c r="E41" s="49">
        <v>1</v>
      </c>
      <c r="F41" s="50">
        <v>1</v>
      </c>
      <c r="G41" s="50">
        <v>1</v>
      </c>
      <c r="H41" s="50">
        <v>1</v>
      </c>
      <c r="I41" s="50">
        <v>1</v>
      </c>
    </row>
    <row r="42" spans="1:9" x14ac:dyDescent="0.25">
      <c r="B42" s="32" t="s">
        <v>28</v>
      </c>
      <c r="C42" s="6"/>
      <c r="D42" s="37">
        <f t="shared" ref="D42:I42" si="1" xml:space="preserve"> D39 * D40 * D41</f>
        <v>14200</v>
      </c>
      <c r="E42" s="37">
        <f t="shared" si="1"/>
        <v>12319</v>
      </c>
      <c r="F42" s="37">
        <f t="shared" si="1"/>
        <v>9621</v>
      </c>
      <c r="G42" s="37">
        <f t="shared" si="1"/>
        <v>13618</v>
      </c>
      <c r="H42" s="37">
        <f t="shared" si="1"/>
        <v>13262</v>
      </c>
      <c r="I42" s="37">
        <f t="shared" si="1"/>
        <v>13262</v>
      </c>
    </row>
    <row r="43" spans="1:9" x14ac:dyDescent="0.25">
      <c r="D43" s="36"/>
      <c r="E43" s="36"/>
      <c r="F43" s="36"/>
      <c r="G43" s="36"/>
      <c r="H43" s="36"/>
      <c r="I43" s="36"/>
    </row>
    <row r="44" spans="1:9" ht="18.75" x14ac:dyDescent="0.3">
      <c r="A44" s="9" t="s">
        <v>30</v>
      </c>
      <c r="D44" s="2">
        <f t="shared" ref="D44:I44" si="2">D38</f>
        <v>2021</v>
      </c>
      <c r="E44" s="2">
        <f t="shared" si="2"/>
        <v>2022</v>
      </c>
      <c r="F44" s="2">
        <f t="shared" si="2"/>
        <v>2023</v>
      </c>
      <c r="G44" s="2">
        <f t="shared" si="2"/>
        <v>2024</v>
      </c>
      <c r="H44" s="2">
        <f t="shared" si="2"/>
        <v>2025</v>
      </c>
      <c r="I44" s="2">
        <f t="shared" si="2"/>
        <v>2026</v>
      </c>
    </row>
    <row r="45" spans="1:9" x14ac:dyDescent="0.25">
      <c r="B45" s="78" t="s">
        <v>19</v>
      </c>
      <c r="C45" s="71"/>
      <c r="D45" s="51">
        <f>IF( $E2 = "Eligible", D42 * 'Facility Detail'!$B$593, 0 )</f>
        <v>0</v>
      </c>
      <c r="E45" s="13">
        <f>IF( $E2 = "Eligible", E42 * 'Facility Detail'!$B$593, 0 )</f>
        <v>0</v>
      </c>
      <c r="F45" s="14">
        <f>IF( $E2 = "Eligible", F42 * 'Facility Detail'!$B$593, 0 )</f>
        <v>0</v>
      </c>
      <c r="G45" s="14">
        <f>IF( $E2 = "Eligible", G42 * 'Facility Detail'!$B$593, 0 )</f>
        <v>0</v>
      </c>
      <c r="H45" s="14">
        <f>IF( $E2 = "Eligible", H42 * 'Facility Detail'!$B$593, 0 )</f>
        <v>0</v>
      </c>
      <c r="I45" s="14">
        <f>IF( $E2 = "Eligible", I42 * 'Facility Detail'!$B$593, 0 )</f>
        <v>0</v>
      </c>
    </row>
    <row r="46" spans="1:9" x14ac:dyDescent="0.25">
      <c r="B46" s="78" t="s">
        <v>6</v>
      </c>
      <c r="C46" s="71"/>
      <c r="D46" s="52">
        <f t="shared" ref="D46:I46" si="3">IF( $F2 = "Eligible", D42, 0 )</f>
        <v>0</v>
      </c>
      <c r="E46" s="53">
        <f t="shared" si="3"/>
        <v>0</v>
      </c>
      <c r="F46" s="54">
        <f t="shared" si="3"/>
        <v>0</v>
      </c>
      <c r="G46" s="54">
        <f t="shared" si="3"/>
        <v>0</v>
      </c>
      <c r="H46" s="54">
        <f t="shared" si="3"/>
        <v>0</v>
      </c>
      <c r="I46" s="54">
        <f t="shared" si="3"/>
        <v>0</v>
      </c>
    </row>
    <row r="47" spans="1:9" x14ac:dyDescent="0.25">
      <c r="B47" s="32" t="s">
        <v>37</v>
      </c>
      <c r="C47" s="6"/>
      <c r="D47" s="39">
        <f t="shared" ref="D47:I47" si="4">SUM(D45:D46)</f>
        <v>0</v>
      </c>
      <c r="E47" s="40">
        <f t="shared" si="4"/>
        <v>0</v>
      </c>
      <c r="F47" s="40">
        <f t="shared" si="4"/>
        <v>0</v>
      </c>
      <c r="G47" s="40">
        <f t="shared" si="4"/>
        <v>0</v>
      </c>
      <c r="H47" s="40">
        <f t="shared" si="4"/>
        <v>0</v>
      </c>
      <c r="I47" s="40">
        <f t="shared" si="4"/>
        <v>0</v>
      </c>
    </row>
    <row r="48" spans="1:9" x14ac:dyDescent="0.25">
      <c r="D48" s="38"/>
      <c r="E48" s="30"/>
      <c r="F48" s="30"/>
      <c r="G48" s="30"/>
      <c r="H48" s="30"/>
      <c r="I48" s="30"/>
    </row>
    <row r="49" spans="1:9" ht="18.75" x14ac:dyDescent="0.3">
      <c r="A49" s="9" t="s">
        <v>35</v>
      </c>
      <c r="D49" s="2">
        <f t="shared" ref="D49:I49" si="5">D38</f>
        <v>2021</v>
      </c>
      <c r="E49" s="2">
        <f t="shared" si="5"/>
        <v>2022</v>
      </c>
      <c r="F49" s="2">
        <f t="shared" si="5"/>
        <v>2023</v>
      </c>
      <c r="G49" s="2">
        <f t="shared" si="5"/>
        <v>2024</v>
      </c>
      <c r="H49" s="2">
        <f t="shared" si="5"/>
        <v>2025</v>
      </c>
      <c r="I49" s="2">
        <f t="shared" si="5"/>
        <v>2026</v>
      </c>
    </row>
    <row r="50" spans="1:9" x14ac:dyDescent="0.25">
      <c r="B50" s="78" t="s">
        <v>39</v>
      </c>
      <c r="D50" s="84">
        <v>0</v>
      </c>
      <c r="E50" s="85">
        <v>0</v>
      </c>
      <c r="F50" s="86">
        <v>0</v>
      </c>
      <c r="G50" s="86">
        <v>0</v>
      </c>
      <c r="H50" s="86">
        <v>0</v>
      </c>
      <c r="I50" s="86">
        <v>0</v>
      </c>
    </row>
    <row r="51" spans="1:9" x14ac:dyDescent="0.25">
      <c r="B51" s="79" t="s">
        <v>29</v>
      </c>
      <c r="C51"/>
      <c r="D51" s="87">
        <v>0</v>
      </c>
      <c r="E51" s="88">
        <v>0</v>
      </c>
      <c r="F51" s="89">
        <v>0</v>
      </c>
      <c r="G51" s="89">
        <v>0</v>
      </c>
      <c r="H51" s="89">
        <v>0</v>
      </c>
      <c r="I51" s="89">
        <v>0</v>
      </c>
    </row>
    <row r="52" spans="1:9" x14ac:dyDescent="0.25">
      <c r="B52" s="79" t="s">
        <v>41</v>
      </c>
      <c r="C52"/>
      <c r="D52" s="58">
        <v>0</v>
      </c>
      <c r="E52" s="59">
        <v>0</v>
      </c>
      <c r="F52" s="60">
        <v>0</v>
      </c>
      <c r="G52" s="60">
        <v>0</v>
      </c>
      <c r="H52" s="60">
        <v>0</v>
      </c>
      <c r="I52" s="60">
        <v>0</v>
      </c>
    </row>
    <row r="53" spans="1:9" x14ac:dyDescent="0.25">
      <c r="B53" s="32" t="s">
        <v>42</v>
      </c>
      <c r="D53" s="7">
        <f t="shared" ref="D53:I53" si="6">SUM(D50:D52)</f>
        <v>0</v>
      </c>
      <c r="E53" s="7">
        <f t="shared" si="6"/>
        <v>0</v>
      </c>
      <c r="F53" s="7">
        <f t="shared" si="6"/>
        <v>0</v>
      </c>
      <c r="G53" s="7">
        <f t="shared" si="6"/>
        <v>0</v>
      </c>
      <c r="H53" s="7">
        <f t="shared" si="6"/>
        <v>0</v>
      </c>
      <c r="I53" s="7">
        <f t="shared" si="6"/>
        <v>0</v>
      </c>
    </row>
    <row r="54" spans="1:9" x14ac:dyDescent="0.25">
      <c r="B54" s="6"/>
      <c r="D54" s="7"/>
      <c r="E54" s="7"/>
      <c r="F54" s="7"/>
      <c r="G54" s="7"/>
      <c r="H54" s="7"/>
      <c r="I54" s="7"/>
    </row>
    <row r="55" spans="1:9" ht="18.75" x14ac:dyDescent="0.3">
      <c r="A55" s="9" t="s">
        <v>43</v>
      </c>
      <c r="D55" s="2">
        <f>D38</f>
        <v>2021</v>
      </c>
      <c r="E55" s="2">
        <f t="shared" ref="E55:I55" si="7">D55+1</f>
        <v>2022</v>
      </c>
      <c r="F55" s="2">
        <f t="shared" si="7"/>
        <v>2023</v>
      </c>
      <c r="G55" s="2">
        <f t="shared" si="7"/>
        <v>2024</v>
      </c>
      <c r="H55" s="2">
        <f t="shared" si="7"/>
        <v>2025</v>
      </c>
      <c r="I55" s="2">
        <f t="shared" si="7"/>
        <v>2026</v>
      </c>
    </row>
    <row r="56" spans="1:9" x14ac:dyDescent="0.25">
      <c r="B56" s="78" t="str">
        <f xml:space="preserve"> 'Facility Detail'!$B$761 &amp; " Surplus Applied to " &amp; ( 'Facility Detail'!$B$761 + 1 )</f>
        <v>2021 Surplus Applied to 2022</v>
      </c>
      <c r="D56" s="3"/>
      <c r="E56" s="61">
        <f>D56</f>
        <v>0</v>
      </c>
      <c r="F56" s="124"/>
      <c r="G56" s="63"/>
      <c r="H56" s="63"/>
      <c r="I56" s="63"/>
    </row>
    <row r="57" spans="1:9" x14ac:dyDescent="0.25">
      <c r="B57" s="78" t="str">
        <f xml:space="preserve"> ( 'Facility Detail'!$B$761 + 1 ) &amp; " Surplus Applied to " &amp; ( 'Facility Detail'!$B$761 )</f>
        <v>2022 Surplus Applied to 2021</v>
      </c>
      <c r="D57" s="125">
        <f>E57</f>
        <v>0</v>
      </c>
      <c r="E57" s="10"/>
      <c r="F57" s="75"/>
      <c r="G57" s="74"/>
      <c r="H57" s="74"/>
      <c r="I57" s="74"/>
    </row>
    <row r="58" spans="1:9" x14ac:dyDescent="0.25">
      <c r="B58" s="78" t="str">
        <f xml:space="preserve"> ( 'Facility Detail'!$B$761 + 1 ) &amp; " Surplus Applied to " &amp; ( 'Facility Detail'!$B$761 + 2 )</f>
        <v>2022 Surplus Applied to 2023</v>
      </c>
      <c r="D58" s="64"/>
      <c r="E58" s="10"/>
      <c r="F58" s="70">
        <f>E58</f>
        <v>0</v>
      </c>
      <c r="G58" s="74"/>
      <c r="H58" s="74"/>
      <c r="I58" s="74"/>
    </row>
    <row r="59" spans="1:9" x14ac:dyDescent="0.25">
      <c r="B59" s="78" t="str">
        <f xml:space="preserve"> ( 'Facility Detail'!$B$761 + 2 ) &amp; " Surplus Applied to " &amp; ( 'Facility Detail'!$B$761 + 1 )</f>
        <v>2023 Surplus Applied to 2022</v>
      </c>
      <c r="D59" s="64"/>
      <c r="E59" s="70">
        <f>F59</f>
        <v>0</v>
      </c>
      <c r="F59" s="10"/>
      <c r="G59" s="74"/>
      <c r="H59" s="74"/>
      <c r="I59" s="74"/>
    </row>
    <row r="60" spans="1:9" x14ac:dyDescent="0.25">
      <c r="B60" s="78" t="str">
        <f xml:space="preserve"> ( 'Facility Detail'!$B$761 + 2 ) &amp; " Surplus Applied to " &amp; ( 'Facility Detail'!$B$761 + 3 )</f>
        <v>2023 Surplus Applied to 2024</v>
      </c>
      <c r="D60" s="64"/>
      <c r="E60" s="75"/>
      <c r="F60" s="10"/>
      <c r="G60" s="126">
        <f>F60</f>
        <v>0</v>
      </c>
      <c r="H60" s="126">
        <f>G60</f>
        <v>0</v>
      </c>
      <c r="I60" s="126">
        <f>H60</f>
        <v>0</v>
      </c>
    </row>
    <row r="61" spans="1:9" x14ac:dyDescent="0.25">
      <c r="B61" s="78" t="str">
        <f xml:space="preserve"> ( 'Facility Detail'!$B$761 +3 ) &amp; " Surplus Applied to " &amp; ( 'Facility Detail'!$B$761 + 2 )</f>
        <v>2024 Surplus Applied to 2023</v>
      </c>
      <c r="D61" s="65"/>
      <c r="E61" s="76"/>
      <c r="F61" s="62">
        <f>G61</f>
        <v>0</v>
      </c>
      <c r="G61" s="127"/>
      <c r="H61" s="127"/>
      <c r="I61" s="127"/>
    </row>
    <row r="62" spans="1:9" x14ac:dyDescent="0.25">
      <c r="B62" s="78" t="str">
        <f xml:space="preserve"> ( 'Facility Detail'!$B$761 +3 ) &amp; " Surplus Applied to " &amp; ( 'Facility Detail'!$B$761 + 4 )</f>
        <v>2024 Surplus Applied to 2025</v>
      </c>
      <c r="D62" s="130"/>
      <c r="E62" s="130"/>
      <c r="F62" s="19"/>
      <c r="G62" s="131"/>
      <c r="H62" s="131"/>
      <c r="I62" s="131"/>
    </row>
    <row r="63" spans="1:9" x14ac:dyDescent="0.25">
      <c r="B63" s="78"/>
      <c r="D63" s="130"/>
      <c r="E63" s="130"/>
      <c r="F63" s="19"/>
      <c r="G63" s="131"/>
      <c r="H63" s="131"/>
      <c r="I63" s="131"/>
    </row>
    <row r="64" spans="1:9" x14ac:dyDescent="0.25">
      <c r="B64" s="32" t="s">
        <v>25</v>
      </c>
      <c r="D64" s="7">
        <f xml:space="preserve"> D57 - D56</f>
        <v>0</v>
      </c>
      <c r="E64" s="7">
        <f xml:space="preserve"> E56 + E59 - E58 - E57</f>
        <v>0</v>
      </c>
      <c r="F64" s="7">
        <f>F58+F61-F59-F60</f>
        <v>0</v>
      </c>
      <c r="G64" s="7">
        <f t="shared" ref="G64:I64" si="8">G60-G61</f>
        <v>0</v>
      </c>
      <c r="H64" s="7">
        <f t="shared" si="8"/>
        <v>0</v>
      </c>
      <c r="I64" s="7">
        <f t="shared" si="8"/>
        <v>0</v>
      </c>
    </row>
    <row r="65" spans="1:9" x14ac:dyDescent="0.25">
      <c r="B65" s="6"/>
      <c r="D65" s="7"/>
      <c r="E65" s="7"/>
      <c r="F65" s="7"/>
      <c r="G65" s="7"/>
      <c r="H65" s="7"/>
      <c r="I65" s="7"/>
    </row>
    <row r="66" spans="1:9" x14ac:dyDescent="0.25">
      <c r="B66" s="78" t="s">
        <v>21</v>
      </c>
      <c r="C66" s="71"/>
      <c r="D66" s="96"/>
      <c r="E66" s="97"/>
      <c r="F66" s="98"/>
      <c r="G66" s="98"/>
      <c r="H66" s="98"/>
      <c r="I66" s="98"/>
    </row>
    <row r="67" spans="1:9" x14ac:dyDescent="0.25">
      <c r="B67" s="6"/>
      <c r="D67" s="7"/>
      <c r="E67" s="7"/>
      <c r="F67" s="7"/>
      <c r="G67" s="7"/>
      <c r="H67" s="7"/>
      <c r="I67" s="7"/>
    </row>
    <row r="68" spans="1:9" ht="15.75" x14ac:dyDescent="0.25">
      <c r="A68" s="81" t="s">
        <v>33</v>
      </c>
      <c r="C68" s="71"/>
      <c r="D68" s="43">
        <f t="shared" ref="D68:I68" si="9" xml:space="preserve"> D42 + D47 - D53 + D64 + D66</f>
        <v>14200</v>
      </c>
      <c r="E68" s="44">
        <f t="shared" si="9"/>
        <v>12319</v>
      </c>
      <c r="F68" s="45">
        <f t="shared" si="9"/>
        <v>9621</v>
      </c>
      <c r="G68" s="45">
        <f t="shared" si="9"/>
        <v>13618</v>
      </c>
      <c r="H68" s="45">
        <f t="shared" si="9"/>
        <v>13262</v>
      </c>
      <c r="I68" s="45">
        <f t="shared" si="9"/>
        <v>13262</v>
      </c>
    </row>
    <row r="69" spans="1:9" x14ac:dyDescent="0.25">
      <c r="B69" s="6"/>
      <c r="D69" s="7"/>
      <c r="E69" s="7"/>
      <c r="F69" s="7"/>
      <c r="G69" s="29"/>
      <c r="H69" s="29"/>
      <c r="I69" s="29"/>
    </row>
    <row r="70" spans="1:9" ht="15.75" thickBot="1" x14ac:dyDescent="0.3"/>
    <row r="71" spans="1:9" x14ac:dyDescent="0.25">
      <c r="A71" s="8"/>
      <c r="B71" s="8"/>
      <c r="C71" s="8"/>
      <c r="D71" s="8"/>
      <c r="E71" s="8"/>
      <c r="F71" s="8"/>
      <c r="G71" s="8"/>
      <c r="H71" s="8"/>
      <c r="I71" s="8"/>
    </row>
    <row r="73" spans="1:9" ht="21" x14ac:dyDescent="0.35">
      <c r="A73" s="16" t="s">
        <v>4</v>
      </c>
      <c r="B73" s="16"/>
      <c r="C73" s="154" t="str">
        <f>B3</f>
        <v>Little Falls #4</v>
      </c>
      <c r="D73" s="155"/>
    </row>
    <row r="75" spans="1:9" ht="18.75" x14ac:dyDescent="0.3">
      <c r="A75" s="9" t="s">
        <v>27</v>
      </c>
      <c r="B75" s="9"/>
      <c r="D75" s="2">
        <v>2021</v>
      </c>
      <c r="E75" s="2">
        <f t="shared" ref="E75:I75" si="10">D75+1</f>
        <v>2022</v>
      </c>
      <c r="F75" s="2">
        <f t="shared" si="10"/>
        <v>2023</v>
      </c>
      <c r="G75" s="2">
        <f t="shared" si="10"/>
        <v>2024</v>
      </c>
      <c r="H75" s="2">
        <f t="shared" si="10"/>
        <v>2025</v>
      </c>
      <c r="I75" s="2">
        <f t="shared" si="10"/>
        <v>2026</v>
      </c>
    </row>
    <row r="76" spans="1:9" x14ac:dyDescent="0.25">
      <c r="B76" s="78" t="str">
        <f>"Total MWh Produced / Purchased from " &amp; C73</f>
        <v>Total MWh Produced / Purchased from Little Falls #4</v>
      </c>
      <c r="C76" s="71"/>
      <c r="D76" s="3">
        <v>0</v>
      </c>
      <c r="E76" s="3">
        <v>2015</v>
      </c>
      <c r="F76" s="3">
        <v>1875</v>
      </c>
      <c r="G76" s="3">
        <v>2288</v>
      </c>
      <c r="H76" s="3">
        <v>2160</v>
      </c>
      <c r="I76" s="3">
        <v>2160</v>
      </c>
    </row>
    <row r="77" spans="1:9" x14ac:dyDescent="0.25">
      <c r="B77" s="78" t="s">
        <v>32</v>
      </c>
      <c r="C77" s="71"/>
      <c r="D77" s="55">
        <v>1</v>
      </c>
      <c r="E77" s="56">
        <v>1</v>
      </c>
      <c r="F77" s="57">
        <v>1</v>
      </c>
      <c r="G77" s="57">
        <v>1</v>
      </c>
      <c r="H77" s="57">
        <v>1</v>
      </c>
      <c r="I77" s="57">
        <v>1</v>
      </c>
    </row>
    <row r="78" spans="1:9" x14ac:dyDescent="0.25">
      <c r="B78" s="78" t="s">
        <v>26</v>
      </c>
      <c r="C78" s="71"/>
      <c r="D78" s="48">
        <v>1</v>
      </c>
      <c r="E78" s="49">
        <v>1</v>
      </c>
      <c r="F78" s="50">
        <v>1</v>
      </c>
      <c r="G78" s="50">
        <v>1</v>
      </c>
      <c r="H78" s="50">
        <v>1</v>
      </c>
      <c r="I78" s="50">
        <v>1</v>
      </c>
    </row>
    <row r="79" spans="1:9" x14ac:dyDescent="0.25">
      <c r="B79" s="32" t="s">
        <v>28</v>
      </c>
      <c r="C79" s="6"/>
      <c r="D79" s="37">
        <f t="shared" ref="D79:I79" si="11" xml:space="preserve"> D76 * D77 * D78</f>
        <v>0</v>
      </c>
      <c r="E79" s="37">
        <f t="shared" si="11"/>
        <v>2015</v>
      </c>
      <c r="F79" s="37">
        <f t="shared" si="11"/>
        <v>1875</v>
      </c>
      <c r="G79" s="37">
        <f t="shared" si="11"/>
        <v>2288</v>
      </c>
      <c r="H79" s="37">
        <f t="shared" si="11"/>
        <v>2160</v>
      </c>
      <c r="I79" s="37">
        <f t="shared" si="11"/>
        <v>2160</v>
      </c>
    </row>
    <row r="80" spans="1:9" x14ac:dyDescent="0.25">
      <c r="D80" s="36"/>
      <c r="E80" s="36"/>
      <c r="F80" s="36"/>
      <c r="G80" s="36"/>
      <c r="H80" s="36"/>
      <c r="I80" s="36"/>
    </row>
    <row r="81" spans="1:9" ht="18.75" x14ac:dyDescent="0.3">
      <c r="A81" s="9" t="s">
        <v>30</v>
      </c>
      <c r="D81" s="2">
        <f>D75</f>
        <v>2021</v>
      </c>
      <c r="E81" s="2">
        <f t="shared" ref="E81:I81" si="12">D81+1</f>
        <v>2022</v>
      </c>
      <c r="F81" s="2">
        <f t="shared" si="12"/>
        <v>2023</v>
      </c>
      <c r="G81" s="2">
        <f t="shared" si="12"/>
        <v>2024</v>
      </c>
      <c r="H81" s="2">
        <f t="shared" si="12"/>
        <v>2025</v>
      </c>
      <c r="I81" s="2">
        <f t="shared" si="12"/>
        <v>2026</v>
      </c>
    </row>
    <row r="82" spans="1:9" x14ac:dyDescent="0.25">
      <c r="B82" s="78" t="s">
        <v>19</v>
      </c>
      <c r="C82" s="71"/>
      <c r="D82" s="51">
        <f>IF( $E3 = "Eligible",D79 * 'Facility Detail'!$B$593, 0 )</f>
        <v>0</v>
      </c>
      <c r="E82" s="13">
        <f>IF( $E3 = "Eligible",E79 * 'Facility Detail'!$B$593, 0 )</f>
        <v>0</v>
      </c>
      <c r="F82" s="14">
        <f>IF( $E3 = "Eligible",F79 * 'Facility Detail'!$B$593, 0 )</f>
        <v>0</v>
      </c>
      <c r="G82" s="14">
        <f>IF( $E3 = "Eligible",G79 * 'Facility Detail'!$B$593, 0 )</f>
        <v>0</v>
      </c>
      <c r="H82" s="14">
        <f>IF( $E3 = "Eligible",H79 * 'Facility Detail'!$B$593, 0 )</f>
        <v>0</v>
      </c>
      <c r="I82" s="14">
        <f>IF( $E3 = "Eligible",I79 * 'Facility Detail'!$B$593, 0 )</f>
        <v>0</v>
      </c>
    </row>
    <row r="83" spans="1:9" x14ac:dyDescent="0.25">
      <c r="B83" s="78" t="s">
        <v>6</v>
      </c>
      <c r="C83" s="71"/>
      <c r="D83" s="52">
        <f t="shared" ref="D83:I83" si="13">IF( $F3 = "Eligible", D79, 0 )</f>
        <v>0</v>
      </c>
      <c r="E83" s="53">
        <f t="shared" si="13"/>
        <v>0</v>
      </c>
      <c r="F83" s="54">
        <f t="shared" si="13"/>
        <v>0</v>
      </c>
      <c r="G83" s="54">
        <f t="shared" si="13"/>
        <v>0</v>
      </c>
      <c r="H83" s="54">
        <f t="shared" si="13"/>
        <v>0</v>
      </c>
      <c r="I83" s="54">
        <f t="shared" si="13"/>
        <v>0</v>
      </c>
    </row>
    <row r="84" spans="1:9" x14ac:dyDescent="0.25">
      <c r="B84" s="32" t="s">
        <v>37</v>
      </c>
      <c r="C84" s="6"/>
      <c r="D84" s="39">
        <f t="shared" ref="D84:I84" si="14">SUM(D82:D83)</f>
        <v>0</v>
      </c>
      <c r="E84" s="40">
        <f t="shared" si="14"/>
        <v>0</v>
      </c>
      <c r="F84" s="40">
        <f t="shared" si="14"/>
        <v>0</v>
      </c>
      <c r="G84" s="40">
        <f t="shared" si="14"/>
        <v>0</v>
      </c>
      <c r="H84" s="40">
        <f t="shared" si="14"/>
        <v>0</v>
      </c>
      <c r="I84" s="40">
        <f t="shared" si="14"/>
        <v>0</v>
      </c>
    </row>
    <row r="85" spans="1:9" x14ac:dyDescent="0.25">
      <c r="D85" s="38"/>
      <c r="E85" s="30"/>
      <c r="F85" s="30"/>
      <c r="G85" s="30"/>
      <c r="H85" s="30"/>
      <c r="I85" s="30"/>
    </row>
    <row r="86" spans="1:9" ht="18.75" x14ac:dyDescent="0.3">
      <c r="A86" s="9" t="s">
        <v>35</v>
      </c>
      <c r="D86" s="2">
        <f>D75</f>
        <v>2021</v>
      </c>
      <c r="E86" s="2">
        <f t="shared" ref="E86:I86" si="15">D86+1</f>
        <v>2022</v>
      </c>
      <c r="F86" s="2">
        <f t="shared" si="15"/>
        <v>2023</v>
      </c>
      <c r="G86" s="2">
        <f t="shared" si="15"/>
        <v>2024</v>
      </c>
      <c r="H86" s="2">
        <f t="shared" si="15"/>
        <v>2025</v>
      </c>
      <c r="I86" s="2">
        <f t="shared" si="15"/>
        <v>2026</v>
      </c>
    </row>
    <row r="87" spans="1:9" x14ac:dyDescent="0.25">
      <c r="B87" s="78" t="s">
        <v>39</v>
      </c>
      <c r="C87" s="71"/>
      <c r="D87" s="84">
        <v>0</v>
      </c>
      <c r="E87" s="85">
        <v>0</v>
      </c>
      <c r="F87" s="86">
        <v>0</v>
      </c>
      <c r="G87" s="86">
        <v>0</v>
      </c>
      <c r="H87" s="86">
        <v>0</v>
      </c>
      <c r="I87" s="86">
        <v>0</v>
      </c>
    </row>
    <row r="88" spans="1:9" x14ac:dyDescent="0.25">
      <c r="B88" s="79" t="s">
        <v>29</v>
      </c>
      <c r="C88" s="80"/>
      <c r="D88" s="87">
        <v>0</v>
      </c>
      <c r="E88" s="88">
        <v>0</v>
      </c>
      <c r="F88" s="89">
        <v>0</v>
      </c>
      <c r="G88" s="89">
        <v>0</v>
      </c>
      <c r="H88" s="89">
        <v>0</v>
      </c>
      <c r="I88" s="89">
        <v>0</v>
      </c>
    </row>
    <row r="89" spans="1:9" x14ac:dyDescent="0.25">
      <c r="B89" s="79" t="s">
        <v>41</v>
      </c>
      <c r="C89"/>
      <c r="D89" s="58">
        <v>0</v>
      </c>
      <c r="E89" s="59">
        <v>0</v>
      </c>
      <c r="F89" s="60">
        <v>0</v>
      </c>
      <c r="G89" s="60">
        <v>0</v>
      </c>
      <c r="H89" s="60">
        <v>0</v>
      </c>
      <c r="I89" s="60">
        <v>0</v>
      </c>
    </row>
    <row r="90" spans="1:9" x14ac:dyDescent="0.25">
      <c r="B90" s="32" t="s">
        <v>42</v>
      </c>
      <c r="D90" s="7">
        <f t="shared" ref="D90:I90" si="16">SUM(D87:D89)</f>
        <v>0</v>
      </c>
      <c r="E90" s="7">
        <f t="shared" si="16"/>
        <v>0</v>
      </c>
      <c r="F90" s="7">
        <f t="shared" si="16"/>
        <v>0</v>
      </c>
      <c r="G90" s="7">
        <f t="shared" si="16"/>
        <v>0</v>
      </c>
      <c r="H90" s="7">
        <f t="shared" si="16"/>
        <v>0</v>
      </c>
      <c r="I90" s="7">
        <f t="shared" si="16"/>
        <v>0</v>
      </c>
    </row>
    <row r="91" spans="1:9" x14ac:dyDescent="0.25">
      <c r="B91" s="6"/>
      <c r="D91" s="7"/>
      <c r="E91" s="7"/>
      <c r="F91" s="7"/>
      <c r="G91" s="7"/>
      <c r="H91" s="7"/>
      <c r="I91" s="7"/>
    </row>
    <row r="92" spans="1:9" ht="18.75" x14ac:dyDescent="0.3">
      <c r="A92" s="9" t="s">
        <v>43</v>
      </c>
      <c r="D92" s="2">
        <f>D75</f>
        <v>2021</v>
      </c>
      <c r="E92" s="2">
        <f t="shared" ref="E92:I92" si="17">D92+1</f>
        <v>2022</v>
      </c>
      <c r="F92" s="2">
        <f t="shared" si="17"/>
        <v>2023</v>
      </c>
      <c r="G92" s="2">
        <f t="shared" si="17"/>
        <v>2024</v>
      </c>
      <c r="H92" s="2">
        <f t="shared" si="17"/>
        <v>2025</v>
      </c>
      <c r="I92" s="2">
        <f t="shared" si="17"/>
        <v>2026</v>
      </c>
    </row>
    <row r="93" spans="1:9" x14ac:dyDescent="0.25">
      <c r="B93" s="78" t="str">
        <f xml:space="preserve"> 'Facility Detail'!$B$761 &amp; " Surplus Applied to " &amp; ( 'Facility Detail'!$B$761 + 1 )</f>
        <v>2021 Surplus Applied to 2022</v>
      </c>
      <c r="D93" s="3"/>
      <c r="E93" s="61">
        <f>D93</f>
        <v>0</v>
      </c>
      <c r="F93" s="124"/>
      <c r="G93" s="63"/>
      <c r="H93" s="63"/>
      <c r="I93" s="63"/>
    </row>
    <row r="94" spans="1:9" x14ac:dyDescent="0.25">
      <c r="B94" s="78" t="str">
        <f xml:space="preserve"> ( 'Facility Detail'!$B$761 + 1 ) &amp; " Surplus Applied to " &amp; ( 'Facility Detail'!$B$761 )</f>
        <v>2022 Surplus Applied to 2021</v>
      </c>
      <c r="D94" s="125">
        <f>E94</f>
        <v>0</v>
      </c>
      <c r="E94" s="10"/>
      <c r="F94" s="75"/>
      <c r="G94" s="74"/>
      <c r="H94" s="74"/>
      <c r="I94" s="74"/>
    </row>
    <row r="95" spans="1:9" x14ac:dyDescent="0.25">
      <c r="B95" s="78" t="str">
        <f xml:space="preserve"> ( 'Facility Detail'!$B$761 + 1 ) &amp; " Surplus Applied to " &amp; ( 'Facility Detail'!$B$761 + 2 )</f>
        <v>2022 Surplus Applied to 2023</v>
      </c>
      <c r="D95" s="64"/>
      <c r="E95" s="10"/>
      <c r="F95" s="70">
        <f>E95</f>
        <v>0</v>
      </c>
      <c r="G95" s="74"/>
      <c r="H95" s="74"/>
      <c r="I95" s="74"/>
    </row>
    <row r="96" spans="1:9" x14ac:dyDescent="0.25">
      <c r="B96" s="78" t="str">
        <f xml:space="preserve"> ( 'Facility Detail'!$B$761 + 2 ) &amp; " Surplus Applied to " &amp; ( 'Facility Detail'!$B$761 + 1 )</f>
        <v>2023 Surplus Applied to 2022</v>
      </c>
      <c r="D96" s="64"/>
      <c r="E96" s="70">
        <f>F96</f>
        <v>0</v>
      </c>
      <c r="F96" s="10"/>
      <c r="G96" s="74"/>
      <c r="H96" s="74"/>
      <c r="I96" s="74"/>
    </row>
    <row r="97" spans="1:9" x14ac:dyDescent="0.25">
      <c r="B97" s="78" t="str">
        <f xml:space="preserve"> ( 'Facility Detail'!$B$761 + 2 ) &amp; " Surplus Applied to " &amp; ( 'Facility Detail'!$B$761 + 3 )</f>
        <v>2023 Surplus Applied to 2024</v>
      </c>
      <c r="D97" s="64"/>
      <c r="E97" s="75"/>
      <c r="F97" s="10"/>
      <c r="G97" s="126">
        <f>F97</f>
        <v>0</v>
      </c>
      <c r="H97" s="126">
        <f>G97</f>
        <v>0</v>
      </c>
      <c r="I97" s="126">
        <f>H97</f>
        <v>0</v>
      </c>
    </row>
    <row r="98" spans="1:9" x14ac:dyDescent="0.25">
      <c r="B98" s="78" t="str">
        <f xml:space="preserve"> ( 'Facility Detail'!$B$761 +3 ) &amp; " Surplus Applied to " &amp; ( 'Facility Detail'!$B$761 + 2 )</f>
        <v>2024 Surplus Applied to 2023</v>
      </c>
      <c r="D98" s="65"/>
      <c r="E98" s="76"/>
      <c r="F98" s="62">
        <f>G98</f>
        <v>0</v>
      </c>
      <c r="G98" s="127"/>
      <c r="H98" s="127"/>
      <c r="I98" s="127"/>
    </row>
    <row r="99" spans="1:9" x14ac:dyDescent="0.25">
      <c r="B99" s="78" t="str">
        <f xml:space="preserve"> ( 'Facility Detail'!$B$761 +3 ) &amp; " Surplus Applied to " &amp; ( 'Facility Detail'!$B$761 + 4 )</f>
        <v>2024 Surplus Applied to 2025</v>
      </c>
      <c r="D99" s="130"/>
      <c r="E99" s="130"/>
      <c r="F99" s="19"/>
      <c r="G99" s="131"/>
      <c r="H99" s="131"/>
      <c r="I99" s="131"/>
    </row>
    <row r="100" spans="1:9" x14ac:dyDescent="0.25">
      <c r="B100" s="32" t="s">
        <v>25</v>
      </c>
      <c r="D100" s="7">
        <f xml:space="preserve"> D94 - D93</f>
        <v>0</v>
      </c>
      <c r="E100" s="7">
        <f xml:space="preserve"> E93 + E96 - E95 - E94</f>
        <v>0</v>
      </c>
      <c r="F100" s="7">
        <f>F95+F98-F96-F97</f>
        <v>0</v>
      </c>
      <c r="G100" s="7">
        <f t="shared" ref="G100:I100" si="18">G97-G98</f>
        <v>0</v>
      </c>
      <c r="H100" s="7">
        <f t="shared" si="18"/>
        <v>0</v>
      </c>
      <c r="I100" s="7">
        <f t="shared" si="18"/>
        <v>0</v>
      </c>
    </row>
    <row r="101" spans="1:9" x14ac:dyDescent="0.25">
      <c r="B101" s="6"/>
      <c r="D101" s="7"/>
      <c r="E101" s="7"/>
      <c r="F101" s="7"/>
      <c r="G101" s="7"/>
      <c r="H101" s="7"/>
      <c r="I101" s="7"/>
    </row>
    <row r="102" spans="1:9" x14ac:dyDescent="0.25">
      <c r="B102" s="78" t="s">
        <v>21</v>
      </c>
      <c r="C102" s="71"/>
      <c r="D102" s="96"/>
      <c r="E102" s="97"/>
      <c r="F102" s="98"/>
      <c r="G102" s="98"/>
      <c r="H102" s="98"/>
      <c r="I102" s="98"/>
    </row>
    <row r="103" spans="1:9" x14ac:dyDescent="0.25">
      <c r="B103" s="6"/>
      <c r="D103" s="7"/>
      <c r="E103" s="7"/>
      <c r="F103" s="7"/>
      <c r="G103" s="7"/>
      <c r="H103" s="7"/>
      <c r="I103" s="7"/>
    </row>
    <row r="104" spans="1:9" ht="15.75" x14ac:dyDescent="0.25">
      <c r="A104" s="81" t="s">
        <v>33</v>
      </c>
      <c r="C104" s="71"/>
      <c r="D104" s="43">
        <f t="shared" ref="D104:I104" si="19" xml:space="preserve"> D79 + D84 - D90 + D100 + D102</f>
        <v>0</v>
      </c>
      <c r="E104" s="44">
        <f t="shared" si="19"/>
        <v>2015</v>
      </c>
      <c r="F104" s="45">
        <f t="shared" si="19"/>
        <v>1875</v>
      </c>
      <c r="G104" s="45">
        <f t="shared" si="19"/>
        <v>2288</v>
      </c>
      <c r="H104" s="45">
        <f t="shared" si="19"/>
        <v>2160</v>
      </c>
      <c r="I104" s="45">
        <f t="shared" si="19"/>
        <v>2160</v>
      </c>
    </row>
    <row r="105" spans="1:9" x14ac:dyDescent="0.25">
      <c r="B105" s="6"/>
      <c r="D105" s="7"/>
      <c r="E105" s="7"/>
      <c r="F105" s="7"/>
      <c r="G105" s="29"/>
      <c r="H105" s="29"/>
      <c r="I105" s="29"/>
    </row>
    <row r="106" spans="1:9" ht="15.75" thickBot="1" x14ac:dyDescent="0.3"/>
    <row r="107" spans="1:9" x14ac:dyDescent="0.25">
      <c r="A107" s="8"/>
      <c r="B107" s="8"/>
      <c r="C107" s="8"/>
      <c r="D107" s="8"/>
      <c r="E107" s="8"/>
      <c r="F107" s="8"/>
      <c r="G107" s="8"/>
      <c r="H107" s="8"/>
      <c r="I107" s="8"/>
    </row>
    <row r="109" spans="1:9" ht="21" x14ac:dyDescent="0.35">
      <c r="A109" s="16" t="s">
        <v>4</v>
      </c>
      <c r="B109" s="16"/>
      <c r="C109" s="154" t="str">
        <f>B4</f>
        <v>Cabinet Gorge #2</v>
      </c>
      <c r="D109" s="155"/>
    </row>
    <row r="111" spans="1:9" ht="18.75" x14ac:dyDescent="0.3">
      <c r="A111" s="9" t="s">
        <v>27</v>
      </c>
      <c r="B111" s="9"/>
      <c r="D111" s="2">
        <v>2021</v>
      </c>
      <c r="E111" s="2">
        <f t="shared" ref="E111:I111" si="20">D111+1</f>
        <v>2022</v>
      </c>
      <c r="F111" s="2">
        <f t="shared" si="20"/>
        <v>2023</v>
      </c>
      <c r="G111" s="2">
        <f t="shared" si="20"/>
        <v>2024</v>
      </c>
      <c r="H111" s="2">
        <f t="shared" si="20"/>
        <v>2025</v>
      </c>
      <c r="I111" s="2">
        <f t="shared" si="20"/>
        <v>2026</v>
      </c>
    </row>
    <row r="112" spans="1:9" x14ac:dyDescent="0.25">
      <c r="B112" s="78" t="str">
        <f>"Total MWh Produced / Purchased from " &amp; C109</f>
        <v>Total MWh Produced / Purchased from Cabinet Gorge #2</v>
      </c>
      <c r="C112" s="71"/>
      <c r="D112" s="3">
        <v>33542</v>
      </c>
      <c r="E112" s="3">
        <v>23465</v>
      </c>
      <c r="F112" s="3">
        <v>13332</v>
      </c>
      <c r="G112" s="3">
        <v>12929</v>
      </c>
      <c r="H112" s="3">
        <v>14300</v>
      </c>
      <c r="I112" s="3">
        <v>14300</v>
      </c>
    </row>
    <row r="113" spans="1:9" x14ac:dyDescent="0.25">
      <c r="B113" s="78" t="s">
        <v>32</v>
      </c>
      <c r="C113" s="71"/>
      <c r="D113" s="55">
        <v>1</v>
      </c>
      <c r="E113" s="56">
        <v>1</v>
      </c>
      <c r="F113" s="57">
        <v>1</v>
      </c>
      <c r="G113" s="57">
        <v>1</v>
      </c>
      <c r="H113" s="57">
        <v>1</v>
      </c>
      <c r="I113" s="57">
        <v>1</v>
      </c>
    </row>
    <row r="114" spans="1:9" x14ac:dyDescent="0.25">
      <c r="B114" s="78" t="s">
        <v>26</v>
      </c>
      <c r="C114" s="71"/>
      <c r="D114" s="48">
        <v>1</v>
      </c>
      <c r="E114" s="49">
        <v>1</v>
      </c>
      <c r="F114" s="50">
        <v>1</v>
      </c>
      <c r="G114" s="50">
        <v>1</v>
      </c>
      <c r="H114" s="50">
        <v>1</v>
      </c>
      <c r="I114" s="50">
        <v>1</v>
      </c>
    </row>
    <row r="115" spans="1:9" x14ac:dyDescent="0.25">
      <c r="B115" s="32" t="s">
        <v>28</v>
      </c>
      <c r="C115" s="6"/>
      <c r="D115" s="37">
        <f t="shared" ref="D115:I115" si="21" xml:space="preserve"> D112 * D113 * D114</f>
        <v>33542</v>
      </c>
      <c r="E115" s="37">
        <f t="shared" si="21"/>
        <v>23465</v>
      </c>
      <c r="F115" s="37">
        <f t="shared" si="21"/>
        <v>13332</v>
      </c>
      <c r="G115" s="37">
        <f t="shared" si="21"/>
        <v>12929</v>
      </c>
      <c r="H115" s="37">
        <f t="shared" si="21"/>
        <v>14300</v>
      </c>
      <c r="I115" s="37">
        <f t="shared" si="21"/>
        <v>14300</v>
      </c>
    </row>
    <row r="116" spans="1:9" x14ac:dyDescent="0.25">
      <c r="D116" s="36"/>
      <c r="E116" s="36"/>
      <c r="F116" s="36"/>
      <c r="G116" s="36"/>
      <c r="H116" s="36"/>
      <c r="I116" s="36"/>
    </row>
    <row r="117" spans="1:9" ht="18.75" x14ac:dyDescent="0.3">
      <c r="A117" s="9" t="s">
        <v>30</v>
      </c>
      <c r="D117" s="2">
        <f>D111</f>
        <v>2021</v>
      </c>
      <c r="E117" s="2">
        <f t="shared" ref="E117:I117" si="22">D117+1</f>
        <v>2022</v>
      </c>
      <c r="F117" s="2">
        <f t="shared" si="22"/>
        <v>2023</v>
      </c>
      <c r="G117" s="2">
        <f t="shared" si="22"/>
        <v>2024</v>
      </c>
      <c r="H117" s="2">
        <f t="shared" si="22"/>
        <v>2025</v>
      </c>
      <c r="I117" s="2">
        <f t="shared" si="22"/>
        <v>2026</v>
      </c>
    </row>
    <row r="118" spans="1:9" x14ac:dyDescent="0.25">
      <c r="B118" s="78" t="s">
        <v>19</v>
      </c>
      <c r="C118" s="71"/>
      <c r="D118" s="51">
        <f>IF( $E4 = "Eligible", D115 * 'Facility Detail'!$B$593, 0 )</f>
        <v>0</v>
      </c>
      <c r="E118" s="13">
        <f>IF( $E4 = "Eligible", E115 * 'Facility Detail'!$B$593, 0 )</f>
        <v>0</v>
      </c>
      <c r="F118" s="14">
        <f>IF( $E4 = "Eligible", F115 * 'Facility Detail'!$B$593, 0 )</f>
        <v>0</v>
      </c>
      <c r="G118" s="14">
        <f>IF( $E4 = "Eligible", G115 * 'Facility Detail'!$B$593, 0 )</f>
        <v>0</v>
      </c>
      <c r="H118" s="14">
        <f>IF( $E4 = "Eligible", H115 * 'Facility Detail'!$B$593, 0 )</f>
        <v>0</v>
      </c>
      <c r="I118" s="14">
        <f>IF( $E4 = "Eligible", I115 * 'Facility Detail'!$B$593, 0 )</f>
        <v>0</v>
      </c>
    </row>
    <row r="119" spans="1:9" x14ac:dyDescent="0.25">
      <c r="B119" s="78" t="s">
        <v>6</v>
      </c>
      <c r="C119" s="71"/>
      <c r="D119" s="52">
        <f t="shared" ref="D119:I119" si="23">IF( $F4 = "Eligible", D115, 0 )</f>
        <v>0</v>
      </c>
      <c r="E119" s="53">
        <f t="shared" si="23"/>
        <v>0</v>
      </c>
      <c r="F119" s="54">
        <f t="shared" si="23"/>
        <v>0</v>
      </c>
      <c r="G119" s="54">
        <f t="shared" si="23"/>
        <v>0</v>
      </c>
      <c r="H119" s="54">
        <f t="shared" si="23"/>
        <v>0</v>
      </c>
      <c r="I119" s="54">
        <f t="shared" si="23"/>
        <v>0</v>
      </c>
    </row>
    <row r="120" spans="1:9" x14ac:dyDescent="0.25">
      <c r="B120" s="32" t="s">
        <v>37</v>
      </c>
      <c r="C120" s="6"/>
      <c r="D120" s="39">
        <f t="shared" ref="D120:I120" si="24">SUM(D118:D119)</f>
        <v>0</v>
      </c>
      <c r="E120" s="40">
        <f t="shared" si="24"/>
        <v>0</v>
      </c>
      <c r="F120" s="40">
        <f t="shared" si="24"/>
        <v>0</v>
      </c>
      <c r="G120" s="40">
        <f t="shared" si="24"/>
        <v>0</v>
      </c>
      <c r="H120" s="40">
        <f t="shared" si="24"/>
        <v>0</v>
      </c>
      <c r="I120" s="40">
        <f t="shared" si="24"/>
        <v>0</v>
      </c>
    </row>
    <row r="121" spans="1:9" x14ac:dyDescent="0.25">
      <c r="D121" s="38"/>
      <c r="E121" s="30"/>
      <c r="F121" s="30"/>
      <c r="G121" s="30"/>
      <c r="H121" s="30"/>
      <c r="I121" s="30"/>
    </row>
    <row r="122" spans="1:9" ht="18.75" x14ac:dyDescent="0.3">
      <c r="A122" s="9" t="s">
        <v>35</v>
      </c>
      <c r="D122" s="2">
        <f>D111</f>
        <v>2021</v>
      </c>
      <c r="E122" s="2">
        <f t="shared" ref="E122:I122" si="25">D122+1</f>
        <v>2022</v>
      </c>
      <c r="F122" s="2">
        <f t="shared" si="25"/>
        <v>2023</v>
      </c>
      <c r="G122" s="2">
        <f t="shared" si="25"/>
        <v>2024</v>
      </c>
      <c r="H122" s="2">
        <f t="shared" si="25"/>
        <v>2025</v>
      </c>
      <c r="I122" s="2">
        <f t="shared" si="25"/>
        <v>2026</v>
      </c>
    </row>
    <row r="123" spans="1:9" x14ac:dyDescent="0.25">
      <c r="B123" s="78" t="s">
        <v>39</v>
      </c>
      <c r="C123" s="71"/>
      <c r="D123" s="84">
        <v>0</v>
      </c>
      <c r="E123" s="85">
        <v>0</v>
      </c>
      <c r="F123" s="86">
        <v>0</v>
      </c>
      <c r="G123" s="86">
        <v>0</v>
      </c>
      <c r="H123" s="86">
        <v>0</v>
      </c>
      <c r="I123" s="86">
        <v>0</v>
      </c>
    </row>
    <row r="124" spans="1:9" x14ac:dyDescent="0.25">
      <c r="B124" s="79" t="s">
        <v>29</v>
      </c>
      <c r="C124" s="80"/>
      <c r="D124" s="87">
        <v>0</v>
      </c>
      <c r="E124" s="88">
        <v>0</v>
      </c>
      <c r="F124" s="89">
        <v>0</v>
      </c>
      <c r="G124" s="89">
        <v>0</v>
      </c>
      <c r="H124" s="89">
        <v>0</v>
      </c>
      <c r="I124" s="89">
        <v>0</v>
      </c>
    </row>
    <row r="125" spans="1:9" x14ac:dyDescent="0.25">
      <c r="B125" s="79" t="s">
        <v>41</v>
      </c>
      <c r="C125"/>
      <c r="D125" s="58">
        <v>0</v>
      </c>
      <c r="E125" s="59">
        <v>0</v>
      </c>
      <c r="F125" s="60">
        <v>0</v>
      </c>
      <c r="G125" s="60">
        <v>0</v>
      </c>
      <c r="H125" s="60">
        <v>0</v>
      </c>
      <c r="I125" s="60">
        <v>0</v>
      </c>
    </row>
    <row r="126" spans="1:9" x14ac:dyDescent="0.25">
      <c r="B126" s="32" t="s">
        <v>42</v>
      </c>
      <c r="D126" s="7">
        <f t="shared" ref="D126:I126" si="26">SUM(D123:D125)</f>
        <v>0</v>
      </c>
      <c r="E126" s="7">
        <f t="shared" si="26"/>
        <v>0</v>
      </c>
      <c r="F126" s="7">
        <f t="shared" si="26"/>
        <v>0</v>
      </c>
      <c r="G126" s="7">
        <f t="shared" si="26"/>
        <v>0</v>
      </c>
      <c r="H126" s="7">
        <f t="shared" si="26"/>
        <v>0</v>
      </c>
      <c r="I126" s="7">
        <f t="shared" si="26"/>
        <v>0</v>
      </c>
    </row>
    <row r="127" spans="1:9" x14ac:dyDescent="0.25">
      <c r="B127" s="6"/>
      <c r="D127" s="7"/>
      <c r="E127" s="7"/>
      <c r="F127" s="7"/>
      <c r="G127" s="7"/>
      <c r="H127" s="7"/>
      <c r="I127" s="7"/>
    </row>
    <row r="128" spans="1:9" ht="18.75" x14ac:dyDescent="0.3">
      <c r="A128" s="9" t="s">
        <v>43</v>
      </c>
      <c r="D128" s="2">
        <f>D111</f>
        <v>2021</v>
      </c>
      <c r="E128" s="2">
        <f t="shared" ref="E128:I128" si="27">D128+1</f>
        <v>2022</v>
      </c>
      <c r="F128" s="2">
        <f t="shared" si="27"/>
        <v>2023</v>
      </c>
      <c r="G128" s="2">
        <f t="shared" si="27"/>
        <v>2024</v>
      </c>
      <c r="H128" s="2">
        <f t="shared" si="27"/>
        <v>2025</v>
      </c>
      <c r="I128" s="2">
        <f t="shared" si="27"/>
        <v>2026</v>
      </c>
    </row>
    <row r="129" spans="1:9" x14ac:dyDescent="0.25">
      <c r="B129" s="78" t="str">
        <f xml:space="preserve"> 'Facility Detail'!$B$761 &amp; " Surplus Applied to " &amp; ( 'Facility Detail'!$B$761 + 1 )</f>
        <v>2021 Surplus Applied to 2022</v>
      </c>
      <c r="C129" s="71"/>
      <c r="D129" s="3"/>
      <c r="E129" s="61">
        <f>D129</f>
        <v>0</v>
      </c>
      <c r="F129" s="124"/>
      <c r="G129" s="63"/>
      <c r="H129" s="63"/>
      <c r="I129" s="63"/>
    </row>
    <row r="130" spans="1:9" x14ac:dyDescent="0.25">
      <c r="B130" s="78" t="str">
        <f xml:space="preserve"> ( 'Facility Detail'!$B$761 + 1 ) &amp; " Surplus Applied to " &amp; ( 'Facility Detail'!$B$761 )</f>
        <v>2022 Surplus Applied to 2021</v>
      </c>
      <c r="C130" s="71"/>
      <c r="D130" s="125">
        <f>E130</f>
        <v>0</v>
      </c>
      <c r="E130" s="10"/>
      <c r="F130" s="75"/>
      <c r="G130" s="74"/>
      <c r="H130" s="74"/>
      <c r="I130" s="74"/>
    </row>
    <row r="131" spans="1:9" x14ac:dyDescent="0.25">
      <c r="B131" s="78" t="str">
        <f xml:space="preserve"> ( 'Facility Detail'!$B$761 + 1 ) &amp; " Surplus Applied to " &amp; ( 'Facility Detail'!$B$761 + 2 )</f>
        <v>2022 Surplus Applied to 2023</v>
      </c>
      <c r="C131" s="71"/>
      <c r="D131" s="64"/>
      <c r="E131" s="10"/>
      <c r="F131" s="70">
        <f>E131</f>
        <v>0</v>
      </c>
      <c r="G131" s="74"/>
      <c r="H131" s="74"/>
      <c r="I131" s="74"/>
    </row>
    <row r="132" spans="1:9" x14ac:dyDescent="0.25">
      <c r="B132" s="78" t="str">
        <f xml:space="preserve"> ( 'Facility Detail'!$B$761 + 2 ) &amp; " Surplus Applied to " &amp; ( 'Facility Detail'!$B$761 + 1 )</f>
        <v>2023 Surplus Applied to 2022</v>
      </c>
      <c r="C132" s="71"/>
      <c r="D132" s="64"/>
      <c r="E132" s="70">
        <f>F132</f>
        <v>0</v>
      </c>
      <c r="F132" s="10"/>
      <c r="G132" s="74"/>
      <c r="H132" s="74"/>
      <c r="I132" s="74"/>
    </row>
    <row r="133" spans="1:9" x14ac:dyDescent="0.25">
      <c r="B133" s="78" t="str">
        <f xml:space="preserve"> ( 'Facility Detail'!$B$761 + 2 ) &amp; " Surplus Applied to " &amp; ( 'Facility Detail'!$B$761 + 3 )</f>
        <v>2023 Surplus Applied to 2024</v>
      </c>
      <c r="D133" s="64"/>
      <c r="E133" s="75"/>
      <c r="F133" s="10"/>
      <c r="G133" s="126">
        <f>F133</f>
        <v>0</v>
      </c>
      <c r="H133" s="126">
        <f>G133</f>
        <v>0</v>
      </c>
      <c r="I133" s="126">
        <f>H133</f>
        <v>0</v>
      </c>
    </row>
    <row r="134" spans="1:9" x14ac:dyDescent="0.25">
      <c r="B134" s="78" t="str">
        <f xml:space="preserve"> ( 'Facility Detail'!$B$761 +3 ) &amp; " Surplus Applied to " &amp; ( 'Facility Detail'!$B$761 + 2 )</f>
        <v>2024 Surplus Applied to 2023</v>
      </c>
      <c r="D134" s="65"/>
      <c r="E134" s="76"/>
      <c r="F134" s="62">
        <f>G134</f>
        <v>0</v>
      </c>
      <c r="G134" s="127"/>
      <c r="H134" s="127"/>
      <c r="I134" s="127"/>
    </row>
    <row r="135" spans="1:9" x14ac:dyDescent="0.25">
      <c r="B135" s="78" t="str">
        <f xml:space="preserve"> ( 'Facility Detail'!$B$761 +3 ) &amp; " Surplus Applied to " &amp; ( 'Facility Detail'!$B$761 + 4 )</f>
        <v>2024 Surplus Applied to 2025</v>
      </c>
      <c r="D135" s="130"/>
      <c r="E135" s="130"/>
      <c r="F135" s="19"/>
      <c r="G135" s="131"/>
      <c r="H135" s="131"/>
      <c r="I135" s="131"/>
    </row>
    <row r="136" spans="1:9" x14ac:dyDescent="0.25">
      <c r="B136" s="32" t="s">
        <v>25</v>
      </c>
      <c r="D136" s="7">
        <f xml:space="preserve"> D130 - D129</f>
        <v>0</v>
      </c>
      <c r="E136" s="7">
        <f xml:space="preserve"> E129 + E132 - E131 - E130</f>
        <v>0</v>
      </c>
      <c r="F136" s="7">
        <f>F131+F134-F132-F133</f>
        <v>0</v>
      </c>
      <c r="G136" s="7">
        <f t="shared" ref="G136:I136" si="28">G133-G134</f>
        <v>0</v>
      </c>
      <c r="H136" s="7">
        <f t="shared" si="28"/>
        <v>0</v>
      </c>
      <c r="I136" s="7">
        <f t="shared" si="28"/>
        <v>0</v>
      </c>
    </row>
    <row r="137" spans="1:9" x14ac:dyDescent="0.25">
      <c r="B137" s="6"/>
      <c r="D137" s="7"/>
      <c r="E137" s="7"/>
      <c r="F137" s="7"/>
      <c r="G137" s="7"/>
      <c r="H137" s="7"/>
      <c r="I137" s="7"/>
    </row>
    <row r="138" spans="1:9" x14ac:dyDescent="0.25">
      <c r="B138" s="78" t="s">
        <v>21</v>
      </c>
      <c r="C138" s="71"/>
      <c r="D138" s="96"/>
      <c r="E138" s="97"/>
      <c r="F138" s="98"/>
      <c r="G138" s="98"/>
      <c r="H138" s="98"/>
      <c r="I138" s="98"/>
    </row>
    <row r="139" spans="1:9" x14ac:dyDescent="0.25">
      <c r="B139" s="6"/>
      <c r="D139" s="7"/>
      <c r="E139" s="7"/>
      <c r="F139" s="7"/>
      <c r="G139" s="7"/>
      <c r="H139" s="7"/>
      <c r="I139" s="7"/>
    </row>
    <row r="140" spans="1:9" ht="15.75" x14ac:dyDescent="0.25">
      <c r="A140" s="81" t="s">
        <v>33</v>
      </c>
      <c r="C140" s="71"/>
      <c r="D140" s="43">
        <f t="shared" ref="D140:I140" si="29" xml:space="preserve"> D115 + D120 - D126 + D136 + D138</f>
        <v>33542</v>
      </c>
      <c r="E140" s="44">
        <f t="shared" si="29"/>
        <v>23465</v>
      </c>
      <c r="F140" s="45">
        <f t="shared" si="29"/>
        <v>13332</v>
      </c>
      <c r="G140" s="45">
        <f t="shared" si="29"/>
        <v>12929</v>
      </c>
      <c r="H140" s="45">
        <f t="shared" si="29"/>
        <v>14300</v>
      </c>
      <c r="I140" s="45">
        <f t="shared" si="29"/>
        <v>14300</v>
      </c>
    </row>
    <row r="141" spans="1:9" x14ac:dyDescent="0.25">
      <c r="B141" s="6"/>
      <c r="D141" s="7"/>
      <c r="E141" s="7"/>
      <c r="F141" s="7"/>
      <c r="G141" s="29"/>
      <c r="H141" s="29"/>
      <c r="I141" s="29"/>
    </row>
    <row r="142" spans="1:9" ht="15.75" thickBot="1" x14ac:dyDescent="0.3"/>
    <row r="143" spans="1:9" x14ac:dyDescent="0.25">
      <c r="A143" s="8"/>
      <c r="B143" s="8"/>
      <c r="C143" s="8"/>
      <c r="D143" s="8"/>
      <c r="E143" s="8"/>
      <c r="F143" s="8"/>
      <c r="G143" s="8"/>
      <c r="H143" s="8"/>
      <c r="I143" s="8"/>
    </row>
    <row r="145" spans="1:9" ht="21" x14ac:dyDescent="0.35">
      <c r="A145" s="16" t="s">
        <v>4</v>
      </c>
      <c r="B145" s="16"/>
      <c r="C145" s="154" t="str">
        <f>B5</f>
        <v>Cabinet Gorge #3</v>
      </c>
      <c r="D145" s="155"/>
    </row>
    <row r="147" spans="1:9" ht="18.75" x14ac:dyDescent="0.3">
      <c r="A147" s="9" t="s">
        <v>27</v>
      </c>
      <c r="B147" s="9"/>
      <c r="D147" s="2">
        <v>2021</v>
      </c>
      <c r="E147" s="2">
        <f t="shared" ref="E147:I147" si="30">D147+1</f>
        <v>2022</v>
      </c>
      <c r="F147" s="2">
        <f t="shared" si="30"/>
        <v>2023</v>
      </c>
      <c r="G147" s="2">
        <f t="shared" si="30"/>
        <v>2024</v>
      </c>
      <c r="H147" s="2">
        <f t="shared" si="30"/>
        <v>2025</v>
      </c>
      <c r="I147" s="2">
        <f t="shared" si="30"/>
        <v>2026</v>
      </c>
    </row>
    <row r="148" spans="1:9" x14ac:dyDescent="0.25">
      <c r="B148" s="78" t="str">
        <f>"Total MWh Produced / Purchased from " &amp; C145</f>
        <v>Total MWh Produced / Purchased from Cabinet Gorge #3</v>
      </c>
      <c r="C148" s="71"/>
      <c r="D148" s="3">
        <v>20576</v>
      </c>
      <c r="E148" s="3">
        <v>20379</v>
      </c>
      <c r="F148" s="3">
        <v>9500</v>
      </c>
      <c r="G148" s="3">
        <v>9019</v>
      </c>
      <c r="H148" s="3">
        <v>9508</v>
      </c>
      <c r="I148" s="3">
        <v>9508</v>
      </c>
    </row>
    <row r="149" spans="1:9" x14ac:dyDescent="0.25">
      <c r="B149" s="78" t="s">
        <v>32</v>
      </c>
      <c r="C149" s="71"/>
      <c r="D149" s="55">
        <v>1</v>
      </c>
      <c r="E149" s="56">
        <v>1</v>
      </c>
      <c r="F149" s="57">
        <v>1</v>
      </c>
      <c r="G149" s="57">
        <v>1</v>
      </c>
      <c r="H149" s="57">
        <v>1</v>
      </c>
      <c r="I149" s="57">
        <v>1</v>
      </c>
    </row>
    <row r="150" spans="1:9" x14ac:dyDescent="0.25">
      <c r="B150" s="78" t="s">
        <v>26</v>
      </c>
      <c r="C150" s="71"/>
      <c r="D150" s="48">
        <v>1</v>
      </c>
      <c r="E150" s="49">
        <v>1</v>
      </c>
      <c r="F150" s="50">
        <v>1</v>
      </c>
      <c r="G150" s="50">
        <v>1</v>
      </c>
      <c r="H150" s="50">
        <v>1</v>
      </c>
      <c r="I150" s="50">
        <v>1</v>
      </c>
    </row>
    <row r="151" spans="1:9" x14ac:dyDescent="0.25">
      <c r="B151" s="32" t="s">
        <v>28</v>
      </c>
      <c r="C151" s="6"/>
      <c r="D151" s="37">
        <f t="shared" ref="D151:I151" si="31" xml:space="preserve"> D148 * D149 * D150</f>
        <v>20576</v>
      </c>
      <c r="E151" s="37">
        <f t="shared" si="31"/>
        <v>20379</v>
      </c>
      <c r="F151" s="37">
        <f t="shared" si="31"/>
        <v>9500</v>
      </c>
      <c r="G151" s="37">
        <f t="shared" si="31"/>
        <v>9019</v>
      </c>
      <c r="H151" s="37">
        <f t="shared" si="31"/>
        <v>9508</v>
      </c>
      <c r="I151" s="37">
        <f t="shared" si="31"/>
        <v>9508</v>
      </c>
    </row>
    <row r="152" spans="1:9" x14ac:dyDescent="0.25">
      <c r="D152" s="36"/>
      <c r="E152" s="36"/>
      <c r="F152" s="36"/>
      <c r="G152" s="36"/>
      <c r="H152" s="36"/>
      <c r="I152" s="36"/>
    </row>
    <row r="153" spans="1:9" ht="18.75" x14ac:dyDescent="0.3">
      <c r="A153" s="9" t="s">
        <v>30</v>
      </c>
      <c r="D153" s="2">
        <f>D147</f>
        <v>2021</v>
      </c>
      <c r="E153" s="2">
        <f t="shared" ref="E153:I153" si="32">D153+1</f>
        <v>2022</v>
      </c>
      <c r="F153" s="2">
        <f t="shared" si="32"/>
        <v>2023</v>
      </c>
      <c r="G153" s="2">
        <f t="shared" si="32"/>
        <v>2024</v>
      </c>
      <c r="H153" s="2">
        <f t="shared" si="32"/>
        <v>2025</v>
      </c>
      <c r="I153" s="2">
        <f t="shared" si="32"/>
        <v>2026</v>
      </c>
    </row>
    <row r="154" spans="1:9" x14ac:dyDescent="0.25">
      <c r="B154" s="78" t="s">
        <v>19</v>
      </c>
      <c r="C154" s="71"/>
      <c r="D154" s="51">
        <f>IF( $E5 = "Eligible",D151 * 'Facility Detail'!$B$593, 0 )</f>
        <v>0</v>
      </c>
      <c r="E154" s="13">
        <f>IF( $E5 = "Eligible",E151 * 'Facility Detail'!$B$593, 0 )</f>
        <v>0</v>
      </c>
      <c r="F154" s="14">
        <f>IF( $E5 = "Eligible",F151 * 'Facility Detail'!$B$593, 0 )</f>
        <v>0</v>
      </c>
      <c r="G154" s="14">
        <f>IF( $E5 = "Eligible",G151 * 'Facility Detail'!$B$593, 0 )</f>
        <v>0</v>
      </c>
      <c r="H154" s="14">
        <f>IF( $E5 = "Eligible",H151 * 'Facility Detail'!$B$593, 0 )</f>
        <v>0</v>
      </c>
      <c r="I154" s="14">
        <f>IF( $E5 = "Eligible",I151 * 'Facility Detail'!$B$593, 0 )</f>
        <v>0</v>
      </c>
    </row>
    <row r="155" spans="1:9" x14ac:dyDescent="0.25">
      <c r="B155" s="78" t="s">
        <v>6</v>
      </c>
      <c r="C155" s="71"/>
      <c r="D155" s="52">
        <f t="shared" ref="D155:I155" si="33">IF( $F5 = "Eligible", D151, 0 )</f>
        <v>0</v>
      </c>
      <c r="E155" s="53">
        <f t="shared" si="33"/>
        <v>0</v>
      </c>
      <c r="F155" s="54">
        <f t="shared" si="33"/>
        <v>0</v>
      </c>
      <c r="G155" s="54">
        <f t="shared" si="33"/>
        <v>0</v>
      </c>
      <c r="H155" s="54">
        <f t="shared" si="33"/>
        <v>0</v>
      </c>
      <c r="I155" s="54">
        <f t="shared" si="33"/>
        <v>0</v>
      </c>
    </row>
    <row r="156" spans="1:9" x14ac:dyDescent="0.25">
      <c r="B156" s="32" t="s">
        <v>37</v>
      </c>
      <c r="C156" s="6"/>
      <c r="D156" s="39">
        <f t="shared" ref="D156:I156" si="34">SUM(D154:D155)</f>
        <v>0</v>
      </c>
      <c r="E156" s="40">
        <f t="shared" si="34"/>
        <v>0</v>
      </c>
      <c r="F156" s="40">
        <f t="shared" si="34"/>
        <v>0</v>
      </c>
      <c r="G156" s="40">
        <f t="shared" si="34"/>
        <v>0</v>
      </c>
      <c r="H156" s="40">
        <f t="shared" si="34"/>
        <v>0</v>
      </c>
      <c r="I156" s="40">
        <f t="shared" si="34"/>
        <v>0</v>
      </c>
    </row>
    <row r="157" spans="1:9" x14ac:dyDescent="0.25">
      <c r="D157" s="38"/>
      <c r="E157" s="30"/>
      <c r="F157" s="30"/>
      <c r="G157" s="30"/>
      <c r="H157" s="30"/>
      <c r="I157" s="30"/>
    </row>
    <row r="158" spans="1:9" ht="18.75" x14ac:dyDescent="0.3">
      <c r="A158" s="9" t="s">
        <v>35</v>
      </c>
      <c r="D158" s="2">
        <f>D147</f>
        <v>2021</v>
      </c>
      <c r="E158" s="2">
        <f t="shared" ref="E158:I158" si="35">D158+1</f>
        <v>2022</v>
      </c>
      <c r="F158" s="2">
        <f t="shared" si="35"/>
        <v>2023</v>
      </c>
      <c r="G158" s="2">
        <f t="shared" si="35"/>
        <v>2024</v>
      </c>
      <c r="H158" s="2">
        <f t="shared" si="35"/>
        <v>2025</v>
      </c>
      <c r="I158" s="2">
        <f t="shared" si="35"/>
        <v>2026</v>
      </c>
    </row>
    <row r="159" spans="1:9" x14ac:dyDescent="0.25">
      <c r="B159" s="78" t="s">
        <v>39</v>
      </c>
      <c r="C159" s="71"/>
      <c r="D159" s="84">
        <v>0</v>
      </c>
      <c r="E159" s="85">
        <v>0</v>
      </c>
      <c r="F159" s="86">
        <v>0</v>
      </c>
      <c r="G159" s="86">
        <v>0</v>
      </c>
      <c r="H159" s="86">
        <v>0</v>
      </c>
      <c r="I159" s="86">
        <v>0</v>
      </c>
    </row>
    <row r="160" spans="1:9" x14ac:dyDescent="0.25">
      <c r="B160" s="79" t="s">
        <v>29</v>
      </c>
      <c r="C160" s="80"/>
      <c r="D160" s="87">
        <v>0</v>
      </c>
      <c r="E160" s="88">
        <v>0</v>
      </c>
      <c r="F160" s="89">
        <v>0</v>
      </c>
      <c r="G160" s="89">
        <v>0</v>
      </c>
      <c r="H160" s="89">
        <v>0</v>
      </c>
      <c r="I160" s="89">
        <v>0</v>
      </c>
    </row>
    <row r="161" spans="1:9" x14ac:dyDescent="0.25">
      <c r="B161" s="79" t="s">
        <v>41</v>
      </c>
      <c r="C161"/>
      <c r="D161" s="58">
        <v>0</v>
      </c>
      <c r="E161" s="59">
        <v>0</v>
      </c>
      <c r="F161" s="60">
        <v>0</v>
      </c>
      <c r="G161" s="60">
        <v>0</v>
      </c>
      <c r="H161" s="60">
        <v>0</v>
      </c>
      <c r="I161" s="60">
        <v>0</v>
      </c>
    </row>
    <row r="162" spans="1:9" x14ac:dyDescent="0.25">
      <c r="B162" s="32" t="s">
        <v>42</v>
      </c>
      <c r="D162" s="7">
        <f t="shared" ref="D162:I162" si="36">SUM(D159:D161)</f>
        <v>0</v>
      </c>
      <c r="E162" s="7">
        <f t="shared" si="36"/>
        <v>0</v>
      </c>
      <c r="F162" s="7">
        <f t="shared" si="36"/>
        <v>0</v>
      </c>
      <c r="G162" s="7">
        <f t="shared" si="36"/>
        <v>0</v>
      </c>
      <c r="H162" s="7">
        <f t="shared" si="36"/>
        <v>0</v>
      </c>
      <c r="I162" s="7">
        <f t="shared" si="36"/>
        <v>0</v>
      </c>
    </row>
    <row r="163" spans="1:9" x14ac:dyDescent="0.25">
      <c r="B163" s="6"/>
      <c r="D163" s="7"/>
      <c r="E163" s="7"/>
      <c r="F163" s="7"/>
      <c r="G163" s="7"/>
      <c r="H163" s="7"/>
      <c r="I163" s="7"/>
    </row>
    <row r="164" spans="1:9" ht="18.75" x14ac:dyDescent="0.3">
      <c r="A164" s="9" t="s">
        <v>43</v>
      </c>
      <c r="D164" s="2">
        <f>D147</f>
        <v>2021</v>
      </c>
      <c r="E164" s="2">
        <f t="shared" ref="E164:I164" si="37">D164+1</f>
        <v>2022</v>
      </c>
      <c r="F164" s="2">
        <f t="shared" si="37"/>
        <v>2023</v>
      </c>
      <c r="G164" s="2">
        <f t="shared" si="37"/>
        <v>2024</v>
      </c>
      <c r="H164" s="2">
        <f t="shared" si="37"/>
        <v>2025</v>
      </c>
      <c r="I164" s="2">
        <f t="shared" si="37"/>
        <v>2026</v>
      </c>
    </row>
    <row r="165" spans="1:9" x14ac:dyDescent="0.25">
      <c r="B165" s="78" t="str">
        <f xml:space="preserve"> 'Facility Detail'!$B$761 &amp; " Surplus Applied to " &amp; ( 'Facility Detail'!$B$761 + 1 )</f>
        <v>2021 Surplus Applied to 2022</v>
      </c>
      <c r="D165" s="3"/>
      <c r="E165" s="61">
        <f>D165</f>
        <v>0</v>
      </c>
      <c r="F165" s="124"/>
      <c r="G165" s="63"/>
      <c r="H165" s="63"/>
      <c r="I165" s="63"/>
    </row>
    <row r="166" spans="1:9" x14ac:dyDescent="0.25">
      <c r="B166" s="78" t="str">
        <f xml:space="preserve"> ( 'Facility Detail'!$B$761 + 1 ) &amp; " Surplus Applied to " &amp; ( 'Facility Detail'!$B$761 )</f>
        <v>2022 Surplus Applied to 2021</v>
      </c>
      <c r="D166" s="125">
        <f>E166</f>
        <v>0</v>
      </c>
      <c r="E166" s="10"/>
      <c r="F166" s="75"/>
      <c r="G166" s="74"/>
      <c r="H166" s="74"/>
      <c r="I166" s="74"/>
    </row>
    <row r="167" spans="1:9" x14ac:dyDescent="0.25">
      <c r="B167" s="78" t="str">
        <f xml:space="preserve"> ( 'Facility Detail'!$B$761 + 1 ) &amp; " Surplus Applied to " &amp; ( 'Facility Detail'!$B$761 + 2 )</f>
        <v>2022 Surplus Applied to 2023</v>
      </c>
      <c r="D167" s="64"/>
      <c r="E167" s="10"/>
      <c r="F167" s="70">
        <f>E167</f>
        <v>0</v>
      </c>
      <c r="G167" s="74"/>
      <c r="H167" s="74"/>
      <c r="I167" s="74"/>
    </row>
    <row r="168" spans="1:9" x14ac:dyDescent="0.25">
      <c r="B168" s="78" t="str">
        <f xml:space="preserve"> ( 'Facility Detail'!$B$761 + 2 ) &amp; " Surplus Applied to " &amp; ( 'Facility Detail'!$B$761 + 1 )</f>
        <v>2023 Surplus Applied to 2022</v>
      </c>
      <c r="D168" s="64"/>
      <c r="E168" s="70">
        <f>F168</f>
        <v>0</v>
      </c>
      <c r="F168" s="10"/>
      <c r="G168" s="74"/>
      <c r="H168" s="74"/>
      <c r="I168" s="74"/>
    </row>
    <row r="169" spans="1:9" x14ac:dyDescent="0.25">
      <c r="B169" s="78" t="str">
        <f xml:space="preserve"> ( 'Facility Detail'!$B$761 + 2 ) &amp; " Surplus Applied to " &amp; ( 'Facility Detail'!$B$761 + 3 )</f>
        <v>2023 Surplus Applied to 2024</v>
      </c>
      <c r="D169" s="64"/>
      <c r="E169" s="75"/>
      <c r="F169" s="10"/>
      <c r="G169" s="126">
        <f>F169</f>
        <v>0</v>
      </c>
      <c r="H169" s="126">
        <f>G169</f>
        <v>0</v>
      </c>
      <c r="I169" s="126">
        <f>H169</f>
        <v>0</v>
      </c>
    </row>
    <row r="170" spans="1:9" x14ac:dyDescent="0.25">
      <c r="B170" s="78" t="str">
        <f xml:space="preserve"> ( 'Facility Detail'!$B$761 +3 ) &amp; " Surplus Applied to " &amp; ( 'Facility Detail'!$B$761 + 2 )</f>
        <v>2024 Surplus Applied to 2023</v>
      </c>
      <c r="D170" s="65"/>
      <c r="E170" s="76"/>
      <c r="F170" s="62">
        <f>G170</f>
        <v>0</v>
      </c>
      <c r="G170" s="127"/>
      <c r="H170" s="127"/>
      <c r="I170" s="127"/>
    </row>
    <row r="171" spans="1:9" x14ac:dyDescent="0.25">
      <c r="B171" s="78" t="str">
        <f xml:space="preserve"> ( 'Facility Detail'!$B$761 +3 ) &amp; " Surplus Applied to " &amp; ( 'Facility Detail'!$B$761 + 4 )</f>
        <v>2024 Surplus Applied to 2025</v>
      </c>
      <c r="D171" s="130"/>
      <c r="E171" s="130"/>
      <c r="F171" s="19"/>
      <c r="G171" s="131"/>
      <c r="H171" s="131"/>
      <c r="I171" s="131"/>
    </row>
    <row r="172" spans="1:9" x14ac:dyDescent="0.25">
      <c r="B172" s="32" t="s">
        <v>25</v>
      </c>
      <c r="D172" s="7">
        <f xml:space="preserve"> D166 - D165</f>
        <v>0</v>
      </c>
      <c r="E172" s="7">
        <f xml:space="preserve"> E165 + E168 - E167 - E166</f>
        <v>0</v>
      </c>
      <c r="F172" s="7">
        <f>F167+F170-F168-F169</f>
        <v>0</v>
      </c>
      <c r="G172" s="7">
        <f t="shared" ref="G172:I172" si="38">G169-G170</f>
        <v>0</v>
      </c>
      <c r="H172" s="7">
        <f t="shared" si="38"/>
        <v>0</v>
      </c>
      <c r="I172" s="7">
        <f t="shared" si="38"/>
        <v>0</v>
      </c>
    </row>
    <row r="173" spans="1:9" x14ac:dyDescent="0.25">
      <c r="B173" s="6"/>
      <c r="D173" s="7"/>
      <c r="E173" s="7"/>
      <c r="F173" s="7"/>
      <c r="G173" s="7"/>
      <c r="H173" s="7"/>
      <c r="I173" s="7"/>
    </row>
    <row r="174" spans="1:9" x14ac:dyDescent="0.25">
      <c r="B174" s="78" t="s">
        <v>21</v>
      </c>
      <c r="C174" s="71"/>
      <c r="D174" s="96"/>
      <c r="E174" s="97"/>
      <c r="F174" s="98"/>
      <c r="G174" s="98"/>
      <c r="H174" s="98"/>
      <c r="I174" s="98"/>
    </row>
    <row r="175" spans="1:9" x14ac:dyDescent="0.25">
      <c r="B175" s="6"/>
      <c r="D175" s="7"/>
      <c r="E175" s="7"/>
      <c r="F175" s="7"/>
      <c r="G175" s="7"/>
      <c r="H175" s="7"/>
      <c r="I175" s="7"/>
    </row>
    <row r="176" spans="1:9" ht="15.75" x14ac:dyDescent="0.25">
      <c r="A176" s="81" t="s">
        <v>33</v>
      </c>
      <c r="C176" s="71"/>
      <c r="D176" s="43">
        <f t="shared" ref="D176:I176" si="39" xml:space="preserve"> D151 + D156 - D162 + D172 + D174</f>
        <v>20576</v>
      </c>
      <c r="E176" s="44">
        <f t="shared" si="39"/>
        <v>20379</v>
      </c>
      <c r="F176" s="45">
        <f t="shared" si="39"/>
        <v>9500</v>
      </c>
      <c r="G176" s="45">
        <f t="shared" si="39"/>
        <v>9019</v>
      </c>
      <c r="H176" s="45">
        <f t="shared" si="39"/>
        <v>9508</v>
      </c>
      <c r="I176" s="45">
        <f t="shared" si="39"/>
        <v>9508</v>
      </c>
    </row>
    <row r="177" spans="1:9" x14ac:dyDescent="0.25">
      <c r="B177" s="6"/>
      <c r="D177" s="7"/>
      <c r="E177" s="7"/>
      <c r="F177" s="7"/>
      <c r="G177" s="29"/>
      <c r="H177" s="29"/>
      <c r="I177" s="29"/>
    </row>
    <row r="178" spans="1:9" ht="15.75" thickBot="1" x14ac:dyDescent="0.3"/>
    <row r="179" spans="1:9" x14ac:dyDescent="0.25">
      <c r="A179" s="8"/>
      <c r="B179" s="8"/>
      <c r="C179" s="8"/>
      <c r="D179" s="8"/>
      <c r="E179" s="8"/>
      <c r="F179" s="8"/>
      <c r="G179" s="8"/>
      <c r="H179" s="8"/>
      <c r="I179" s="8"/>
    </row>
    <row r="181" spans="1:9" ht="21" x14ac:dyDescent="0.35">
      <c r="A181" s="16" t="s">
        <v>4</v>
      </c>
      <c r="B181" s="16"/>
      <c r="C181" s="154" t="str">
        <f>B6</f>
        <v>Cabinet Gorge #4</v>
      </c>
      <c r="D181" s="155"/>
    </row>
    <row r="183" spans="1:9" ht="18.75" x14ac:dyDescent="0.3">
      <c r="A183" s="9" t="s">
        <v>27</v>
      </c>
      <c r="B183" s="9"/>
      <c r="D183" s="2">
        <v>2021</v>
      </c>
      <c r="E183" s="2">
        <f t="shared" ref="E183:I183" si="40">D183+1</f>
        <v>2022</v>
      </c>
      <c r="F183" s="2">
        <f t="shared" si="40"/>
        <v>2023</v>
      </c>
      <c r="G183" s="2">
        <f t="shared" si="40"/>
        <v>2024</v>
      </c>
      <c r="H183" s="2">
        <f t="shared" si="40"/>
        <v>2025</v>
      </c>
      <c r="I183" s="2">
        <f t="shared" si="40"/>
        <v>2026</v>
      </c>
    </row>
    <row r="184" spans="1:9" x14ac:dyDescent="0.25">
      <c r="B184" s="78" t="str">
        <f>"Total MWh Produced / Purchased from " &amp; C181</f>
        <v>Total MWh Produced / Purchased from Cabinet Gorge #4</v>
      </c>
      <c r="C184" s="71"/>
      <c r="D184" s="3">
        <v>302</v>
      </c>
      <c r="E184" s="4">
        <v>13662</v>
      </c>
      <c r="F184" s="5">
        <v>13442</v>
      </c>
      <c r="G184" s="5">
        <v>15024</v>
      </c>
      <c r="H184" s="5">
        <v>14967</v>
      </c>
      <c r="I184" s="5">
        <v>14967</v>
      </c>
    </row>
    <row r="185" spans="1:9" x14ac:dyDescent="0.25">
      <c r="B185" s="78" t="s">
        <v>32</v>
      </c>
      <c r="C185" s="71"/>
      <c r="D185" s="55">
        <v>1</v>
      </c>
      <c r="E185" s="56">
        <v>1</v>
      </c>
      <c r="F185" s="57">
        <v>1</v>
      </c>
      <c r="G185" s="57">
        <v>1</v>
      </c>
      <c r="H185" s="57">
        <v>1</v>
      </c>
      <c r="I185" s="57">
        <v>1</v>
      </c>
    </row>
    <row r="186" spans="1:9" x14ac:dyDescent="0.25">
      <c r="B186" s="78" t="s">
        <v>26</v>
      </c>
      <c r="C186" s="71"/>
      <c r="D186" s="48">
        <v>1</v>
      </c>
      <c r="E186" s="49">
        <v>1</v>
      </c>
      <c r="F186" s="50">
        <v>1</v>
      </c>
      <c r="G186" s="50">
        <v>1</v>
      </c>
      <c r="H186" s="50">
        <v>1</v>
      </c>
      <c r="I186" s="50">
        <v>1</v>
      </c>
    </row>
    <row r="187" spans="1:9" x14ac:dyDescent="0.25">
      <c r="B187" s="32" t="s">
        <v>28</v>
      </c>
      <c r="C187" s="6"/>
      <c r="D187" s="37">
        <f t="shared" ref="D187:I187" si="41" xml:space="preserve"> D184 * D185 * D186</f>
        <v>302</v>
      </c>
      <c r="E187" s="37">
        <f t="shared" si="41"/>
        <v>13662</v>
      </c>
      <c r="F187" s="37">
        <f t="shared" si="41"/>
        <v>13442</v>
      </c>
      <c r="G187" s="37">
        <f t="shared" si="41"/>
        <v>15024</v>
      </c>
      <c r="H187" s="37">
        <f t="shared" si="41"/>
        <v>14967</v>
      </c>
      <c r="I187" s="37">
        <f t="shared" si="41"/>
        <v>14967</v>
      </c>
    </row>
    <row r="188" spans="1:9" x14ac:dyDescent="0.25">
      <c r="D188" s="36"/>
      <c r="E188" s="36"/>
      <c r="F188" s="36"/>
      <c r="G188" s="36"/>
      <c r="H188" s="36"/>
      <c r="I188" s="36"/>
    </row>
    <row r="189" spans="1:9" ht="18.75" x14ac:dyDescent="0.3">
      <c r="A189" s="9" t="s">
        <v>30</v>
      </c>
      <c r="D189" s="2">
        <f>D183</f>
        <v>2021</v>
      </c>
      <c r="E189" s="2">
        <f t="shared" ref="E189:I189" si="42">D189+1</f>
        <v>2022</v>
      </c>
      <c r="F189" s="2">
        <f t="shared" si="42"/>
        <v>2023</v>
      </c>
      <c r="G189" s="2">
        <f t="shared" si="42"/>
        <v>2024</v>
      </c>
      <c r="H189" s="2">
        <f t="shared" si="42"/>
        <v>2025</v>
      </c>
      <c r="I189" s="2">
        <f t="shared" si="42"/>
        <v>2026</v>
      </c>
    </row>
    <row r="190" spans="1:9" x14ac:dyDescent="0.25">
      <c r="B190" s="78" t="s">
        <v>19</v>
      </c>
      <c r="C190" s="71"/>
      <c r="D190" s="51">
        <f>IF( $E6 = "Eligible", D187 * 'Facility Detail'!$B$593, 0 )</f>
        <v>0</v>
      </c>
      <c r="E190" s="13">
        <f>IF( $E6 = "Eligible", E187 * 'Facility Detail'!$B$593, 0 )</f>
        <v>0</v>
      </c>
      <c r="F190" s="14">
        <f>IF( $E6 = "Eligible", F187 * 'Facility Detail'!$B$593, 0 )</f>
        <v>0</v>
      </c>
      <c r="G190" s="14">
        <f>IF( $E6 = "Eligible", G187 * 'Facility Detail'!$B$593, 0 )</f>
        <v>0</v>
      </c>
      <c r="H190" s="14">
        <f>IF( $E6 = "Eligible", H187 * 'Facility Detail'!$B$593, 0 )</f>
        <v>0</v>
      </c>
      <c r="I190" s="14">
        <f>IF( $E6 = "Eligible", I187 * 'Facility Detail'!$B$593, 0 )</f>
        <v>0</v>
      </c>
    </row>
    <row r="191" spans="1:9" x14ac:dyDescent="0.25">
      <c r="B191" s="78" t="s">
        <v>6</v>
      </c>
      <c r="C191" s="71"/>
      <c r="D191" s="52">
        <f t="shared" ref="D191:I191" si="43">IF( $F6 = "Eligible", D187, 0 )</f>
        <v>0</v>
      </c>
      <c r="E191" s="53">
        <f t="shared" si="43"/>
        <v>0</v>
      </c>
      <c r="F191" s="54">
        <f t="shared" si="43"/>
        <v>0</v>
      </c>
      <c r="G191" s="54">
        <f t="shared" si="43"/>
        <v>0</v>
      </c>
      <c r="H191" s="54">
        <f t="shared" si="43"/>
        <v>0</v>
      </c>
      <c r="I191" s="54">
        <f t="shared" si="43"/>
        <v>0</v>
      </c>
    </row>
    <row r="192" spans="1:9" x14ac:dyDescent="0.25">
      <c r="B192" s="32" t="s">
        <v>37</v>
      </c>
      <c r="C192" s="6"/>
      <c r="D192" s="39">
        <f t="shared" ref="D192:I192" si="44">SUM(D190:D191)</f>
        <v>0</v>
      </c>
      <c r="E192" s="40">
        <f t="shared" si="44"/>
        <v>0</v>
      </c>
      <c r="F192" s="40">
        <f t="shared" si="44"/>
        <v>0</v>
      </c>
      <c r="G192" s="40">
        <f t="shared" si="44"/>
        <v>0</v>
      </c>
      <c r="H192" s="40">
        <f t="shared" si="44"/>
        <v>0</v>
      </c>
      <c r="I192" s="40">
        <f t="shared" si="44"/>
        <v>0</v>
      </c>
    </row>
    <row r="193" spans="1:9" x14ac:dyDescent="0.25">
      <c r="D193" s="38"/>
      <c r="E193" s="30"/>
      <c r="F193" s="30"/>
      <c r="G193" s="30"/>
      <c r="H193" s="30"/>
      <c r="I193" s="30"/>
    </row>
    <row r="194" spans="1:9" ht="18.75" x14ac:dyDescent="0.3">
      <c r="A194" s="9" t="s">
        <v>35</v>
      </c>
      <c r="D194" s="2">
        <f>D183</f>
        <v>2021</v>
      </c>
      <c r="E194" s="2">
        <f t="shared" ref="E194:I194" si="45">D194+1</f>
        <v>2022</v>
      </c>
      <c r="F194" s="2">
        <f t="shared" si="45"/>
        <v>2023</v>
      </c>
      <c r="G194" s="2">
        <f t="shared" si="45"/>
        <v>2024</v>
      </c>
      <c r="H194" s="2">
        <f t="shared" si="45"/>
        <v>2025</v>
      </c>
      <c r="I194" s="2">
        <f t="shared" si="45"/>
        <v>2026</v>
      </c>
    </row>
    <row r="195" spans="1:9" x14ac:dyDescent="0.25">
      <c r="B195" s="78" t="s">
        <v>39</v>
      </c>
      <c r="C195" s="71"/>
      <c r="D195" s="84">
        <v>0</v>
      </c>
      <c r="E195" s="85">
        <v>0</v>
      </c>
      <c r="F195" s="86">
        <v>0</v>
      </c>
      <c r="G195" s="86">
        <v>0</v>
      </c>
      <c r="H195" s="86">
        <v>0</v>
      </c>
      <c r="I195" s="86">
        <v>0</v>
      </c>
    </row>
    <row r="196" spans="1:9" x14ac:dyDescent="0.25">
      <c r="B196" s="79" t="s">
        <v>29</v>
      </c>
      <c r="C196" s="80"/>
      <c r="D196" s="87">
        <v>0</v>
      </c>
      <c r="E196" s="88">
        <v>0</v>
      </c>
      <c r="F196" s="89">
        <v>0</v>
      </c>
      <c r="G196" s="89">
        <v>0</v>
      </c>
      <c r="H196" s="89">
        <v>0</v>
      </c>
      <c r="I196" s="89">
        <v>0</v>
      </c>
    </row>
    <row r="197" spans="1:9" x14ac:dyDescent="0.25">
      <c r="B197" s="79" t="s">
        <v>41</v>
      </c>
      <c r="C197"/>
      <c r="D197" s="58">
        <v>0</v>
      </c>
      <c r="E197" s="59">
        <v>0</v>
      </c>
      <c r="F197" s="60">
        <v>0</v>
      </c>
      <c r="G197" s="60">
        <v>0</v>
      </c>
      <c r="H197" s="60">
        <v>0</v>
      </c>
      <c r="I197" s="60">
        <v>0</v>
      </c>
    </row>
    <row r="198" spans="1:9" x14ac:dyDescent="0.25">
      <c r="B198" s="32" t="s">
        <v>42</v>
      </c>
      <c r="D198" s="7">
        <f t="shared" ref="D198:I198" si="46">SUM(D195:D197)</f>
        <v>0</v>
      </c>
      <c r="E198" s="7">
        <f t="shared" si="46"/>
        <v>0</v>
      </c>
      <c r="F198" s="7">
        <f t="shared" si="46"/>
        <v>0</v>
      </c>
      <c r="G198" s="7">
        <f t="shared" si="46"/>
        <v>0</v>
      </c>
      <c r="H198" s="7">
        <f t="shared" si="46"/>
        <v>0</v>
      </c>
      <c r="I198" s="7">
        <f t="shared" si="46"/>
        <v>0</v>
      </c>
    </row>
    <row r="199" spans="1:9" x14ac:dyDescent="0.25">
      <c r="B199" s="6"/>
      <c r="D199" s="7"/>
      <c r="E199" s="7"/>
      <c r="F199" s="7"/>
      <c r="G199" s="7"/>
      <c r="H199" s="7"/>
      <c r="I199" s="7"/>
    </row>
    <row r="200" spans="1:9" ht="18.75" x14ac:dyDescent="0.3">
      <c r="A200" s="9" t="s">
        <v>43</v>
      </c>
      <c r="D200" s="2">
        <f>D183</f>
        <v>2021</v>
      </c>
      <c r="E200" s="2">
        <f t="shared" ref="E200:I200" si="47">D200+1</f>
        <v>2022</v>
      </c>
      <c r="F200" s="2">
        <f t="shared" si="47"/>
        <v>2023</v>
      </c>
      <c r="G200" s="2">
        <f t="shared" si="47"/>
        <v>2024</v>
      </c>
      <c r="H200" s="2">
        <f t="shared" si="47"/>
        <v>2025</v>
      </c>
      <c r="I200" s="2">
        <f t="shared" si="47"/>
        <v>2026</v>
      </c>
    </row>
    <row r="201" spans="1:9" x14ac:dyDescent="0.25">
      <c r="B201" s="78" t="str">
        <f xml:space="preserve"> 'Facility Detail'!$B$761 &amp; " Surplus Applied to " &amp; ( 'Facility Detail'!$B$761 + 1 )</f>
        <v>2021 Surplus Applied to 2022</v>
      </c>
      <c r="C201" s="71"/>
      <c r="D201" s="3"/>
      <c r="E201" s="61">
        <f>D201</f>
        <v>0</v>
      </c>
      <c r="F201" s="124"/>
      <c r="G201" s="63"/>
      <c r="H201" s="63"/>
      <c r="I201" s="63"/>
    </row>
    <row r="202" spans="1:9" x14ac:dyDescent="0.25">
      <c r="B202" s="78" t="str">
        <f xml:space="preserve"> ( 'Facility Detail'!$B$761 + 1 ) &amp; " Surplus Applied to " &amp; ( 'Facility Detail'!$B$761 )</f>
        <v>2022 Surplus Applied to 2021</v>
      </c>
      <c r="C202" s="71"/>
      <c r="D202" s="125">
        <f>E202</f>
        <v>0</v>
      </c>
      <c r="E202" s="10"/>
      <c r="F202" s="75"/>
      <c r="G202" s="74"/>
      <c r="H202" s="74"/>
      <c r="I202" s="74"/>
    </row>
    <row r="203" spans="1:9" x14ac:dyDescent="0.25">
      <c r="B203" s="78" t="str">
        <f xml:space="preserve"> ( 'Facility Detail'!$B$761 + 1 ) &amp; " Surplus Applied to " &amp; ( 'Facility Detail'!$B$761 + 2 )</f>
        <v>2022 Surplus Applied to 2023</v>
      </c>
      <c r="C203" s="71"/>
      <c r="D203" s="64"/>
      <c r="E203" s="10"/>
      <c r="F203" s="70">
        <f>E203</f>
        <v>0</v>
      </c>
      <c r="G203" s="74"/>
      <c r="H203" s="74"/>
      <c r="I203" s="74"/>
    </row>
    <row r="204" spans="1:9" x14ac:dyDescent="0.25">
      <c r="B204" s="78" t="str">
        <f xml:space="preserve"> ( 'Facility Detail'!$B$761 + 2 ) &amp; " Surplus Applied to " &amp; ( 'Facility Detail'!$B$761 + 1 )</f>
        <v>2023 Surplus Applied to 2022</v>
      </c>
      <c r="C204" s="71"/>
      <c r="D204" s="64"/>
      <c r="E204" s="70">
        <f>F204</f>
        <v>0</v>
      </c>
      <c r="F204" s="10"/>
      <c r="G204" s="74"/>
      <c r="H204" s="74"/>
      <c r="I204" s="74"/>
    </row>
    <row r="205" spans="1:9" x14ac:dyDescent="0.25">
      <c r="B205" s="78" t="str">
        <f xml:space="preserve"> ( 'Facility Detail'!$B$761 + 2 ) &amp; " Surplus Applied to " &amp; ( 'Facility Detail'!$B$761 + 3 )</f>
        <v>2023 Surplus Applied to 2024</v>
      </c>
      <c r="D205" s="64"/>
      <c r="E205" s="75"/>
      <c r="F205" s="10"/>
      <c r="G205" s="126">
        <f>F205</f>
        <v>0</v>
      </c>
      <c r="H205" s="126">
        <f>G205</f>
        <v>0</v>
      </c>
      <c r="I205" s="126">
        <f>H205</f>
        <v>0</v>
      </c>
    </row>
    <row r="206" spans="1:9" x14ac:dyDescent="0.25">
      <c r="B206" s="78" t="str">
        <f xml:space="preserve"> ( 'Facility Detail'!$B$761 +3 ) &amp; " Surplus Applied to " &amp; ( 'Facility Detail'!$B$761 + 2 )</f>
        <v>2024 Surplus Applied to 2023</v>
      </c>
      <c r="D206" s="65"/>
      <c r="E206" s="76"/>
      <c r="F206" s="62">
        <f>G206</f>
        <v>0</v>
      </c>
      <c r="G206" s="127"/>
      <c r="H206" s="127"/>
      <c r="I206" s="127"/>
    </row>
    <row r="207" spans="1:9" x14ac:dyDescent="0.25">
      <c r="B207" s="78" t="str">
        <f xml:space="preserve"> ( 'Facility Detail'!$B$761 +3 ) &amp; " Surplus Applied to " &amp; ( 'Facility Detail'!$B$761 + 4 )</f>
        <v>2024 Surplus Applied to 2025</v>
      </c>
      <c r="D207" s="130"/>
      <c r="E207" s="130"/>
      <c r="F207" s="19"/>
      <c r="G207" s="131"/>
      <c r="H207" s="131"/>
      <c r="I207" s="131"/>
    </row>
    <row r="208" spans="1:9" x14ac:dyDescent="0.25">
      <c r="B208" s="32" t="s">
        <v>25</v>
      </c>
      <c r="D208" s="7">
        <f xml:space="preserve"> D202 - D201</f>
        <v>0</v>
      </c>
      <c r="E208" s="7">
        <f xml:space="preserve"> E201 + E204 - E203 - E202</f>
        <v>0</v>
      </c>
      <c r="F208" s="7">
        <f>F203+F206-F204-F205</f>
        <v>0</v>
      </c>
      <c r="G208" s="7">
        <f t="shared" ref="G208:I208" si="48">G205-G206</f>
        <v>0</v>
      </c>
      <c r="H208" s="7">
        <f t="shared" si="48"/>
        <v>0</v>
      </c>
      <c r="I208" s="7">
        <f t="shared" si="48"/>
        <v>0</v>
      </c>
    </row>
    <row r="209" spans="1:9" x14ac:dyDescent="0.25">
      <c r="B209" s="6"/>
      <c r="D209" s="7"/>
      <c r="E209" s="7"/>
      <c r="F209" s="7"/>
      <c r="G209" s="7"/>
      <c r="H209" s="7"/>
      <c r="I209" s="7"/>
    </row>
    <row r="210" spans="1:9" x14ac:dyDescent="0.25">
      <c r="B210" s="78" t="s">
        <v>21</v>
      </c>
      <c r="C210" s="71"/>
      <c r="D210" s="96"/>
      <c r="E210" s="97"/>
      <c r="F210" s="98"/>
      <c r="G210" s="98"/>
      <c r="H210" s="98"/>
      <c r="I210" s="98"/>
    </row>
    <row r="211" spans="1:9" x14ac:dyDescent="0.25">
      <c r="B211" s="6"/>
      <c r="D211" s="7"/>
      <c r="E211" s="7"/>
      <c r="F211" s="7"/>
      <c r="G211" s="7"/>
      <c r="H211" s="7"/>
      <c r="I211" s="7"/>
    </row>
    <row r="212" spans="1:9" ht="15.75" x14ac:dyDescent="0.25">
      <c r="A212" s="81" t="s">
        <v>33</v>
      </c>
      <c r="C212" s="71"/>
      <c r="D212" s="43">
        <f t="shared" ref="D212:I212" si="49" xml:space="preserve"> D187 + D192 - D198 + D208 + D210</f>
        <v>302</v>
      </c>
      <c r="E212" s="44">
        <f t="shared" si="49"/>
        <v>13662</v>
      </c>
      <c r="F212" s="45">
        <f t="shared" si="49"/>
        <v>13442</v>
      </c>
      <c r="G212" s="45">
        <f t="shared" si="49"/>
        <v>15024</v>
      </c>
      <c r="H212" s="45">
        <f t="shared" si="49"/>
        <v>14967</v>
      </c>
      <c r="I212" s="45">
        <f t="shared" si="49"/>
        <v>14967</v>
      </c>
    </row>
    <row r="213" spans="1:9" x14ac:dyDescent="0.25">
      <c r="B213" s="6"/>
      <c r="D213" s="7"/>
      <c r="E213" s="7"/>
      <c r="F213" s="7"/>
      <c r="G213" s="29"/>
      <c r="H213" s="29"/>
      <c r="I213" s="29"/>
    </row>
    <row r="214" spans="1:9" ht="15.75" thickBot="1" x14ac:dyDescent="0.3"/>
    <row r="215" spans="1:9" x14ac:dyDescent="0.25">
      <c r="A215" s="8"/>
      <c r="B215" s="8"/>
      <c r="C215" s="8"/>
      <c r="D215" s="8"/>
      <c r="E215" s="8"/>
      <c r="F215" s="8"/>
      <c r="G215" s="8"/>
      <c r="H215" s="8"/>
      <c r="I215" s="8"/>
    </row>
    <row r="217" spans="1:9" ht="21" x14ac:dyDescent="0.35">
      <c r="A217" s="16" t="s">
        <v>4</v>
      </c>
      <c r="B217" s="16"/>
      <c r="C217" s="154" t="str">
        <f>B7</f>
        <v>Noxon Rapids #1</v>
      </c>
      <c r="D217" s="155"/>
    </row>
    <row r="219" spans="1:9" ht="18.75" x14ac:dyDescent="0.3">
      <c r="A219" s="9" t="s">
        <v>27</v>
      </c>
      <c r="B219" s="9"/>
      <c r="D219" s="2">
        <v>2021</v>
      </c>
      <c r="E219" s="2">
        <f t="shared" ref="E219:I219" si="50">D219+1</f>
        <v>2022</v>
      </c>
      <c r="F219" s="2">
        <f t="shared" si="50"/>
        <v>2023</v>
      </c>
      <c r="G219" s="2">
        <f t="shared" si="50"/>
        <v>2024</v>
      </c>
      <c r="H219" s="2">
        <f t="shared" si="50"/>
        <v>2025</v>
      </c>
      <c r="I219" s="2">
        <f t="shared" si="50"/>
        <v>2026</v>
      </c>
    </row>
    <row r="220" spans="1:9" x14ac:dyDescent="0.25">
      <c r="B220" s="78" t="str">
        <f>"Total MWh Produced / Purchased from " &amp; C217</f>
        <v>Total MWh Produced / Purchased from Noxon Rapids #1</v>
      </c>
      <c r="C220" s="71"/>
      <c r="D220" s="3">
        <v>30000</v>
      </c>
      <c r="E220" s="4">
        <v>26788</v>
      </c>
      <c r="F220" s="5">
        <v>19549</v>
      </c>
      <c r="G220" s="5">
        <v>21726</v>
      </c>
      <c r="H220" s="5">
        <v>21912</v>
      </c>
      <c r="I220" s="5">
        <v>21912</v>
      </c>
    </row>
    <row r="221" spans="1:9" x14ac:dyDescent="0.25">
      <c r="B221" s="78" t="s">
        <v>32</v>
      </c>
      <c r="C221" s="71"/>
      <c r="D221" s="55">
        <v>1</v>
      </c>
      <c r="E221" s="56">
        <v>1</v>
      </c>
      <c r="F221" s="57">
        <v>1</v>
      </c>
      <c r="G221" s="57">
        <v>1</v>
      </c>
      <c r="H221" s="57">
        <v>1</v>
      </c>
      <c r="I221" s="57">
        <v>1</v>
      </c>
    </row>
    <row r="222" spans="1:9" x14ac:dyDescent="0.25">
      <c r="B222" s="78" t="s">
        <v>26</v>
      </c>
      <c r="C222" s="71"/>
      <c r="D222" s="48">
        <v>1</v>
      </c>
      <c r="E222" s="49">
        <v>1</v>
      </c>
      <c r="F222" s="50">
        <v>1</v>
      </c>
      <c r="G222" s="50">
        <v>1</v>
      </c>
      <c r="H222" s="50">
        <v>1</v>
      </c>
      <c r="I222" s="50">
        <v>1</v>
      </c>
    </row>
    <row r="223" spans="1:9" x14ac:dyDescent="0.25">
      <c r="B223" s="32" t="s">
        <v>28</v>
      </c>
      <c r="C223" s="6"/>
      <c r="D223" s="37">
        <f t="shared" ref="D223:I223" si="51" xml:space="preserve"> D220 * D221 * D222</f>
        <v>30000</v>
      </c>
      <c r="E223" s="37">
        <f t="shared" si="51"/>
        <v>26788</v>
      </c>
      <c r="F223" s="37">
        <f t="shared" si="51"/>
        <v>19549</v>
      </c>
      <c r="G223" s="37">
        <f t="shared" si="51"/>
        <v>21726</v>
      </c>
      <c r="H223" s="37">
        <f t="shared" si="51"/>
        <v>21912</v>
      </c>
      <c r="I223" s="37">
        <f t="shared" si="51"/>
        <v>21912</v>
      </c>
    </row>
    <row r="224" spans="1:9" x14ac:dyDescent="0.25">
      <c r="D224" s="36"/>
      <c r="E224" s="36"/>
      <c r="F224" s="36"/>
      <c r="G224" s="36"/>
      <c r="H224" s="36"/>
      <c r="I224" s="36"/>
    </row>
    <row r="225" spans="1:9" ht="18.75" x14ac:dyDescent="0.3">
      <c r="A225" s="9" t="s">
        <v>30</v>
      </c>
      <c r="D225" s="2">
        <f>D219</f>
        <v>2021</v>
      </c>
      <c r="E225" s="2">
        <f t="shared" ref="E225:I225" si="52">D225+1</f>
        <v>2022</v>
      </c>
      <c r="F225" s="2">
        <f t="shared" si="52"/>
        <v>2023</v>
      </c>
      <c r="G225" s="2">
        <f t="shared" si="52"/>
        <v>2024</v>
      </c>
      <c r="H225" s="2">
        <f t="shared" si="52"/>
        <v>2025</v>
      </c>
      <c r="I225" s="2">
        <f t="shared" si="52"/>
        <v>2026</v>
      </c>
    </row>
    <row r="226" spans="1:9" x14ac:dyDescent="0.25">
      <c r="B226" s="78" t="s">
        <v>19</v>
      </c>
      <c r="C226" s="71"/>
      <c r="D226" s="51">
        <f>IF( $E7 = "Eligible", D223 * 'Facility Detail'!$B$593, 0 )</f>
        <v>0</v>
      </c>
      <c r="E226" s="13">
        <f>IF( $E7 = "Eligible", E223 * 'Facility Detail'!$B$593, 0 )</f>
        <v>0</v>
      </c>
      <c r="F226" s="14">
        <f>IF( $E7 = "Eligible", F223 * 'Facility Detail'!$B$593, 0 )</f>
        <v>0</v>
      </c>
      <c r="G226" s="14">
        <f>IF( $E7 = "Eligible", G223 * 'Facility Detail'!$B$593, 0 )</f>
        <v>0</v>
      </c>
      <c r="H226" s="14">
        <f>IF( $E7 = "Eligible", H223 * 'Facility Detail'!$B$593, 0 )</f>
        <v>0</v>
      </c>
      <c r="I226" s="14">
        <f>IF( $E7 = "Eligible", I223 * 'Facility Detail'!$B$593, 0 )</f>
        <v>0</v>
      </c>
    </row>
    <row r="227" spans="1:9" x14ac:dyDescent="0.25">
      <c r="B227" s="78" t="s">
        <v>6</v>
      </c>
      <c r="C227" s="71"/>
      <c r="D227" s="52">
        <f t="shared" ref="D227:I227" si="53">IF( $F7 = "Eligible", D223, 0 )</f>
        <v>0</v>
      </c>
      <c r="E227" s="53">
        <f t="shared" si="53"/>
        <v>0</v>
      </c>
      <c r="F227" s="54">
        <f t="shared" si="53"/>
        <v>0</v>
      </c>
      <c r="G227" s="54">
        <f t="shared" si="53"/>
        <v>0</v>
      </c>
      <c r="H227" s="54">
        <f t="shared" si="53"/>
        <v>0</v>
      </c>
      <c r="I227" s="54">
        <f t="shared" si="53"/>
        <v>0</v>
      </c>
    </row>
    <row r="228" spans="1:9" x14ac:dyDescent="0.25">
      <c r="B228" s="32" t="s">
        <v>37</v>
      </c>
      <c r="C228" s="6"/>
      <c r="D228" s="39">
        <f t="shared" ref="D228:I228" si="54">SUM(D226:D227)</f>
        <v>0</v>
      </c>
      <c r="E228" s="40">
        <f t="shared" si="54"/>
        <v>0</v>
      </c>
      <c r="F228" s="40">
        <f t="shared" si="54"/>
        <v>0</v>
      </c>
      <c r="G228" s="40">
        <f t="shared" si="54"/>
        <v>0</v>
      </c>
      <c r="H228" s="40">
        <f t="shared" si="54"/>
        <v>0</v>
      </c>
      <c r="I228" s="40">
        <f t="shared" si="54"/>
        <v>0</v>
      </c>
    </row>
    <row r="229" spans="1:9" x14ac:dyDescent="0.25">
      <c r="D229" s="38"/>
      <c r="E229" s="30"/>
      <c r="F229" s="30"/>
      <c r="G229" s="30"/>
      <c r="H229" s="30"/>
      <c r="I229" s="30"/>
    </row>
    <row r="230" spans="1:9" ht="18.75" x14ac:dyDescent="0.3">
      <c r="A230" s="9" t="s">
        <v>35</v>
      </c>
      <c r="D230" s="2">
        <f>D219</f>
        <v>2021</v>
      </c>
      <c r="E230" s="2">
        <f t="shared" ref="E230:I230" si="55">D230+1</f>
        <v>2022</v>
      </c>
      <c r="F230" s="2">
        <f t="shared" si="55"/>
        <v>2023</v>
      </c>
      <c r="G230" s="2">
        <f t="shared" si="55"/>
        <v>2024</v>
      </c>
      <c r="H230" s="2">
        <f t="shared" si="55"/>
        <v>2025</v>
      </c>
      <c r="I230" s="2">
        <f t="shared" si="55"/>
        <v>2026</v>
      </c>
    </row>
    <row r="231" spans="1:9" x14ac:dyDescent="0.25">
      <c r="B231" s="78" t="s">
        <v>39</v>
      </c>
      <c r="C231" s="71"/>
      <c r="D231" s="84">
        <v>0</v>
      </c>
      <c r="E231" s="85">
        <v>0</v>
      </c>
      <c r="F231" s="86">
        <v>0</v>
      </c>
      <c r="G231" s="86">
        <v>0</v>
      </c>
      <c r="H231" s="86">
        <v>0</v>
      </c>
      <c r="I231" s="86">
        <v>0</v>
      </c>
    </row>
    <row r="232" spans="1:9" x14ac:dyDescent="0.25">
      <c r="B232" s="79" t="s">
        <v>29</v>
      </c>
      <c r="C232" s="80"/>
      <c r="D232" s="87">
        <v>0</v>
      </c>
      <c r="E232" s="88">
        <v>0</v>
      </c>
      <c r="F232" s="89">
        <v>0</v>
      </c>
      <c r="G232" s="89">
        <v>0</v>
      </c>
      <c r="H232" s="89">
        <v>0</v>
      </c>
      <c r="I232" s="89">
        <v>0</v>
      </c>
    </row>
    <row r="233" spans="1:9" x14ac:dyDescent="0.25">
      <c r="B233" s="79" t="s">
        <v>41</v>
      </c>
      <c r="C233"/>
      <c r="D233" s="58">
        <v>0</v>
      </c>
      <c r="E233" s="59">
        <v>0</v>
      </c>
      <c r="F233" s="60">
        <v>0</v>
      </c>
      <c r="G233" s="60">
        <v>0</v>
      </c>
      <c r="H233" s="60">
        <v>0</v>
      </c>
      <c r="I233" s="60">
        <v>0</v>
      </c>
    </row>
    <row r="234" spans="1:9" x14ac:dyDescent="0.25">
      <c r="B234" s="32" t="s">
        <v>42</v>
      </c>
      <c r="D234" s="7">
        <f t="shared" ref="D234:I234" si="56">SUM(D231:D233)</f>
        <v>0</v>
      </c>
      <c r="E234" s="7">
        <f t="shared" si="56"/>
        <v>0</v>
      </c>
      <c r="F234" s="7">
        <f t="shared" si="56"/>
        <v>0</v>
      </c>
      <c r="G234" s="7">
        <f t="shared" si="56"/>
        <v>0</v>
      </c>
      <c r="H234" s="7">
        <f t="shared" si="56"/>
        <v>0</v>
      </c>
      <c r="I234" s="7">
        <f t="shared" si="56"/>
        <v>0</v>
      </c>
    </row>
    <row r="235" spans="1:9" x14ac:dyDescent="0.25">
      <c r="B235" s="6"/>
      <c r="D235" s="7"/>
      <c r="E235" s="7"/>
      <c r="F235" s="7"/>
      <c r="G235" s="7"/>
      <c r="H235" s="7"/>
      <c r="I235" s="7"/>
    </row>
    <row r="236" spans="1:9" ht="18.75" x14ac:dyDescent="0.3">
      <c r="A236" s="9" t="s">
        <v>43</v>
      </c>
      <c r="D236" s="2">
        <f>D219</f>
        <v>2021</v>
      </c>
      <c r="E236" s="2">
        <f t="shared" ref="E236:I236" si="57">D236+1</f>
        <v>2022</v>
      </c>
      <c r="F236" s="2">
        <f t="shared" si="57"/>
        <v>2023</v>
      </c>
      <c r="G236" s="2">
        <f t="shared" si="57"/>
        <v>2024</v>
      </c>
      <c r="H236" s="2">
        <f t="shared" si="57"/>
        <v>2025</v>
      </c>
      <c r="I236" s="2">
        <f t="shared" si="57"/>
        <v>2026</v>
      </c>
    </row>
    <row r="237" spans="1:9" x14ac:dyDescent="0.25">
      <c r="B237" s="78" t="str">
        <f xml:space="preserve"> 'Facility Detail'!$B$761 &amp; " Surplus Applied to " &amp; ( 'Facility Detail'!$B$761 + 1 )</f>
        <v>2021 Surplus Applied to 2022</v>
      </c>
      <c r="C237" s="71"/>
      <c r="D237" s="3"/>
      <c r="E237" s="61">
        <f>D237</f>
        <v>0</v>
      </c>
      <c r="F237" s="124"/>
      <c r="G237" s="63"/>
      <c r="H237" s="63"/>
      <c r="I237" s="63"/>
    </row>
    <row r="238" spans="1:9" x14ac:dyDescent="0.25">
      <c r="B238" s="78" t="str">
        <f xml:space="preserve"> ( 'Facility Detail'!$B$761 + 1 ) &amp; " Surplus Applied to " &amp; ( 'Facility Detail'!$B$761 )</f>
        <v>2022 Surplus Applied to 2021</v>
      </c>
      <c r="C238" s="71"/>
      <c r="D238" s="125">
        <f>E238</f>
        <v>0</v>
      </c>
      <c r="E238" s="10"/>
      <c r="F238" s="75"/>
      <c r="G238" s="74"/>
      <c r="H238" s="74"/>
      <c r="I238" s="74"/>
    </row>
    <row r="239" spans="1:9" x14ac:dyDescent="0.25">
      <c r="B239" s="78" t="str">
        <f xml:space="preserve"> ( 'Facility Detail'!$B$761 + 1 ) &amp; " Surplus Applied to " &amp; ( 'Facility Detail'!$B$761 + 2 )</f>
        <v>2022 Surplus Applied to 2023</v>
      </c>
      <c r="C239" s="71"/>
      <c r="D239" s="64"/>
      <c r="E239" s="10"/>
      <c r="F239" s="70">
        <f>E239</f>
        <v>0</v>
      </c>
      <c r="G239" s="74"/>
      <c r="H239" s="74"/>
      <c r="I239" s="74"/>
    </row>
    <row r="240" spans="1:9" x14ac:dyDescent="0.25">
      <c r="B240" s="78" t="str">
        <f xml:space="preserve"> ( 'Facility Detail'!$B$761 + 2 ) &amp; " Surplus Applied to " &amp; ( 'Facility Detail'!$B$761 + 1 )</f>
        <v>2023 Surplus Applied to 2022</v>
      </c>
      <c r="C240" s="71"/>
      <c r="D240" s="64"/>
      <c r="E240" s="70">
        <f>F240</f>
        <v>0</v>
      </c>
      <c r="F240" s="10"/>
      <c r="G240" s="74"/>
      <c r="H240" s="74"/>
      <c r="I240" s="74"/>
    </row>
    <row r="241" spans="1:9" x14ac:dyDescent="0.25">
      <c r="B241" s="78" t="str">
        <f xml:space="preserve"> ( 'Facility Detail'!$B$761 + 2 ) &amp; " Surplus Applied to " &amp; ( 'Facility Detail'!$B$761 + 3 )</f>
        <v>2023 Surplus Applied to 2024</v>
      </c>
      <c r="D241" s="64"/>
      <c r="E241" s="75"/>
      <c r="F241" s="10"/>
      <c r="G241" s="126">
        <f>F241</f>
        <v>0</v>
      </c>
      <c r="H241" s="126">
        <f>G241</f>
        <v>0</v>
      </c>
      <c r="I241" s="126">
        <f>H241</f>
        <v>0</v>
      </c>
    </row>
    <row r="242" spans="1:9" x14ac:dyDescent="0.25">
      <c r="B242" s="78" t="str">
        <f xml:space="preserve"> ( 'Facility Detail'!$B$761 +3 ) &amp; " Surplus Applied to " &amp; ( 'Facility Detail'!$B$761 + 2 )</f>
        <v>2024 Surplus Applied to 2023</v>
      </c>
      <c r="D242" s="65"/>
      <c r="E242" s="76"/>
      <c r="F242" s="62">
        <f>G242</f>
        <v>0</v>
      </c>
      <c r="G242" s="127"/>
      <c r="H242" s="127"/>
      <c r="I242" s="127"/>
    </row>
    <row r="243" spans="1:9" x14ac:dyDescent="0.25">
      <c r="B243" s="78" t="str">
        <f xml:space="preserve"> ( 'Facility Detail'!$B$761 +3 ) &amp; " Surplus Applied to " &amp; ( 'Facility Detail'!$B$761 + 4 )</f>
        <v>2024 Surplus Applied to 2025</v>
      </c>
      <c r="D243" s="130"/>
      <c r="E243" s="130"/>
      <c r="F243" s="19"/>
      <c r="G243" s="131"/>
      <c r="H243" s="131"/>
      <c r="I243" s="131"/>
    </row>
    <row r="244" spans="1:9" x14ac:dyDescent="0.25">
      <c r="B244" s="32" t="s">
        <v>25</v>
      </c>
      <c r="D244" s="7">
        <f xml:space="preserve"> D238 - D237</f>
        <v>0</v>
      </c>
      <c r="E244" s="7">
        <f xml:space="preserve"> E237 + E240 - E239 - E238</f>
        <v>0</v>
      </c>
      <c r="F244" s="7">
        <f>F239+F242-F240-F241</f>
        <v>0</v>
      </c>
      <c r="G244" s="7">
        <f t="shared" ref="G244:I244" si="58">G241-G242</f>
        <v>0</v>
      </c>
      <c r="H244" s="7">
        <f t="shared" si="58"/>
        <v>0</v>
      </c>
      <c r="I244" s="7">
        <f t="shared" si="58"/>
        <v>0</v>
      </c>
    </row>
    <row r="245" spans="1:9" x14ac:dyDescent="0.25">
      <c r="B245" s="6"/>
      <c r="D245" s="7"/>
      <c r="E245" s="7"/>
      <c r="F245" s="7"/>
      <c r="G245" s="7"/>
      <c r="H245" s="7"/>
      <c r="I245" s="7"/>
    </row>
    <row r="246" spans="1:9" x14ac:dyDescent="0.25">
      <c r="B246" s="78" t="s">
        <v>21</v>
      </c>
      <c r="C246" s="71"/>
      <c r="D246" s="96"/>
      <c r="E246" s="97"/>
      <c r="F246" s="98"/>
      <c r="G246" s="98"/>
      <c r="H246" s="98"/>
      <c r="I246" s="98"/>
    </row>
    <row r="247" spans="1:9" x14ac:dyDescent="0.25">
      <c r="B247" s="6"/>
      <c r="D247" s="7"/>
      <c r="E247" s="7"/>
      <c r="F247" s="7"/>
      <c r="G247" s="7"/>
      <c r="H247" s="7"/>
      <c r="I247" s="7"/>
    </row>
    <row r="248" spans="1:9" ht="15.75" x14ac:dyDescent="0.25">
      <c r="A248" s="81" t="s">
        <v>33</v>
      </c>
      <c r="C248" s="71"/>
      <c r="D248" s="43">
        <f t="shared" ref="D248:I248" si="59" xml:space="preserve"> D223 + D228 - D234 + D244 + D246</f>
        <v>30000</v>
      </c>
      <c r="E248" s="44">
        <f t="shared" si="59"/>
        <v>26788</v>
      </c>
      <c r="F248" s="45">
        <f t="shared" si="59"/>
        <v>19549</v>
      </c>
      <c r="G248" s="45">
        <f t="shared" si="59"/>
        <v>21726</v>
      </c>
      <c r="H248" s="45">
        <f t="shared" si="59"/>
        <v>21912</v>
      </c>
      <c r="I248" s="45">
        <f t="shared" si="59"/>
        <v>21912</v>
      </c>
    </row>
    <row r="249" spans="1:9" x14ac:dyDescent="0.25">
      <c r="B249" s="6"/>
      <c r="D249" s="7"/>
      <c r="E249" s="7"/>
      <c r="F249" s="7"/>
      <c r="G249" s="29"/>
      <c r="H249" s="29"/>
      <c r="I249" s="29"/>
    </row>
    <row r="250" spans="1:9" ht="15.75" thickBot="1" x14ac:dyDescent="0.3"/>
    <row r="251" spans="1:9" x14ac:dyDescent="0.25">
      <c r="A251" s="8"/>
      <c r="B251" s="8"/>
      <c r="C251" s="8"/>
      <c r="D251" s="8"/>
      <c r="E251" s="8"/>
      <c r="F251" s="8"/>
      <c r="G251" s="8"/>
      <c r="H251" s="8"/>
      <c r="I251" s="8"/>
    </row>
    <row r="253" spans="1:9" ht="21" x14ac:dyDescent="0.35">
      <c r="A253" s="16" t="s">
        <v>4</v>
      </c>
      <c r="B253" s="16"/>
      <c r="C253" s="154" t="str">
        <f>B8</f>
        <v>Noxon Rapids #2</v>
      </c>
      <c r="D253" s="155"/>
    </row>
    <row r="255" spans="1:9" ht="18.75" x14ac:dyDescent="0.3">
      <c r="A255" s="9" t="s">
        <v>27</v>
      </c>
      <c r="B255" s="9"/>
      <c r="D255" s="2">
        <v>2021</v>
      </c>
      <c r="E255" s="2">
        <f t="shared" ref="E255:I255" si="60">D255+1</f>
        <v>2022</v>
      </c>
      <c r="F255" s="2">
        <f t="shared" si="60"/>
        <v>2023</v>
      </c>
      <c r="G255" s="2">
        <f t="shared" si="60"/>
        <v>2024</v>
      </c>
      <c r="H255" s="2">
        <f t="shared" si="60"/>
        <v>2025</v>
      </c>
      <c r="I255" s="2">
        <f t="shared" si="60"/>
        <v>2026</v>
      </c>
    </row>
    <row r="256" spans="1:9" x14ac:dyDescent="0.25">
      <c r="B256" s="78" t="str">
        <f>"Total MWh Produced / Purchased from " &amp; C253</f>
        <v>Total MWh Produced / Purchased from Noxon Rapids #2</v>
      </c>
      <c r="C256" s="71"/>
      <c r="D256" s="3">
        <v>9701</v>
      </c>
      <c r="E256" s="3">
        <v>8412</v>
      </c>
      <c r="F256" s="3">
        <v>6417</v>
      </c>
      <c r="G256" s="3">
        <v>5374</v>
      </c>
      <c r="H256" s="3">
        <v>5959</v>
      </c>
      <c r="I256" s="3">
        <v>5959</v>
      </c>
    </row>
    <row r="257" spans="1:9" x14ac:dyDescent="0.25">
      <c r="B257" s="78" t="s">
        <v>32</v>
      </c>
      <c r="C257" s="71"/>
      <c r="D257" s="55">
        <v>1</v>
      </c>
      <c r="E257" s="56">
        <v>1</v>
      </c>
      <c r="F257" s="57">
        <v>1</v>
      </c>
      <c r="G257" s="57">
        <v>1</v>
      </c>
      <c r="H257" s="57">
        <v>1</v>
      </c>
      <c r="I257" s="57">
        <v>1</v>
      </c>
    </row>
    <row r="258" spans="1:9" x14ac:dyDescent="0.25">
      <c r="B258" s="78" t="s">
        <v>26</v>
      </c>
      <c r="C258" s="71"/>
      <c r="D258" s="48">
        <v>1</v>
      </c>
      <c r="E258" s="49">
        <v>1</v>
      </c>
      <c r="F258" s="50">
        <v>1</v>
      </c>
      <c r="G258" s="50">
        <v>1</v>
      </c>
      <c r="H258" s="50">
        <v>1</v>
      </c>
      <c r="I258" s="50">
        <v>1</v>
      </c>
    </row>
    <row r="259" spans="1:9" x14ac:dyDescent="0.25">
      <c r="B259" s="32" t="s">
        <v>28</v>
      </c>
      <c r="C259" s="6"/>
      <c r="D259" s="37">
        <f t="shared" ref="D259:I259" si="61" xml:space="preserve"> D256 * D257 * D258</f>
        <v>9701</v>
      </c>
      <c r="E259" s="37">
        <f t="shared" si="61"/>
        <v>8412</v>
      </c>
      <c r="F259" s="37">
        <f t="shared" si="61"/>
        <v>6417</v>
      </c>
      <c r="G259" s="37">
        <f t="shared" si="61"/>
        <v>5374</v>
      </c>
      <c r="H259" s="37">
        <f t="shared" si="61"/>
        <v>5959</v>
      </c>
      <c r="I259" s="37">
        <f t="shared" si="61"/>
        <v>5959</v>
      </c>
    </row>
    <row r="260" spans="1:9" x14ac:dyDescent="0.25">
      <c r="D260" s="36"/>
      <c r="E260" s="36"/>
      <c r="F260" s="36"/>
      <c r="G260" s="36"/>
      <c r="H260" s="36"/>
      <c r="I260" s="36"/>
    </row>
    <row r="261" spans="1:9" ht="18.75" x14ac:dyDescent="0.3">
      <c r="A261" s="9" t="s">
        <v>30</v>
      </c>
      <c r="D261" s="2">
        <f>D255</f>
        <v>2021</v>
      </c>
      <c r="E261" s="2">
        <f t="shared" ref="E261:I261" si="62">D261+1</f>
        <v>2022</v>
      </c>
      <c r="F261" s="2">
        <f t="shared" si="62"/>
        <v>2023</v>
      </c>
      <c r="G261" s="2">
        <f t="shared" si="62"/>
        <v>2024</v>
      </c>
      <c r="H261" s="2">
        <f t="shared" si="62"/>
        <v>2025</v>
      </c>
      <c r="I261" s="2">
        <f t="shared" si="62"/>
        <v>2026</v>
      </c>
    </row>
    <row r="262" spans="1:9" x14ac:dyDescent="0.25">
      <c r="B262" s="78" t="s">
        <v>19</v>
      </c>
      <c r="C262" s="71"/>
      <c r="D262" s="51">
        <f>IF( $E8 = "Eligible", D259 * 'Facility Detail'!$B$593, 0 )</f>
        <v>0</v>
      </c>
      <c r="E262" s="13">
        <f>IF( $E8 = "Eligible", E259 * 'Facility Detail'!$B$593, 0 )</f>
        <v>0</v>
      </c>
      <c r="F262" s="14">
        <f>IF( $E8 = "Eligible", F259 * 'Facility Detail'!$B$593, 0 )</f>
        <v>0</v>
      </c>
      <c r="G262" s="14">
        <f>IF( $E8 = "Eligible", G259 * 'Facility Detail'!$B$593, 0 )</f>
        <v>0</v>
      </c>
      <c r="H262" s="14">
        <f>IF( $E8 = "Eligible", H259 * 'Facility Detail'!$B$593, 0 )</f>
        <v>0</v>
      </c>
      <c r="I262" s="14">
        <f>IF( $E8 = "Eligible", I259 * 'Facility Detail'!$B$593, 0 )</f>
        <v>0</v>
      </c>
    </row>
    <row r="263" spans="1:9" x14ac:dyDescent="0.25">
      <c r="B263" s="78" t="s">
        <v>6</v>
      </c>
      <c r="C263" s="71"/>
      <c r="D263" s="52">
        <f t="shared" ref="D263:I263" si="63">IF( $F8 = "Eligible", D259, 0 )</f>
        <v>0</v>
      </c>
      <c r="E263" s="53">
        <f t="shared" si="63"/>
        <v>0</v>
      </c>
      <c r="F263" s="54">
        <f t="shared" si="63"/>
        <v>0</v>
      </c>
      <c r="G263" s="54">
        <f t="shared" si="63"/>
        <v>0</v>
      </c>
      <c r="H263" s="54">
        <f t="shared" si="63"/>
        <v>0</v>
      </c>
      <c r="I263" s="54">
        <f t="shared" si="63"/>
        <v>0</v>
      </c>
    </row>
    <row r="264" spans="1:9" x14ac:dyDescent="0.25">
      <c r="B264" s="32" t="s">
        <v>37</v>
      </c>
      <c r="C264" s="6"/>
      <c r="D264" s="39">
        <f t="shared" ref="D264:I264" si="64">SUM(D262:D263)</f>
        <v>0</v>
      </c>
      <c r="E264" s="40">
        <f t="shared" si="64"/>
        <v>0</v>
      </c>
      <c r="F264" s="40">
        <f t="shared" si="64"/>
        <v>0</v>
      </c>
      <c r="G264" s="40">
        <f t="shared" si="64"/>
        <v>0</v>
      </c>
      <c r="H264" s="40">
        <f t="shared" si="64"/>
        <v>0</v>
      </c>
      <c r="I264" s="40">
        <f t="shared" si="64"/>
        <v>0</v>
      </c>
    </row>
    <row r="265" spans="1:9" x14ac:dyDescent="0.25">
      <c r="D265" s="38"/>
      <c r="E265" s="30"/>
      <c r="F265" s="30"/>
      <c r="G265" s="30"/>
      <c r="H265" s="30"/>
      <c r="I265" s="30"/>
    </row>
    <row r="266" spans="1:9" ht="18.75" x14ac:dyDescent="0.3">
      <c r="A266" s="9" t="s">
        <v>35</v>
      </c>
      <c r="D266" s="2">
        <f>D255</f>
        <v>2021</v>
      </c>
      <c r="E266" s="2">
        <f t="shared" ref="E266:I266" si="65">D266+1</f>
        <v>2022</v>
      </c>
      <c r="F266" s="2">
        <f t="shared" si="65"/>
        <v>2023</v>
      </c>
      <c r="G266" s="2">
        <f t="shared" si="65"/>
        <v>2024</v>
      </c>
      <c r="H266" s="2">
        <f t="shared" si="65"/>
        <v>2025</v>
      </c>
      <c r="I266" s="2">
        <f t="shared" si="65"/>
        <v>2026</v>
      </c>
    </row>
    <row r="267" spans="1:9" x14ac:dyDescent="0.25">
      <c r="B267" s="78" t="s">
        <v>39</v>
      </c>
      <c r="C267" s="71"/>
      <c r="D267" s="84">
        <v>0</v>
      </c>
      <c r="E267" s="85">
        <v>0</v>
      </c>
      <c r="F267" s="86">
        <v>0</v>
      </c>
      <c r="G267" s="86">
        <v>0</v>
      </c>
      <c r="H267" s="86">
        <v>0</v>
      </c>
      <c r="I267" s="86">
        <v>0</v>
      </c>
    </row>
    <row r="268" spans="1:9" x14ac:dyDescent="0.25">
      <c r="B268" s="79" t="s">
        <v>29</v>
      </c>
      <c r="C268" s="80"/>
      <c r="D268" s="87">
        <v>0</v>
      </c>
      <c r="E268" s="88">
        <v>0</v>
      </c>
      <c r="F268" s="89">
        <v>0</v>
      </c>
      <c r="G268" s="89">
        <v>0</v>
      </c>
      <c r="H268" s="89">
        <v>0</v>
      </c>
      <c r="I268" s="89">
        <v>0</v>
      </c>
    </row>
    <row r="269" spans="1:9" x14ac:dyDescent="0.25">
      <c r="B269" s="79" t="s">
        <v>41</v>
      </c>
      <c r="C269"/>
      <c r="D269" s="58">
        <v>0</v>
      </c>
      <c r="E269" s="59">
        <v>0</v>
      </c>
      <c r="F269" s="60">
        <v>0</v>
      </c>
      <c r="G269" s="60">
        <v>0</v>
      </c>
      <c r="H269" s="60">
        <v>0</v>
      </c>
      <c r="I269" s="60">
        <v>0</v>
      </c>
    </row>
    <row r="270" spans="1:9" x14ac:dyDescent="0.25">
      <c r="B270" s="32" t="s">
        <v>42</v>
      </c>
      <c r="D270" s="7">
        <f t="shared" ref="D270:I270" si="66">SUM(D267:D269)</f>
        <v>0</v>
      </c>
      <c r="E270" s="7">
        <f t="shared" si="66"/>
        <v>0</v>
      </c>
      <c r="F270" s="7">
        <f t="shared" si="66"/>
        <v>0</v>
      </c>
      <c r="G270" s="7">
        <f t="shared" si="66"/>
        <v>0</v>
      </c>
      <c r="H270" s="7">
        <f t="shared" si="66"/>
        <v>0</v>
      </c>
      <c r="I270" s="7">
        <f t="shared" si="66"/>
        <v>0</v>
      </c>
    </row>
    <row r="271" spans="1:9" x14ac:dyDescent="0.25">
      <c r="B271" s="6"/>
      <c r="D271" s="7"/>
      <c r="E271" s="7"/>
      <c r="F271" s="7"/>
      <c r="G271" s="7"/>
      <c r="H271" s="7"/>
      <c r="I271" s="7"/>
    </row>
    <row r="272" spans="1:9" ht="18.75" x14ac:dyDescent="0.3">
      <c r="A272" s="9" t="s">
        <v>43</v>
      </c>
      <c r="D272" s="2">
        <f>D255</f>
        <v>2021</v>
      </c>
      <c r="E272" s="2">
        <f t="shared" ref="E272:I272" si="67">D272+1</f>
        <v>2022</v>
      </c>
      <c r="F272" s="2">
        <f t="shared" si="67"/>
        <v>2023</v>
      </c>
      <c r="G272" s="2">
        <f t="shared" si="67"/>
        <v>2024</v>
      </c>
      <c r="H272" s="2">
        <f t="shared" si="67"/>
        <v>2025</v>
      </c>
      <c r="I272" s="2">
        <f t="shared" si="67"/>
        <v>2026</v>
      </c>
    </row>
    <row r="273" spans="1:9" x14ac:dyDescent="0.25">
      <c r="B273" s="78" t="str">
        <f xml:space="preserve"> 'Facility Detail'!$B$761 &amp; " Surplus Applied to " &amp; ( 'Facility Detail'!$B$761 + 1 )</f>
        <v>2021 Surplus Applied to 2022</v>
      </c>
      <c r="C273" s="71"/>
      <c r="D273" s="3"/>
      <c r="E273" s="61">
        <f>D273</f>
        <v>0</v>
      </c>
      <c r="F273" s="124"/>
      <c r="G273" s="63"/>
      <c r="H273" s="63"/>
      <c r="I273" s="63"/>
    </row>
    <row r="274" spans="1:9" x14ac:dyDescent="0.25">
      <c r="B274" s="78" t="str">
        <f xml:space="preserve"> ( 'Facility Detail'!$B$761 + 1 ) &amp; " Surplus Applied to " &amp; ( 'Facility Detail'!$B$761 )</f>
        <v>2022 Surplus Applied to 2021</v>
      </c>
      <c r="C274" s="71"/>
      <c r="D274" s="125">
        <f>E274</f>
        <v>0</v>
      </c>
      <c r="E274" s="10"/>
      <c r="F274" s="75"/>
      <c r="G274" s="74"/>
      <c r="H274" s="74"/>
      <c r="I274" s="74"/>
    </row>
    <row r="275" spans="1:9" x14ac:dyDescent="0.25">
      <c r="B275" s="78" t="str">
        <f xml:space="preserve"> ( 'Facility Detail'!$B$761 + 1 ) &amp; " Surplus Applied to " &amp; ( 'Facility Detail'!$B$761 + 2 )</f>
        <v>2022 Surplus Applied to 2023</v>
      </c>
      <c r="C275" s="71"/>
      <c r="D275" s="64"/>
      <c r="E275" s="10"/>
      <c r="F275" s="70">
        <f>E275</f>
        <v>0</v>
      </c>
      <c r="G275" s="74"/>
      <c r="H275" s="74"/>
      <c r="I275" s="74"/>
    </row>
    <row r="276" spans="1:9" x14ac:dyDescent="0.25">
      <c r="B276" s="78" t="str">
        <f xml:space="preserve"> ( 'Facility Detail'!$B$761 + 2 ) &amp; " Surplus Applied to " &amp; ( 'Facility Detail'!$B$761 + 1 )</f>
        <v>2023 Surplus Applied to 2022</v>
      </c>
      <c r="C276" s="71"/>
      <c r="D276" s="64"/>
      <c r="E276" s="70">
        <f>F276</f>
        <v>0</v>
      </c>
      <c r="F276" s="10"/>
      <c r="G276" s="74"/>
      <c r="H276" s="74"/>
      <c r="I276" s="74"/>
    </row>
    <row r="277" spans="1:9" x14ac:dyDescent="0.25">
      <c r="B277" s="78" t="str">
        <f xml:space="preserve"> ( 'Facility Detail'!$B$761 + 2 ) &amp; " Surplus Applied to " &amp; ( 'Facility Detail'!$B$761 + 3 )</f>
        <v>2023 Surplus Applied to 2024</v>
      </c>
      <c r="D277" s="64"/>
      <c r="E277" s="75"/>
      <c r="F277" s="10"/>
      <c r="G277" s="126">
        <f>F277</f>
        <v>0</v>
      </c>
      <c r="H277" s="126">
        <f>G277</f>
        <v>0</v>
      </c>
      <c r="I277" s="126">
        <f>H277</f>
        <v>0</v>
      </c>
    </row>
    <row r="278" spans="1:9" x14ac:dyDescent="0.25">
      <c r="B278" s="78" t="str">
        <f xml:space="preserve"> ( 'Facility Detail'!$B$761 +3 ) &amp; " Surplus Applied to " &amp; ( 'Facility Detail'!$B$761 + 2 )</f>
        <v>2024 Surplus Applied to 2023</v>
      </c>
      <c r="D278" s="65"/>
      <c r="E278" s="76"/>
      <c r="F278" s="62">
        <f>G278</f>
        <v>0</v>
      </c>
      <c r="G278" s="127"/>
      <c r="H278" s="127"/>
      <c r="I278" s="127"/>
    </row>
    <row r="279" spans="1:9" x14ac:dyDescent="0.25">
      <c r="B279" s="78" t="str">
        <f xml:space="preserve"> ( 'Facility Detail'!$B$761 +3 ) &amp; " Surplus Applied to " &amp; ( 'Facility Detail'!$B$761 + 4 )</f>
        <v>2024 Surplus Applied to 2025</v>
      </c>
      <c r="D279" s="130"/>
      <c r="E279" s="130"/>
      <c r="F279" s="19"/>
      <c r="G279" s="131"/>
      <c r="H279" s="131"/>
      <c r="I279" s="131"/>
    </row>
    <row r="280" spans="1:9" x14ac:dyDescent="0.25">
      <c r="B280" s="32" t="s">
        <v>25</v>
      </c>
      <c r="D280" s="7">
        <f xml:space="preserve"> D274 - D273</f>
        <v>0</v>
      </c>
      <c r="E280" s="7">
        <f xml:space="preserve"> E273 + E276 - E275 - E274</f>
        <v>0</v>
      </c>
      <c r="F280" s="7">
        <f>F275+F278-F276-F277</f>
        <v>0</v>
      </c>
      <c r="G280" s="7">
        <f t="shared" ref="G280:I280" si="68">G277-G278</f>
        <v>0</v>
      </c>
      <c r="H280" s="7">
        <f t="shared" si="68"/>
        <v>0</v>
      </c>
      <c r="I280" s="7">
        <f t="shared" si="68"/>
        <v>0</v>
      </c>
    </row>
    <row r="281" spans="1:9" x14ac:dyDescent="0.25">
      <c r="B281" s="6"/>
      <c r="D281" s="7"/>
      <c r="E281" s="7"/>
      <c r="F281" s="7"/>
      <c r="G281" s="7"/>
      <c r="H281" s="7"/>
      <c r="I281" s="7"/>
    </row>
    <row r="282" spans="1:9" x14ac:dyDescent="0.25">
      <c r="B282" s="78" t="s">
        <v>21</v>
      </c>
      <c r="C282" s="71"/>
      <c r="D282" s="96"/>
      <c r="E282" s="97"/>
      <c r="F282" s="98"/>
      <c r="G282" s="98"/>
      <c r="H282" s="98"/>
      <c r="I282" s="98"/>
    </row>
    <row r="283" spans="1:9" x14ac:dyDescent="0.25">
      <c r="B283" s="6"/>
      <c r="D283" s="7"/>
      <c r="E283" s="7"/>
      <c r="F283" s="7"/>
      <c r="G283" s="7"/>
      <c r="H283" s="7"/>
      <c r="I283" s="7"/>
    </row>
    <row r="284" spans="1:9" ht="15.75" x14ac:dyDescent="0.25">
      <c r="A284" s="81" t="s">
        <v>33</v>
      </c>
      <c r="C284" s="71"/>
      <c r="D284" s="43">
        <f t="shared" ref="D284:I284" si="69" xml:space="preserve"> D259 + D264 - D270 + D280 + D282</f>
        <v>9701</v>
      </c>
      <c r="E284" s="44">
        <f t="shared" si="69"/>
        <v>8412</v>
      </c>
      <c r="F284" s="45">
        <f t="shared" si="69"/>
        <v>6417</v>
      </c>
      <c r="G284" s="45">
        <f t="shared" si="69"/>
        <v>5374</v>
      </c>
      <c r="H284" s="45">
        <f t="shared" si="69"/>
        <v>5959</v>
      </c>
      <c r="I284" s="45">
        <f t="shared" si="69"/>
        <v>5959</v>
      </c>
    </row>
    <row r="285" spans="1:9" x14ac:dyDescent="0.25">
      <c r="B285" s="6"/>
      <c r="D285" s="7"/>
      <c r="E285" s="7"/>
      <c r="F285" s="7"/>
      <c r="G285" s="29"/>
      <c r="H285" s="29"/>
      <c r="I285" s="29"/>
    </row>
    <row r="286" spans="1:9" ht="15.75" thickBot="1" x14ac:dyDescent="0.3"/>
    <row r="287" spans="1:9" x14ac:dyDescent="0.25">
      <c r="A287" s="8"/>
      <c r="B287" s="8"/>
      <c r="C287" s="8"/>
      <c r="D287" s="8"/>
      <c r="E287" s="8"/>
      <c r="F287" s="8"/>
      <c r="G287" s="8"/>
      <c r="H287" s="8"/>
      <c r="I287" s="8"/>
    </row>
    <row r="289" spans="1:9" ht="21" x14ac:dyDescent="0.35">
      <c r="A289" s="16" t="s">
        <v>4</v>
      </c>
      <c r="B289" s="16"/>
      <c r="C289" s="154" t="str">
        <f>B9</f>
        <v>Noxon Rapids #3</v>
      </c>
      <c r="D289" s="155"/>
    </row>
    <row r="291" spans="1:9" ht="18.75" x14ac:dyDescent="0.3">
      <c r="A291" s="9" t="s">
        <v>27</v>
      </c>
      <c r="B291" s="9"/>
      <c r="D291" s="2">
        <v>2021</v>
      </c>
      <c r="E291" s="2">
        <f t="shared" ref="E291:I291" si="70">D291+1</f>
        <v>2022</v>
      </c>
      <c r="F291" s="2">
        <f t="shared" si="70"/>
        <v>2023</v>
      </c>
      <c r="G291" s="2">
        <f t="shared" si="70"/>
        <v>2024</v>
      </c>
      <c r="H291" s="2">
        <f t="shared" si="70"/>
        <v>2025</v>
      </c>
      <c r="I291" s="2">
        <f t="shared" si="70"/>
        <v>2026</v>
      </c>
    </row>
    <row r="292" spans="1:9" x14ac:dyDescent="0.25">
      <c r="B292" s="78" t="str">
        <f>"Total MWh Produced / Purchased from " &amp; C289</f>
        <v>Total MWh Produced / Purchased from Noxon Rapids #3</v>
      </c>
      <c r="C292" s="71"/>
      <c r="D292" s="3">
        <v>32000</v>
      </c>
      <c r="E292" s="3">
        <v>32039</v>
      </c>
      <c r="F292" s="3">
        <v>21245</v>
      </c>
      <c r="G292" s="3">
        <v>22136</v>
      </c>
      <c r="H292" s="3">
        <v>25214</v>
      </c>
      <c r="I292" s="3">
        <v>25214</v>
      </c>
    </row>
    <row r="293" spans="1:9" x14ac:dyDescent="0.25">
      <c r="B293" s="78" t="s">
        <v>32</v>
      </c>
      <c r="C293" s="71"/>
      <c r="D293" s="55">
        <v>1</v>
      </c>
      <c r="E293" s="56">
        <v>1</v>
      </c>
      <c r="F293" s="57">
        <v>1</v>
      </c>
      <c r="G293" s="57">
        <v>1</v>
      </c>
      <c r="H293" s="57">
        <v>1</v>
      </c>
      <c r="I293" s="57">
        <v>1</v>
      </c>
    </row>
    <row r="294" spans="1:9" x14ac:dyDescent="0.25">
      <c r="B294" s="78" t="s">
        <v>26</v>
      </c>
      <c r="C294" s="71"/>
      <c r="D294" s="48">
        <v>1</v>
      </c>
      <c r="E294" s="49">
        <v>1</v>
      </c>
      <c r="F294" s="50">
        <v>1</v>
      </c>
      <c r="G294" s="50">
        <v>1</v>
      </c>
      <c r="H294" s="50">
        <v>1</v>
      </c>
      <c r="I294" s="50">
        <v>1</v>
      </c>
    </row>
    <row r="295" spans="1:9" x14ac:dyDescent="0.25">
      <c r="B295" s="32" t="s">
        <v>28</v>
      </c>
      <c r="C295" s="6"/>
      <c r="D295" s="37">
        <f t="shared" ref="D295:I295" si="71" xml:space="preserve"> D292 * D293 * D294</f>
        <v>32000</v>
      </c>
      <c r="E295" s="37">
        <f t="shared" si="71"/>
        <v>32039</v>
      </c>
      <c r="F295" s="37">
        <f t="shared" si="71"/>
        <v>21245</v>
      </c>
      <c r="G295" s="37">
        <f t="shared" si="71"/>
        <v>22136</v>
      </c>
      <c r="H295" s="37">
        <f t="shared" si="71"/>
        <v>25214</v>
      </c>
      <c r="I295" s="37">
        <f t="shared" si="71"/>
        <v>25214</v>
      </c>
    </row>
    <row r="296" spans="1:9" x14ac:dyDescent="0.25">
      <c r="D296" s="36"/>
      <c r="E296" s="36"/>
      <c r="F296" s="36"/>
      <c r="G296" s="36"/>
      <c r="H296" s="36"/>
      <c r="I296" s="36"/>
    </row>
    <row r="297" spans="1:9" ht="18.75" x14ac:dyDescent="0.3">
      <c r="A297" s="9" t="s">
        <v>30</v>
      </c>
      <c r="D297" s="2">
        <f>D291</f>
        <v>2021</v>
      </c>
      <c r="E297" s="2">
        <f t="shared" ref="E297:I297" si="72">D297+1</f>
        <v>2022</v>
      </c>
      <c r="F297" s="2">
        <f t="shared" si="72"/>
        <v>2023</v>
      </c>
      <c r="G297" s="2">
        <f t="shared" si="72"/>
        <v>2024</v>
      </c>
      <c r="H297" s="2">
        <f t="shared" si="72"/>
        <v>2025</v>
      </c>
      <c r="I297" s="2">
        <f t="shared" si="72"/>
        <v>2026</v>
      </c>
    </row>
    <row r="298" spans="1:9" x14ac:dyDescent="0.25">
      <c r="B298" s="78" t="s">
        <v>19</v>
      </c>
      <c r="C298" s="71"/>
      <c r="D298" s="51">
        <f>IF( $E9 = "Eligible", D295 * 'Facility Detail'!$B$593, 0 )</f>
        <v>0</v>
      </c>
      <c r="E298" s="13">
        <f>IF( $E9 = "Eligible", E295 * 'Facility Detail'!$B$593, 0 )</f>
        <v>0</v>
      </c>
      <c r="F298" s="14">
        <f>IF( $E9 = "Eligible", F295 * 'Facility Detail'!$B$593, 0 )</f>
        <v>0</v>
      </c>
      <c r="G298" s="14">
        <f>IF( $E9 = "Eligible", G295 * 'Facility Detail'!$B$593, 0 )</f>
        <v>0</v>
      </c>
      <c r="H298" s="14">
        <f>IF( $E9 = "Eligible", H295 * 'Facility Detail'!$B$593, 0 )</f>
        <v>0</v>
      </c>
      <c r="I298" s="14">
        <f>IF( $E9 = "Eligible", I295 * 'Facility Detail'!$B$593, 0 )</f>
        <v>0</v>
      </c>
    </row>
    <row r="299" spans="1:9" x14ac:dyDescent="0.25">
      <c r="B299" s="78" t="s">
        <v>6</v>
      </c>
      <c r="C299" s="71"/>
      <c r="D299" s="52">
        <f t="shared" ref="D299:I299" si="73">IF( $F9 = "Eligible", D295, 0 )</f>
        <v>0</v>
      </c>
      <c r="E299" s="53">
        <f t="shared" si="73"/>
        <v>0</v>
      </c>
      <c r="F299" s="54">
        <f t="shared" si="73"/>
        <v>0</v>
      </c>
      <c r="G299" s="54">
        <f t="shared" si="73"/>
        <v>0</v>
      </c>
      <c r="H299" s="54">
        <f t="shared" si="73"/>
        <v>0</v>
      </c>
      <c r="I299" s="54">
        <f t="shared" si="73"/>
        <v>0</v>
      </c>
    </row>
    <row r="300" spans="1:9" x14ac:dyDescent="0.25">
      <c r="B300" s="32" t="s">
        <v>37</v>
      </c>
      <c r="C300" s="6"/>
      <c r="D300" s="39">
        <f t="shared" ref="D300:I300" si="74">SUM(D298:D299)</f>
        <v>0</v>
      </c>
      <c r="E300" s="40">
        <f t="shared" si="74"/>
        <v>0</v>
      </c>
      <c r="F300" s="40">
        <f t="shared" si="74"/>
        <v>0</v>
      </c>
      <c r="G300" s="40">
        <f t="shared" si="74"/>
        <v>0</v>
      </c>
      <c r="H300" s="40">
        <f t="shared" si="74"/>
        <v>0</v>
      </c>
      <c r="I300" s="40">
        <f t="shared" si="74"/>
        <v>0</v>
      </c>
    </row>
    <row r="301" spans="1:9" x14ac:dyDescent="0.25">
      <c r="D301" s="38"/>
      <c r="E301" s="30"/>
      <c r="F301" s="30"/>
      <c r="G301" s="30"/>
      <c r="H301" s="30"/>
      <c r="I301" s="30"/>
    </row>
    <row r="302" spans="1:9" ht="18.75" x14ac:dyDescent="0.3">
      <c r="A302" s="9" t="s">
        <v>35</v>
      </c>
      <c r="D302" s="2">
        <f>D291</f>
        <v>2021</v>
      </c>
      <c r="E302" s="2">
        <f t="shared" ref="E302:I302" si="75">D302+1</f>
        <v>2022</v>
      </c>
      <c r="F302" s="2">
        <f t="shared" si="75"/>
        <v>2023</v>
      </c>
      <c r="G302" s="2">
        <f t="shared" si="75"/>
        <v>2024</v>
      </c>
      <c r="H302" s="2">
        <f t="shared" si="75"/>
        <v>2025</v>
      </c>
      <c r="I302" s="2">
        <f t="shared" si="75"/>
        <v>2026</v>
      </c>
    </row>
    <row r="303" spans="1:9" x14ac:dyDescent="0.25">
      <c r="B303" s="78" t="s">
        <v>39</v>
      </c>
      <c r="C303" s="71"/>
      <c r="D303" s="84">
        <v>0</v>
      </c>
      <c r="E303" s="85">
        <v>0</v>
      </c>
      <c r="F303" s="86">
        <v>0</v>
      </c>
      <c r="G303" s="86">
        <v>0</v>
      </c>
      <c r="H303" s="86">
        <v>0</v>
      </c>
      <c r="I303" s="86">
        <v>0</v>
      </c>
    </row>
    <row r="304" spans="1:9" x14ac:dyDescent="0.25">
      <c r="B304" s="79" t="s">
        <v>29</v>
      </c>
      <c r="C304" s="80"/>
      <c r="D304" s="87">
        <v>0</v>
      </c>
      <c r="E304" s="88">
        <v>0</v>
      </c>
      <c r="F304" s="89">
        <v>0</v>
      </c>
      <c r="G304" s="89">
        <v>0</v>
      </c>
      <c r="H304" s="89">
        <v>0</v>
      </c>
      <c r="I304" s="89">
        <v>0</v>
      </c>
    </row>
    <row r="305" spans="1:9" x14ac:dyDescent="0.25">
      <c r="B305" s="79" t="s">
        <v>41</v>
      </c>
      <c r="C305"/>
      <c r="D305" s="58">
        <v>0</v>
      </c>
      <c r="E305" s="59">
        <v>0</v>
      </c>
      <c r="F305" s="60">
        <v>0</v>
      </c>
      <c r="G305" s="60">
        <v>0</v>
      </c>
      <c r="H305" s="60">
        <v>0</v>
      </c>
      <c r="I305" s="60">
        <v>0</v>
      </c>
    </row>
    <row r="306" spans="1:9" x14ac:dyDescent="0.25">
      <c r="B306" s="32" t="s">
        <v>42</v>
      </c>
      <c r="D306" s="7">
        <f t="shared" ref="D306:I306" si="76">SUM(D303:D305)</f>
        <v>0</v>
      </c>
      <c r="E306" s="7">
        <f t="shared" si="76"/>
        <v>0</v>
      </c>
      <c r="F306" s="7">
        <f t="shared" si="76"/>
        <v>0</v>
      </c>
      <c r="G306" s="7">
        <f t="shared" si="76"/>
        <v>0</v>
      </c>
      <c r="H306" s="7">
        <f t="shared" si="76"/>
        <v>0</v>
      </c>
      <c r="I306" s="7">
        <f t="shared" si="76"/>
        <v>0</v>
      </c>
    </row>
    <row r="307" spans="1:9" x14ac:dyDescent="0.25">
      <c r="B307" s="6"/>
      <c r="D307" s="7"/>
      <c r="E307" s="7"/>
      <c r="F307" s="7"/>
      <c r="G307" s="7"/>
      <c r="H307" s="7"/>
      <c r="I307" s="7"/>
    </row>
    <row r="308" spans="1:9" ht="18.75" x14ac:dyDescent="0.3">
      <c r="A308" s="9" t="s">
        <v>43</v>
      </c>
      <c r="D308" s="2">
        <f>D291</f>
        <v>2021</v>
      </c>
      <c r="E308" s="2">
        <f t="shared" ref="E308:I308" si="77">D308+1</f>
        <v>2022</v>
      </c>
      <c r="F308" s="2">
        <f t="shared" si="77"/>
        <v>2023</v>
      </c>
      <c r="G308" s="2">
        <f t="shared" si="77"/>
        <v>2024</v>
      </c>
      <c r="H308" s="2">
        <f t="shared" si="77"/>
        <v>2025</v>
      </c>
      <c r="I308" s="2">
        <f t="shared" si="77"/>
        <v>2026</v>
      </c>
    </row>
    <row r="309" spans="1:9" x14ac:dyDescent="0.25">
      <c r="B309" s="78" t="str">
        <f xml:space="preserve"> 'Facility Detail'!$B$761 &amp; " Surplus Applied to " &amp; ( 'Facility Detail'!$B$761 + 1 )</f>
        <v>2021 Surplus Applied to 2022</v>
      </c>
      <c r="C309" s="71"/>
      <c r="D309" s="3"/>
      <c r="E309" s="61">
        <f>D309</f>
        <v>0</v>
      </c>
      <c r="F309" s="124"/>
      <c r="G309" s="63"/>
      <c r="H309" s="63"/>
      <c r="I309" s="63"/>
    </row>
    <row r="310" spans="1:9" x14ac:dyDescent="0.25">
      <c r="B310" s="78" t="str">
        <f xml:space="preserve"> ( 'Facility Detail'!$B$761 + 1 ) &amp; " Surplus Applied to " &amp; ( 'Facility Detail'!$B$761 )</f>
        <v>2022 Surplus Applied to 2021</v>
      </c>
      <c r="C310" s="71"/>
      <c r="D310" s="125">
        <f>E310</f>
        <v>0</v>
      </c>
      <c r="E310" s="10"/>
      <c r="F310" s="75"/>
      <c r="G310" s="74"/>
      <c r="H310" s="74"/>
      <c r="I310" s="74"/>
    </row>
    <row r="311" spans="1:9" x14ac:dyDescent="0.25">
      <c r="B311" s="78" t="str">
        <f xml:space="preserve"> ( 'Facility Detail'!$B$761 + 1 ) &amp; " Surplus Applied to " &amp; ( 'Facility Detail'!$B$761 + 2 )</f>
        <v>2022 Surplus Applied to 2023</v>
      </c>
      <c r="C311" s="71"/>
      <c r="D311" s="64"/>
      <c r="E311" s="10"/>
      <c r="F311" s="70">
        <f>E311</f>
        <v>0</v>
      </c>
      <c r="G311" s="74"/>
      <c r="H311" s="74"/>
      <c r="I311" s="74"/>
    </row>
    <row r="312" spans="1:9" x14ac:dyDescent="0.25">
      <c r="B312" s="78" t="str">
        <f xml:space="preserve"> ( 'Facility Detail'!$B$761 + 2 ) &amp; " Surplus Applied to " &amp; ( 'Facility Detail'!$B$761 + 1 )</f>
        <v>2023 Surplus Applied to 2022</v>
      </c>
      <c r="C312" s="71"/>
      <c r="D312" s="64"/>
      <c r="E312" s="70">
        <f>F312</f>
        <v>0</v>
      </c>
      <c r="F312" s="10"/>
      <c r="G312" s="74"/>
      <c r="H312" s="74"/>
      <c r="I312" s="74"/>
    </row>
    <row r="313" spans="1:9" x14ac:dyDescent="0.25">
      <c r="B313" s="78" t="str">
        <f xml:space="preserve"> ( 'Facility Detail'!$B$761 + 2 ) &amp; " Surplus Applied to " &amp; ( 'Facility Detail'!$B$761 + 3 )</f>
        <v>2023 Surplus Applied to 2024</v>
      </c>
      <c r="D313" s="64"/>
      <c r="E313" s="75"/>
      <c r="F313" s="10"/>
      <c r="G313" s="126">
        <f>F313</f>
        <v>0</v>
      </c>
      <c r="H313" s="126">
        <f>G313</f>
        <v>0</v>
      </c>
      <c r="I313" s="126">
        <f>H313</f>
        <v>0</v>
      </c>
    </row>
    <row r="314" spans="1:9" x14ac:dyDescent="0.25">
      <c r="B314" s="78" t="str">
        <f xml:space="preserve"> ( 'Facility Detail'!$B$761 +3 ) &amp; " Surplus Applied to " &amp; ( 'Facility Detail'!$B$761 + 2 )</f>
        <v>2024 Surplus Applied to 2023</v>
      </c>
      <c r="D314" s="65"/>
      <c r="E314" s="76"/>
      <c r="F314" s="62">
        <f>G314</f>
        <v>0</v>
      </c>
      <c r="G314" s="127"/>
      <c r="H314" s="127"/>
      <c r="I314" s="127"/>
    </row>
    <row r="315" spans="1:9" x14ac:dyDescent="0.25">
      <c r="B315" s="78" t="str">
        <f xml:space="preserve"> ( 'Facility Detail'!$B$761 +3 ) &amp; " Surplus Applied to " &amp; ( 'Facility Detail'!$B$761 + 4 )</f>
        <v>2024 Surplus Applied to 2025</v>
      </c>
      <c r="D315" s="130"/>
      <c r="E315" s="130"/>
      <c r="F315" s="19"/>
      <c r="G315" s="131"/>
      <c r="H315" s="131"/>
      <c r="I315" s="131"/>
    </row>
    <row r="316" spans="1:9" x14ac:dyDescent="0.25">
      <c r="B316" s="32" t="s">
        <v>25</v>
      </c>
      <c r="D316" s="7">
        <f xml:space="preserve"> D310 - D309</f>
        <v>0</v>
      </c>
      <c r="E316" s="7">
        <f xml:space="preserve"> E309 + E312 - E311 - E310</f>
        <v>0</v>
      </c>
      <c r="F316" s="7">
        <f>F311+F314-F312-F313</f>
        <v>0</v>
      </c>
      <c r="G316" s="7">
        <f t="shared" ref="G316:I316" si="78">G313-G314</f>
        <v>0</v>
      </c>
      <c r="H316" s="7">
        <f t="shared" si="78"/>
        <v>0</v>
      </c>
      <c r="I316" s="7">
        <f t="shared" si="78"/>
        <v>0</v>
      </c>
    </row>
    <row r="317" spans="1:9" x14ac:dyDescent="0.25">
      <c r="B317" s="6"/>
      <c r="D317" s="7"/>
      <c r="E317" s="7"/>
      <c r="F317" s="7"/>
      <c r="G317" s="7"/>
      <c r="H317" s="7"/>
      <c r="I317" s="7"/>
    </row>
    <row r="318" spans="1:9" x14ac:dyDescent="0.25">
      <c r="B318" s="78" t="s">
        <v>21</v>
      </c>
      <c r="C318" s="71"/>
      <c r="D318" s="96"/>
      <c r="E318" s="97"/>
      <c r="F318" s="98"/>
      <c r="G318" s="98"/>
      <c r="H318" s="98"/>
      <c r="I318" s="98"/>
    </row>
    <row r="319" spans="1:9" x14ac:dyDescent="0.25">
      <c r="B319" s="6"/>
      <c r="D319" s="7"/>
      <c r="E319" s="7"/>
      <c r="F319" s="7"/>
      <c r="G319" s="7"/>
      <c r="H319" s="7"/>
      <c r="I319" s="7"/>
    </row>
    <row r="320" spans="1:9" ht="15.75" x14ac:dyDescent="0.25">
      <c r="A320" s="81" t="s">
        <v>33</v>
      </c>
      <c r="C320" s="71"/>
      <c r="D320" s="43">
        <f t="shared" ref="D320:I320" si="79" xml:space="preserve"> D295 + D300 - D306 + D316 + D318</f>
        <v>32000</v>
      </c>
      <c r="E320" s="44">
        <f t="shared" si="79"/>
        <v>32039</v>
      </c>
      <c r="F320" s="45">
        <f t="shared" si="79"/>
        <v>21245</v>
      </c>
      <c r="G320" s="45">
        <f t="shared" si="79"/>
        <v>22136</v>
      </c>
      <c r="H320" s="45">
        <f t="shared" si="79"/>
        <v>25214</v>
      </c>
      <c r="I320" s="45">
        <f t="shared" si="79"/>
        <v>25214</v>
      </c>
    </row>
    <row r="321" spans="1:9" x14ac:dyDescent="0.25">
      <c r="B321" s="6"/>
      <c r="D321" s="7"/>
      <c r="E321" s="7"/>
      <c r="F321" s="7"/>
      <c r="G321" s="29"/>
      <c r="H321" s="29"/>
      <c r="I321" s="29"/>
    </row>
    <row r="322" spans="1:9" ht="15.75" thickBot="1" x14ac:dyDescent="0.3"/>
    <row r="323" spans="1:9" x14ac:dyDescent="0.25">
      <c r="A323" s="8"/>
      <c r="B323" s="8"/>
      <c r="C323" s="8"/>
      <c r="D323" s="8"/>
      <c r="E323" s="8"/>
      <c r="F323" s="8"/>
      <c r="G323" s="8"/>
      <c r="H323" s="8"/>
      <c r="I323" s="8"/>
    </row>
    <row r="325" spans="1:9" ht="21" x14ac:dyDescent="0.35">
      <c r="A325" s="16" t="s">
        <v>4</v>
      </c>
      <c r="B325" s="16"/>
      <c r="C325" s="154" t="str">
        <f>B10</f>
        <v>Noxon Rapids #4</v>
      </c>
      <c r="D325" s="155"/>
    </row>
    <row r="327" spans="1:9" ht="18.75" x14ac:dyDescent="0.3">
      <c r="A327" s="9" t="s">
        <v>27</v>
      </c>
      <c r="B327" s="9"/>
      <c r="D327" s="2">
        <v>2021</v>
      </c>
      <c r="E327" s="2">
        <f t="shared" ref="E327:I327" si="80">D327+1</f>
        <v>2022</v>
      </c>
      <c r="F327" s="2">
        <f t="shared" si="80"/>
        <v>2023</v>
      </c>
      <c r="G327" s="2">
        <f t="shared" si="80"/>
        <v>2024</v>
      </c>
      <c r="H327" s="2">
        <f t="shared" si="80"/>
        <v>2025</v>
      </c>
      <c r="I327" s="2">
        <f t="shared" si="80"/>
        <v>2026</v>
      </c>
    </row>
    <row r="328" spans="1:9" x14ac:dyDescent="0.25">
      <c r="B328" s="78" t="str">
        <f>"Total MWh Produced / Purchased from " &amp; C325</f>
        <v>Total MWh Produced / Purchased from Noxon Rapids #4</v>
      </c>
      <c r="C328" s="71"/>
      <c r="D328" s="3">
        <v>14994</v>
      </c>
      <c r="E328" s="4">
        <v>11742</v>
      </c>
      <c r="F328" s="5">
        <v>11778</v>
      </c>
      <c r="G328" s="5">
        <v>14627</v>
      </c>
      <c r="H328" s="5">
        <v>12533</v>
      </c>
      <c r="I328" s="5">
        <v>12533</v>
      </c>
    </row>
    <row r="329" spans="1:9" x14ac:dyDescent="0.25">
      <c r="B329" s="78" t="s">
        <v>32</v>
      </c>
      <c r="C329" s="71"/>
      <c r="D329" s="55">
        <v>1</v>
      </c>
      <c r="E329" s="56">
        <v>1</v>
      </c>
      <c r="F329" s="57">
        <v>1</v>
      </c>
      <c r="G329" s="57">
        <v>1</v>
      </c>
      <c r="H329" s="57">
        <v>1</v>
      </c>
      <c r="I329" s="57">
        <v>1</v>
      </c>
    </row>
    <row r="330" spans="1:9" x14ac:dyDescent="0.25">
      <c r="B330" s="78" t="s">
        <v>26</v>
      </c>
      <c r="C330" s="71"/>
      <c r="D330" s="48">
        <v>1</v>
      </c>
      <c r="E330" s="49">
        <v>1</v>
      </c>
      <c r="F330" s="50">
        <v>1</v>
      </c>
      <c r="G330" s="50">
        <v>1</v>
      </c>
      <c r="H330" s="50">
        <v>1</v>
      </c>
      <c r="I330" s="50">
        <v>1</v>
      </c>
    </row>
    <row r="331" spans="1:9" x14ac:dyDescent="0.25">
      <c r="B331" s="32" t="s">
        <v>28</v>
      </c>
      <c r="C331" s="6"/>
      <c r="D331" s="37">
        <f t="shared" ref="D331:I331" si="81" xml:space="preserve"> D328 * D329 * D330</f>
        <v>14994</v>
      </c>
      <c r="E331" s="37">
        <f t="shared" si="81"/>
        <v>11742</v>
      </c>
      <c r="F331" s="37">
        <f t="shared" si="81"/>
        <v>11778</v>
      </c>
      <c r="G331" s="37">
        <f t="shared" si="81"/>
        <v>14627</v>
      </c>
      <c r="H331" s="37">
        <f t="shared" si="81"/>
        <v>12533</v>
      </c>
      <c r="I331" s="37">
        <f t="shared" si="81"/>
        <v>12533</v>
      </c>
    </row>
    <row r="332" spans="1:9" x14ac:dyDescent="0.25">
      <c r="D332" s="36"/>
      <c r="E332" s="36"/>
      <c r="F332" s="36"/>
      <c r="G332" s="36"/>
      <c r="H332" s="36"/>
      <c r="I332" s="36"/>
    </row>
    <row r="333" spans="1:9" ht="18.75" x14ac:dyDescent="0.3">
      <c r="A333" s="9" t="s">
        <v>30</v>
      </c>
      <c r="D333" s="2">
        <f>D327</f>
        <v>2021</v>
      </c>
      <c r="E333" s="2">
        <f t="shared" ref="E333:I333" si="82">D333+1</f>
        <v>2022</v>
      </c>
      <c r="F333" s="2">
        <f t="shared" si="82"/>
        <v>2023</v>
      </c>
      <c r="G333" s="2">
        <f t="shared" si="82"/>
        <v>2024</v>
      </c>
      <c r="H333" s="2">
        <f t="shared" si="82"/>
        <v>2025</v>
      </c>
      <c r="I333" s="2">
        <f t="shared" si="82"/>
        <v>2026</v>
      </c>
    </row>
    <row r="334" spans="1:9" x14ac:dyDescent="0.25">
      <c r="B334" s="78" t="s">
        <v>19</v>
      </c>
      <c r="C334" s="71"/>
      <c r="D334" s="51">
        <f>IF( $E10 = "Eligible", D331 * 'Facility Detail'!$B$593, 0 )</f>
        <v>0</v>
      </c>
      <c r="E334" s="13">
        <f>IF( $E10 = "Eligible", E331 * 'Facility Detail'!$B$593, 0 )</f>
        <v>0</v>
      </c>
      <c r="F334" s="14">
        <f>IF( $E10 = "Eligible", F331 * 'Facility Detail'!$B$593, 0 )</f>
        <v>0</v>
      </c>
      <c r="G334" s="14">
        <f>IF( $E10 = "Eligible", G331 * 'Facility Detail'!$B$593, 0 )</f>
        <v>0</v>
      </c>
      <c r="H334" s="14">
        <f>IF( $E10 = "Eligible", H331 * 'Facility Detail'!$B$593, 0 )</f>
        <v>0</v>
      </c>
      <c r="I334" s="14">
        <f>IF( $E10 = "Eligible", I331 * 'Facility Detail'!$B$593, 0 )</f>
        <v>0</v>
      </c>
    </row>
    <row r="335" spans="1:9" x14ac:dyDescent="0.25">
      <c r="B335" s="78" t="s">
        <v>6</v>
      </c>
      <c r="C335" s="71"/>
      <c r="D335" s="52">
        <f t="shared" ref="D335:I335" si="83">IF( $F10 = "Eligible", D331, 0 )</f>
        <v>0</v>
      </c>
      <c r="E335" s="53">
        <f t="shared" si="83"/>
        <v>0</v>
      </c>
      <c r="F335" s="54">
        <f t="shared" si="83"/>
        <v>0</v>
      </c>
      <c r="G335" s="54">
        <f t="shared" si="83"/>
        <v>0</v>
      </c>
      <c r="H335" s="54">
        <f t="shared" si="83"/>
        <v>0</v>
      </c>
      <c r="I335" s="54">
        <f t="shared" si="83"/>
        <v>0</v>
      </c>
    </row>
    <row r="336" spans="1:9" x14ac:dyDescent="0.25">
      <c r="B336" s="32" t="s">
        <v>37</v>
      </c>
      <c r="C336" s="6"/>
      <c r="D336" s="39">
        <f t="shared" ref="D336:I336" si="84">SUM(D334:D335)</f>
        <v>0</v>
      </c>
      <c r="E336" s="40">
        <f t="shared" si="84"/>
        <v>0</v>
      </c>
      <c r="F336" s="40">
        <f t="shared" si="84"/>
        <v>0</v>
      </c>
      <c r="G336" s="40">
        <f t="shared" si="84"/>
        <v>0</v>
      </c>
      <c r="H336" s="40">
        <f t="shared" si="84"/>
        <v>0</v>
      </c>
      <c r="I336" s="40">
        <f t="shared" si="84"/>
        <v>0</v>
      </c>
    </row>
    <row r="337" spans="1:9" x14ac:dyDescent="0.25">
      <c r="D337" s="38"/>
      <c r="E337" s="30"/>
      <c r="F337" s="30"/>
      <c r="G337" s="30"/>
      <c r="H337" s="30"/>
      <c r="I337" s="30"/>
    </row>
    <row r="338" spans="1:9" ht="18.75" x14ac:dyDescent="0.3">
      <c r="A338" s="9" t="s">
        <v>35</v>
      </c>
      <c r="D338" s="2">
        <f>D327</f>
        <v>2021</v>
      </c>
      <c r="E338" s="2">
        <f t="shared" ref="E338:I338" si="85">D338+1</f>
        <v>2022</v>
      </c>
      <c r="F338" s="2">
        <f t="shared" si="85"/>
        <v>2023</v>
      </c>
      <c r="G338" s="2">
        <f t="shared" si="85"/>
        <v>2024</v>
      </c>
      <c r="H338" s="2">
        <f t="shared" si="85"/>
        <v>2025</v>
      </c>
      <c r="I338" s="2">
        <f t="shared" si="85"/>
        <v>2026</v>
      </c>
    </row>
    <row r="339" spans="1:9" x14ac:dyDescent="0.25">
      <c r="B339" s="78" t="s">
        <v>39</v>
      </c>
      <c r="C339" s="71"/>
      <c r="D339" s="84">
        <v>0</v>
      </c>
      <c r="E339" s="85">
        <v>0</v>
      </c>
      <c r="F339" s="86">
        <v>0</v>
      </c>
      <c r="G339" s="86">
        <v>0</v>
      </c>
      <c r="H339" s="86">
        <v>0</v>
      </c>
      <c r="I339" s="86">
        <v>0</v>
      </c>
    </row>
    <row r="340" spans="1:9" x14ac:dyDescent="0.25">
      <c r="B340" s="79" t="s">
        <v>29</v>
      </c>
      <c r="C340" s="80"/>
      <c r="D340" s="87">
        <v>0</v>
      </c>
      <c r="E340" s="88">
        <v>0</v>
      </c>
      <c r="F340" s="89">
        <v>0</v>
      </c>
      <c r="G340" s="89">
        <v>0</v>
      </c>
      <c r="H340" s="89">
        <v>0</v>
      </c>
      <c r="I340" s="89">
        <v>0</v>
      </c>
    </row>
    <row r="341" spans="1:9" x14ac:dyDescent="0.25">
      <c r="B341" s="79" t="s">
        <v>41</v>
      </c>
      <c r="C341"/>
      <c r="D341" s="58">
        <v>0</v>
      </c>
      <c r="E341" s="59">
        <v>0</v>
      </c>
      <c r="F341" s="60">
        <v>0</v>
      </c>
      <c r="G341" s="60">
        <v>0</v>
      </c>
      <c r="H341" s="60">
        <v>0</v>
      </c>
      <c r="I341" s="60">
        <v>0</v>
      </c>
    </row>
    <row r="342" spans="1:9" x14ac:dyDescent="0.25">
      <c r="B342" s="32" t="s">
        <v>42</v>
      </c>
      <c r="D342" s="7">
        <f t="shared" ref="D342:I342" si="86">SUM(D339:D341)</f>
        <v>0</v>
      </c>
      <c r="E342" s="7">
        <f t="shared" si="86"/>
        <v>0</v>
      </c>
      <c r="F342" s="7">
        <f t="shared" si="86"/>
        <v>0</v>
      </c>
      <c r="G342" s="7">
        <f t="shared" si="86"/>
        <v>0</v>
      </c>
      <c r="H342" s="7">
        <f t="shared" si="86"/>
        <v>0</v>
      </c>
      <c r="I342" s="7">
        <f t="shared" si="86"/>
        <v>0</v>
      </c>
    </row>
    <row r="343" spans="1:9" x14ac:dyDescent="0.25">
      <c r="B343" s="6"/>
      <c r="D343" s="7"/>
      <c r="E343" s="7"/>
      <c r="F343" s="7"/>
      <c r="G343" s="7"/>
      <c r="H343" s="7"/>
      <c r="I343" s="7"/>
    </row>
    <row r="344" spans="1:9" ht="18.75" x14ac:dyDescent="0.3">
      <c r="A344" s="9" t="s">
        <v>43</v>
      </c>
      <c r="D344" s="2">
        <f>D327</f>
        <v>2021</v>
      </c>
      <c r="E344" s="2">
        <f t="shared" ref="E344:I344" si="87">D344+1</f>
        <v>2022</v>
      </c>
      <c r="F344" s="2">
        <f t="shared" si="87"/>
        <v>2023</v>
      </c>
      <c r="G344" s="2">
        <f t="shared" si="87"/>
        <v>2024</v>
      </c>
      <c r="H344" s="2">
        <f t="shared" si="87"/>
        <v>2025</v>
      </c>
      <c r="I344" s="2">
        <f t="shared" si="87"/>
        <v>2026</v>
      </c>
    </row>
    <row r="345" spans="1:9" x14ac:dyDescent="0.25">
      <c r="B345" s="78" t="str">
        <f xml:space="preserve"> 'Facility Detail'!$B$761 &amp; " Surplus Applied to " &amp; ( 'Facility Detail'!$B$761 + 1 )</f>
        <v>2021 Surplus Applied to 2022</v>
      </c>
      <c r="C345" s="71"/>
      <c r="D345" s="3"/>
      <c r="E345" s="61">
        <f>D345</f>
        <v>0</v>
      </c>
      <c r="F345" s="124"/>
      <c r="G345" s="63"/>
      <c r="H345" s="63"/>
      <c r="I345" s="63"/>
    </row>
    <row r="346" spans="1:9" x14ac:dyDescent="0.25">
      <c r="B346" s="78" t="str">
        <f xml:space="preserve"> ( 'Facility Detail'!$B$761 + 1 ) &amp; " Surplus Applied to " &amp; ( 'Facility Detail'!$B$761 )</f>
        <v>2022 Surplus Applied to 2021</v>
      </c>
      <c r="C346" s="71"/>
      <c r="D346" s="125">
        <f>E346</f>
        <v>0</v>
      </c>
      <c r="E346" s="10"/>
      <c r="F346" s="75"/>
      <c r="G346" s="74"/>
      <c r="H346" s="74"/>
      <c r="I346" s="74"/>
    </row>
    <row r="347" spans="1:9" x14ac:dyDescent="0.25">
      <c r="B347" s="78" t="str">
        <f xml:space="preserve"> ( 'Facility Detail'!$B$761 + 1 ) &amp; " Surplus Applied to " &amp; ( 'Facility Detail'!$B$761 + 2 )</f>
        <v>2022 Surplus Applied to 2023</v>
      </c>
      <c r="C347" s="71"/>
      <c r="D347" s="64"/>
      <c r="E347" s="10"/>
      <c r="F347" s="70">
        <f>E347</f>
        <v>0</v>
      </c>
      <c r="G347" s="74"/>
      <c r="H347" s="74"/>
      <c r="I347" s="74"/>
    </row>
    <row r="348" spans="1:9" x14ac:dyDescent="0.25">
      <c r="B348" s="78" t="str">
        <f xml:space="preserve"> ( 'Facility Detail'!$B$761 + 2 ) &amp; " Surplus Applied to " &amp; ( 'Facility Detail'!$B$761 + 1 )</f>
        <v>2023 Surplus Applied to 2022</v>
      </c>
      <c r="C348" s="71"/>
      <c r="D348" s="64"/>
      <c r="E348" s="70">
        <f>F348</f>
        <v>0</v>
      </c>
      <c r="F348" s="10"/>
      <c r="G348" s="74"/>
      <c r="H348" s="74"/>
      <c r="I348" s="74"/>
    </row>
    <row r="349" spans="1:9" x14ac:dyDescent="0.25">
      <c r="B349" s="78" t="str">
        <f xml:space="preserve"> ( 'Facility Detail'!$B$761 + 2 ) &amp; " Surplus Applied to " &amp; ( 'Facility Detail'!$B$761 + 3 )</f>
        <v>2023 Surplus Applied to 2024</v>
      </c>
      <c r="D349" s="64"/>
      <c r="E349" s="75"/>
      <c r="F349" s="10"/>
      <c r="G349" s="126">
        <f>F349</f>
        <v>0</v>
      </c>
      <c r="H349" s="126">
        <f>G349</f>
        <v>0</v>
      </c>
      <c r="I349" s="126">
        <f>H349</f>
        <v>0</v>
      </c>
    </row>
    <row r="350" spans="1:9" x14ac:dyDescent="0.25">
      <c r="B350" s="78" t="str">
        <f xml:space="preserve"> ( 'Facility Detail'!$B$761 +3 ) &amp; " Surplus Applied to " &amp; ( 'Facility Detail'!$B$761 + 2 )</f>
        <v>2024 Surplus Applied to 2023</v>
      </c>
      <c r="D350" s="65"/>
      <c r="E350" s="76"/>
      <c r="F350" s="62">
        <f>G350</f>
        <v>0</v>
      </c>
      <c r="G350" s="127"/>
      <c r="H350" s="127"/>
      <c r="I350" s="127"/>
    </row>
    <row r="351" spans="1:9" x14ac:dyDescent="0.25">
      <c r="B351" s="78" t="str">
        <f xml:space="preserve"> ( 'Facility Detail'!$B$761 +3 ) &amp; " Surplus Applied to " &amp; ( 'Facility Detail'!$B$761 + 4 )</f>
        <v>2024 Surplus Applied to 2025</v>
      </c>
      <c r="D351" s="130"/>
      <c r="E351" s="130"/>
      <c r="F351" s="19"/>
      <c r="G351" s="131"/>
      <c r="H351" s="131"/>
      <c r="I351" s="131"/>
    </row>
    <row r="352" spans="1:9" x14ac:dyDescent="0.25">
      <c r="B352" s="32" t="s">
        <v>25</v>
      </c>
      <c r="D352" s="7">
        <f xml:space="preserve"> D346 - D345</f>
        <v>0</v>
      </c>
      <c r="E352" s="7">
        <f xml:space="preserve"> E345 + E348 - E347 - E346</f>
        <v>0</v>
      </c>
      <c r="F352" s="7">
        <f>F347+F350-F348-F349</f>
        <v>0</v>
      </c>
      <c r="G352" s="7">
        <f t="shared" ref="G352:I352" si="88">G349-G350</f>
        <v>0</v>
      </c>
      <c r="H352" s="7">
        <f t="shared" si="88"/>
        <v>0</v>
      </c>
      <c r="I352" s="7">
        <f t="shared" si="88"/>
        <v>0</v>
      </c>
    </row>
    <row r="353" spans="1:9" x14ac:dyDescent="0.25">
      <c r="B353" s="6"/>
      <c r="D353" s="7"/>
      <c r="E353" s="7"/>
      <c r="F353" s="7"/>
      <c r="G353" s="7"/>
      <c r="H353" s="7"/>
      <c r="I353" s="7"/>
    </row>
    <row r="354" spans="1:9" x14ac:dyDescent="0.25">
      <c r="B354" s="78" t="s">
        <v>21</v>
      </c>
      <c r="C354" s="71"/>
      <c r="D354" s="96"/>
      <c r="E354" s="97"/>
      <c r="F354" s="98"/>
      <c r="G354" s="98"/>
      <c r="H354" s="98"/>
      <c r="I354" s="98"/>
    </row>
    <row r="355" spans="1:9" x14ac:dyDescent="0.25">
      <c r="B355" s="6"/>
      <c r="D355" s="7"/>
      <c r="E355" s="7"/>
      <c r="F355" s="7"/>
      <c r="G355" s="7"/>
      <c r="H355" s="7"/>
      <c r="I355" s="7"/>
    </row>
    <row r="356" spans="1:9" ht="15.75" x14ac:dyDescent="0.25">
      <c r="A356" s="81" t="s">
        <v>33</v>
      </c>
      <c r="C356" s="71"/>
      <c r="D356" s="43">
        <f t="shared" ref="D356:I356" si="89" xml:space="preserve"> D331 + D336 - D342 + D352 + D354</f>
        <v>14994</v>
      </c>
      <c r="E356" s="44">
        <f t="shared" si="89"/>
        <v>11742</v>
      </c>
      <c r="F356" s="45">
        <f t="shared" si="89"/>
        <v>11778</v>
      </c>
      <c r="G356" s="45">
        <f t="shared" si="89"/>
        <v>14627</v>
      </c>
      <c r="H356" s="45">
        <f t="shared" si="89"/>
        <v>12533</v>
      </c>
      <c r="I356" s="45">
        <f t="shared" si="89"/>
        <v>12533</v>
      </c>
    </row>
    <row r="357" spans="1:9" x14ac:dyDescent="0.25">
      <c r="B357" s="6"/>
      <c r="D357" s="7"/>
      <c r="E357" s="7"/>
      <c r="F357" s="7"/>
      <c r="G357" s="29"/>
      <c r="H357" s="29"/>
      <c r="I357" s="29"/>
    </row>
    <row r="358" spans="1:9" ht="15.75" thickBot="1" x14ac:dyDescent="0.3"/>
    <row r="359" spans="1:9" x14ac:dyDescent="0.25">
      <c r="A359" s="8"/>
      <c r="B359" s="8"/>
      <c r="C359" s="8"/>
      <c r="D359" s="8"/>
      <c r="E359" s="8"/>
      <c r="F359" s="8"/>
      <c r="G359" s="8"/>
      <c r="H359" s="8"/>
      <c r="I359" s="8"/>
    </row>
    <row r="361" spans="1:9" ht="21" x14ac:dyDescent="0.35">
      <c r="A361" s="16" t="s">
        <v>4</v>
      </c>
      <c r="B361" s="16"/>
      <c r="C361" s="154" t="str">
        <f>B11</f>
        <v>Grant PUD Fish Bypasses</v>
      </c>
      <c r="D361" s="155"/>
    </row>
    <row r="363" spans="1:9" ht="18.75" x14ac:dyDescent="0.3">
      <c r="A363" s="9" t="s">
        <v>85</v>
      </c>
      <c r="B363" s="9"/>
      <c r="D363" s="2">
        <v>2021</v>
      </c>
      <c r="E363" s="2">
        <f t="shared" ref="E363:I363" si="90">D363+1</f>
        <v>2022</v>
      </c>
      <c r="F363" s="2">
        <f t="shared" si="90"/>
        <v>2023</v>
      </c>
      <c r="G363" s="2">
        <f t="shared" si="90"/>
        <v>2024</v>
      </c>
      <c r="H363" s="2">
        <f t="shared" si="90"/>
        <v>2025</v>
      </c>
      <c r="I363" s="2">
        <f t="shared" si="90"/>
        <v>2026</v>
      </c>
    </row>
    <row r="364" spans="1:9" x14ac:dyDescent="0.25">
      <c r="B364" s="78" t="str">
        <f>"Total MWh Produced / Purchased from " &amp; C361</f>
        <v>Total MWh Produced / Purchased from Grant PUD Fish Bypasses</v>
      </c>
      <c r="C364" s="71"/>
      <c r="D364" s="3">
        <v>0</v>
      </c>
      <c r="E364" s="4">
        <v>0</v>
      </c>
      <c r="F364" s="5">
        <v>0</v>
      </c>
      <c r="G364" s="5">
        <v>0</v>
      </c>
      <c r="H364" s="5">
        <v>0</v>
      </c>
      <c r="I364" s="5">
        <v>0</v>
      </c>
    </row>
    <row r="365" spans="1:9" x14ac:dyDescent="0.25">
      <c r="B365" s="78" t="s">
        <v>32</v>
      </c>
      <c r="C365" s="71"/>
      <c r="D365" s="55">
        <v>1</v>
      </c>
      <c r="E365" s="56">
        <v>1</v>
      </c>
      <c r="F365" s="57">
        <v>1</v>
      </c>
      <c r="G365" s="57">
        <v>1</v>
      </c>
      <c r="H365" s="57">
        <v>1</v>
      </c>
      <c r="I365" s="57">
        <v>1</v>
      </c>
    </row>
    <row r="366" spans="1:9" x14ac:dyDescent="0.25">
      <c r="B366" s="78" t="s">
        <v>26</v>
      </c>
      <c r="C366" s="71"/>
      <c r="D366" s="48">
        <v>1</v>
      </c>
      <c r="E366" s="49">
        <v>1</v>
      </c>
      <c r="F366" s="50">
        <v>1</v>
      </c>
      <c r="G366" s="50">
        <v>1</v>
      </c>
      <c r="H366" s="50">
        <v>1</v>
      </c>
      <c r="I366" s="50">
        <v>1</v>
      </c>
    </row>
    <row r="367" spans="1:9" x14ac:dyDescent="0.25">
      <c r="B367" s="32" t="s">
        <v>28</v>
      </c>
      <c r="C367" s="6"/>
      <c r="D367" s="37">
        <f t="shared" ref="D367:I367" si="91" xml:space="preserve"> D364 * D365 * D366</f>
        <v>0</v>
      </c>
      <c r="E367" s="37">
        <f t="shared" si="91"/>
        <v>0</v>
      </c>
      <c r="F367" s="37">
        <f t="shared" si="91"/>
        <v>0</v>
      </c>
      <c r="G367" s="37">
        <f t="shared" si="91"/>
        <v>0</v>
      </c>
      <c r="H367" s="37">
        <f t="shared" si="91"/>
        <v>0</v>
      </c>
      <c r="I367" s="37">
        <f t="shared" si="91"/>
        <v>0</v>
      </c>
    </row>
    <row r="368" spans="1:9" x14ac:dyDescent="0.25">
      <c r="D368" s="36"/>
      <c r="E368" s="36"/>
      <c r="F368" s="36"/>
      <c r="G368" s="36"/>
      <c r="H368" s="36"/>
      <c r="I368" s="36"/>
    </row>
    <row r="369" spans="1:9" ht="18.75" x14ac:dyDescent="0.3">
      <c r="A369" s="9" t="s">
        <v>30</v>
      </c>
      <c r="D369" s="2">
        <f>D363</f>
        <v>2021</v>
      </c>
      <c r="E369" s="2">
        <f t="shared" ref="E369:I369" si="92">D369+1</f>
        <v>2022</v>
      </c>
      <c r="F369" s="2">
        <f t="shared" si="92"/>
        <v>2023</v>
      </c>
      <c r="G369" s="2">
        <f t="shared" si="92"/>
        <v>2024</v>
      </c>
      <c r="H369" s="2">
        <f t="shared" si="92"/>
        <v>2025</v>
      </c>
      <c r="I369" s="2">
        <f t="shared" si="92"/>
        <v>2026</v>
      </c>
    </row>
    <row r="370" spans="1:9" x14ac:dyDescent="0.25">
      <c r="B370" s="78" t="s">
        <v>19</v>
      </c>
      <c r="C370" s="71"/>
      <c r="D370" s="51">
        <f>IF( $E11 = "Eligible", D367 * 'Facility Detail'!$B$593, 0 )</f>
        <v>0</v>
      </c>
      <c r="E370" s="13">
        <f>IF( $E11 = "Eligible", E367 * 'Facility Detail'!$B$593, 0 )</f>
        <v>0</v>
      </c>
      <c r="F370" s="14">
        <f>IF( $E11 = "Eligible", F367 * 'Facility Detail'!$B$593, 0 )</f>
        <v>0</v>
      </c>
      <c r="G370" s="14">
        <f>IF( $E11 = "Eligible", G367 * 'Facility Detail'!$B$593, 0 )</f>
        <v>0</v>
      </c>
      <c r="H370" s="14">
        <f>IF( $E11 = "Eligible", H367 * 'Facility Detail'!$B$593, 0 )</f>
        <v>0</v>
      </c>
      <c r="I370" s="14">
        <f>IF( $E11 = "Eligible", I367 * 'Facility Detail'!$B$593, 0 )</f>
        <v>0</v>
      </c>
    </row>
    <row r="371" spans="1:9" x14ac:dyDescent="0.25">
      <c r="B371" s="78" t="s">
        <v>6</v>
      </c>
      <c r="C371" s="71"/>
      <c r="D371" s="52">
        <f t="shared" ref="D371:I371" si="93">IF( $F11 = "Eligible", D367, 0 )</f>
        <v>0</v>
      </c>
      <c r="E371" s="53">
        <f t="shared" si="93"/>
        <v>0</v>
      </c>
      <c r="F371" s="54">
        <f t="shared" si="93"/>
        <v>0</v>
      </c>
      <c r="G371" s="54">
        <f t="shared" si="93"/>
        <v>0</v>
      </c>
      <c r="H371" s="54">
        <f t="shared" si="93"/>
        <v>0</v>
      </c>
      <c r="I371" s="54">
        <f t="shared" si="93"/>
        <v>0</v>
      </c>
    </row>
    <row r="372" spans="1:9" x14ac:dyDescent="0.25">
      <c r="B372" s="32" t="s">
        <v>37</v>
      </c>
      <c r="C372" s="6"/>
      <c r="D372" s="39">
        <f t="shared" ref="D372:I372" si="94">SUM(D370:D371)</f>
        <v>0</v>
      </c>
      <c r="E372" s="40">
        <f t="shared" si="94"/>
        <v>0</v>
      </c>
      <c r="F372" s="40">
        <f t="shared" si="94"/>
        <v>0</v>
      </c>
      <c r="G372" s="40">
        <f t="shared" si="94"/>
        <v>0</v>
      </c>
      <c r="H372" s="40">
        <f t="shared" si="94"/>
        <v>0</v>
      </c>
      <c r="I372" s="40">
        <f t="shared" si="94"/>
        <v>0</v>
      </c>
    </row>
    <row r="373" spans="1:9" x14ac:dyDescent="0.25">
      <c r="D373" s="38"/>
      <c r="E373" s="30"/>
      <c r="F373" s="30"/>
      <c r="G373" s="30"/>
      <c r="H373" s="30"/>
      <c r="I373" s="30"/>
    </row>
    <row r="374" spans="1:9" ht="18.75" x14ac:dyDescent="0.3">
      <c r="A374" s="9" t="s">
        <v>35</v>
      </c>
      <c r="D374" s="2">
        <f>D363</f>
        <v>2021</v>
      </c>
      <c r="E374" s="2">
        <f t="shared" ref="E374:I374" si="95">D374+1</f>
        <v>2022</v>
      </c>
      <c r="F374" s="2">
        <f t="shared" si="95"/>
        <v>2023</v>
      </c>
      <c r="G374" s="2">
        <f t="shared" si="95"/>
        <v>2024</v>
      </c>
      <c r="H374" s="2">
        <f t="shared" si="95"/>
        <v>2025</v>
      </c>
      <c r="I374" s="2">
        <f t="shared" si="95"/>
        <v>2026</v>
      </c>
    </row>
    <row r="375" spans="1:9" x14ac:dyDescent="0.25">
      <c r="B375" s="78" t="s">
        <v>39</v>
      </c>
      <c r="C375" s="71"/>
      <c r="D375" s="84"/>
      <c r="E375" s="85"/>
      <c r="F375" s="86"/>
      <c r="G375" s="86"/>
      <c r="H375" s="86"/>
      <c r="I375" s="86"/>
    </row>
    <row r="376" spans="1:9" x14ac:dyDescent="0.25">
      <c r="B376" s="79" t="s">
        <v>29</v>
      </c>
      <c r="C376" s="80"/>
      <c r="D376" s="87"/>
      <c r="E376" s="88"/>
      <c r="F376" s="89"/>
      <c r="G376" s="89"/>
      <c r="H376" s="89"/>
      <c r="I376" s="89"/>
    </row>
    <row r="377" spans="1:9" x14ac:dyDescent="0.25">
      <c r="B377" s="79" t="s">
        <v>41</v>
      </c>
      <c r="C377"/>
      <c r="D377" s="58"/>
      <c r="E377" s="59"/>
      <c r="F377" s="60"/>
      <c r="G377" s="60"/>
      <c r="H377" s="60"/>
      <c r="I377" s="60"/>
    </row>
    <row r="378" spans="1:9" x14ac:dyDescent="0.25">
      <c r="B378" s="32" t="s">
        <v>42</v>
      </c>
      <c r="D378" s="7">
        <f t="shared" ref="D378:I378" si="96">SUM(D375:D377)</f>
        <v>0</v>
      </c>
      <c r="E378" s="7">
        <f t="shared" si="96"/>
        <v>0</v>
      </c>
      <c r="F378" s="7">
        <f t="shared" si="96"/>
        <v>0</v>
      </c>
      <c r="G378" s="7">
        <f t="shared" si="96"/>
        <v>0</v>
      </c>
      <c r="H378" s="7">
        <f t="shared" si="96"/>
        <v>0</v>
      </c>
      <c r="I378" s="7">
        <f t="shared" si="96"/>
        <v>0</v>
      </c>
    </row>
    <row r="379" spans="1:9" x14ac:dyDescent="0.25">
      <c r="B379" s="6"/>
      <c r="D379" s="7"/>
      <c r="E379" s="7"/>
      <c r="F379" s="7"/>
      <c r="G379" s="7"/>
      <c r="H379" s="7"/>
      <c r="I379" s="7"/>
    </row>
    <row r="380" spans="1:9" ht="18.75" x14ac:dyDescent="0.3">
      <c r="A380" s="9" t="s">
        <v>43</v>
      </c>
      <c r="D380" s="2">
        <f>D363</f>
        <v>2021</v>
      </c>
      <c r="E380" s="2">
        <f t="shared" ref="E380:I380" si="97">D380+1</f>
        <v>2022</v>
      </c>
      <c r="F380" s="2">
        <f t="shared" si="97"/>
        <v>2023</v>
      </c>
      <c r="G380" s="2">
        <f t="shared" si="97"/>
        <v>2024</v>
      </c>
      <c r="H380" s="2">
        <f t="shared" si="97"/>
        <v>2025</v>
      </c>
      <c r="I380" s="2">
        <f t="shared" si="97"/>
        <v>2026</v>
      </c>
    </row>
    <row r="381" spans="1:9" x14ac:dyDescent="0.25">
      <c r="B381" s="78" t="str">
        <f xml:space="preserve"> 'Facility Detail'!$B$761 &amp; " Surplus Applied to " &amp; ( 'Facility Detail'!$B$761 + 1 )</f>
        <v>2021 Surplus Applied to 2022</v>
      </c>
      <c r="C381" s="71"/>
      <c r="D381" s="3"/>
      <c r="E381" s="61">
        <f>D381</f>
        <v>0</v>
      </c>
      <c r="F381" s="124"/>
      <c r="G381" s="63"/>
      <c r="H381" s="63"/>
      <c r="I381" s="63"/>
    </row>
    <row r="382" spans="1:9" x14ac:dyDescent="0.25">
      <c r="B382" s="78" t="str">
        <f xml:space="preserve"> ( 'Facility Detail'!$B$761 + 1 ) &amp; " Surplus Applied to " &amp; ( 'Facility Detail'!$B$761 )</f>
        <v>2022 Surplus Applied to 2021</v>
      </c>
      <c r="C382" s="71"/>
      <c r="D382" s="125">
        <f>E382</f>
        <v>0</v>
      </c>
      <c r="E382" s="10"/>
      <c r="F382" s="75"/>
      <c r="G382" s="74"/>
      <c r="H382" s="74"/>
      <c r="I382" s="74"/>
    </row>
    <row r="383" spans="1:9" x14ac:dyDescent="0.25">
      <c r="B383" s="78" t="str">
        <f xml:space="preserve"> ( 'Facility Detail'!$B$761 + 1 ) &amp; " Surplus Applied to " &amp; ( 'Facility Detail'!$B$761 + 2 )</f>
        <v>2022 Surplus Applied to 2023</v>
      </c>
      <c r="C383" s="71"/>
      <c r="D383" s="64"/>
      <c r="E383" s="10"/>
      <c r="F383" s="70">
        <f>E383</f>
        <v>0</v>
      </c>
      <c r="G383" s="74"/>
      <c r="H383" s="74"/>
      <c r="I383" s="74"/>
    </row>
    <row r="384" spans="1:9" x14ac:dyDescent="0.25">
      <c r="B384" s="78" t="str">
        <f xml:space="preserve"> ( 'Facility Detail'!$B$761 + 2 ) &amp; " Surplus Applied to " &amp; ( 'Facility Detail'!$B$761 + 1 )</f>
        <v>2023 Surplus Applied to 2022</v>
      </c>
      <c r="C384" s="71"/>
      <c r="D384" s="64"/>
      <c r="E384" s="70">
        <f>F384</f>
        <v>0</v>
      </c>
      <c r="F384" s="10"/>
      <c r="G384" s="74"/>
      <c r="H384" s="74"/>
      <c r="I384" s="74"/>
    </row>
    <row r="385" spans="1:9" x14ac:dyDescent="0.25">
      <c r="B385" s="78" t="str">
        <f xml:space="preserve"> ( 'Facility Detail'!$B$761 + 2 ) &amp; " Surplus Applied to " &amp; ( 'Facility Detail'!$B$761 + 3 )</f>
        <v>2023 Surplus Applied to 2024</v>
      </c>
      <c r="D385" s="64"/>
      <c r="E385" s="75"/>
      <c r="F385" s="10"/>
      <c r="G385" s="126">
        <f>F385</f>
        <v>0</v>
      </c>
      <c r="H385" s="126">
        <f>G385</f>
        <v>0</v>
      </c>
      <c r="I385" s="126">
        <f>H385</f>
        <v>0</v>
      </c>
    </row>
    <row r="386" spans="1:9" x14ac:dyDescent="0.25">
      <c r="B386" s="78" t="str">
        <f xml:space="preserve"> ( 'Facility Detail'!$B$761 +3 ) &amp; " Surplus Applied to " &amp; ( 'Facility Detail'!$B$761 + 2 )</f>
        <v>2024 Surplus Applied to 2023</v>
      </c>
      <c r="D386" s="65"/>
      <c r="E386" s="76"/>
      <c r="F386" s="62">
        <f>G386</f>
        <v>0</v>
      </c>
      <c r="G386" s="127"/>
      <c r="H386" s="127"/>
      <c r="I386" s="127"/>
    </row>
    <row r="387" spans="1:9" x14ac:dyDescent="0.25">
      <c r="B387" s="78" t="str">
        <f xml:space="preserve"> ( 'Facility Detail'!$B$761 +3 ) &amp; " Surplus Applied to " &amp; ( 'Facility Detail'!$B$761 + 4 )</f>
        <v>2024 Surplus Applied to 2025</v>
      </c>
      <c r="D387" s="130"/>
      <c r="E387" s="130"/>
      <c r="F387" s="19"/>
      <c r="G387" s="131"/>
      <c r="H387" s="131"/>
      <c r="I387" s="131"/>
    </row>
    <row r="388" spans="1:9" x14ac:dyDescent="0.25">
      <c r="B388" s="32" t="s">
        <v>25</v>
      </c>
      <c r="D388" s="7">
        <f xml:space="preserve"> D382 - D381</f>
        <v>0</v>
      </c>
      <c r="E388" s="7">
        <f xml:space="preserve"> E381 + E384 - E383 - E382</f>
        <v>0</v>
      </c>
      <c r="F388" s="7">
        <f>F383+F386-F384-F385</f>
        <v>0</v>
      </c>
      <c r="G388" s="7">
        <f t="shared" ref="G388:I388" si="98">G385-G386</f>
        <v>0</v>
      </c>
      <c r="H388" s="7">
        <f t="shared" si="98"/>
        <v>0</v>
      </c>
      <c r="I388" s="7">
        <f t="shared" si="98"/>
        <v>0</v>
      </c>
    </row>
    <row r="389" spans="1:9" x14ac:dyDescent="0.25">
      <c r="B389" s="6"/>
      <c r="D389" s="7"/>
      <c r="E389" s="7"/>
      <c r="F389" s="7"/>
      <c r="G389" s="7"/>
      <c r="H389" s="7"/>
      <c r="I389" s="7"/>
    </row>
    <row r="390" spans="1:9" x14ac:dyDescent="0.25">
      <c r="B390" s="78" t="s">
        <v>21</v>
      </c>
      <c r="C390" s="71"/>
      <c r="D390" s="96"/>
      <c r="E390" s="97"/>
      <c r="F390" s="98"/>
      <c r="G390" s="98"/>
      <c r="H390" s="98"/>
      <c r="I390" s="98"/>
    </row>
    <row r="391" spans="1:9" x14ac:dyDescent="0.25">
      <c r="B391" s="6"/>
      <c r="D391" s="7"/>
      <c r="E391" s="7"/>
      <c r="F391" s="7"/>
      <c r="G391" s="7"/>
      <c r="H391" s="7"/>
      <c r="I391" s="7"/>
    </row>
    <row r="392" spans="1:9" ht="15.75" x14ac:dyDescent="0.25">
      <c r="A392" s="81" t="s">
        <v>33</v>
      </c>
      <c r="C392" s="71"/>
      <c r="D392" s="43">
        <f t="shared" ref="D392:I392" si="99" xml:space="preserve"> D367 + D372 - D378 + D388 + D390</f>
        <v>0</v>
      </c>
      <c r="E392" s="44">
        <f t="shared" si="99"/>
        <v>0</v>
      </c>
      <c r="F392" s="45">
        <f t="shared" si="99"/>
        <v>0</v>
      </c>
      <c r="G392" s="45">
        <f t="shared" si="99"/>
        <v>0</v>
      </c>
      <c r="H392" s="45">
        <f t="shared" si="99"/>
        <v>0</v>
      </c>
      <c r="I392" s="45">
        <f t="shared" si="99"/>
        <v>0</v>
      </c>
    </row>
    <row r="393" spans="1:9" x14ac:dyDescent="0.25">
      <c r="B393" s="6"/>
      <c r="D393" s="7"/>
      <c r="E393" s="7"/>
      <c r="F393" s="7"/>
      <c r="G393" s="29"/>
      <c r="H393" s="29"/>
      <c r="I393" s="29"/>
    </row>
    <row r="394" spans="1:9" ht="79.5" customHeight="1" thickBot="1" x14ac:dyDescent="0.3">
      <c r="A394" s="165" t="s">
        <v>124</v>
      </c>
      <c r="B394" s="165"/>
      <c r="C394" s="165"/>
      <c r="D394" s="165"/>
      <c r="E394" s="165"/>
      <c r="F394" s="165"/>
    </row>
    <row r="395" spans="1:9" x14ac:dyDescent="0.25">
      <c r="A395" s="8"/>
      <c r="B395" s="8"/>
      <c r="C395" s="8"/>
      <c r="D395" s="8"/>
      <c r="E395" s="8"/>
      <c r="F395" s="8"/>
      <c r="G395" s="8"/>
      <c r="H395" s="8"/>
      <c r="I395" s="8"/>
    </row>
    <row r="397" spans="1:9" ht="21" x14ac:dyDescent="0.35">
      <c r="A397" s="16" t="s">
        <v>4</v>
      </c>
      <c r="B397" s="16"/>
      <c r="C397" s="154" t="str">
        <f>B12</f>
        <v>Palouse Wind</v>
      </c>
      <c r="D397" s="155"/>
    </row>
    <row r="399" spans="1:9" ht="18.75" x14ac:dyDescent="0.3">
      <c r="A399" s="9" t="s">
        <v>27</v>
      </c>
      <c r="B399" s="9"/>
      <c r="D399" s="2">
        <v>2021</v>
      </c>
      <c r="E399" s="2">
        <f t="shared" ref="E399:I399" si="100">D399+1</f>
        <v>2022</v>
      </c>
      <c r="F399" s="2">
        <f t="shared" si="100"/>
        <v>2023</v>
      </c>
      <c r="G399" s="2">
        <f t="shared" si="100"/>
        <v>2024</v>
      </c>
      <c r="H399" s="2">
        <f t="shared" si="100"/>
        <v>2025</v>
      </c>
      <c r="I399" s="2">
        <f t="shared" si="100"/>
        <v>2026</v>
      </c>
    </row>
    <row r="400" spans="1:9" x14ac:dyDescent="0.25">
      <c r="B400" s="78" t="str">
        <f>"Total MWh Produced / Purchased from " &amp; C397</f>
        <v>Total MWh Produced / Purchased from Palouse Wind</v>
      </c>
      <c r="C400" s="71"/>
      <c r="D400" s="3">
        <v>360783</v>
      </c>
      <c r="E400" s="4">
        <v>315410</v>
      </c>
      <c r="F400" s="5">
        <v>294887</v>
      </c>
      <c r="G400" s="5">
        <v>325878</v>
      </c>
      <c r="H400" s="5">
        <v>294397</v>
      </c>
      <c r="I400" s="5">
        <v>294397</v>
      </c>
    </row>
    <row r="401" spans="1:9" x14ac:dyDescent="0.25">
      <c r="B401" s="78" t="s">
        <v>32</v>
      </c>
      <c r="C401" s="71"/>
      <c r="D401" s="55">
        <v>1</v>
      </c>
      <c r="E401" s="56">
        <v>1</v>
      </c>
      <c r="F401" s="57">
        <v>1</v>
      </c>
      <c r="G401" s="57">
        <v>1</v>
      </c>
      <c r="H401" s="57">
        <v>1</v>
      </c>
      <c r="I401" s="57">
        <v>1</v>
      </c>
    </row>
    <row r="402" spans="1:9" x14ac:dyDescent="0.25">
      <c r="B402" s="78" t="s">
        <v>26</v>
      </c>
      <c r="C402" s="71"/>
      <c r="D402" s="48">
        <v>1</v>
      </c>
      <c r="E402" s="49">
        <v>1</v>
      </c>
      <c r="F402" s="50">
        <v>1</v>
      </c>
      <c r="G402" s="50">
        <v>1</v>
      </c>
      <c r="H402" s="50">
        <v>1</v>
      </c>
      <c r="I402" s="50">
        <v>1</v>
      </c>
    </row>
    <row r="403" spans="1:9" x14ac:dyDescent="0.25">
      <c r="B403" s="32" t="s">
        <v>28</v>
      </c>
      <c r="C403" s="6"/>
      <c r="D403" s="37">
        <f t="shared" ref="D403:I403" si="101" xml:space="preserve"> D400 * D401 * D402</f>
        <v>360783</v>
      </c>
      <c r="E403" s="37">
        <f t="shared" si="101"/>
        <v>315410</v>
      </c>
      <c r="F403" s="37">
        <f t="shared" si="101"/>
        <v>294887</v>
      </c>
      <c r="G403" s="37">
        <f t="shared" si="101"/>
        <v>325878</v>
      </c>
      <c r="H403" s="37">
        <f t="shared" si="101"/>
        <v>294397</v>
      </c>
      <c r="I403" s="37">
        <f t="shared" si="101"/>
        <v>294397</v>
      </c>
    </row>
    <row r="404" spans="1:9" x14ac:dyDescent="0.25">
      <c r="D404" s="36"/>
      <c r="E404" s="36"/>
      <c r="F404" s="36"/>
      <c r="G404" s="36"/>
      <c r="H404" s="36"/>
      <c r="I404" s="36"/>
    </row>
    <row r="405" spans="1:9" ht="18.75" x14ac:dyDescent="0.3">
      <c r="A405" s="9" t="s">
        <v>30</v>
      </c>
      <c r="D405" s="2">
        <f>D399</f>
        <v>2021</v>
      </c>
      <c r="E405" s="2">
        <f t="shared" ref="E405:I405" si="102">D405+1</f>
        <v>2022</v>
      </c>
      <c r="F405" s="2">
        <f t="shared" si="102"/>
        <v>2023</v>
      </c>
      <c r="G405" s="2">
        <f t="shared" si="102"/>
        <v>2024</v>
      </c>
      <c r="H405" s="2">
        <f t="shared" si="102"/>
        <v>2025</v>
      </c>
      <c r="I405" s="2">
        <f t="shared" si="102"/>
        <v>2026</v>
      </c>
    </row>
    <row r="406" spans="1:9" x14ac:dyDescent="0.25">
      <c r="B406" s="78" t="s">
        <v>19</v>
      </c>
      <c r="C406" s="71"/>
      <c r="D406" s="136">
        <f>ROUND(IF( $E12 = "Eligible", D403 * 'Facility Detail'!$B$758, 0 ),0)</f>
        <v>72157</v>
      </c>
      <c r="E406" s="136">
        <f>ROUND(IF( $E12 = "Eligible", E403 * 'Facility Detail'!$B$758, 0 ),0)</f>
        <v>63082</v>
      </c>
      <c r="F406" s="136">
        <f>ROUND(IF( $E12 = "Eligible", F403 * 'Facility Detail'!$B$758, 0 ),0)</f>
        <v>58977</v>
      </c>
      <c r="G406" s="136">
        <f>ROUND(IF( $E12 = "Eligible", G403 * 'Facility Detail'!$B$758, 0 ),0)</f>
        <v>65176</v>
      </c>
      <c r="H406" s="136">
        <f>ROUND(IF( $E12 = "Eligible", H403 * 'Facility Detail'!$B$758, 0 ),0)</f>
        <v>58879</v>
      </c>
      <c r="I406" s="136">
        <f>ROUND(IF( $E12 = "Eligible", I403 * 'Facility Detail'!$B$758, 0 ),0)</f>
        <v>58879</v>
      </c>
    </row>
    <row r="407" spans="1:9" x14ac:dyDescent="0.25">
      <c r="B407" s="78" t="s">
        <v>6</v>
      </c>
      <c r="C407" s="71"/>
      <c r="D407" s="52">
        <f t="shared" ref="D407:I407" si="103">IF( $F12 = "Eligible", D403, 0 )</f>
        <v>0</v>
      </c>
      <c r="E407" s="53">
        <f t="shared" si="103"/>
        <v>0</v>
      </c>
      <c r="F407" s="54">
        <f t="shared" si="103"/>
        <v>0</v>
      </c>
      <c r="G407" s="54">
        <f t="shared" si="103"/>
        <v>0</v>
      </c>
      <c r="H407" s="54">
        <f t="shared" si="103"/>
        <v>0</v>
      </c>
      <c r="I407" s="54">
        <f t="shared" si="103"/>
        <v>0</v>
      </c>
    </row>
    <row r="408" spans="1:9" x14ac:dyDescent="0.25">
      <c r="B408" s="32" t="s">
        <v>37</v>
      </c>
      <c r="C408" s="6"/>
      <c r="D408" s="39">
        <f t="shared" ref="D408:I408" si="104">SUM(D406:D407)</f>
        <v>72157</v>
      </c>
      <c r="E408" s="40">
        <f t="shared" si="104"/>
        <v>63082</v>
      </c>
      <c r="F408" s="40">
        <f t="shared" si="104"/>
        <v>58977</v>
      </c>
      <c r="G408" s="40">
        <f t="shared" si="104"/>
        <v>65176</v>
      </c>
      <c r="H408" s="40">
        <f t="shared" si="104"/>
        <v>58879</v>
      </c>
      <c r="I408" s="40">
        <f t="shared" si="104"/>
        <v>58879</v>
      </c>
    </row>
    <row r="409" spans="1:9" x14ac:dyDescent="0.25">
      <c r="D409" s="38"/>
      <c r="E409" s="30"/>
      <c r="F409" s="30"/>
      <c r="G409" s="30"/>
      <c r="H409" s="30"/>
      <c r="I409" s="30"/>
    </row>
    <row r="410" spans="1:9" ht="18.75" x14ac:dyDescent="0.3">
      <c r="A410" s="9" t="s">
        <v>35</v>
      </c>
      <c r="D410" s="2">
        <f>D399</f>
        <v>2021</v>
      </c>
      <c r="E410" s="2">
        <f t="shared" ref="E410:I410" si="105">D410+1</f>
        <v>2022</v>
      </c>
      <c r="F410" s="2">
        <f t="shared" si="105"/>
        <v>2023</v>
      </c>
      <c r="G410" s="2">
        <f t="shared" si="105"/>
        <v>2024</v>
      </c>
      <c r="H410" s="2">
        <f t="shared" si="105"/>
        <v>2025</v>
      </c>
      <c r="I410" s="2">
        <f t="shared" si="105"/>
        <v>2026</v>
      </c>
    </row>
    <row r="411" spans="1:9" x14ac:dyDescent="0.25">
      <c r="B411" s="78" t="s">
        <v>119</v>
      </c>
      <c r="C411" s="71"/>
      <c r="D411" s="84">
        <v>-28603</v>
      </c>
      <c r="E411" s="85">
        <v>-5451</v>
      </c>
      <c r="F411" s="86">
        <v>0</v>
      </c>
      <c r="G411" s="86">
        <v>0</v>
      </c>
      <c r="H411" s="86">
        <v>0</v>
      </c>
      <c r="I411" s="86"/>
    </row>
    <row r="412" spans="1:9" x14ac:dyDescent="0.25">
      <c r="B412" s="79" t="s">
        <v>29</v>
      </c>
      <c r="C412" s="80"/>
      <c r="D412" s="87">
        <v>0</v>
      </c>
      <c r="E412" s="88">
        <v>0</v>
      </c>
      <c r="F412" s="89">
        <v>0</v>
      </c>
      <c r="G412" s="89">
        <v>0</v>
      </c>
      <c r="H412" s="89">
        <v>0</v>
      </c>
      <c r="I412" s="89">
        <v>0</v>
      </c>
    </row>
    <row r="413" spans="1:9" x14ac:dyDescent="0.25">
      <c r="B413" s="79" t="s">
        <v>41</v>
      </c>
      <c r="C413"/>
      <c r="D413" s="58">
        <v>-5721</v>
      </c>
      <c r="E413" s="59">
        <v>-1090</v>
      </c>
      <c r="F413" s="60">
        <f>0.2*F411</f>
        <v>0</v>
      </c>
      <c r="G413" s="60">
        <f>ROUND(0.2*G411,0)</f>
        <v>0</v>
      </c>
      <c r="H413" s="60">
        <f t="shared" ref="H413:I413" si="106">ROUND(0.2*H411,0)</f>
        <v>0</v>
      </c>
      <c r="I413" s="60">
        <f t="shared" si="106"/>
        <v>0</v>
      </c>
    </row>
    <row r="414" spans="1:9" x14ac:dyDescent="0.25">
      <c r="B414" s="32" t="s">
        <v>42</v>
      </c>
      <c r="D414" s="7">
        <f t="shared" ref="D414:I414" si="107">SUM(D411:D413)</f>
        <v>-34324</v>
      </c>
      <c r="E414" s="7">
        <f t="shared" si="107"/>
        <v>-6541</v>
      </c>
      <c r="F414" s="7">
        <f t="shared" si="107"/>
        <v>0</v>
      </c>
      <c r="G414" s="7">
        <f t="shared" si="107"/>
        <v>0</v>
      </c>
      <c r="H414" s="7">
        <f t="shared" si="107"/>
        <v>0</v>
      </c>
      <c r="I414" s="7">
        <f t="shared" si="107"/>
        <v>0</v>
      </c>
    </row>
    <row r="415" spans="1:9" x14ac:dyDescent="0.25">
      <c r="B415" s="6"/>
      <c r="D415" s="7"/>
      <c r="E415" s="7"/>
      <c r="F415" s="7"/>
      <c r="G415" s="7"/>
      <c r="H415" s="7"/>
      <c r="I415" s="7"/>
    </row>
    <row r="416" spans="1:9" ht="18.75" x14ac:dyDescent="0.3">
      <c r="A416" s="9" t="s">
        <v>43</v>
      </c>
      <c r="D416" s="2">
        <f>D399</f>
        <v>2021</v>
      </c>
      <c r="E416" s="2">
        <f t="shared" ref="E416:I416" si="108">D416+1</f>
        <v>2022</v>
      </c>
      <c r="F416" s="2">
        <f t="shared" si="108"/>
        <v>2023</v>
      </c>
      <c r="G416" s="2">
        <f t="shared" si="108"/>
        <v>2024</v>
      </c>
      <c r="H416" s="2">
        <f t="shared" si="108"/>
        <v>2025</v>
      </c>
      <c r="I416" s="2">
        <f t="shared" si="108"/>
        <v>2026</v>
      </c>
    </row>
    <row r="417" spans="1:9" x14ac:dyDescent="0.25">
      <c r="B417" s="78" t="str">
        <f xml:space="preserve"> 'Facility Detail'!$B$761 &amp; " Surplus Applied to " &amp; ( 'Facility Detail'!$B$761 + 1 )</f>
        <v>2021 Surplus Applied to 2022</v>
      </c>
      <c r="C417" s="71"/>
      <c r="D417" s="3"/>
      <c r="E417" s="61">
        <f>D417</f>
        <v>0</v>
      </c>
      <c r="F417" s="124"/>
      <c r="G417" s="63"/>
      <c r="H417" s="63"/>
      <c r="I417" s="63"/>
    </row>
    <row r="418" spans="1:9" x14ac:dyDescent="0.25">
      <c r="B418" s="78" t="str">
        <f xml:space="preserve"> ( 'Facility Detail'!$B$761 + 1 ) &amp; " Surplus Applied to " &amp; ( 'Facility Detail'!$B$761 )</f>
        <v>2022 Surplus Applied to 2021</v>
      </c>
      <c r="C418" s="71"/>
      <c r="D418" s="125">
        <f>E418</f>
        <v>0</v>
      </c>
      <c r="E418" s="10"/>
      <c r="F418" s="75"/>
      <c r="G418" s="74"/>
      <c r="H418" s="74"/>
      <c r="I418" s="74"/>
    </row>
    <row r="419" spans="1:9" x14ac:dyDescent="0.25">
      <c r="B419" s="78" t="str">
        <f xml:space="preserve"> ( 'Facility Detail'!$B$761 + 1 ) &amp; " Surplus Applied to " &amp; ( 'Facility Detail'!$B$761 + 2 )</f>
        <v>2022 Surplus Applied to 2023</v>
      </c>
      <c r="C419" s="71"/>
      <c r="D419" s="64"/>
      <c r="E419" s="10"/>
      <c r="F419" s="70">
        <f>E419</f>
        <v>0</v>
      </c>
      <c r="G419" s="74"/>
      <c r="H419" s="74"/>
      <c r="I419" s="74"/>
    </row>
    <row r="420" spans="1:9" x14ac:dyDescent="0.25">
      <c r="B420" s="78" t="str">
        <f xml:space="preserve"> ( 'Facility Detail'!$B$761 + 2 ) &amp; " Surplus Applied to " &amp; ( 'Facility Detail'!$B$761 + 1 )</f>
        <v>2023 Surplus Applied to 2022</v>
      </c>
      <c r="C420" s="71"/>
      <c r="D420" s="64"/>
      <c r="E420" s="70">
        <f>F420</f>
        <v>0</v>
      </c>
      <c r="F420" s="10"/>
      <c r="G420" s="74"/>
      <c r="H420" s="74"/>
      <c r="I420" s="74"/>
    </row>
    <row r="421" spans="1:9" x14ac:dyDescent="0.25">
      <c r="B421" s="78" t="str">
        <f xml:space="preserve"> ( 'Facility Detail'!$B$761 + 2 ) &amp; " Surplus Applied to " &amp; ( 'Facility Detail'!$B$761 + 3 )</f>
        <v>2023 Surplus Applied to 2024</v>
      </c>
      <c r="D421" s="64"/>
      <c r="E421" s="75"/>
      <c r="F421" s="10"/>
      <c r="G421" s="135">
        <f>F421</f>
        <v>0</v>
      </c>
      <c r="H421" s="74">
        <f>G421</f>
        <v>0</v>
      </c>
      <c r="I421" s="74">
        <f>H421</f>
        <v>0</v>
      </c>
    </row>
    <row r="422" spans="1:9" x14ac:dyDescent="0.25">
      <c r="B422" s="78" t="str">
        <f xml:space="preserve"> ( 'Facility Detail'!$B$761 +3 ) &amp; " Surplus Applied to " &amp; ( 'Facility Detail'!$B$761 + 2 )</f>
        <v>2024 Surplus Applied to 2023</v>
      </c>
      <c r="D422" s="65"/>
      <c r="E422" s="76"/>
      <c r="F422" s="62">
        <f>G422</f>
        <v>0</v>
      </c>
      <c r="G422" s="10"/>
      <c r="H422" s="74"/>
      <c r="I422" s="74"/>
    </row>
    <row r="423" spans="1:9" x14ac:dyDescent="0.25">
      <c r="B423" s="78" t="str">
        <f xml:space="preserve"> ( 'Facility Detail'!$B$761 +3 ) &amp; " Surplus Applied to " &amp; ( 'Facility Detail'!$B$761 + 4 )</f>
        <v>2024 Surplus Applied to 2025</v>
      </c>
      <c r="D423" s="74"/>
      <c r="E423" s="74"/>
      <c r="F423" s="74"/>
      <c r="G423" s="10"/>
      <c r="H423" s="135">
        <f>G423</f>
        <v>0</v>
      </c>
      <c r="I423" s="74"/>
    </row>
    <row r="424" spans="1:9" x14ac:dyDescent="0.25">
      <c r="B424" s="32" t="s">
        <v>25</v>
      </c>
      <c r="D424" s="7">
        <f xml:space="preserve"> D418 - D417</f>
        <v>0</v>
      </c>
      <c r="E424" s="7">
        <f xml:space="preserve"> E417 + E420 - E419 - E418</f>
        <v>0</v>
      </c>
      <c r="F424" s="7">
        <f>F419+F422-F420-F421</f>
        <v>0</v>
      </c>
      <c r="G424" s="7">
        <v>0</v>
      </c>
      <c r="H424" s="7">
        <v>0</v>
      </c>
      <c r="I424" s="7">
        <v>0</v>
      </c>
    </row>
    <row r="425" spans="1:9" x14ac:dyDescent="0.25">
      <c r="B425" s="6"/>
      <c r="D425" s="7"/>
      <c r="E425" s="7"/>
      <c r="F425" s="7"/>
      <c r="G425" s="7"/>
      <c r="H425" s="7"/>
      <c r="I425" s="7"/>
    </row>
    <row r="426" spans="1:9" x14ac:dyDescent="0.25">
      <c r="B426" s="78" t="s">
        <v>21</v>
      </c>
      <c r="C426" s="71"/>
      <c r="D426" s="96"/>
      <c r="E426" s="97"/>
      <c r="F426" s="98"/>
      <c r="G426" s="98"/>
      <c r="H426" s="98"/>
      <c r="I426" s="98"/>
    </row>
    <row r="427" spans="1:9" x14ac:dyDescent="0.25">
      <c r="B427" s="6"/>
      <c r="D427" s="7"/>
      <c r="E427" s="7"/>
      <c r="F427" s="7"/>
      <c r="G427" s="7"/>
      <c r="H427" s="7"/>
      <c r="I427" s="7"/>
    </row>
    <row r="428" spans="1:9" ht="15.75" x14ac:dyDescent="0.25">
      <c r="A428" s="81" t="s">
        <v>33</v>
      </c>
      <c r="C428" s="71"/>
      <c r="D428" s="43">
        <f t="shared" ref="D428:I428" si="109" xml:space="preserve"> D403 + D408 + D414 + D424 + D426</f>
        <v>398616</v>
      </c>
      <c r="E428" s="44">
        <f t="shared" si="109"/>
        <v>371951</v>
      </c>
      <c r="F428" s="45">
        <f t="shared" si="109"/>
        <v>353864</v>
      </c>
      <c r="G428" s="45">
        <f t="shared" si="109"/>
        <v>391054</v>
      </c>
      <c r="H428" s="45">
        <f t="shared" si="109"/>
        <v>353276</v>
      </c>
      <c r="I428" s="45">
        <f t="shared" si="109"/>
        <v>353276</v>
      </c>
    </row>
    <row r="429" spans="1:9" ht="50.25" customHeight="1" thickBot="1" x14ac:dyDescent="0.3">
      <c r="A429" s="165" t="s">
        <v>120</v>
      </c>
      <c r="B429" s="165"/>
      <c r="C429" s="165"/>
      <c r="D429" s="165"/>
      <c r="E429" s="165"/>
      <c r="F429" s="165"/>
    </row>
    <row r="430" spans="1:9" x14ac:dyDescent="0.25">
      <c r="A430" s="8"/>
      <c r="B430" s="8"/>
      <c r="C430" s="8"/>
      <c r="D430" s="8"/>
      <c r="E430" s="8"/>
      <c r="F430" s="8"/>
      <c r="G430" s="8"/>
      <c r="H430" s="8"/>
      <c r="I430" s="8"/>
    </row>
    <row r="431" spans="1:9" ht="21" x14ac:dyDescent="0.35">
      <c r="A431" s="16" t="s">
        <v>4</v>
      </c>
      <c r="B431" s="16"/>
      <c r="C431" s="154" t="str">
        <f>B13</f>
        <v>EWEB (Stateline) Wind REC Purchase</v>
      </c>
      <c r="D431" s="155"/>
    </row>
    <row r="433" spans="1:9" ht="18.75" x14ac:dyDescent="0.3">
      <c r="A433" s="9" t="s">
        <v>27</v>
      </c>
      <c r="B433" s="9"/>
      <c r="D433" s="2">
        <v>2021</v>
      </c>
      <c r="E433" s="2">
        <f t="shared" ref="E433:I433" si="110">D433+1</f>
        <v>2022</v>
      </c>
      <c r="F433" s="2">
        <f t="shared" si="110"/>
        <v>2023</v>
      </c>
      <c r="G433" s="2">
        <f t="shared" si="110"/>
        <v>2024</v>
      </c>
      <c r="H433" s="2">
        <f t="shared" si="110"/>
        <v>2025</v>
      </c>
      <c r="I433" s="2">
        <f t="shared" si="110"/>
        <v>2026</v>
      </c>
    </row>
    <row r="434" spans="1:9" x14ac:dyDescent="0.25">
      <c r="B434" s="78" t="str">
        <f>"Total MWh Produced / Purchased from " &amp; C431</f>
        <v>Total MWh Produced / Purchased from EWEB (Stateline) Wind REC Purchase</v>
      </c>
      <c r="C434" s="71"/>
      <c r="D434" s="3">
        <v>0</v>
      </c>
      <c r="E434" s="4">
        <v>0</v>
      </c>
      <c r="F434" s="5">
        <v>0</v>
      </c>
      <c r="G434" s="5">
        <v>0</v>
      </c>
      <c r="H434" s="5">
        <v>0</v>
      </c>
      <c r="I434" s="5">
        <v>0</v>
      </c>
    </row>
    <row r="435" spans="1:9" x14ac:dyDescent="0.25">
      <c r="B435" s="78" t="s">
        <v>32</v>
      </c>
      <c r="C435" s="71"/>
      <c r="D435" s="55">
        <v>1</v>
      </c>
      <c r="E435" s="56">
        <v>1</v>
      </c>
      <c r="F435" s="57">
        <v>1</v>
      </c>
      <c r="G435" s="57">
        <v>1</v>
      </c>
      <c r="H435" s="57">
        <v>1</v>
      </c>
      <c r="I435" s="57">
        <v>1</v>
      </c>
    </row>
    <row r="436" spans="1:9" x14ac:dyDescent="0.25">
      <c r="B436" s="78" t="s">
        <v>26</v>
      </c>
      <c r="C436" s="71"/>
      <c r="D436" s="48">
        <v>1</v>
      </c>
      <c r="E436" s="49">
        <v>1</v>
      </c>
      <c r="F436" s="50">
        <v>1</v>
      </c>
      <c r="G436" s="50">
        <v>1</v>
      </c>
      <c r="H436" s="50">
        <v>1</v>
      </c>
      <c r="I436" s="50">
        <v>1</v>
      </c>
    </row>
    <row r="437" spans="1:9" x14ac:dyDescent="0.25">
      <c r="B437" s="32" t="s">
        <v>28</v>
      </c>
      <c r="C437" s="6"/>
      <c r="D437" s="37">
        <f t="shared" ref="D437:I437" si="111" xml:space="preserve"> D434 * D435 * D436</f>
        <v>0</v>
      </c>
      <c r="E437" s="37">
        <f t="shared" si="111"/>
        <v>0</v>
      </c>
      <c r="F437" s="37">
        <f t="shared" si="111"/>
        <v>0</v>
      </c>
      <c r="G437" s="37">
        <f t="shared" si="111"/>
        <v>0</v>
      </c>
      <c r="H437" s="37">
        <f t="shared" si="111"/>
        <v>0</v>
      </c>
      <c r="I437" s="37">
        <f t="shared" si="111"/>
        <v>0</v>
      </c>
    </row>
    <row r="438" spans="1:9" x14ac:dyDescent="0.25">
      <c r="D438" s="36"/>
      <c r="E438" s="36"/>
      <c r="F438" s="36"/>
      <c r="G438" s="36"/>
      <c r="H438" s="36"/>
      <c r="I438" s="36"/>
    </row>
    <row r="439" spans="1:9" ht="18.75" x14ac:dyDescent="0.3">
      <c r="A439" s="9" t="s">
        <v>30</v>
      </c>
      <c r="D439" s="2">
        <f>D433</f>
        <v>2021</v>
      </c>
      <c r="E439" s="2">
        <f t="shared" ref="E439:I439" si="112">D439+1</f>
        <v>2022</v>
      </c>
      <c r="F439" s="2">
        <f t="shared" si="112"/>
        <v>2023</v>
      </c>
      <c r="G439" s="2">
        <f t="shared" si="112"/>
        <v>2024</v>
      </c>
      <c r="H439" s="2">
        <f t="shared" si="112"/>
        <v>2025</v>
      </c>
      <c r="I439" s="2">
        <f t="shared" si="112"/>
        <v>2026</v>
      </c>
    </row>
    <row r="440" spans="1:9" x14ac:dyDescent="0.25">
      <c r="B440" s="78" t="s">
        <v>19</v>
      </c>
      <c r="C440" s="71"/>
      <c r="D440" s="51">
        <f>IF( $E13 = "Eligible", D437 * 'Facility Detail'!$B$758, 0 )</f>
        <v>0</v>
      </c>
      <c r="E440" s="51">
        <f>IF( $E13 = "Eligible", E437 * 'Facility Detail'!$B$758, 0 )</f>
        <v>0</v>
      </c>
      <c r="F440" s="51">
        <f>IF( $E13 = "Eligible", F437 * 'Facility Detail'!$B$758, 0 )</f>
        <v>0</v>
      </c>
      <c r="G440" s="51">
        <f>IF( $E13 = "Eligible", G437 * 'Facility Detail'!$B$758, 0 )</f>
        <v>0</v>
      </c>
      <c r="H440" s="51">
        <f>IF( $E13 = "Eligible", H437 * 'Facility Detail'!$B$758, 0 )</f>
        <v>0</v>
      </c>
      <c r="I440" s="51">
        <f>IF( $E13 = "Eligible", I437 * 'Facility Detail'!$B$758, 0 )</f>
        <v>0</v>
      </c>
    </row>
    <row r="441" spans="1:9" x14ac:dyDescent="0.25">
      <c r="B441" s="78" t="s">
        <v>6</v>
      </c>
      <c r="C441" s="71"/>
      <c r="D441" s="52">
        <f t="shared" ref="D441:I441" si="113">IF( $F13 = "Eligible", D437, 0 )</f>
        <v>0</v>
      </c>
      <c r="E441" s="53">
        <f t="shared" si="113"/>
        <v>0</v>
      </c>
      <c r="F441" s="54">
        <f t="shared" si="113"/>
        <v>0</v>
      </c>
      <c r="G441" s="54">
        <f t="shared" si="113"/>
        <v>0</v>
      </c>
      <c r="H441" s="54">
        <f t="shared" si="113"/>
        <v>0</v>
      </c>
      <c r="I441" s="54">
        <f t="shared" si="113"/>
        <v>0</v>
      </c>
    </row>
    <row r="442" spans="1:9" x14ac:dyDescent="0.25">
      <c r="B442" s="32" t="s">
        <v>37</v>
      </c>
      <c r="C442" s="6"/>
      <c r="D442" s="39">
        <f t="shared" ref="D442:I442" si="114">SUM(D440:D441)</f>
        <v>0</v>
      </c>
      <c r="E442" s="40">
        <f t="shared" si="114"/>
        <v>0</v>
      </c>
      <c r="F442" s="40">
        <f t="shared" si="114"/>
        <v>0</v>
      </c>
      <c r="G442" s="40">
        <f t="shared" si="114"/>
        <v>0</v>
      </c>
      <c r="H442" s="40">
        <f t="shared" si="114"/>
        <v>0</v>
      </c>
      <c r="I442" s="40">
        <f t="shared" si="114"/>
        <v>0</v>
      </c>
    </row>
    <row r="443" spans="1:9" x14ac:dyDescent="0.25">
      <c r="D443" s="38"/>
      <c r="E443" s="30"/>
      <c r="F443" s="30"/>
      <c r="G443" s="30"/>
      <c r="H443" s="30"/>
      <c r="I443" s="30"/>
    </row>
    <row r="444" spans="1:9" ht="18.75" x14ac:dyDescent="0.3">
      <c r="A444" s="9" t="s">
        <v>35</v>
      </c>
      <c r="D444" s="2">
        <f>D433</f>
        <v>2021</v>
      </c>
      <c r="E444" s="2">
        <f t="shared" ref="E444:I444" si="115">D444+1</f>
        <v>2022</v>
      </c>
      <c r="F444" s="2">
        <f t="shared" si="115"/>
        <v>2023</v>
      </c>
      <c r="G444" s="2">
        <f t="shared" si="115"/>
        <v>2024</v>
      </c>
      <c r="H444" s="2">
        <f t="shared" si="115"/>
        <v>2025</v>
      </c>
      <c r="I444" s="2">
        <f t="shared" si="115"/>
        <v>2026</v>
      </c>
    </row>
    <row r="445" spans="1:9" x14ac:dyDescent="0.25">
      <c r="B445" s="78" t="s">
        <v>39</v>
      </c>
      <c r="C445" s="71"/>
      <c r="D445" s="84">
        <v>0</v>
      </c>
      <c r="E445" s="85">
        <v>0</v>
      </c>
      <c r="F445" s="86">
        <v>0</v>
      </c>
      <c r="G445" s="86">
        <v>0</v>
      </c>
      <c r="H445" s="86"/>
      <c r="I445" s="86"/>
    </row>
    <row r="446" spans="1:9" x14ac:dyDescent="0.25">
      <c r="B446" s="79" t="s">
        <v>29</v>
      </c>
      <c r="C446" s="80"/>
      <c r="D446" s="87">
        <v>0</v>
      </c>
      <c r="E446" s="88">
        <v>0</v>
      </c>
      <c r="F446" s="89">
        <v>0</v>
      </c>
      <c r="G446" s="89">
        <v>0</v>
      </c>
      <c r="H446" s="89">
        <v>0</v>
      </c>
      <c r="I446" s="89"/>
    </row>
    <row r="447" spans="1:9" x14ac:dyDescent="0.25">
      <c r="B447" s="79" t="s">
        <v>41</v>
      </c>
      <c r="C447"/>
      <c r="D447" s="58"/>
      <c r="E447" s="59"/>
      <c r="F447" s="60"/>
      <c r="G447" s="60"/>
      <c r="H447" s="60"/>
      <c r="I447" s="60"/>
    </row>
    <row r="448" spans="1:9" x14ac:dyDescent="0.25">
      <c r="B448" s="32" t="s">
        <v>42</v>
      </c>
      <c r="D448" s="7">
        <f t="shared" ref="D448:I448" si="116">SUM(D445:D447)</f>
        <v>0</v>
      </c>
      <c r="E448" s="7">
        <f t="shared" si="116"/>
        <v>0</v>
      </c>
      <c r="F448" s="7">
        <f t="shared" si="116"/>
        <v>0</v>
      </c>
      <c r="G448" s="7">
        <f t="shared" si="116"/>
        <v>0</v>
      </c>
      <c r="H448" s="7">
        <f t="shared" si="116"/>
        <v>0</v>
      </c>
      <c r="I448" s="7">
        <f t="shared" si="116"/>
        <v>0</v>
      </c>
    </row>
    <row r="449" spans="1:9" x14ac:dyDescent="0.25">
      <c r="B449" s="6"/>
      <c r="D449" s="7"/>
      <c r="E449" s="7"/>
      <c r="F449" s="7"/>
      <c r="G449" s="7"/>
      <c r="H449" s="7"/>
      <c r="I449" s="7"/>
    </row>
    <row r="450" spans="1:9" ht="18.75" x14ac:dyDescent="0.3">
      <c r="A450" s="9" t="s">
        <v>43</v>
      </c>
      <c r="D450" s="2">
        <f>D433</f>
        <v>2021</v>
      </c>
      <c r="E450" s="2">
        <f t="shared" ref="E450:I450" si="117">D450+1</f>
        <v>2022</v>
      </c>
      <c r="F450" s="2">
        <f t="shared" si="117"/>
        <v>2023</v>
      </c>
      <c r="G450" s="2">
        <f t="shared" si="117"/>
        <v>2024</v>
      </c>
      <c r="H450" s="2">
        <f t="shared" si="117"/>
        <v>2025</v>
      </c>
      <c r="I450" s="2">
        <f t="shared" si="117"/>
        <v>2026</v>
      </c>
    </row>
    <row r="451" spans="1:9" x14ac:dyDescent="0.25">
      <c r="B451" s="78" t="str">
        <f xml:space="preserve"> 'Facility Detail'!$B$761 &amp; " Surplus Applied to " &amp; ( 'Facility Detail'!$B$761 + 1 )</f>
        <v>2021 Surplus Applied to 2022</v>
      </c>
      <c r="C451" s="71"/>
      <c r="D451" s="3"/>
      <c r="E451" s="61">
        <f>D451</f>
        <v>0</v>
      </c>
      <c r="F451" s="124"/>
      <c r="G451" s="63"/>
      <c r="H451" s="63"/>
      <c r="I451" s="63"/>
    </row>
    <row r="452" spans="1:9" x14ac:dyDescent="0.25">
      <c r="B452" s="78" t="str">
        <f xml:space="preserve"> ( 'Facility Detail'!$B$761 + 1 ) &amp; " Surplus Applied to " &amp; ( 'Facility Detail'!$B$761 )</f>
        <v>2022 Surplus Applied to 2021</v>
      </c>
      <c r="C452" s="71"/>
      <c r="D452" s="125">
        <f>E452</f>
        <v>0</v>
      </c>
      <c r="E452" s="10"/>
      <c r="F452" s="75"/>
      <c r="G452" s="74"/>
      <c r="H452" s="74"/>
      <c r="I452" s="74"/>
    </row>
    <row r="453" spans="1:9" x14ac:dyDescent="0.25">
      <c r="B453" s="78" t="str">
        <f xml:space="preserve"> ( 'Facility Detail'!$B$761 + 1 ) &amp; " Surplus Applied to " &amp; ( 'Facility Detail'!$B$761 + 2 )</f>
        <v>2022 Surplus Applied to 2023</v>
      </c>
      <c r="C453" s="71"/>
      <c r="D453" s="64"/>
      <c r="E453" s="10"/>
      <c r="F453" s="70">
        <f>E453</f>
        <v>0</v>
      </c>
      <c r="G453" s="74"/>
      <c r="H453" s="74"/>
      <c r="I453" s="74"/>
    </row>
    <row r="454" spans="1:9" x14ac:dyDescent="0.25">
      <c r="B454" s="78" t="str">
        <f xml:space="preserve"> ( 'Facility Detail'!$B$761 + 2 ) &amp; " Surplus Applied to " &amp; ( 'Facility Detail'!$B$761 + 1 )</f>
        <v>2023 Surplus Applied to 2022</v>
      </c>
      <c r="C454" s="71"/>
      <c r="D454" s="64"/>
      <c r="E454" s="70">
        <f>F454</f>
        <v>0</v>
      </c>
      <c r="F454" s="10"/>
      <c r="G454" s="74"/>
      <c r="H454" s="74"/>
      <c r="I454" s="74"/>
    </row>
    <row r="455" spans="1:9" x14ac:dyDescent="0.25">
      <c r="B455" s="78" t="str">
        <f xml:space="preserve"> ( 'Facility Detail'!$B$761 + 2 ) &amp; " Surplus Applied to " &amp; ( 'Facility Detail'!$B$761 + 3 )</f>
        <v>2023 Surplus Applied to 2024</v>
      </c>
      <c r="D455" s="64"/>
      <c r="E455" s="75"/>
      <c r="F455" s="10">
        <v>0</v>
      </c>
      <c r="G455" s="126">
        <f>F455</f>
        <v>0</v>
      </c>
      <c r="H455" s="74"/>
      <c r="I455" s="74"/>
    </row>
    <row r="456" spans="1:9" x14ac:dyDescent="0.25">
      <c r="B456" s="78" t="str">
        <f xml:space="preserve"> ( 'Facility Detail'!$B$761 +3 ) &amp; " Surplus Applied to " &amp; ( 'Facility Detail'!$B$761 + 2 )</f>
        <v>2024 Surplus Applied to 2023</v>
      </c>
      <c r="D456" s="65"/>
      <c r="E456" s="76"/>
      <c r="F456" s="62">
        <f>G456</f>
        <v>0</v>
      </c>
      <c r="G456" s="127"/>
      <c r="H456" s="74"/>
      <c r="I456" s="74"/>
    </row>
    <row r="457" spans="1:9" x14ac:dyDescent="0.25">
      <c r="B457" s="78" t="str">
        <f xml:space="preserve"> ( 'Facility Detail'!$B$761 +3 ) &amp; " Surplus Applied to " &amp; ( 'Facility Detail'!$B$761 + 4 )</f>
        <v>2024 Surplus Applied to 2025</v>
      </c>
      <c r="D457" s="130"/>
      <c r="E457" s="130"/>
      <c r="F457" s="130"/>
      <c r="G457" s="131">
        <v>0</v>
      </c>
      <c r="H457" s="74"/>
      <c r="I457" s="74"/>
    </row>
    <row r="458" spans="1:9" x14ac:dyDescent="0.25">
      <c r="B458" s="32" t="s">
        <v>25</v>
      </c>
      <c r="D458" s="7">
        <f xml:space="preserve"> D452 - D451</f>
        <v>0</v>
      </c>
      <c r="E458" s="7">
        <f xml:space="preserve"> E451 + E454 - E453 - E452</f>
        <v>0</v>
      </c>
      <c r="F458" s="7">
        <f>F453+F456-F454-F455</f>
        <v>0</v>
      </c>
      <c r="G458" s="7">
        <f>G455-G456</f>
        <v>0</v>
      </c>
      <c r="H458" s="7">
        <f t="shared" ref="H458:I458" si="118">H455+H456</f>
        <v>0</v>
      </c>
      <c r="I458" s="7">
        <f t="shared" si="118"/>
        <v>0</v>
      </c>
    </row>
    <row r="459" spans="1:9" x14ac:dyDescent="0.25">
      <c r="B459" s="6"/>
      <c r="D459" s="7"/>
      <c r="E459" s="7"/>
      <c r="F459" s="7"/>
      <c r="G459" s="7"/>
      <c r="H459" s="7"/>
      <c r="I459" s="7"/>
    </row>
    <row r="460" spans="1:9" x14ac:dyDescent="0.25">
      <c r="B460" s="78" t="s">
        <v>21</v>
      </c>
      <c r="C460" s="71"/>
      <c r="D460" s="96"/>
      <c r="E460" s="97"/>
      <c r="F460" s="98"/>
      <c r="G460" s="98"/>
      <c r="H460" s="98"/>
      <c r="I460" s="98"/>
    </row>
    <row r="461" spans="1:9" x14ac:dyDescent="0.25">
      <c r="B461" s="6"/>
      <c r="D461" s="7"/>
      <c r="E461" s="7"/>
      <c r="F461" s="7"/>
      <c r="G461" s="7"/>
      <c r="H461" s="7"/>
      <c r="I461" s="7"/>
    </row>
    <row r="462" spans="1:9" ht="15.75" x14ac:dyDescent="0.25">
      <c r="A462" s="81" t="s">
        <v>33</v>
      </c>
      <c r="C462" s="71"/>
      <c r="D462" s="43">
        <f t="shared" ref="D462:I462" si="119" xml:space="preserve"> D437 + D442 + D448 + D458 + D460</f>
        <v>0</v>
      </c>
      <c r="E462" s="44">
        <f t="shared" si="119"/>
        <v>0</v>
      </c>
      <c r="F462" s="45">
        <f t="shared" si="119"/>
        <v>0</v>
      </c>
      <c r="G462" s="45">
        <f t="shared" si="119"/>
        <v>0</v>
      </c>
      <c r="H462" s="45">
        <f t="shared" si="119"/>
        <v>0</v>
      </c>
      <c r="I462" s="45">
        <f t="shared" si="119"/>
        <v>0</v>
      </c>
    </row>
    <row r="463" spans="1:9" x14ac:dyDescent="0.25">
      <c r="B463" s="6"/>
      <c r="D463" s="7"/>
      <c r="E463" s="7"/>
      <c r="F463" s="7"/>
      <c r="G463" s="29"/>
      <c r="H463" s="29"/>
      <c r="I463" s="29"/>
    </row>
    <row r="464" spans="1:9" x14ac:dyDescent="0.25">
      <c r="B464" s="6"/>
      <c r="D464" s="7"/>
      <c r="E464" s="7"/>
      <c r="F464" s="7"/>
      <c r="G464" s="29"/>
      <c r="H464" s="29"/>
      <c r="I464" s="29"/>
    </row>
    <row r="465" spans="1:9" ht="15.75" thickBot="1" x14ac:dyDescent="0.3">
      <c r="A465" s="163"/>
      <c r="B465" s="163"/>
      <c r="C465" s="163"/>
      <c r="D465" s="163"/>
      <c r="E465" s="163"/>
      <c r="F465" s="163"/>
    </row>
    <row r="466" spans="1:9" x14ac:dyDescent="0.25">
      <c r="A466" s="8"/>
      <c r="B466" s="8"/>
      <c r="C466" s="8"/>
      <c r="D466" s="8"/>
      <c r="E466" s="8"/>
      <c r="F466" s="8"/>
      <c r="G466" s="8"/>
      <c r="H466" s="8"/>
      <c r="I466" s="8"/>
    </row>
    <row r="467" spans="1:9" ht="21" x14ac:dyDescent="0.35">
      <c r="A467" s="16" t="s">
        <v>4</v>
      </c>
      <c r="B467" s="16"/>
      <c r="C467" s="154" t="str">
        <f>B14</f>
        <v>Nine Mile #1</v>
      </c>
      <c r="D467" s="155"/>
    </row>
    <row r="469" spans="1:9" ht="18.75" x14ac:dyDescent="0.3">
      <c r="A469" s="9" t="s">
        <v>85</v>
      </c>
      <c r="B469" s="9"/>
      <c r="D469" s="2">
        <v>2021</v>
      </c>
      <c r="E469" s="2">
        <f t="shared" ref="E469:I469" si="120">D469+1</f>
        <v>2022</v>
      </c>
      <c r="F469" s="2">
        <f t="shared" si="120"/>
        <v>2023</v>
      </c>
      <c r="G469" s="2">
        <f t="shared" si="120"/>
        <v>2024</v>
      </c>
      <c r="H469" s="2">
        <f t="shared" si="120"/>
        <v>2025</v>
      </c>
      <c r="I469" s="2">
        <f t="shared" si="120"/>
        <v>2026</v>
      </c>
    </row>
    <row r="470" spans="1:9" x14ac:dyDescent="0.25">
      <c r="B470" s="78" t="str">
        <f>"Total MWh Produced / Purchased from " &amp; C467</f>
        <v>Total MWh Produced / Purchased from Nine Mile #1</v>
      </c>
      <c r="C470" s="71"/>
      <c r="D470" s="3">
        <v>3395</v>
      </c>
      <c r="E470" s="4">
        <v>18326</v>
      </c>
      <c r="F470" s="5">
        <v>14469</v>
      </c>
      <c r="G470" s="5">
        <v>16062</v>
      </c>
      <c r="H470" s="5">
        <v>16172</v>
      </c>
      <c r="I470" s="5">
        <v>16172</v>
      </c>
    </row>
    <row r="471" spans="1:9" x14ac:dyDescent="0.25">
      <c r="B471" s="78" t="s">
        <v>32</v>
      </c>
      <c r="C471" s="71"/>
      <c r="D471" s="55">
        <v>1</v>
      </c>
      <c r="E471" s="56">
        <v>1</v>
      </c>
      <c r="F471" s="57">
        <v>1</v>
      </c>
      <c r="G471" s="57">
        <v>1</v>
      </c>
      <c r="H471" s="57">
        <v>1</v>
      </c>
      <c r="I471" s="57">
        <v>1</v>
      </c>
    </row>
    <row r="472" spans="1:9" x14ac:dyDescent="0.25">
      <c r="B472" s="78" t="s">
        <v>26</v>
      </c>
      <c r="C472" s="71"/>
      <c r="D472" s="48">
        <v>1</v>
      </c>
      <c r="E472" s="49">
        <v>1</v>
      </c>
      <c r="F472" s="50">
        <v>1</v>
      </c>
      <c r="G472" s="50">
        <v>1</v>
      </c>
      <c r="H472" s="50">
        <v>1</v>
      </c>
      <c r="I472" s="50">
        <v>1</v>
      </c>
    </row>
    <row r="473" spans="1:9" x14ac:dyDescent="0.25">
      <c r="B473" s="32" t="s">
        <v>28</v>
      </c>
      <c r="C473" s="6"/>
      <c r="D473" s="37">
        <f t="shared" ref="D473:I473" si="121" xml:space="preserve"> D470 * D471 * D472</f>
        <v>3395</v>
      </c>
      <c r="E473" s="37">
        <f t="shared" si="121"/>
        <v>18326</v>
      </c>
      <c r="F473" s="37">
        <f t="shared" si="121"/>
        <v>14469</v>
      </c>
      <c r="G473" s="37">
        <f t="shared" si="121"/>
        <v>16062</v>
      </c>
      <c r="H473" s="37">
        <f t="shared" si="121"/>
        <v>16172</v>
      </c>
      <c r="I473" s="37">
        <f t="shared" si="121"/>
        <v>16172</v>
      </c>
    </row>
    <row r="474" spans="1:9" x14ac:dyDescent="0.25">
      <c r="D474" s="36"/>
      <c r="E474" s="36"/>
      <c r="F474" s="36"/>
      <c r="G474" s="36"/>
      <c r="H474" s="36"/>
      <c r="I474" s="36"/>
    </row>
    <row r="475" spans="1:9" ht="18.75" x14ac:dyDescent="0.3">
      <c r="A475" s="9" t="s">
        <v>30</v>
      </c>
      <c r="D475" s="2">
        <f>D469</f>
        <v>2021</v>
      </c>
      <c r="E475" s="2">
        <f t="shared" ref="E475:I475" si="122">D475+1</f>
        <v>2022</v>
      </c>
      <c r="F475" s="2">
        <f t="shared" si="122"/>
        <v>2023</v>
      </c>
      <c r="G475" s="2">
        <f t="shared" si="122"/>
        <v>2024</v>
      </c>
      <c r="H475" s="2">
        <f t="shared" si="122"/>
        <v>2025</v>
      </c>
      <c r="I475" s="2">
        <f t="shared" si="122"/>
        <v>2026</v>
      </c>
    </row>
    <row r="476" spans="1:9" x14ac:dyDescent="0.25">
      <c r="B476" s="78" t="s">
        <v>19</v>
      </c>
      <c r="C476" s="71"/>
      <c r="D476" s="51">
        <f>IF( $E14 = "Eligible", D473 * 'Facility Detail'!$B$758, 0 )</f>
        <v>0</v>
      </c>
      <c r="E476" s="51">
        <f>IF( $E14 = "Eligible", E473 * 'Facility Detail'!$B$758, 0 )</f>
        <v>0</v>
      </c>
      <c r="F476" s="51">
        <f>IF( $E14 = "Eligible", F473 * 'Facility Detail'!$B$758, 0 )</f>
        <v>0</v>
      </c>
      <c r="G476" s="51">
        <f>IF( $E14 = "Eligible", G473 * 'Facility Detail'!$B$758, 0 )</f>
        <v>0</v>
      </c>
      <c r="H476" s="51">
        <f>IF( $E14 = "Eligible", H473 * 'Facility Detail'!$B$758, 0 )</f>
        <v>0</v>
      </c>
      <c r="I476" s="51">
        <f>IF( $E14 = "Eligible", I473 * 'Facility Detail'!$B$758, 0 )</f>
        <v>0</v>
      </c>
    </row>
    <row r="477" spans="1:9" x14ac:dyDescent="0.25">
      <c r="B477" s="78" t="s">
        <v>6</v>
      </c>
      <c r="C477" s="71"/>
      <c r="D477" s="52">
        <f t="shared" ref="D477:I477" si="123">IF( $F14 = "Eligible", D473, 0 )</f>
        <v>0</v>
      </c>
      <c r="E477" s="53">
        <f t="shared" si="123"/>
        <v>0</v>
      </c>
      <c r="F477" s="54">
        <f t="shared" si="123"/>
        <v>0</v>
      </c>
      <c r="G477" s="54">
        <f t="shared" si="123"/>
        <v>0</v>
      </c>
      <c r="H477" s="54">
        <f t="shared" si="123"/>
        <v>0</v>
      </c>
      <c r="I477" s="54">
        <f t="shared" si="123"/>
        <v>0</v>
      </c>
    </row>
    <row r="478" spans="1:9" x14ac:dyDescent="0.25">
      <c r="B478" s="32" t="s">
        <v>37</v>
      </c>
      <c r="C478" s="6"/>
      <c r="D478" s="39">
        <f t="shared" ref="D478:I478" si="124">SUM(D476:D477)</f>
        <v>0</v>
      </c>
      <c r="E478" s="40">
        <f t="shared" si="124"/>
        <v>0</v>
      </c>
      <c r="F478" s="40">
        <f t="shared" si="124"/>
        <v>0</v>
      </c>
      <c r="G478" s="40">
        <f t="shared" si="124"/>
        <v>0</v>
      </c>
      <c r="H478" s="40">
        <f t="shared" si="124"/>
        <v>0</v>
      </c>
      <c r="I478" s="40">
        <f t="shared" si="124"/>
        <v>0</v>
      </c>
    </row>
    <row r="479" spans="1:9" x14ac:dyDescent="0.25">
      <c r="D479" s="38"/>
      <c r="E479" s="30"/>
      <c r="F479" s="30"/>
      <c r="G479" s="30"/>
      <c r="H479" s="30"/>
      <c r="I479" s="30"/>
    </row>
    <row r="480" spans="1:9" ht="18.75" x14ac:dyDescent="0.3">
      <c r="A480" s="9" t="s">
        <v>35</v>
      </c>
      <c r="D480" s="2">
        <f>D469</f>
        <v>2021</v>
      </c>
      <c r="E480" s="2">
        <f t="shared" ref="E480:I480" si="125">D480+1</f>
        <v>2022</v>
      </c>
      <c r="F480" s="2">
        <f t="shared" si="125"/>
        <v>2023</v>
      </c>
      <c r="G480" s="2">
        <f t="shared" si="125"/>
        <v>2024</v>
      </c>
      <c r="H480" s="2">
        <f t="shared" si="125"/>
        <v>2025</v>
      </c>
      <c r="I480" s="2">
        <f t="shared" si="125"/>
        <v>2026</v>
      </c>
    </row>
    <row r="481" spans="1:9" x14ac:dyDescent="0.25">
      <c r="B481" s="78" t="s">
        <v>39</v>
      </c>
      <c r="C481" s="71"/>
      <c r="D481" s="84">
        <v>0</v>
      </c>
      <c r="E481" s="85">
        <v>0</v>
      </c>
      <c r="F481" s="86">
        <v>0</v>
      </c>
      <c r="G481" s="86">
        <v>0</v>
      </c>
      <c r="H481" s="86">
        <v>0</v>
      </c>
      <c r="I481" s="86">
        <v>0</v>
      </c>
    </row>
    <row r="482" spans="1:9" x14ac:dyDescent="0.25">
      <c r="B482" s="79" t="s">
        <v>29</v>
      </c>
      <c r="C482" s="80"/>
      <c r="D482" s="87">
        <v>0</v>
      </c>
      <c r="E482" s="88">
        <v>0</v>
      </c>
      <c r="F482" s="89">
        <v>0</v>
      </c>
      <c r="G482" s="89">
        <v>0</v>
      </c>
      <c r="H482" s="89">
        <v>0</v>
      </c>
      <c r="I482" s="89">
        <v>0</v>
      </c>
    </row>
    <row r="483" spans="1:9" x14ac:dyDescent="0.25">
      <c r="B483" s="79" t="s">
        <v>41</v>
      </c>
      <c r="C483"/>
      <c r="D483" s="58"/>
      <c r="E483" s="59"/>
      <c r="F483" s="60"/>
      <c r="G483" s="60">
        <v>0</v>
      </c>
      <c r="H483" s="60">
        <v>0</v>
      </c>
      <c r="I483" s="60">
        <v>0</v>
      </c>
    </row>
    <row r="484" spans="1:9" x14ac:dyDescent="0.25">
      <c r="B484" s="32" t="s">
        <v>42</v>
      </c>
      <c r="D484" s="7">
        <f t="shared" ref="D484:I484" si="126">SUM(D481:D483)</f>
        <v>0</v>
      </c>
      <c r="E484" s="7">
        <f t="shared" si="126"/>
        <v>0</v>
      </c>
      <c r="F484" s="7">
        <f t="shared" si="126"/>
        <v>0</v>
      </c>
      <c r="G484" s="7">
        <f t="shared" si="126"/>
        <v>0</v>
      </c>
      <c r="H484" s="7">
        <f t="shared" si="126"/>
        <v>0</v>
      </c>
      <c r="I484" s="7">
        <f t="shared" si="126"/>
        <v>0</v>
      </c>
    </row>
    <row r="485" spans="1:9" x14ac:dyDescent="0.25">
      <c r="B485" s="6"/>
      <c r="D485" s="7"/>
      <c r="E485" s="7"/>
      <c r="F485" s="7"/>
      <c r="G485" s="7"/>
      <c r="H485" s="7"/>
      <c r="I485" s="7"/>
    </row>
    <row r="486" spans="1:9" ht="18.75" x14ac:dyDescent="0.3">
      <c r="A486" s="9" t="s">
        <v>43</v>
      </c>
      <c r="D486" s="2">
        <f>D469</f>
        <v>2021</v>
      </c>
      <c r="E486" s="2">
        <f t="shared" ref="E486:I486" si="127">D486+1</f>
        <v>2022</v>
      </c>
      <c r="F486" s="2">
        <f t="shared" si="127"/>
        <v>2023</v>
      </c>
      <c r="G486" s="2">
        <f t="shared" si="127"/>
        <v>2024</v>
      </c>
      <c r="H486" s="2">
        <f t="shared" si="127"/>
        <v>2025</v>
      </c>
      <c r="I486" s="2">
        <f t="shared" si="127"/>
        <v>2026</v>
      </c>
    </row>
    <row r="487" spans="1:9" x14ac:dyDescent="0.25">
      <c r="B487" s="78" t="str">
        <f xml:space="preserve"> 'Facility Detail'!$B$761 &amp; " Surplus Applied to " &amp; ( 'Facility Detail'!$B$761 + 1 )</f>
        <v>2021 Surplus Applied to 2022</v>
      </c>
      <c r="C487" s="71"/>
      <c r="D487" s="3"/>
      <c r="E487" s="61">
        <f>D487</f>
        <v>0</v>
      </c>
      <c r="F487" s="124"/>
      <c r="G487" s="63"/>
      <c r="H487" s="63"/>
      <c r="I487" s="63"/>
    </row>
    <row r="488" spans="1:9" x14ac:dyDescent="0.25">
      <c r="B488" s="78" t="str">
        <f xml:space="preserve"> ( 'Facility Detail'!$B$761 + 1 ) &amp; " Surplus Applied to " &amp; ( 'Facility Detail'!$B$761 )</f>
        <v>2022 Surplus Applied to 2021</v>
      </c>
      <c r="C488" s="71"/>
      <c r="D488" s="125">
        <f>E488</f>
        <v>0</v>
      </c>
      <c r="E488" s="10"/>
      <c r="F488" s="75"/>
      <c r="G488" s="74"/>
      <c r="H488" s="74"/>
      <c r="I488" s="74"/>
    </row>
    <row r="489" spans="1:9" x14ac:dyDescent="0.25">
      <c r="B489" s="78" t="str">
        <f xml:space="preserve"> ( 'Facility Detail'!$B$761 + 1 ) &amp; " Surplus Applied to " &amp; ( 'Facility Detail'!$B$761 + 2 )</f>
        <v>2022 Surplus Applied to 2023</v>
      </c>
      <c r="C489" s="71"/>
      <c r="D489" s="64"/>
      <c r="E489" s="10"/>
      <c r="F489" s="70">
        <f>E489</f>
        <v>0</v>
      </c>
      <c r="G489" s="74"/>
      <c r="H489" s="74"/>
      <c r="I489" s="74"/>
    </row>
    <row r="490" spans="1:9" x14ac:dyDescent="0.25">
      <c r="B490" s="78" t="str">
        <f xml:space="preserve"> ( 'Facility Detail'!$B$761 + 2 ) &amp; " Surplus Applied to " &amp; ( 'Facility Detail'!$B$761 + 1 )</f>
        <v>2023 Surplus Applied to 2022</v>
      </c>
      <c r="C490" s="71"/>
      <c r="D490" s="64"/>
      <c r="E490" s="70">
        <f>F490</f>
        <v>0</v>
      </c>
      <c r="F490" s="10"/>
      <c r="G490" s="74"/>
      <c r="H490" s="74"/>
      <c r="I490" s="74"/>
    </row>
    <row r="491" spans="1:9" x14ac:dyDescent="0.25">
      <c r="B491" s="78" t="str">
        <f xml:space="preserve"> ( 'Facility Detail'!$B$761 + 2 ) &amp; " Surplus Applied to " &amp; ( 'Facility Detail'!$B$761 + 3 )</f>
        <v>2023 Surplus Applied to 2024</v>
      </c>
      <c r="D491" s="64"/>
      <c r="E491" s="75"/>
      <c r="F491" s="10"/>
      <c r="G491" s="126">
        <f>F491</f>
        <v>0</v>
      </c>
      <c r="H491" s="126">
        <f>G491</f>
        <v>0</v>
      </c>
      <c r="I491" s="126">
        <f>H491</f>
        <v>0</v>
      </c>
    </row>
    <row r="492" spans="1:9" x14ac:dyDescent="0.25">
      <c r="B492" s="78" t="str">
        <f xml:space="preserve"> ( 'Facility Detail'!$B$761 +3 ) &amp; " Surplus Applied to " &amp; ( 'Facility Detail'!$B$761 + 2 )</f>
        <v>2024 Surplus Applied to 2023</v>
      </c>
      <c r="D492" s="65"/>
      <c r="E492" s="76"/>
      <c r="F492" s="62">
        <f>G492</f>
        <v>0</v>
      </c>
      <c r="G492" s="127"/>
      <c r="H492" s="127"/>
      <c r="I492" s="127"/>
    </row>
    <row r="493" spans="1:9" x14ac:dyDescent="0.25">
      <c r="B493" s="78" t="str">
        <f xml:space="preserve"> ( 'Facility Detail'!$B$761 +3 ) &amp; " Surplus Applied to " &amp; ( 'Facility Detail'!$B$761 + 4 )</f>
        <v>2024 Surplus Applied to 2025</v>
      </c>
      <c r="D493" s="130"/>
      <c r="E493" s="130"/>
      <c r="F493" s="19"/>
      <c r="G493" s="131"/>
      <c r="H493" s="131"/>
      <c r="I493" s="131"/>
    </row>
    <row r="494" spans="1:9" x14ac:dyDescent="0.25">
      <c r="B494" s="32" t="s">
        <v>25</v>
      </c>
      <c r="D494" s="7">
        <f xml:space="preserve"> D488 - D487</f>
        <v>0</v>
      </c>
      <c r="E494" s="7">
        <f xml:space="preserve"> E487 + E490 - E489 - E488</f>
        <v>0</v>
      </c>
      <c r="F494" s="7">
        <f>F489+F492-F490-F491</f>
        <v>0</v>
      </c>
      <c r="G494" s="7">
        <f t="shared" ref="G494:I494" si="128">G491-G492</f>
        <v>0</v>
      </c>
      <c r="H494" s="7">
        <f t="shared" si="128"/>
        <v>0</v>
      </c>
      <c r="I494" s="7">
        <f t="shared" si="128"/>
        <v>0</v>
      </c>
    </row>
    <row r="495" spans="1:9" x14ac:dyDescent="0.25">
      <c r="B495" s="6"/>
      <c r="D495" s="7"/>
      <c r="E495" s="7"/>
      <c r="F495" s="7"/>
      <c r="G495" s="7"/>
      <c r="H495" s="7"/>
      <c r="I495" s="7"/>
    </row>
    <row r="496" spans="1:9" x14ac:dyDescent="0.25">
      <c r="B496" s="78" t="s">
        <v>21</v>
      </c>
      <c r="C496" s="71"/>
      <c r="D496" s="96"/>
      <c r="E496" s="97"/>
      <c r="F496" s="98"/>
      <c r="G496" s="98"/>
      <c r="H496" s="98"/>
      <c r="I496" s="98"/>
    </row>
    <row r="497" spans="1:9" x14ac:dyDescent="0.25">
      <c r="B497" s="6"/>
      <c r="D497" s="7"/>
      <c r="E497" s="7"/>
      <c r="F497" s="7"/>
      <c r="G497" s="7"/>
      <c r="H497" s="7"/>
      <c r="I497" s="7"/>
    </row>
    <row r="498" spans="1:9" ht="15.75" x14ac:dyDescent="0.25">
      <c r="A498" s="81" t="s">
        <v>33</v>
      </c>
      <c r="C498" s="71"/>
      <c r="D498" s="43">
        <f t="shared" ref="D498:I498" si="129" xml:space="preserve"> D473 + D478 + D484 + D494 + D496</f>
        <v>3395</v>
      </c>
      <c r="E498" s="44">
        <f t="shared" si="129"/>
        <v>18326</v>
      </c>
      <c r="F498" s="45">
        <f t="shared" si="129"/>
        <v>14469</v>
      </c>
      <c r="G498" s="45">
        <f t="shared" si="129"/>
        <v>16062</v>
      </c>
      <c r="H498" s="45">
        <f t="shared" si="129"/>
        <v>16172</v>
      </c>
      <c r="I498" s="45">
        <f t="shared" si="129"/>
        <v>16172</v>
      </c>
    </row>
    <row r="499" spans="1:9" x14ac:dyDescent="0.25">
      <c r="B499" s="6"/>
      <c r="D499" s="7"/>
      <c r="E499" s="7"/>
      <c r="F499" s="7"/>
      <c r="G499" s="29"/>
      <c r="H499" s="29"/>
      <c r="I499" s="29"/>
    </row>
    <row r="500" spans="1:9" x14ac:dyDescent="0.25">
      <c r="B500" s="6"/>
      <c r="D500" s="7"/>
      <c r="E500" s="7"/>
      <c r="F500" s="7"/>
      <c r="G500" s="29"/>
      <c r="H500" s="29"/>
      <c r="I500" s="29"/>
    </row>
    <row r="501" spans="1:9" ht="15.75" customHeight="1" thickBot="1" x14ac:dyDescent="0.3">
      <c r="A501" s="163" t="s">
        <v>100</v>
      </c>
      <c r="B501" s="163"/>
      <c r="C501" s="163"/>
      <c r="D501" s="163"/>
      <c r="E501" s="163"/>
      <c r="F501" s="163"/>
      <c r="G501" s="163"/>
      <c r="H501" s="163"/>
      <c r="I501" s="163"/>
    </row>
    <row r="502" spans="1:9" x14ac:dyDescent="0.25">
      <c r="A502" s="8"/>
      <c r="B502" s="8"/>
      <c r="C502" s="8"/>
      <c r="D502" s="8"/>
      <c r="E502" s="8"/>
      <c r="F502" s="8"/>
      <c r="G502" s="8"/>
      <c r="H502" s="8"/>
      <c r="I502" s="8"/>
    </row>
    <row r="503" spans="1:9" ht="21" x14ac:dyDescent="0.35">
      <c r="A503" s="16" t="s">
        <v>4</v>
      </c>
      <c r="B503" s="16"/>
      <c r="C503" s="154" t="str">
        <f>B15</f>
        <v>Nine Mile #2</v>
      </c>
      <c r="D503" s="155"/>
    </row>
    <row r="505" spans="1:9" ht="18.75" x14ac:dyDescent="0.3">
      <c r="A505" s="9" t="s">
        <v>27</v>
      </c>
      <c r="B505" s="9"/>
      <c r="D505" s="2">
        <v>2021</v>
      </c>
      <c r="E505" s="2">
        <f t="shared" ref="E505:I505" si="130">D505+1</f>
        <v>2022</v>
      </c>
      <c r="F505" s="2">
        <f t="shared" si="130"/>
        <v>2023</v>
      </c>
      <c r="G505" s="2">
        <f t="shared" si="130"/>
        <v>2024</v>
      </c>
      <c r="H505" s="2">
        <f t="shared" si="130"/>
        <v>2025</v>
      </c>
      <c r="I505" s="2">
        <f t="shared" si="130"/>
        <v>2026</v>
      </c>
    </row>
    <row r="506" spans="1:9" x14ac:dyDescent="0.25">
      <c r="B506" s="78" t="str">
        <f>"Total MWh Produced / Purchased from " &amp; C503</f>
        <v>Total MWh Produced / Purchased from Nine Mile #2</v>
      </c>
      <c r="C506" s="71"/>
      <c r="D506" s="3">
        <v>5343</v>
      </c>
      <c r="E506" s="4">
        <v>19241</v>
      </c>
      <c r="F506" s="5">
        <v>15192</v>
      </c>
      <c r="G506" s="5">
        <v>15451</v>
      </c>
      <c r="H506" s="5">
        <v>15554</v>
      </c>
      <c r="I506" s="5">
        <v>15554</v>
      </c>
    </row>
    <row r="507" spans="1:9" x14ac:dyDescent="0.25">
      <c r="B507" s="78" t="s">
        <v>32</v>
      </c>
      <c r="C507" s="71"/>
      <c r="D507" s="55">
        <v>1</v>
      </c>
      <c r="E507" s="56">
        <v>1</v>
      </c>
      <c r="F507" s="57">
        <v>1</v>
      </c>
      <c r="G507" s="57">
        <v>1</v>
      </c>
      <c r="H507" s="57">
        <v>1</v>
      </c>
      <c r="I507" s="57">
        <v>1</v>
      </c>
    </row>
    <row r="508" spans="1:9" x14ac:dyDescent="0.25">
      <c r="B508" s="78" t="s">
        <v>26</v>
      </c>
      <c r="C508" s="71"/>
      <c r="D508" s="48">
        <v>1</v>
      </c>
      <c r="E508" s="49">
        <v>1</v>
      </c>
      <c r="F508" s="50">
        <v>1</v>
      </c>
      <c r="G508" s="50">
        <v>1</v>
      </c>
      <c r="H508" s="50">
        <v>1</v>
      </c>
      <c r="I508" s="50">
        <v>1</v>
      </c>
    </row>
    <row r="509" spans="1:9" x14ac:dyDescent="0.25">
      <c r="B509" s="32" t="s">
        <v>28</v>
      </c>
      <c r="C509" s="6"/>
      <c r="D509" s="37">
        <f t="shared" ref="D509:I509" si="131" xml:space="preserve"> D506 * D507 * D508</f>
        <v>5343</v>
      </c>
      <c r="E509" s="37">
        <f t="shared" si="131"/>
        <v>19241</v>
      </c>
      <c r="F509" s="37">
        <f t="shared" si="131"/>
        <v>15192</v>
      </c>
      <c r="G509" s="37">
        <f t="shared" si="131"/>
        <v>15451</v>
      </c>
      <c r="H509" s="37">
        <f t="shared" si="131"/>
        <v>15554</v>
      </c>
      <c r="I509" s="37">
        <f t="shared" si="131"/>
        <v>15554</v>
      </c>
    </row>
    <row r="510" spans="1:9" x14ac:dyDescent="0.25">
      <c r="D510" s="36"/>
      <c r="E510" s="36"/>
      <c r="F510" s="36"/>
      <c r="G510" s="36"/>
      <c r="H510" s="36"/>
      <c r="I510" s="36"/>
    </row>
    <row r="511" spans="1:9" ht="18.75" x14ac:dyDescent="0.3">
      <c r="A511" s="9" t="s">
        <v>30</v>
      </c>
      <c r="D511" s="2">
        <f>D505</f>
        <v>2021</v>
      </c>
      <c r="E511" s="2">
        <f t="shared" ref="E511:I511" si="132">D511+1</f>
        <v>2022</v>
      </c>
      <c r="F511" s="2">
        <f t="shared" si="132"/>
        <v>2023</v>
      </c>
      <c r="G511" s="2">
        <f t="shared" si="132"/>
        <v>2024</v>
      </c>
      <c r="H511" s="2">
        <f t="shared" si="132"/>
        <v>2025</v>
      </c>
      <c r="I511" s="2">
        <f t="shared" si="132"/>
        <v>2026</v>
      </c>
    </row>
    <row r="512" spans="1:9" x14ac:dyDescent="0.25">
      <c r="B512" s="78" t="s">
        <v>19</v>
      </c>
      <c r="C512" s="71"/>
      <c r="D512" s="51">
        <f>IF( $E15 = "Eligible", D509 * 'Facility Detail'!$B$758, 0 )</f>
        <v>0</v>
      </c>
      <c r="E512" s="51">
        <f>IF( $E15 = "Eligible", E509 * 'Facility Detail'!$B$758, 0 )</f>
        <v>0</v>
      </c>
      <c r="F512" s="51">
        <f>IF( $E15 = "Eligible", F509 * 'Facility Detail'!$B$758, 0 )</f>
        <v>0</v>
      </c>
      <c r="G512" s="51">
        <f>IF( $E15 = "Eligible", G509 * 'Facility Detail'!$B$758, 0 )</f>
        <v>0</v>
      </c>
      <c r="H512" s="51">
        <f>IF( $E15 = "Eligible", H509 * 'Facility Detail'!$B$758, 0 )</f>
        <v>0</v>
      </c>
      <c r="I512" s="51">
        <f>IF( $E15 = "Eligible", I509 * 'Facility Detail'!$B$758, 0 )</f>
        <v>0</v>
      </c>
    </row>
    <row r="513" spans="1:9" x14ac:dyDescent="0.25">
      <c r="B513" s="78" t="s">
        <v>6</v>
      </c>
      <c r="C513" s="71"/>
      <c r="D513" s="54">
        <f t="shared" ref="D513:I513" si="133">IF( $F15 = "Eligible", D509, 0 )</f>
        <v>0</v>
      </c>
      <c r="E513" s="54">
        <f t="shared" si="133"/>
        <v>0</v>
      </c>
      <c r="F513" s="54">
        <f t="shared" si="133"/>
        <v>0</v>
      </c>
      <c r="G513" s="54">
        <f t="shared" si="133"/>
        <v>0</v>
      </c>
      <c r="H513" s="54">
        <f t="shared" si="133"/>
        <v>0</v>
      </c>
      <c r="I513" s="54">
        <f t="shared" si="133"/>
        <v>0</v>
      </c>
    </row>
    <row r="514" spans="1:9" x14ac:dyDescent="0.25">
      <c r="B514" s="32" t="s">
        <v>37</v>
      </c>
      <c r="C514" s="6"/>
      <c r="D514" s="39">
        <f t="shared" ref="D514:I514" si="134">SUM(D512:D513)</f>
        <v>0</v>
      </c>
      <c r="E514" s="40">
        <f t="shared" si="134"/>
        <v>0</v>
      </c>
      <c r="F514" s="40">
        <f t="shared" si="134"/>
        <v>0</v>
      </c>
      <c r="G514" s="40">
        <f t="shared" si="134"/>
        <v>0</v>
      </c>
      <c r="H514" s="40">
        <f t="shared" si="134"/>
        <v>0</v>
      </c>
      <c r="I514" s="40">
        <f t="shared" si="134"/>
        <v>0</v>
      </c>
    </row>
    <row r="515" spans="1:9" x14ac:dyDescent="0.25">
      <c r="D515" s="38"/>
      <c r="E515" s="30"/>
      <c r="F515" s="30"/>
      <c r="G515" s="30"/>
      <c r="H515" s="30"/>
      <c r="I515" s="30"/>
    </row>
    <row r="516" spans="1:9" ht="18.75" x14ac:dyDescent="0.3">
      <c r="A516" s="9" t="s">
        <v>35</v>
      </c>
      <c r="D516" s="2">
        <f>D505</f>
        <v>2021</v>
      </c>
      <c r="E516" s="2">
        <f t="shared" ref="E516:I516" si="135">D516+1</f>
        <v>2022</v>
      </c>
      <c r="F516" s="2">
        <f t="shared" si="135"/>
        <v>2023</v>
      </c>
      <c r="G516" s="2">
        <f t="shared" si="135"/>
        <v>2024</v>
      </c>
      <c r="H516" s="2">
        <f t="shared" si="135"/>
        <v>2025</v>
      </c>
      <c r="I516" s="2">
        <f t="shared" si="135"/>
        <v>2026</v>
      </c>
    </row>
    <row r="517" spans="1:9" x14ac:dyDescent="0.25">
      <c r="B517" s="78" t="s">
        <v>39</v>
      </c>
      <c r="C517" s="71"/>
      <c r="D517" s="84">
        <v>0</v>
      </c>
      <c r="E517" s="85">
        <v>0</v>
      </c>
      <c r="F517" s="86">
        <v>0</v>
      </c>
      <c r="G517" s="86">
        <v>0</v>
      </c>
      <c r="H517" s="86">
        <v>0</v>
      </c>
      <c r="I517" s="86">
        <v>0</v>
      </c>
    </row>
    <row r="518" spans="1:9" x14ac:dyDescent="0.25">
      <c r="B518" s="79" t="s">
        <v>29</v>
      </c>
      <c r="C518" s="80"/>
      <c r="D518" s="87">
        <v>0</v>
      </c>
      <c r="E518" s="88">
        <v>0</v>
      </c>
      <c r="F518" s="89">
        <v>0</v>
      </c>
      <c r="G518" s="89">
        <v>0</v>
      </c>
      <c r="H518" s="89">
        <v>0</v>
      </c>
      <c r="I518" s="89">
        <v>0</v>
      </c>
    </row>
    <row r="519" spans="1:9" x14ac:dyDescent="0.25">
      <c r="B519" s="79" t="s">
        <v>41</v>
      </c>
      <c r="C519"/>
      <c r="D519" s="58"/>
      <c r="E519" s="59"/>
      <c r="F519" s="60"/>
      <c r="G519" s="60">
        <v>0</v>
      </c>
      <c r="H519" s="60">
        <v>0</v>
      </c>
      <c r="I519" s="60">
        <v>0</v>
      </c>
    </row>
    <row r="520" spans="1:9" x14ac:dyDescent="0.25">
      <c r="B520" s="32" t="s">
        <v>42</v>
      </c>
      <c r="D520" s="7">
        <f t="shared" ref="D520:I520" si="136">SUM(D517:D519)</f>
        <v>0</v>
      </c>
      <c r="E520" s="7">
        <f t="shared" si="136"/>
        <v>0</v>
      </c>
      <c r="F520" s="7">
        <f t="shared" si="136"/>
        <v>0</v>
      </c>
      <c r="G520" s="7">
        <f t="shared" si="136"/>
        <v>0</v>
      </c>
      <c r="H520" s="7">
        <f t="shared" si="136"/>
        <v>0</v>
      </c>
      <c r="I520" s="7">
        <f t="shared" si="136"/>
        <v>0</v>
      </c>
    </row>
    <row r="521" spans="1:9" x14ac:dyDescent="0.25">
      <c r="B521" s="6"/>
      <c r="D521" s="7"/>
      <c r="E521" s="7"/>
      <c r="F521" s="7"/>
      <c r="G521" s="7"/>
      <c r="H521" s="7"/>
      <c r="I521" s="7"/>
    </row>
    <row r="522" spans="1:9" ht="18.75" x14ac:dyDescent="0.3">
      <c r="A522" s="9" t="s">
        <v>43</v>
      </c>
      <c r="D522" s="2">
        <f>D505</f>
        <v>2021</v>
      </c>
      <c r="E522" s="2">
        <f t="shared" ref="E522:I522" si="137">D522+1</f>
        <v>2022</v>
      </c>
      <c r="F522" s="2">
        <f t="shared" si="137"/>
        <v>2023</v>
      </c>
      <c r="G522" s="2">
        <f t="shared" si="137"/>
        <v>2024</v>
      </c>
      <c r="H522" s="2">
        <f t="shared" si="137"/>
        <v>2025</v>
      </c>
      <c r="I522" s="2">
        <f t="shared" si="137"/>
        <v>2026</v>
      </c>
    </row>
    <row r="523" spans="1:9" x14ac:dyDescent="0.25">
      <c r="B523" s="78" t="str">
        <f xml:space="preserve"> 'Facility Detail'!$B$761 &amp; " Surplus Applied to " &amp; ( 'Facility Detail'!$B$761 + 1 )</f>
        <v>2021 Surplus Applied to 2022</v>
      </c>
      <c r="C523" s="71"/>
      <c r="D523" s="3"/>
      <c r="E523" s="61">
        <f>D523</f>
        <v>0</v>
      </c>
      <c r="F523" s="124"/>
      <c r="G523" s="63"/>
      <c r="H523" s="63"/>
      <c r="I523" s="63"/>
    </row>
    <row r="524" spans="1:9" x14ac:dyDescent="0.25">
      <c r="B524" s="78" t="str">
        <f xml:space="preserve"> ( 'Facility Detail'!$B$761 + 1 ) &amp; " Surplus Applied to " &amp; ( 'Facility Detail'!$B$761 )</f>
        <v>2022 Surplus Applied to 2021</v>
      </c>
      <c r="C524" s="71"/>
      <c r="D524" s="125">
        <f>E524</f>
        <v>0</v>
      </c>
      <c r="E524" s="10"/>
      <c r="F524" s="75"/>
      <c r="G524" s="74"/>
      <c r="H524" s="74"/>
      <c r="I524" s="74"/>
    </row>
    <row r="525" spans="1:9" x14ac:dyDescent="0.25">
      <c r="B525" s="78" t="str">
        <f xml:space="preserve"> ( 'Facility Detail'!$B$761 + 1 ) &amp; " Surplus Applied to " &amp; ( 'Facility Detail'!$B$761 + 2 )</f>
        <v>2022 Surplus Applied to 2023</v>
      </c>
      <c r="C525" s="71"/>
      <c r="D525" s="64"/>
      <c r="E525" s="10"/>
      <c r="F525" s="70">
        <f>E525</f>
        <v>0</v>
      </c>
      <c r="G525" s="74"/>
      <c r="H525" s="74"/>
      <c r="I525" s="74"/>
    </row>
    <row r="526" spans="1:9" x14ac:dyDescent="0.25">
      <c r="B526" s="78" t="str">
        <f xml:space="preserve"> ( 'Facility Detail'!$B$761 + 2 ) &amp; " Surplus Applied to " &amp; ( 'Facility Detail'!$B$761 + 1 )</f>
        <v>2023 Surplus Applied to 2022</v>
      </c>
      <c r="C526" s="71"/>
      <c r="D526" s="64"/>
      <c r="E526" s="70">
        <f>F526</f>
        <v>0</v>
      </c>
      <c r="F526" s="10"/>
      <c r="G526" s="74"/>
      <c r="H526" s="74"/>
      <c r="I526" s="74"/>
    </row>
    <row r="527" spans="1:9" x14ac:dyDescent="0.25">
      <c r="B527" s="78" t="str">
        <f xml:space="preserve"> ( 'Facility Detail'!$B$761 + 2 ) &amp; " Surplus Applied to " &amp; ( 'Facility Detail'!$B$761 + 3 )</f>
        <v>2023 Surplus Applied to 2024</v>
      </c>
      <c r="D527" s="64"/>
      <c r="E527" s="75"/>
      <c r="F527" s="10"/>
      <c r="G527" s="126">
        <f>F527</f>
        <v>0</v>
      </c>
      <c r="H527" s="126">
        <f>G527</f>
        <v>0</v>
      </c>
      <c r="I527" s="126">
        <f>H527</f>
        <v>0</v>
      </c>
    </row>
    <row r="528" spans="1:9" x14ac:dyDescent="0.25">
      <c r="B528" s="78" t="str">
        <f xml:space="preserve"> ( 'Facility Detail'!$B$761 +3 ) &amp; " Surplus Applied to " &amp; ( 'Facility Detail'!$B$761 + 2 )</f>
        <v>2024 Surplus Applied to 2023</v>
      </c>
      <c r="D528" s="65"/>
      <c r="E528" s="76"/>
      <c r="F528" s="62">
        <f>G528</f>
        <v>0</v>
      </c>
      <c r="G528" s="127"/>
      <c r="H528" s="127"/>
      <c r="I528" s="127"/>
    </row>
    <row r="529" spans="1:9" x14ac:dyDescent="0.25">
      <c r="B529" s="78" t="str">
        <f xml:space="preserve"> ( 'Facility Detail'!$B$761 +3 ) &amp; " Surplus Applied to " &amp; ( 'Facility Detail'!$B$761 + 4 )</f>
        <v>2024 Surplus Applied to 2025</v>
      </c>
      <c r="D529" s="130"/>
      <c r="E529" s="130"/>
      <c r="F529" s="19"/>
      <c r="G529" s="131"/>
      <c r="H529" s="131"/>
      <c r="I529" s="131"/>
    </row>
    <row r="530" spans="1:9" x14ac:dyDescent="0.25">
      <c r="B530" s="32" t="s">
        <v>25</v>
      </c>
      <c r="D530" s="7">
        <f xml:space="preserve"> D524 - D523</f>
        <v>0</v>
      </c>
      <c r="E530" s="7">
        <f xml:space="preserve"> E523 + E526 - E525 - E524</f>
        <v>0</v>
      </c>
      <c r="F530" s="7">
        <f>F525+F528-F526-F527</f>
        <v>0</v>
      </c>
      <c r="G530" s="7">
        <f t="shared" ref="G530:I530" si="138">G527-G528</f>
        <v>0</v>
      </c>
      <c r="H530" s="7">
        <f t="shared" si="138"/>
        <v>0</v>
      </c>
      <c r="I530" s="7">
        <f t="shared" si="138"/>
        <v>0</v>
      </c>
    </row>
    <row r="531" spans="1:9" x14ac:dyDescent="0.25">
      <c r="B531" s="6"/>
      <c r="D531" s="7"/>
      <c r="E531" s="7"/>
      <c r="F531" s="7"/>
      <c r="G531" s="7"/>
      <c r="H531" s="7"/>
      <c r="I531" s="7"/>
    </row>
    <row r="532" spans="1:9" x14ac:dyDescent="0.25">
      <c r="B532" s="78" t="s">
        <v>21</v>
      </c>
      <c r="C532" s="71"/>
      <c r="D532" s="96"/>
      <c r="E532" s="97"/>
      <c r="F532" s="98"/>
      <c r="G532" s="98"/>
      <c r="H532" s="98"/>
      <c r="I532" s="98"/>
    </row>
    <row r="533" spans="1:9" x14ac:dyDescent="0.25">
      <c r="B533" s="6"/>
      <c r="D533" s="7"/>
      <c r="E533" s="7"/>
      <c r="F533" s="7"/>
      <c r="G533" s="7"/>
      <c r="H533" s="7"/>
      <c r="I533" s="7"/>
    </row>
    <row r="534" spans="1:9" ht="15.75" x14ac:dyDescent="0.25">
      <c r="A534" s="81" t="s">
        <v>33</v>
      </c>
      <c r="C534" s="71"/>
      <c r="D534" s="43">
        <f t="shared" ref="D534:I534" si="139" xml:space="preserve"> D509 + D514 + D520 + D530 + D532</f>
        <v>5343</v>
      </c>
      <c r="E534" s="44">
        <f t="shared" si="139"/>
        <v>19241</v>
      </c>
      <c r="F534" s="45">
        <f t="shared" si="139"/>
        <v>15192</v>
      </c>
      <c r="G534" s="45">
        <f t="shared" si="139"/>
        <v>15451</v>
      </c>
      <c r="H534" s="45">
        <f t="shared" si="139"/>
        <v>15554</v>
      </c>
      <c r="I534" s="45">
        <f t="shared" si="139"/>
        <v>15554</v>
      </c>
    </row>
    <row r="535" spans="1:9" x14ac:dyDescent="0.25">
      <c r="B535" s="6"/>
      <c r="D535" s="7"/>
      <c r="E535" s="7"/>
      <c r="F535" s="7"/>
      <c r="G535" s="29"/>
      <c r="H535" s="29"/>
      <c r="I535" s="29"/>
    </row>
    <row r="536" spans="1:9" ht="57" customHeight="1" x14ac:dyDescent="0.25">
      <c r="A536" s="160"/>
      <c r="B536" s="160"/>
      <c r="C536" s="160"/>
      <c r="D536" s="160"/>
      <c r="E536" s="160"/>
      <c r="F536" s="160"/>
      <c r="G536" s="160"/>
      <c r="H536" s="160"/>
      <c r="I536" s="160"/>
    </row>
    <row r="537" spans="1:9" ht="15.75" customHeight="1" thickBot="1" x14ac:dyDescent="0.3">
      <c r="G537" s="133"/>
      <c r="H537" s="133"/>
      <c r="I537" s="133"/>
    </row>
    <row r="538" spans="1:9" x14ac:dyDescent="0.25">
      <c r="A538" s="8"/>
      <c r="B538" s="8"/>
      <c r="C538" s="8"/>
      <c r="D538" s="8"/>
      <c r="E538" s="8"/>
      <c r="F538" s="8"/>
      <c r="G538" s="8"/>
      <c r="H538" s="8"/>
      <c r="I538" s="8"/>
    </row>
    <row r="539" spans="1:9" ht="21" x14ac:dyDescent="0.35">
      <c r="A539" s="16" t="s">
        <v>4</v>
      </c>
      <c r="B539" s="16"/>
      <c r="C539" s="154" t="str">
        <f>B16</f>
        <v>Kettle Falls</v>
      </c>
      <c r="D539" s="155"/>
    </row>
    <row r="541" spans="1:9" ht="18.75" x14ac:dyDescent="0.3">
      <c r="A541" s="9" t="s">
        <v>85</v>
      </c>
      <c r="B541" s="9"/>
      <c r="D541" s="2">
        <v>2021</v>
      </c>
      <c r="E541" s="2">
        <f t="shared" ref="E541:I541" si="140">D541+1</f>
        <v>2022</v>
      </c>
      <c r="F541" s="2">
        <f t="shared" si="140"/>
        <v>2023</v>
      </c>
      <c r="G541" s="2">
        <f t="shared" si="140"/>
        <v>2024</v>
      </c>
      <c r="H541" s="2">
        <f t="shared" si="140"/>
        <v>2025</v>
      </c>
      <c r="I541" s="2">
        <f t="shared" si="140"/>
        <v>2026</v>
      </c>
    </row>
    <row r="542" spans="1:9" x14ac:dyDescent="0.25">
      <c r="B542" s="78" t="str">
        <f>"Total MWh Produced / Purchased from " &amp; C539</f>
        <v>Total MWh Produced / Purchased from Kettle Falls</v>
      </c>
      <c r="C542" s="71"/>
      <c r="D542" s="3">
        <v>307858</v>
      </c>
      <c r="E542" s="4">
        <v>288952</v>
      </c>
      <c r="F542" s="5">
        <v>294378</v>
      </c>
      <c r="G542" s="5">
        <v>276919</v>
      </c>
      <c r="H542" s="5">
        <v>282511</v>
      </c>
      <c r="I542" s="5">
        <v>282511</v>
      </c>
    </row>
    <row r="543" spans="1:9" x14ac:dyDescent="0.25">
      <c r="B543" s="78" t="s">
        <v>32</v>
      </c>
      <c r="C543" s="71"/>
      <c r="D543" s="55">
        <v>1</v>
      </c>
      <c r="E543" s="56">
        <v>1</v>
      </c>
      <c r="F543" s="57">
        <v>1</v>
      </c>
      <c r="G543" s="57">
        <v>1</v>
      </c>
      <c r="H543" s="57">
        <v>1</v>
      </c>
      <c r="I543" s="57">
        <v>1</v>
      </c>
    </row>
    <row r="544" spans="1:9" x14ac:dyDescent="0.25">
      <c r="B544" s="78" t="s">
        <v>26</v>
      </c>
      <c r="C544" s="71"/>
      <c r="D544" s="48">
        <v>1</v>
      </c>
      <c r="E544" s="49">
        <v>1</v>
      </c>
      <c r="F544" s="50">
        <v>1</v>
      </c>
      <c r="G544" s="50">
        <v>1</v>
      </c>
      <c r="H544" s="50">
        <v>1</v>
      </c>
      <c r="I544" s="50">
        <v>1</v>
      </c>
    </row>
    <row r="545" spans="1:9" x14ac:dyDescent="0.25">
      <c r="B545" s="32" t="s">
        <v>28</v>
      </c>
      <c r="C545" s="6"/>
      <c r="D545" s="37">
        <f t="shared" ref="D545:I545" si="141" xml:space="preserve"> D542 * D543 * D544</f>
        <v>307858</v>
      </c>
      <c r="E545" s="37">
        <f t="shared" si="141"/>
        <v>288952</v>
      </c>
      <c r="F545" s="37">
        <f t="shared" si="141"/>
        <v>294378</v>
      </c>
      <c r="G545" s="37">
        <f t="shared" si="141"/>
        <v>276919</v>
      </c>
      <c r="H545" s="37">
        <f t="shared" si="141"/>
        <v>282511</v>
      </c>
      <c r="I545" s="37">
        <f t="shared" si="141"/>
        <v>282511</v>
      </c>
    </row>
    <row r="546" spans="1:9" x14ac:dyDescent="0.25">
      <c r="D546" s="36"/>
      <c r="E546" s="36"/>
      <c r="F546" s="36"/>
      <c r="G546" s="36"/>
      <c r="H546" s="36"/>
      <c r="I546" s="36"/>
    </row>
    <row r="547" spans="1:9" ht="18.75" x14ac:dyDescent="0.3">
      <c r="A547" s="9" t="s">
        <v>30</v>
      </c>
      <c r="D547" s="2">
        <f>D541</f>
        <v>2021</v>
      </c>
      <c r="E547" s="2">
        <f t="shared" ref="E547:I547" si="142">D547+1</f>
        <v>2022</v>
      </c>
      <c r="F547" s="2">
        <f t="shared" si="142"/>
        <v>2023</v>
      </c>
      <c r="G547" s="2">
        <f t="shared" si="142"/>
        <v>2024</v>
      </c>
      <c r="H547" s="2">
        <f t="shared" si="142"/>
        <v>2025</v>
      </c>
      <c r="I547" s="2">
        <f t="shared" si="142"/>
        <v>2026</v>
      </c>
    </row>
    <row r="548" spans="1:9" x14ac:dyDescent="0.25">
      <c r="B548" s="78" t="s">
        <v>19</v>
      </c>
      <c r="C548" s="71"/>
      <c r="D548" s="51">
        <f>IF( $E154 = "Eligible", D545 * 'Facility Detail'!$B$758, 0 )</f>
        <v>0</v>
      </c>
      <c r="E548" s="51">
        <f>IF( $E154 = "Eligible", E545 * 'Facility Detail'!$B$758, 0 )</f>
        <v>0</v>
      </c>
      <c r="F548" s="51">
        <f>IF( $E154 = "Eligible", F545 * 'Facility Detail'!$B$758, 0 )</f>
        <v>0</v>
      </c>
      <c r="G548" s="51">
        <f>IF( $E154 = "Eligible", G545 * 'Facility Detail'!$B$758, 0 )</f>
        <v>0</v>
      </c>
      <c r="H548" s="51">
        <f>IF( $E154 = "Eligible", H545 * 'Facility Detail'!$B$758, 0 )</f>
        <v>0</v>
      </c>
      <c r="I548" s="51">
        <f>IF( $E154 = "Eligible", I545 * 'Facility Detail'!$B$758, 0 )</f>
        <v>0</v>
      </c>
    </row>
    <row r="549" spans="1:9" x14ac:dyDescent="0.25">
      <c r="B549" s="78" t="s">
        <v>6</v>
      </c>
      <c r="C549" s="71"/>
      <c r="D549" s="52">
        <f t="shared" ref="D549:I549" si="143">IF( $F16 = "Eligible", D545, 0 )</f>
        <v>0</v>
      </c>
      <c r="E549" s="53">
        <f t="shared" si="143"/>
        <v>0</v>
      </c>
      <c r="F549" s="54">
        <f t="shared" si="143"/>
        <v>0</v>
      </c>
      <c r="G549" s="54">
        <f t="shared" si="143"/>
        <v>0</v>
      </c>
      <c r="H549" s="54">
        <f t="shared" si="143"/>
        <v>0</v>
      </c>
      <c r="I549" s="54">
        <f t="shared" si="143"/>
        <v>0</v>
      </c>
    </row>
    <row r="550" spans="1:9" x14ac:dyDescent="0.25">
      <c r="B550" s="32" t="s">
        <v>37</v>
      </c>
      <c r="C550" s="6"/>
      <c r="D550" s="39">
        <f t="shared" ref="D550:I550" si="144">SUM(D548:D549)</f>
        <v>0</v>
      </c>
      <c r="E550" s="40">
        <f t="shared" si="144"/>
        <v>0</v>
      </c>
      <c r="F550" s="40">
        <f t="shared" si="144"/>
        <v>0</v>
      </c>
      <c r="G550" s="40">
        <f t="shared" si="144"/>
        <v>0</v>
      </c>
      <c r="H550" s="40">
        <f t="shared" si="144"/>
        <v>0</v>
      </c>
      <c r="I550" s="40">
        <f t="shared" si="144"/>
        <v>0</v>
      </c>
    </row>
    <row r="551" spans="1:9" x14ac:dyDescent="0.25">
      <c r="D551" s="38"/>
      <c r="E551" s="30"/>
      <c r="F551" s="30"/>
      <c r="G551" s="30"/>
      <c r="H551" s="30"/>
      <c r="I551" s="30"/>
    </row>
    <row r="552" spans="1:9" ht="18.75" x14ac:dyDescent="0.3">
      <c r="A552" s="9" t="s">
        <v>35</v>
      </c>
      <c r="D552" s="2">
        <f>D541</f>
        <v>2021</v>
      </c>
      <c r="E552" s="2">
        <f t="shared" ref="E552:I552" si="145">D552+1</f>
        <v>2022</v>
      </c>
      <c r="F552" s="2">
        <f t="shared" si="145"/>
        <v>2023</v>
      </c>
      <c r="G552" s="2">
        <f t="shared" si="145"/>
        <v>2024</v>
      </c>
      <c r="H552" s="2">
        <f t="shared" si="145"/>
        <v>2025</v>
      </c>
      <c r="I552" s="2">
        <f t="shared" si="145"/>
        <v>2026</v>
      </c>
    </row>
    <row r="553" spans="1:9" x14ac:dyDescent="0.25">
      <c r="B553" s="78" t="s">
        <v>98</v>
      </c>
      <c r="C553" s="71"/>
      <c r="D553" s="84">
        <v>-114563</v>
      </c>
      <c r="E553" s="85">
        <v>-156279</v>
      </c>
      <c r="F553" s="86">
        <v>-5842</v>
      </c>
      <c r="G553" s="86">
        <v>-100107</v>
      </c>
      <c r="H553" s="86">
        <v>0</v>
      </c>
      <c r="I553" s="86">
        <v>0</v>
      </c>
    </row>
    <row r="554" spans="1:9" x14ac:dyDescent="0.25">
      <c r="B554" s="79" t="s">
        <v>29</v>
      </c>
      <c r="C554" s="80"/>
      <c r="D554" s="87">
        <v>0</v>
      </c>
      <c r="E554" s="88">
        <v>0</v>
      </c>
      <c r="F554" s="89">
        <v>0</v>
      </c>
      <c r="G554" s="89">
        <v>0</v>
      </c>
      <c r="H554" s="89">
        <v>0</v>
      </c>
      <c r="I554" s="89">
        <v>0</v>
      </c>
    </row>
    <row r="555" spans="1:9" x14ac:dyDescent="0.25">
      <c r="B555" s="79" t="s">
        <v>41</v>
      </c>
      <c r="C555"/>
      <c r="D555" s="58"/>
      <c r="E555" s="59"/>
      <c r="F555" s="60"/>
      <c r="G555" s="60"/>
      <c r="H555" s="60"/>
      <c r="I555" s="60"/>
    </row>
    <row r="556" spans="1:9" x14ac:dyDescent="0.25">
      <c r="B556" s="32" t="s">
        <v>42</v>
      </c>
      <c r="D556" s="7">
        <f t="shared" ref="D556:I556" si="146">SUM(D553:D555)</f>
        <v>-114563</v>
      </c>
      <c r="E556" s="7">
        <f t="shared" si="146"/>
        <v>-156279</v>
      </c>
      <c r="F556" s="7">
        <f t="shared" si="146"/>
        <v>-5842</v>
      </c>
      <c r="G556" s="7">
        <f t="shared" si="146"/>
        <v>-100107</v>
      </c>
      <c r="H556" s="7">
        <f t="shared" si="146"/>
        <v>0</v>
      </c>
      <c r="I556" s="7">
        <f t="shared" si="146"/>
        <v>0</v>
      </c>
    </row>
    <row r="557" spans="1:9" x14ac:dyDescent="0.25">
      <c r="B557" s="6"/>
      <c r="D557" s="7"/>
      <c r="E557" s="7"/>
      <c r="F557" s="7"/>
      <c r="G557" s="7"/>
      <c r="H557" s="7"/>
      <c r="I557" s="7"/>
    </row>
    <row r="558" spans="1:9" ht="18.75" x14ac:dyDescent="0.3">
      <c r="A558" s="9" t="s">
        <v>43</v>
      </c>
      <c r="D558" s="2">
        <f>D541</f>
        <v>2021</v>
      </c>
      <c r="E558" s="2">
        <f t="shared" ref="E558:I558" si="147">D558+1</f>
        <v>2022</v>
      </c>
      <c r="F558" s="2">
        <f t="shared" si="147"/>
        <v>2023</v>
      </c>
      <c r="G558" s="2">
        <f t="shared" si="147"/>
        <v>2024</v>
      </c>
      <c r="H558" s="2">
        <f t="shared" si="147"/>
        <v>2025</v>
      </c>
      <c r="I558" s="2">
        <f t="shared" si="147"/>
        <v>2026</v>
      </c>
    </row>
    <row r="559" spans="1:9" x14ac:dyDescent="0.25">
      <c r="B559" s="78" t="str">
        <f xml:space="preserve"> 'Facility Detail'!$B$761 &amp; " Surplus Applied to " &amp; ( 'Facility Detail'!$B$761 + 1 )</f>
        <v>2021 Surplus Applied to 2022</v>
      </c>
      <c r="C559" s="71"/>
      <c r="D559" s="3">
        <v>0</v>
      </c>
      <c r="E559" s="61">
        <f>D559</f>
        <v>0</v>
      </c>
      <c r="F559" s="124"/>
      <c r="G559" s="63"/>
      <c r="H559" s="63"/>
      <c r="I559" s="63"/>
    </row>
    <row r="560" spans="1:9" x14ac:dyDescent="0.25">
      <c r="B560" s="78" t="str">
        <f xml:space="preserve"> ( 'Facility Detail'!$B$761 + 1 ) &amp; " Surplus Applied to " &amp; ( 'Facility Detail'!$B$761 )</f>
        <v>2022 Surplus Applied to 2021</v>
      </c>
      <c r="C560" s="71"/>
      <c r="D560" s="125">
        <v>7485</v>
      </c>
      <c r="E560" s="10"/>
      <c r="F560" s="75"/>
      <c r="G560" s="74"/>
      <c r="H560" s="74"/>
      <c r="I560" s="74"/>
    </row>
    <row r="561" spans="1:9" x14ac:dyDescent="0.25">
      <c r="B561" s="78" t="str">
        <f xml:space="preserve"> ( 'Facility Detail'!$B$761 + 1 ) &amp; " Surplus Applied to " &amp; ( 'Facility Detail'!$B$761 + 2 )</f>
        <v>2022 Surplus Applied to 2023</v>
      </c>
      <c r="C561" s="71"/>
      <c r="D561" s="64"/>
      <c r="E561" s="10"/>
      <c r="F561" s="70">
        <f>E561</f>
        <v>0</v>
      </c>
      <c r="G561" s="74"/>
      <c r="H561" s="74"/>
      <c r="I561" s="74"/>
    </row>
    <row r="562" spans="1:9" x14ac:dyDescent="0.25">
      <c r="B562" s="78" t="str">
        <f xml:space="preserve"> ( 'Facility Detail'!$B$761 + 2 ) &amp; " Surplus Applied to " &amp; ( 'Facility Detail'!$B$761 + 1 )</f>
        <v>2023 Surplus Applied to 2022</v>
      </c>
      <c r="C562" s="71"/>
      <c r="D562" s="64"/>
      <c r="E562" s="70">
        <f>F562</f>
        <v>0</v>
      </c>
      <c r="F562" s="10"/>
      <c r="G562" s="74"/>
      <c r="H562" s="74"/>
      <c r="I562" s="74"/>
    </row>
    <row r="563" spans="1:9" x14ac:dyDescent="0.25">
      <c r="B563" s="78" t="str">
        <f xml:space="preserve"> ( 'Facility Detail'!$B$761 + 2 ) &amp; " Surplus Applied to " &amp; ( 'Facility Detail'!$B$761 + 3 )</f>
        <v>2023 Surplus Applied to 2024</v>
      </c>
      <c r="D563" s="64"/>
      <c r="E563" s="75"/>
      <c r="F563" s="10"/>
      <c r="G563" s="126">
        <f>F563</f>
        <v>0</v>
      </c>
      <c r="H563" s="74"/>
      <c r="I563" s="74">
        <f>H563</f>
        <v>0</v>
      </c>
    </row>
    <row r="564" spans="1:9" x14ac:dyDescent="0.25">
      <c r="B564" s="78" t="str">
        <f xml:space="preserve"> ( 'Facility Detail'!$B$761 +3 ) &amp; " Surplus Applied to " &amp; ( 'Facility Detail'!$B$761 + 2 )</f>
        <v>2024 Surplus Applied to 2023</v>
      </c>
      <c r="D564" s="65"/>
      <c r="E564" s="76"/>
      <c r="F564" s="62">
        <f>G564</f>
        <v>0</v>
      </c>
      <c r="G564" s="10"/>
      <c r="H564" s="74"/>
      <c r="I564" s="74"/>
    </row>
    <row r="565" spans="1:9" x14ac:dyDescent="0.25">
      <c r="B565" s="78" t="str">
        <f xml:space="preserve"> ( 'Facility Detail'!$B$761 +3 ) &amp; " Surplus Applied to " &amp; ( 'Facility Detail'!$B$761 + 4 )</f>
        <v>2024 Surplus Applied to 2025</v>
      </c>
      <c r="D565" s="130"/>
      <c r="E565" s="130"/>
      <c r="F565" s="74"/>
      <c r="G565" s="10"/>
      <c r="H565" s="135">
        <f>G565</f>
        <v>0</v>
      </c>
      <c r="I565" s="74"/>
    </row>
    <row r="566" spans="1:9" x14ac:dyDescent="0.25">
      <c r="B566" s="32" t="s">
        <v>25</v>
      </c>
      <c r="D566" s="7">
        <f xml:space="preserve"> D560 - D559</f>
        <v>7485</v>
      </c>
      <c r="E566" s="7">
        <f xml:space="preserve"> E559 + E562 - E561 - E560</f>
        <v>0</v>
      </c>
      <c r="F566" s="7">
        <f>F561+F564-F562-F563</f>
        <v>0</v>
      </c>
      <c r="G566" s="7">
        <f>G563-G564</f>
        <v>0</v>
      </c>
      <c r="H566" s="7">
        <f>H563-H564</f>
        <v>0</v>
      </c>
      <c r="I566" s="7">
        <v>0</v>
      </c>
    </row>
    <row r="567" spans="1:9" x14ac:dyDescent="0.25">
      <c r="B567" s="6"/>
      <c r="D567" s="7"/>
      <c r="E567" s="7"/>
      <c r="F567" s="7"/>
      <c r="G567" s="7"/>
      <c r="H567" s="7"/>
      <c r="I567" s="7"/>
    </row>
    <row r="568" spans="1:9" x14ac:dyDescent="0.25">
      <c r="B568" s="78" t="s">
        <v>21</v>
      </c>
      <c r="C568" s="71"/>
      <c r="D568" s="96"/>
      <c r="E568" s="97"/>
      <c r="F568" s="98"/>
      <c r="G568" s="98"/>
      <c r="H568" s="98"/>
      <c r="I568" s="98"/>
    </row>
    <row r="569" spans="1:9" x14ac:dyDescent="0.25">
      <c r="B569" s="6"/>
      <c r="D569" s="7"/>
      <c r="E569" s="7"/>
      <c r="F569" s="7"/>
      <c r="G569" s="7"/>
      <c r="H569" s="7"/>
      <c r="I569" s="7"/>
    </row>
    <row r="570" spans="1:9" ht="15.75" x14ac:dyDescent="0.25">
      <c r="A570" s="81" t="s">
        <v>33</v>
      </c>
      <c r="C570" s="71"/>
      <c r="D570" s="43">
        <f t="shared" ref="D570:I570" si="148" xml:space="preserve"> D545 + D550 + D556 + D566 + D568</f>
        <v>200780</v>
      </c>
      <c r="E570" s="44">
        <f t="shared" si="148"/>
        <v>132673</v>
      </c>
      <c r="F570" s="45">
        <f t="shared" si="148"/>
        <v>288536</v>
      </c>
      <c r="G570" s="45">
        <f t="shared" si="148"/>
        <v>176812</v>
      </c>
      <c r="H570" s="45">
        <f t="shared" si="148"/>
        <v>282511</v>
      </c>
      <c r="I570" s="45">
        <f t="shared" si="148"/>
        <v>282511</v>
      </c>
    </row>
    <row r="571" spans="1:9" x14ac:dyDescent="0.25">
      <c r="B571" s="6"/>
      <c r="D571" s="7"/>
      <c r="E571" s="7"/>
      <c r="F571" s="7"/>
      <c r="G571" s="29"/>
      <c r="H571" s="29"/>
      <c r="I571" s="29"/>
    </row>
    <row r="572" spans="1:9" x14ac:dyDescent="0.25">
      <c r="A572" s="1" t="s">
        <v>129</v>
      </c>
      <c r="B572" s="6"/>
      <c r="D572" s="7"/>
      <c r="E572" s="7"/>
      <c r="F572" s="7"/>
      <c r="G572" s="29"/>
      <c r="H572" s="29"/>
      <c r="I572" s="29"/>
    </row>
    <row r="573" spans="1:9" ht="39.75" customHeight="1" thickBot="1" x14ac:dyDescent="0.3">
      <c r="A573" s="163" t="s">
        <v>121</v>
      </c>
      <c r="B573" s="163"/>
      <c r="C573" s="163"/>
      <c r="D573" s="163"/>
      <c r="E573" s="163"/>
      <c r="F573" s="163"/>
      <c r="G573" s="133"/>
      <c r="H573" s="133"/>
      <c r="I573" s="133"/>
    </row>
    <row r="574" spans="1:9" x14ac:dyDescent="0.25">
      <c r="A574" s="8"/>
      <c r="B574" s="8"/>
      <c r="C574" s="8"/>
      <c r="D574" s="8"/>
      <c r="E574" s="8"/>
      <c r="F574" s="8"/>
      <c r="G574" s="8"/>
      <c r="H574" s="8"/>
      <c r="I574" s="8"/>
    </row>
    <row r="575" spans="1:9" ht="21" x14ac:dyDescent="0.35">
      <c r="A575" s="16" t="s">
        <v>4</v>
      </c>
      <c r="B575" s="16"/>
      <c r="C575" s="154" t="str">
        <f>B17</f>
        <v>Boulder Community Solar</v>
      </c>
      <c r="D575" s="155"/>
    </row>
    <row r="577" spans="1:9" ht="18.75" x14ac:dyDescent="0.3">
      <c r="A577" s="9" t="s">
        <v>85</v>
      </c>
      <c r="B577" s="9"/>
      <c r="D577" s="2">
        <v>2021</v>
      </c>
      <c r="E577" s="2">
        <f t="shared" ref="E577:I577" si="149">D577+1</f>
        <v>2022</v>
      </c>
      <c r="F577" s="2">
        <f t="shared" si="149"/>
        <v>2023</v>
      </c>
      <c r="G577" s="2">
        <f t="shared" si="149"/>
        <v>2024</v>
      </c>
      <c r="H577" s="2">
        <f t="shared" si="149"/>
        <v>2025</v>
      </c>
      <c r="I577" s="2">
        <f t="shared" si="149"/>
        <v>2026</v>
      </c>
    </row>
    <row r="578" spans="1:9" x14ac:dyDescent="0.25">
      <c r="B578" s="78" t="str">
        <f>"Total MWh Produced / Purchased from " &amp; C575</f>
        <v>Total MWh Produced / Purchased from Boulder Community Solar</v>
      </c>
      <c r="C578" s="71"/>
      <c r="D578" s="3">
        <v>537</v>
      </c>
      <c r="E578" s="4">
        <v>325</v>
      </c>
      <c r="F578" s="5">
        <v>505</v>
      </c>
      <c r="G578" s="5">
        <v>447</v>
      </c>
      <c r="H578" s="5">
        <v>505</v>
      </c>
      <c r="I578" s="5">
        <v>505</v>
      </c>
    </row>
    <row r="579" spans="1:9" x14ac:dyDescent="0.25">
      <c r="B579" s="78" t="s">
        <v>32</v>
      </c>
      <c r="C579" s="71"/>
      <c r="D579" s="55">
        <v>1</v>
      </c>
      <c r="E579" s="56">
        <v>1</v>
      </c>
      <c r="F579" s="57">
        <v>1</v>
      </c>
      <c r="G579" s="57">
        <v>1</v>
      </c>
      <c r="H579" s="57">
        <v>1</v>
      </c>
      <c r="I579" s="57">
        <v>1</v>
      </c>
    </row>
    <row r="580" spans="1:9" x14ac:dyDescent="0.25">
      <c r="B580" s="78" t="s">
        <v>26</v>
      </c>
      <c r="C580" s="71"/>
      <c r="D580" s="48">
        <v>1</v>
      </c>
      <c r="E580" s="49">
        <v>1</v>
      </c>
      <c r="F580" s="50">
        <v>1</v>
      </c>
      <c r="G580" s="50">
        <v>1</v>
      </c>
      <c r="H580" s="50">
        <v>1</v>
      </c>
      <c r="I580" s="50">
        <v>1</v>
      </c>
    </row>
    <row r="581" spans="1:9" x14ac:dyDescent="0.25">
      <c r="B581" s="32" t="s">
        <v>28</v>
      </c>
      <c r="C581" s="6"/>
      <c r="D581" s="37">
        <f t="shared" ref="D581:I581" si="150" xml:space="preserve"> D578 * D579 * D580</f>
        <v>537</v>
      </c>
      <c r="E581" s="37">
        <f t="shared" si="150"/>
        <v>325</v>
      </c>
      <c r="F581" s="37">
        <f t="shared" si="150"/>
        <v>505</v>
      </c>
      <c r="G581" s="37">
        <f t="shared" si="150"/>
        <v>447</v>
      </c>
      <c r="H581" s="37">
        <f t="shared" si="150"/>
        <v>505</v>
      </c>
      <c r="I581" s="37">
        <f t="shared" si="150"/>
        <v>505</v>
      </c>
    </row>
    <row r="582" spans="1:9" x14ac:dyDescent="0.25">
      <c r="D582" s="36"/>
      <c r="E582" s="36"/>
      <c r="F582" s="36"/>
      <c r="G582" s="36"/>
      <c r="H582" s="36"/>
      <c r="I582" s="36"/>
    </row>
    <row r="583" spans="1:9" ht="18.75" x14ac:dyDescent="0.3">
      <c r="A583" s="9" t="s">
        <v>30</v>
      </c>
      <c r="D583" s="2">
        <f>D577</f>
        <v>2021</v>
      </c>
      <c r="E583" s="2">
        <f t="shared" ref="E583:I583" si="151">D583+1</f>
        <v>2022</v>
      </c>
      <c r="F583" s="2">
        <f t="shared" si="151"/>
        <v>2023</v>
      </c>
      <c r="G583" s="2">
        <f t="shared" si="151"/>
        <v>2024</v>
      </c>
      <c r="H583" s="2">
        <f t="shared" si="151"/>
        <v>2025</v>
      </c>
      <c r="I583" s="2">
        <f t="shared" si="151"/>
        <v>2026</v>
      </c>
    </row>
    <row r="584" spans="1:9" x14ac:dyDescent="0.25">
      <c r="B584" s="78" t="s">
        <v>19</v>
      </c>
      <c r="C584" s="71"/>
      <c r="D584" s="51">
        <f>IF( $E194 = "Eligible", D581 * 'Facility Detail'!$B$758, 0 )</f>
        <v>0</v>
      </c>
      <c r="E584" s="51">
        <f>IF( $E194 = "Eligible", E581 * 'Facility Detail'!$B$758, 0 )</f>
        <v>0</v>
      </c>
      <c r="F584" s="51">
        <f>IF( $E194 = "Eligible", F581 * 'Facility Detail'!$B$758, 0 )</f>
        <v>0</v>
      </c>
      <c r="G584" s="51">
        <f>IF( $E194 = "Eligible", G581 * 'Facility Detail'!$B$758, 0 )</f>
        <v>0</v>
      </c>
      <c r="H584" s="51">
        <f>IF( $E194 = "Eligible", H581 * 'Facility Detail'!$B$758, 0 )</f>
        <v>0</v>
      </c>
      <c r="I584" s="51">
        <f>IF( $E194 = "Eligible", I581 * 'Facility Detail'!$B$758, 0 )</f>
        <v>0</v>
      </c>
    </row>
    <row r="585" spans="1:9" x14ac:dyDescent="0.25">
      <c r="B585" s="78" t="s">
        <v>6</v>
      </c>
      <c r="C585" s="71"/>
      <c r="D585" s="52"/>
      <c r="E585" s="53">
        <f>IF( $F17 = "Eligible", E581, 0 )</f>
        <v>325</v>
      </c>
      <c r="F585" s="54">
        <f>IF( $F17 = "Eligible", F581, 0 )</f>
        <v>505</v>
      </c>
      <c r="G585" s="54">
        <f>IF( $F17 = "Eligible", G581, 0 )</f>
        <v>447</v>
      </c>
      <c r="H585" s="54">
        <f>IF( $F17 = "Eligible", H581, 0 )</f>
        <v>505</v>
      </c>
      <c r="I585" s="54">
        <f>IF( $F17 = "Eligible", I581, 0 )</f>
        <v>505</v>
      </c>
    </row>
    <row r="586" spans="1:9" x14ac:dyDescent="0.25">
      <c r="B586" s="32" t="s">
        <v>37</v>
      </c>
      <c r="C586" s="6"/>
      <c r="D586" s="39">
        <f t="shared" ref="D586:I586" si="152">SUM(D584:D585)</f>
        <v>0</v>
      </c>
      <c r="E586" s="40">
        <f t="shared" si="152"/>
        <v>325</v>
      </c>
      <c r="F586" s="40">
        <f t="shared" si="152"/>
        <v>505</v>
      </c>
      <c r="G586" s="40">
        <f t="shared" si="152"/>
        <v>447</v>
      </c>
      <c r="H586" s="40">
        <f t="shared" si="152"/>
        <v>505</v>
      </c>
      <c r="I586" s="40">
        <f t="shared" si="152"/>
        <v>505</v>
      </c>
    </row>
    <row r="587" spans="1:9" x14ac:dyDescent="0.25">
      <c r="D587" s="38"/>
      <c r="E587" s="30"/>
      <c r="F587" s="30"/>
      <c r="G587" s="30"/>
      <c r="H587" s="30"/>
      <c r="I587" s="30"/>
    </row>
    <row r="588" spans="1:9" ht="18.75" x14ac:dyDescent="0.3">
      <c r="A588" s="9" t="s">
        <v>35</v>
      </c>
      <c r="D588" s="2">
        <f>D577</f>
        <v>2021</v>
      </c>
      <c r="E588" s="2">
        <f t="shared" ref="E588:I588" si="153">D588+1</f>
        <v>2022</v>
      </c>
      <c r="F588" s="2">
        <f t="shared" si="153"/>
        <v>2023</v>
      </c>
      <c r="G588" s="2">
        <f t="shared" si="153"/>
        <v>2024</v>
      </c>
      <c r="H588" s="2">
        <f t="shared" si="153"/>
        <v>2025</v>
      </c>
      <c r="I588" s="2">
        <f t="shared" si="153"/>
        <v>2026</v>
      </c>
    </row>
    <row r="589" spans="1:9" x14ac:dyDescent="0.25">
      <c r="B589" s="78" t="s">
        <v>98</v>
      </c>
      <c r="C589" s="71"/>
      <c r="D589" s="84">
        <v>0</v>
      </c>
      <c r="E589" s="85">
        <v>0</v>
      </c>
      <c r="F589" s="86">
        <v>0</v>
      </c>
      <c r="G589" s="86">
        <v>0</v>
      </c>
      <c r="H589" s="86">
        <v>0</v>
      </c>
      <c r="I589" s="86"/>
    </row>
    <row r="590" spans="1:9" x14ac:dyDescent="0.25">
      <c r="B590" s="79" t="s">
        <v>29</v>
      </c>
      <c r="C590" s="80"/>
      <c r="D590" s="87">
        <v>0</v>
      </c>
      <c r="E590" s="88">
        <v>0</v>
      </c>
      <c r="F590" s="89">
        <v>0</v>
      </c>
      <c r="G590" s="89">
        <v>0</v>
      </c>
      <c r="H590" s="89">
        <v>0</v>
      </c>
      <c r="I590" s="89">
        <v>0</v>
      </c>
    </row>
    <row r="591" spans="1:9" x14ac:dyDescent="0.25">
      <c r="B591" s="79" t="s">
        <v>41</v>
      </c>
      <c r="C591"/>
      <c r="D591" s="58"/>
      <c r="E591" s="59"/>
      <c r="F591" s="60">
        <v>0</v>
      </c>
      <c r="G591" s="60">
        <v>0</v>
      </c>
      <c r="H591" s="60">
        <v>0</v>
      </c>
      <c r="I591" s="60"/>
    </row>
    <row r="592" spans="1:9" x14ac:dyDescent="0.25">
      <c r="B592" s="32" t="s">
        <v>42</v>
      </c>
      <c r="D592" s="7">
        <f t="shared" ref="D592:I592" si="154">SUM(D589:D591)</f>
        <v>0</v>
      </c>
      <c r="E592" s="7">
        <f t="shared" si="154"/>
        <v>0</v>
      </c>
      <c r="F592" s="7">
        <f t="shared" si="154"/>
        <v>0</v>
      </c>
      <c r="G592" s="7">
        <f t="shared" si="154"/>
        <v>0</v>
      </c>
      <c r="H592" s="7">
        <f t="shared" si="154"/>
        <v>0</v>
      </c>
      <c r="I592" s="7">
        <f t="shared" si="154"/>
        <v>0</v>
      </c>
    </row>
    <row r="593" spans="1:9" x14ac:dyDescent="0.25">
      <c r="B593" s="6"/>
      <c r="D593" s="7"/>
      <c r="E593" s="7"/>
      <c r="F593" s="7"/>
      <c r="G593" s="7"/>
      <c r="H593" s="7"/>
      <c r="I593" s="7"/>
    </row>
    <row r="594" spans="1:9" ht="18.75" x14ac:dyDescent="0.3">
      <c r="A594" s="9" t="s">
        <v>43</v>
      </c>
      <c r="D594" s="2">
        <f>D577</f>
        <v>2021</v>
      </c>
      <c r="E594" s="2">
        <f t="shared" ref="E594:I594" si="155">D594+1</f>
        <v>2022</v>
      </c>
      <c r="F594" s="2">
        <f t="shared" si="155"/>
        <v>2023</v>
      </c>
      <c r="G594" s="2">
        <f t="shared" si="155"/>
        <v>2024</v>
      </c>
      <c r="H594" s="2">
        <f t="shared" si="155"/>
        <v>2025</v>
      </c>
      <c r="I594" s="2">
        <f t="shared" si="155"/>
        <v>2026</v>
      </c>
    </row>
    <row r="595" spans="1:9" x14ac:dyDescent="0.25">
      <c r="B595" s="78" t="str">
        <f xml:space="preserve"> 'Facility Detail'!$B$761 &amp; " Surplus Applied to " &amp; ( 'Facility Detail'!$B$761 + 1 )</f>
        <v>2021 Surplus Applied to 2022</v>
      </c>
      <c r="C595" s="71"/>
      <c r="D595" s="3"/>
      <c r="E595" s="61">
        <f>D595</f>
        <v>0</v>
      </c>
      <c r="F595" s="124"/>
      <c r="G595" s="63"/>
      <c r="H595" s="63"/>
      <c r="I595" s="63"/>
    </row>
    <row r="596" spans="1:9" x14ac:dyDescent="0.25">
      <c r="B596" s="78" t="str">
        <f xml:space="preserve"> ( 'Facility Detail'!$B$761 + 1 ) &amp; " Surplus Applied to " &amp; ( 'Facility Detail'!$B$761 )</f>
        <v>2022 Surplus Applied to 2021</v>
      </c>
      <c r="C596" s="71"/>
      <c r="D596" s="125">
        <f>E596</f>
        <v>0</v>
      </c>
      <c r="E596" s="10"/>
      <c r="F596" s="75"/>
      <c r="G596" s="74"/>
      <c r="H596" s="74"/>
      <c r="I596" s="74"/>
    </row>
    <row r="597" spans="1:9" x14ac:dyDescent="0.25">
      <c r="B597" s="78" t="str">
        <f xml:space="preserve"> ( 'Facility Detail'!$B$761 + 1 ) &amp; " Surplus Applied to " &amp; ( 'Facility Detail'!$B$761 + 2 )</f>
        <v>2022 Surplus Applied to 2023</v>
      </c>
      <c r="C597" s="71"/>
      <c r="D597" s="64"/>
      <c r="E597" s="10"/>
      <c r="F597" s="70">
        <f>E597</f>
        <v>0</v>
      </c>
      <c r="G597" s="74"/>
      <c r="H597" s="74"/>
      <c r="I597" s="74"/>
    </row>
    <row r="598" spans="1:9" x14ac:dyDescent="0.25">
      <c r="B598" s="78" t="str">
        <f xml:space="preserve"> ( 'Facility Detail'!$B$761 + 2 ) &amp; " Surplus Applied to " &amp; ( 'Facility Detail'!$B$761 + 1 )</f>
        <v>2023 Surplus Applied to 2022</v>
      </c>
      <c r="C598" s="71"/>
      <c r="D598" s="64"/>
      <c r="E598" s="70">
        <f>F598</f>
        <v>0</v>
      </c>
      <c r="F598" s="10"/>
      <c r="G598" s="74"/>
      <c r="H598" s="74"/>
      <c r="I598" s="74"/>
    </row>
    <row r="599" spans="1:9" x14ac:dyDescent="0.25">
      <c r="B599" s="78" t="str">
        <f xml:space="preserve"> ( 'Facility Detail'!$B$761 + 2 ) &amp; " Surplus Applied to " &amp; ( 'Facility Detail'!$B$761 + 3 )</f>
        <v>2023 Surplus Applied to 2024</v>
      </c>
      <c r="D599" s="64"/>
      <c r="E599" s="75"/>
      <c r="F599" s="10"/>
      <c r="G599" s="126">
        <f>F599</f>
        <v>0</v>
      </c>
      <c r="H599" s="74"/>
      <c r="I599" s="74">
        <f>H599</f>
        <v>0</v>
      </c>
    </row>
    <row r="600" spans="1:9" x14ac:dyDescent="0.25">
      <c r="B600" s="78" t="str">
        <f xml:space="preserve"> ( 'Facility Detail'!$B$761 +3 ) &amp; " Surplus Applied to " &amp; ( 'Facility Detail'!$B$761 + 2 )</f>
        <v>2024 Surplus Applied to 2023</v>
      </c>
      <c r="D600" s="65"/>
      <c r="E600" s="76"/>
      <c r="F600" s="62">
        <f>G600</f>
        <v>0</v>
      </c>
      <c r="G600" s="10"/>
      <c r="H600" s="74"/>
      <c r="I600" s="74"/>
    </row>
    <row r="601" spans="1:9" x14ac:dyDescent="0.25">
      <c r="B601" s="78" t="str">
        <f xml:space="preserve"> ( 'Facility Detail'!$B$761 +3 ) &amp; " Surplus Applied to " &amp; ( 'Facility Detail'!$B$761 + 4 )</f>
        <v>2024 Surplus Applied to 2025</v>
      </c>
      <c r="D601" s="130"/>
      <c r="E601" s="130"/>
      <c r="F601" s="74"/>
      <c r="G601" s="10"/>
      <c r="H601" s="135">
        <f>G601</f>
        <v>0</v>
      </c>
      <c r="I601" s="74"/>
    </row>
    <row r="602" spans="1:9" x14ac:dyDescent="0.25">
      <c r="B602" s="32" t="s">
        <v>25</v>
      </c>
      <c r="D602" s="7">
        <f xml:space="preserve"> D596 - D595</f>
        <v>0</v>
      </c>
      <c r="E602" s="7">
        <f xml:space="preserve"> E595 + E598 - E597 - E596</f>
        <v>0</v>
      </c>
      <c r="F602" s="7">
        <f>F597+F600-F598-F599</f>
        <v>0</v>
      </c>
      <c r="G602" s="7">
        <f>G599-G600</f>
        <v>0</v>
      </c>
      <c r="H602" s="7">
        <f>H599-H600</f>
        <v>0</v>
      </c>
      <c r="I602" s="7">
        <f>I599-I600</f>
        <v>0</v>
      </c>
    </row>
    <row r="603" spans="1:9" x14ac:dyDescent="0.25">
      <c r="B603" s="6"/>
      <c r="D603" s="7"/>
      <c r="E603" s="7"/>
      <c r="F603" s="7"/>
      <c r="G603" s="7"/>
      <c r="H603" s="7"/>
      <c r="I603" s="7"/>
    </row>
    <row r="604" spans="1:9" x14ac:dyDescent="0.25">
      <c r="B604" s="78" t="s">
        <v>21</v>
      </c>
      <c r="C604" s="71"/>
      <c r="D604" s="96"/>
      <c r="E604" s="97"/>
      <c r="F604" s="98"/>
      <c r="G604" s="98"/>
      <c r="H604" s="98"/>
      <c r="I604" s="98"/>
    </row>
    <row r="605" spans="1:9" x14ac:dyDescent="0.25">
      <c r="B605" s="6"/>
      <c r="D605" s="7"/>
      <c r="E605" s="7"/>
      <c r="F605" s="7"/>
      <c r="G605" s="7"/>
      <c r="H605" s="7"/>
      <c r="I605" s="7"/>
    </row>
    <row r="606" spans="1:9" ht="15.75" x14ac:dyDescent="0.25">
      <c r="A606" s="81" t="s">
        <v>33</v>
      </c>
      <c r="C606" s="71"/>
      <c r="D606" s="43">
        <f t="shared" ref="D606:I606" si="156" xml:space="preserve"> D581 + D586 + D592 + D602 + D604</f>
        <v>537</v>
      </c>
      <c r="E606" s="44">
        <f t="shared" si="156"/>
        <v>650</v>
      </c>
      <c r="F606" s="45">
        <f t="shared" si="156"/>
        <v>1010</v>
      </c>
      <c r="G606" s="45">
        <f t="shared" si="156"/>
        <v>894</v>
      </c>
      <c r="H606" s="45">
        <f t="shared" si="156"/>
        <v>1010</v>
      </c>
      <c r="I606" s="45">
        <f t="shared" si="156"/>
        <v>1010</v>
      </c>
    </row>
    <row r="607" spans="1:9" x14ac:dyDescent="0.25">
      <c r="B607" s="6"/>
      <c r="D607" s="7"/>
      <c r="E607" s="7"/>
      <c r="F607" s="7"/>
      <c r="G607" s="29"/>
      <c r="H607" s="29"/>
      <c r="I607" s="29"/>
    </row>
    <row r="608" spans="1:9" ht="39.75" customHeight="1" x14ac:dyDescent="0.25">
      <c r="A608" s="159" t="s">
        <v>116</v>
      </c>
      <c r="B608" s="159"/>
      <c r="C608" s="159"/>
      <c r="D608" s="159"/>
      <c r="E608" s="159"/>
      <c r="F608" s="159"/>
      <c r="G608" s="29"/>
      <c r="H608" s="29"/>
      <c r="I608" s="29"/>
    </row>
    <row r="609" spans="1:9" ht="15.75" customHeight="1" thickBot="1" x14ac:dyDescent="0.3">
      <c r="A609" s="163" t="s">
        <v>118</v>
      </c>
      <c r="B609" s="163"/>
      <c r="C609" s="163"/>
      <c r="D609" s="163"/>
      <c r="E609" s="163"/>
      <c r="F609" s="163"/>
      <c r="G609" s="133"/>
      <c r="H609" s="133"/>
      <c r="I609" s="133"/>
    </row>
    <row r="610" spans="1:9" x14ac:dyDescent="0.25">
      <c r="A610" s="8"/>
      <c r="B610" s="8"/>
      <c r="C610" s="8"/>
      <c r="D610" s="8"/>
      <c r="E610" s="8"/>
      <c r="F610" s="8"/>
      <c r="G610" s="8"/>
      <c r="H610" s="8"/>
      <c r="I610" s="8"/>
    </row>
    <row r="611" spans="1:9" ht="21" x14ac:dyDescent="0.35">
      <c r="A611" s="16" t="s">
        <v>4</v>
      </c>
      <c r="B611" s="16"/>
      <c r="C611" s="154" t="str">
        <f>B18</f>
        <v>Rathdrum Solar</v>
      </c>
      <c r="D611" s="155"/>
    </row>
    <row r="613" spans="1:9" ht="18.75" x14ac:dyDescent="0.3">
      <c r="A613" s="9" t="s">
        <v>85</v>
      </c>
      <c r="B613" s="9"/>
      <c r="D613" s="2">
        <v>2021</v>
      </c>
      <c r="E613" s="2">
        <f t="shared" ref="E613" si="157">D613+1</f>
        <v>2022</v>
      </c>
      <c r="F613" s="2">
        <f t="shared" ref="F613" si="158">E613+1</f>
        <v>2023</v>
      </c>
      <c r="G613" s="2">
        <f t="shared" ref="G613" si="159">F613+1</f>
        <v>2024</v>
      </c>
      <c r="H613" s="2">
        <f t="shared" ref="H613" si="160">G613+1</f>
        <v>2025</v>
      </c>
      <c r="I613" s="2">
        <f t="shared" ref="I613" si="161">H613+1</f>
        <v>2026</v>
      </c>
    </row>
    <row r="614" spans="1:9" x14ac:dyDescent="0.25">
      <c r="B614" s="78" t="str">
        <f>"Total MWh Produced / Purchased from " &amp; C611</f>
        <v>Total MWh Produced / Purchased from Rathdrum Solar</v>
      </c>
      <c r="C614" s="71"/>
      <c r="D614" s="3">
        <v>19</v>
      </c>
      <c r="E614" s="4">
        <v>19</v>
      </c>
      <c r="F614" s="5">
        <v>19</v>
      </c>
      <c r="G614" s="5">
        <v>19</v>
      </c>
      <c r="H614" s="5">
        <v>19</v>
      </c>
      <c r="I614" s="5">
        <v>19</v>
      </c>
    </row>
    <row r="615" spans="1:9" x14ac:dyDescent="0.25">
      <c r="B615" s="78" t="s">
        <v>32</v>
      </c>
      <c r="C615" s="71"/>
      <c r="D615" s="55">
        <v>1</v>
      </c>
      <c r="E615" s="56">
        <v>1</v>
      </c>
      <c r="F615" s="57">
        <v>1</v>
      </c>
      <c r="G615" s="57">
        <v>1</v>
      </c>
      <c r="H615" s="57">
        <v>1</v>
      </c>
      <c r="I615" s="57">
        <v>1</v>
      </c>
    </row>
    <row r="616" spans="1:9" x14ac:dyDescent="0.25">
      <c r="B616" s="78" t="s">
        <v>26</v>
      </c>
      <c r="C616" s="71"/>
      <c r="D616" s="48">
        <v>1</v>
      </c>
      <c r="E616" s="49">
        <v>1</v>
      </c>
      <c r="F616" s="50">
        <v>1</v>
      </c>
      <c r="G616" s="50">
        <v>1</v>
      </c>
      <c r="H616" s="50">
        <v>1</v>
      </c>
      <c r="I616" s="50">
        <v>1</v>
      </c>
    </row>
    <row r="617" spans="1:9" x14ac:dyDescent="0.25">
      <c r="B617" s="32" t="s">
        <v>28</v>
      </c>
      <c r="C617" s="6"/>
      <c r="D617" s="37">
        <f t="shared" ref="D617:I617" si="162" xml:space="preserve"> D614 * D615 * D616</f>
        <v>19</v>
      </c>
      <c r="E617" s="37">
        <f t="shared" si="162"/>
        <v>19</v>
      </c>
      <c r="F617" s="37">
        <f t="shared" si="162"/>
        <v>19</v>
      </c>
      <c r="G617" s="37">
        <f t="shared" si="162"/>
        <v>19</v>
      </c>
      <c r="H617" s="37">
        <f t="shared" si="162"/>
        <v>19</v>
      </c>
      <c r="I617" s="37">
        <f t="shared" si="162"/>
        <v>19</v>
      </c>
    </row>
    <row r="618" spans="1:9" x14ac:dyDescent="0.25">
      <c r="D618" s="36"/>
      <c r="E618" s="36"/>
      <c r="F618" s="36"/>
      <c r="G618" s="36"/>
      <c r="H618" s="36"/>
      <c r="I618" s="36"/>
    </row>
    <row r="619" spans="1:9" ht="18.75" x14ac:dyDescent="0.3">
      <c r="A619" s="9" t="s">
        <v>30</v>
      </c>
      <c r="D619" s="2">
        <f>D613</f>
        <v>2021</v>
      </c>
      <c r="E619" s="2">
        <f t="shared" ref="E619" si="163">D619+1</f>
        <v>2022</v>
      </c>
      <c r="F619" s="2">
        <f t="shared" ref="F619" si="164">E619+1</f>
        <v>2023</v>
      </c>
      <c r="G619" s="2">
        <f t="shared" ref="G619" si="165">F619+1</f>
        <v>2024</v>
      </c>
      <c r="H619" s="2">
        <f t="shared" ref="H619" si="166">G619+1</f>
        <v>2025</v>
      </c>
      <c r="I619" s="2">
        <f t="shared" ref="I619" si="167">H619+1</f>
        <v>2026</v>
      </c>
    </row>
    <row r="620" spans="1:9" x14ac:dyDescent="0.25">
      <c r="B620" s="78" t="s">
        <v>19</v>
      </c>
      <c r="C620" s="71"/>
      <c r="D620" s="51">
        <f>IF( $E234 = "Eligible", D617 * 'Facility Detail'!$B$758, 0 )</f>
        <v>0</v>
      </c>
      <c r="E620" s="51">
        <f>IF( $E234 = "Eligible", E617 * 'Facility Detail'!$B$758, 0 )</f>
        <v>0</v>
      </c>
      <c r="F620" s="51">
        <f>IF( $E234 = "Eligible", F617 * 'Facility Detail'!$B$758, 0 )</f>
        <v>0</v>
      </c>
      <c r="G620" s="51">
        <f>IF( $E234 = "Eligible", G617 * 'Facility Detail'!$B$758, 0 )</f>
        <v>0</v>
      </c>
      <c r="H620" s="51">
        <f>IF( $E234 = "Eligible", H617 * 'Facility Detail'!$B$758, 0 )</f>
        <v>0</v>
      </c>
      <c r="I620" s="51">
        <f>IF( $E234 = "Eligible", I617 * 'Facility Detail'!$B$758, 0 )</f>
        <v>0</v>
      </c>
    </row>
    <row r="621" spans="1:9" x14ac:dyDescent="0.25">
      <c r="B621" s="78" t="s">
        <v>6</v>
      </c>
      <c r="C621" s="71"/>
      <c r="D621" s="52">
        <f t="shared" ref="D621:I621" si="168">IF( $F18 = "Eligible", D617, 0 )</f>
        <v>19</v>
      </c>
      <c r="E621" s="53">
        <f t="shared" si="168"/>
        <v>19</v>
      </c>
      <c r="F621" s="54">
        <f t="shared" si="168"/>
        <v>19</v>
      </c>
      <c r="G621" s="54">
        <f t="shared" si="168"/>
        <v>19</v>
      </c>
      <c r="H621" s="54">
        <f t="shared" si="168"/>
        <v>19</v>
      </c>
      <c r="I621" s="54">
        <f t="shared" si="168"/>
        <v>19</v>
      </c>
    </row>
    <row r="622" spans="1:9" x14ac:dyDescent="0.25">
      <c r="B622" s="32" t="s">
        <v>37</v>
      </c>
      <c r="C622" s="6"/>
      <c r="D622" s="39">
        <f t="shared" ref="D622:I622" si="169">SUM(D620:D621)</f>
        <v>19</v>
      </c>
      <c r="E622" s="40">
        <f t="shared" si="169"/>
        <v>19</v>
      </c>
      <c r="F622" s="40">
        <f t="shared" si="169"/>
        <v>19</v>
      </c>
      <c r="G622" s="40">
        <f t="shared" si="169"/>
        <v>19</v>
      </c>
      <c r="H622" s="40">
        <f t="shared" si="169"/>
        <v>19</v>
      </c>
      <c r="I622" s="40">
        <f t="shared" si="169"/>
        <v>19</v>
      </c>
    </row>
    <row r="623" spans="1:9" x14ac:dyDescent="0.25">
      <c r="D623" s="38"/>
      <c r="E623" s="30"/>
      <c r="F623" s="30"/>
      <c r="G623" s="30"/>
      <c r="H623" s="30"/>
      <c r="I623" s="30"/>
    </row>
    <row r="624" spans="1:9" ht="18.75" x14ac:dyDescent="0.3">
      <c r="A624" s="9" t="s">
        <v>35</v>
      </c>
      <c r="D624" s="2">
        <f>D613</f>
        <v>2021</v>
      </c>
      <c r="E624" s="2">
        <f t="shared" ref="E624" si="170">D624+1</f>
        <v>2022</v>
      </c>
      <c r="F624" s="2">
        <f t="shared" ref="F624" si="171">E624+1</f>
        <v>2023</v>
      </c>
      <c r="G624" s="2">
        <f t="shared" ref="G624" si="172">F624+1</f>
        <v>2024</v>
      </c>
      <c r="H624" s="2">
        <f t="shared" ref="H624" si="173">G624+1</f>
        <v>2025</v>
      </c>
      <c r="I624" s="2">
        <f t="shared" ref="I624" si="174">H624+1</f>
        <v>2026</v>
      </c>
    </row>
    <row r="625" spans="1:9" x14ac:dyDescent="0.25">
      <c r="B625" s="78" t="s">
        <v>98</v>
      </c>
      <c r="C625" s="71"/>
      <c r="D625" s="84">
        <v>-19</v>
      </c>
      <c r="E625" s="85">
        <v>-19</v>
      </c>
      <c r="F625" s="86">
        <v>-19</v>
      </c>
      <c r="G625" s="86">
        <v>-19</v>
      </c>
      <c r="H625" s="86">
        <v>-19</v>
      </c>
      <c r="I625" s="86">
        <v>-19</v>
      </c>
    </row>
    <row r="626" spans="1:9" x14ac:dyDescent="0.25">
      <c r="B626" s="79" t="s">
        <v>29</v>
      </c>
      <c r="C626" s="80"/>
      <c r="D626" s="87">
        <v>0</v>
      </c>
      <c r="E626" s="88">
        <v>0</v>
      </c>
      <c r="F626" s="89">
        <v>0</v>
      </c>
      <c r="G626" s="89">
        <v>0</v>
      </c>
      <c r="H626" s="89">
        <v>0</v>
      </c>
      <c r="I626" s="89">
        <v>0</v>
      </c>
    </row>
    <row r="627" spans="1:9" x14ac:dyDescent="0.25">
      <c r="B627" s="79" t="s">
        <v>41</v>
      </c>
      <c r="C627"/>
      <c r="D627" s="58">
        <v>-19</v>
      </c>
      <c r="E627" s="59">
        <v>-19</v>
      </c>
      <c r="F627" s="60">
        <v>-19</v>
      </c>
      <c r="G627" s="60">
        <v>-19</v>
      </c>
      <c r="H627" s="60">
        <v>-19</v>
      </c>
      <c r="I627" s="60">
        <v>-19</v>
      </c>
    </row>
    <row r="628" spans="1:9" x14ac:dyDescent="0.25">
      <c r="B628" s="32" t="s">
        <v>42</v>
      </c>
      <c r="D628" s="7">
        <f t="shared" ref="D628:I628" si="175">SUM(D625:D627)</f>
        <v>-38</v>
      </c>
      <c r="E628" s="7">
        <f t="shared" si="175"/>
        <v>-38</v>
      </c>
      <c r="F628" s="7">
        <f t="shared" si="175"/>
        <v>-38</v>
      </c>
      <c r="G628" s="7">
        <f t="shared" si="175"/>
        <v>-38</v>
      </c>
      <c r="H628" s="7">
        <f t="shared" si="175"/>
        <v>-38</v>
      </c>
      <c r="I628" s="7">
        <f t="shared" si="175"/>
        <v>-38</v>
      </c>
    </row>
    <row r="629" spans="1:9" x14ac:dyDescent="0.25">
      <c r="B629" s="6"/>
      <c r="D629" s="7"/>
      <c r="E629" s="7"/>
      <c r="F629" s="7"/>
      <c r="G629" s="7"/>
      <c r="H629" s="7"/>
      <c r="I629" s="7"/>
    </row>
    <row r="630" spans="1:9" ht="18.75" x14ac:dyDescent="0.3">
      <c r="A630" s="9" t="s">
        <v>43</v>
      </c>
      <c r="D630" s="2">
        <f>D613</f>
        <v>2021</v>
      </c>
      <c r="E630" s="2">
        <f t="shared" ref="E630" si="176">D630+1</f>
        <v>2022</v>
      </c>
      <c r="F630" s="2">
        <f t="shared" ref="F630" si="177">E630+1</f>
        <v>2023</v>
      </c>
      <c r="G630" s="2">
        <f t="shared" ref="G630" si="178">F630+1</f>
        <v>2024</v>
      </c>
      <c r="H630" s="2">
        <f t="shared" ref="H630" si="179">G630+1</f>
        <v>2025</v>
      </c>
      <c r="I630" s="2">
        <f t="shared" ref="I630" si="180">H630+1</f>
        <v>2026</v>
      </c>
    </row>
    <row r="631" spans="1:9" x14ac:dyDescent="0.25">
      <c r="B631" s="78" t="str">
        <f xml:space="preserve"> 'Facility Detail'!$B$761 &amp; " Surplus Applied to " &amp; ( 'Facility Detail'!$B$761 + 1 )</f>
        <v>2021 Surplus Applied to 2022</v>
      </c>
      <c r="C631" s="71"/>
      <c r="D631" s="3"/>
      <c r="E631" s="61">
        <f>D631</f>
        <v>0</v>
      </c>
      <c r="F631" s="124"/>
      <c r="G631" s="63"/>
      <c r="H631" s="63"/>
      <c r="I631" s="63"/>
    </row>
    <row r="632" spans="1:9" x14ac:dyDescent="0.25">
      <c r="B632" s="78" t="str">
        <f xml:space="preserve"> ( 'Facility Detail'!$B$761 + 1 ) &amp; " Surplus Applied to " &amp; ( 'Facility Detail'!$B$761 )</f>
        <v>2022 Surplus Applied to 2021</v>
      </c>
      <c r="C632" s="71"/>
      <c r="D632" s="125">
        <f>E632</f>
        <v>0</v>
      </c>
      <c r="E632" s="10"/>
      <c r="F632" s="75"/>
      <c r="G632" s="74"/>
      <c r="H632" s="74"/>
      <c r="I632" s="74"/>
    </row>
    <row r="633" spans="1:9" x14ac:dyDescent="0.25">
      <c r="B633" s="78" t="str">
        <f xml:space="preserve"> ( 'Facility Detail'!$B$761 + 1 ) &amp; " Surplus Applied to " &amp; ( 'Facility Detail'!$B$761 + 2 )</f>
        <v>2022 Surplus Applied to 2023</v>
      </c>
      <c r="C633" s="71"/>
      <c r="D633" s="64"/>
      <c r="E633" s="10"/>
      <c r="F633" s="70">
        <f>E633</f>
        <v>0</v>
      </c>
      <c r="G633" s="74"/>
      <c r="H633" s="74"/>
      <c r="I633" s="74"/>
    </row>
    <row r="634" spans="1:9" x14ac:dyDescent="0.25">
      <c r="B634" s="78" t="str">
        <f xml:space="preserve"> ( 'Facility Detail'!$B$761 + 2 ) &amp; " Surplus Applied to " &amp; ( 'Facility Detail'!$B$761 + 1 )</f>
        <v>2023 Surplus Applied to 2022</v>
      </c>
      <c r="C634" s="71"/>
      <c r="D634" s="64"/>
      <c r="E634" s="70">
        <f>F634</f>
        <v>0</v>
      </c>
      <c r="F634" s="10"/>
      <c r="G634" s="74"/>
      <c r="H634" s="74"/>
      <c r="I634" s="74"/>
    </row>
    <row r="635" spans="1:9" x14ac:dyDescent="0.25">
      <c r="B635" s="78" t="str">
        <f xml:space="preserve"> ( 'Facility Detail'!$B$761 + 2 ) &amp; " Surplus Applied to " &amp; ( 'Facility Detail'!$B$761 + 3 )</f>
        <v>2023 Surplus Applied to 2024</v>
      </c>
      <c r="D635" s="64"/>
      <c r="E635" s="75"/>
      <c r="F635" s="10"/>
      <c r="G635" s="126">
        <f>F635</f>
        <v>0</v>
      </c>
      <c r="H635" s="74"/>
      <c r="I635" s="74">
        <f>H635</f>
        <v>0</v>
      </c>
    </row>
    <row r="636" spans="1:9" x14ac:dyDescent="0.25">
      <c r="B636" s="78" t="str">
        <f xml:space="preserve"> ( 'Facility Detail'!$B$761 +3 ) &amp; " Surplus Applied to " &amp; ( 'Facility Detail'!$B$761 + 2 )</f>
        <v>2024 Surplus Applied to 2023</v>
      </c>
      <c r="D636" s="65"/>
      <c r="E636" s="76"/>
      <c r="F636" s="62">
        <f>G636</f>
        <v>0</v>
      </c>
      <c r="G636" s="10"/>
      <c r="H636" s="74"/>
      <c r="I636" s="74"/>
    </row>
    <row r="637" spans="1:9" x14ac:dyDescent="0.25">
      <c r="B637" s="78" t="str">
        <f xml:space="preserve"> ( 'Facility Detail'!$B$761 +3 ) &amp; " Surplus Applied to " &amp; ( 'Facility Detail'!$B$761 + 4 )</f>
        <v>2024 Surplus Applied to 2025</v>
      </c>
      <c r="D637" s="130"/>
      <c r="E637" s="130"/>
      <c r="F637" s="74"/>
      <c r="G637" s="10"/>
      <c r="H637" s="135">
        <f>G637</f>
        <v>0</v>
      </c>
      <c r="I637" s="74"/>
    </row>
    <row r="638" spans="1:9" x14ac:dyDescent="0.25">
      <c r="B638" s="32" t="s">
        <v>25</v>
      </c>
      <c r="D638" s="7">
        <f xml:space="preserve"> D632 - D631</f>
        <v>0</v>
      </c>
      <c r="E638" s="7">
        <f xml:space="preserve"> E631 + E634 - E633 - E632</f>
        <v>0</v>
      </c>
      <c r="F638" s="7">
        <f>F633+F636-F634-F635</f>
        <v>0</v>
      </c>
      <c r="G638" s="7">
        <f>G635-G636</f>
        <v>0</v>
      </c>
      <c r="H638" s="7">
        <f>H635-H636</f>
        <v>0</v>
      </c>
      <c r="I638" s="7">
        <f>I635-I636</f>
        <v>0</v>
      </c>
    </row>
    <row r="639" spans="1:9" x14ac:dyDescent="0.25">
      <c r="B639" s="6"/>
      <c r="D639" s="7"/>
      <c r="E639" s="7"/>
      <c r="F639" s="7"/>
      <c r="G639" s="7"/>
      <c r="H639" s="7"/>
      <c r="I639" s="7"/>
    </row>
    <row r="640" spans="1:9" x14ac:dyDescent="0.25">
      <c r="B640" s="78" t="s">
        <v>21</v>
      </c>
      <c r="C640" s="71"/>
      <c r="D640" s="96"/>
      <c r="E640" s="97"/>
      <c r="F640" s="98"/>
      <c r="G640" s="98"/>
      <c r="H640" s="98"/>
      <c r="I640" s="98"/>
    </row>
    <row r="641" spans="1:9" x14ac:dyDescent="0.25">
      <c r="B641" s="6"/>
      <c r="D641" s="7"/>
      <c r="E641" s="7"/>
      <c r="F641" s="7"/>
      <c r="G641" s="7"/>
      <c r="H641" s="7"/>
      <c r="I641" s="7"/>
    </row>
    <row r="642" spans="1:9" ht="15.75" x14ac:dyDescent="0.25">
      <c r="A642" s="81" t="s">
        <v>33</v>
      </c>
      <c r="C642" s="71"/>
      <c r="D642" s="43">
        <f t="shared" ref="D642:I642" si="181" xml:space="preserve"> D617 + D622 + D628 + D638 + D640</f>
        <v>0</v>
      </c>
      <c r="E642" s="44">
        <f t="shared" si="181"/>
        <v>0</v>
      </c>
      <c r="F642" s="45">
        <f t="shared" si="181"/>
        <v>0</v>
      </c>
      <c r="G642" s="45">
        <f t="shared" si="181"/>
        <v>0</v>
      </c>
      <c r="H642" s="45">
        <f t="shared" si="181"/>
        <v>0</v>
      </c>
      <c r="I642" s="45">
        <f t="shared" si="181"/>
        <v>0</v>
      </c>
    </row>
    <row r="643" spans="1:9" x14ac:dyDescent="0.25">
      <c r="B643" s="6"/>
      <c r="D643" s="7"/>
      <c r="E643" s="7"/>
      <c r="F643" s="7"/>
      <c r="G643" s="29"/>
      <c r="H643" s="29"/>
      <c r="I643" s="29"/>
    </row>
    <row r="644" spans="1:9" x14ac:dyDescent="0.25">
      <c r="A644" s="1" t="s">
        <v>108</v>
      </c>
      <c r="B644" s="6"/>
      <c r="D644" s="7"/>
      <c r="E644" s="7"/>
      <c r="F644" s="7"/>
      <c r="G644" s="29"/>
      <c r="H644" s="29"/>
      <c r="I644" s="29"/>
    </row>
    <row r="645" spans="1:9" ht="15.75" customHeight="1" thickBot="1" x14ac:dyDescent="0.3">
      <c r="A645" s="163" t="s">
        <v>109</v>
      </c>
      <c r="B645" s="163"/>
      <c r="C645" s="163"/>
      <c r="D645" s="163"/>
      <c r="E645" s="163"/>
      <c r="F645" s="163"/>
      <c r="G645" s="133"/>
      <c r="H645" s="133"/>
      <c r="I645" s="133"/>
    </row>
    <row r="646" spans="1:9" x14ac:dyDescent="0.25">
      <c r="A646" s="8"/>
      <c r="B646" s="8"/>
      <c r="C646" s="8"/>
      <c r="D646" s="8"/>
      <c r="E646" s="8"/>
      <c r="F646" s="8"/>
      <c r="G646" s="8"/>
      <c r="H646" s="8"/>
      <c r="I646" s="8"/>
    </row>
    <row r="647" spans="1:9" ht="21" x14ac:dyDescent="0.35">
      <c r="A647" s="16" t="s">
        <v>4</v>
      </c>
      <c r="B647" s="16"/>
      <c r="C647" s="154" t="str">
        <f>B19</f>
        <v>Adams-Neilson Solar Farm</v>
      </c>
      <c r="D647" s="155"/>
    </row>
    <row r="649" spans="1:9" ht="18.75" x14ac:dyDescent="0.3">
      <c r="A649" s="9" t="s">
        <v>85</v>
      </c>
      <c r="B649" s="9"/>
      <c r="D649" s="2">
        <v>2021</v>
      </c>
      <c r="E649" s="2">
        <f t="shared" ref="E649" si="182">D649+1</f>
        <v>2022</v>
      </c>
      <c r="F649" s="2">
        <f t="shared" ref="F649" si="183">E649+1</f>
        <v>2023</v>
      </c>
      <c r="G649" s="2">
        <f t="shared" ref="G649" si="184">F649+1</f>
        <v>2024</v>
      </c>
      <c r="H649" s="2">
        <f t="shared" ref="H649" si="185">G649+1</f>
        <v>2025</v>
      </c>
      <c r="I649" s="2">
        <f t="shared" ref="I649" si="186">H649+1</f>
        <v>2026</v>
      </c>
    </row>
    <row r="650" spans="1:9" x14ac:dyDescent="0.25">
      <c r="B650" s="78" t="str">
        <f>"Total MWh Produced / Purchased from " &amp; C647</f>
        <v>Total MWh Produced / Purchased from Adams-Neilson Solar Farm</v>
      </c>
      <c r="C650" s="71"/>
      <c r="D650" s="3">
        <v>43328</v>
      </c>
      <c r="E650" s="4">
        <v>34809</v>
      </c>
      <c r="F650" s="5">
        <v>41441</v>
      </c>
      <c r="G650" s="5">
        <v>40831</v>
      </c>
      <c r="H650" s="5">
        <v>50808</v>
      </c>
      <c r="I650" s="5">
        <v>50808</v>
      </c>
    </row>
    <row r="651" spans="1:9" x14ac:dyDescent="0.25">
      <c r="B651" s="78" t="s">
        <v>32</v>
      </c>
      <c r="C651" s="71"/>
      <c r="D651" s="55">
        <v>1</v>
      </c>
      <c r="E651" s="56">
        <v>1</v>
      </c>
      <c r="F651" s="57">
        <v>1</v>
      </c>
      <c r="G651" s="57">
        <v>1</v>
      </c>
      <c r="H651" s="57">
        <v>1</v>
      </c>
      <c r="I651" s="57">
        <v>1</v>
      </c>
    </row>
    <row r="652" spans="1:9" x14ac:dyDescent="0.25">
      <c r="B652" s="78" t="s">
        <v>26</v>
      </c>
      <c r="C652" s="71"/>
      <c r="D652" s="48">
        <v>1</v>
      </c>
      <c r="E652" s="49">
        <v>1</v>
      </c>
      <c r="F652" s="50">
        <v>1</v>
      </c>
      <c r="G652" s="50">
        <v>1</v>
      </c>
      <c r="H652" s="50">
        <v>1</v>
      </c>
      <c r="I652" s="50">
        <v>1</v>
      </c>
    </row>
    <row r="653" spans="1:9" x14ac:dyDescent="0.25">
      <c r="B653" s="32" t="s">
        <v>28</v>
      </c>
      <c r="C653" s="6"/>
      <c r="D653" s="37">
        <f t="shared" ref="D653:I653" si="187" xml:space="preserve"> D650 * D651 * D652</f>
        <v>43328</v>
      </c>
      <c r="E653" s="37">
        <f t="shared" si="187"/>
        <v>34809</v>
      </c>
      <c r="F653" s="37">
        <f t="shared" si="187"/>
        <v>41441</v>
      </c>
      <c r="G653" s="37">
        <f t="shared" si="187"/>
        <v>40831</v>
      </c>
      <c r="H653" s="37">
        <f t="shared" si="187"/>
        <v>50808</v>
      </c>
      <c r="I653" s="37">
        <f t="shared" si="187"/>
        <v>50808</v>
      </c>
    </row>
    <row r="654" spans="1:9" x14ac:dyDescent="0.25">
      <c r="D654" s="36"/>
      <c r="E654" s="36"/>
      <c r="F654" s="36"/>
      <c r="G654" s="36"/>
      <c r="H654" s="36"/>
      <c r="I654" s="36"/>
    </row>
    <row r="655" spans="1:9" ht="18.75" x14ac:dyDescent="0.3">
      <c r="A655" s="9" t="s">
        <v>30</v>
      </c>
      <c r="D655" s="2">
        <f>D649</f>
        <v>2021</v>
      </c>
      <c r="E655" s="2">
        <f t="shared" ref="E655" si="188">D655+1</f>
        <v>2022</v>
      </c>
      <c r="F655" s="2">
        <f t="shared" ref="F655" si="189">E655+1</f>
        <v>2023</v>
      </c>
      <c r="G655" s="2">
        <f t="shared" ref="G655" si="190">F655+1</f>
        <v>2024</v>
      </c>
      <c r="H655" s="2">
        <f t="shared" ref="H655" si="191">G655+1</f>
        <v>2025</v>
      </c>
      <c r="I655" s="2">
        <f t="shared" ref="I655" si="192">H655+1</f>
        <v>2026</v>
      </c>
    </row>
    <row r="656" spans="1:9" x14ac:dyDescent="0.25">
      <c r="B656" s="78" t="s">
        <v>110</v>
      </c>
      <c r="C656" s="71"/>
      <c r="D656" s="51">
        <f>IF( $E274 = "Eligible", D653 * 'Facility Detail'!$B$758, 0 )</f>
        <v>0</v>
      </c>
      <c r="E656" s="51">
        <f>IF( $E274 = "Eligible", E653 * 'Facility Detail'!$B$758, 0 )</f>
        <v>0</v>
      </c>
      <c r="F656" s="51">
        <f>IF( $E274 = "Eligible", F653 * 'Facility Detail'!$B$758, 0 )</f>
        <v>0</v>
      </c>
      <c r="G656" s="51">
        <f>IF( $E274 = "Eligible", G653 * 'Facility Detail'!$B$758, 0 )</f>
        <v>0</v>
      </c>
      <c r="H656" s="51">
        <f>IF( $E274 = "Eligible", H653 * 'Facility Detail'!$B$758, 0 )</f>
        <v>0</v>
      </c>
      <c r="I656" s="51">
        <f>IF( $E274 = "Eligible", I653 * 'Facility Detail'!$B$758, 0 )</f>
        <v>0</v>
      </c>
    </row>
    <row r="657" spans="1:9" x14ac:dyDescent="0.25">
      <c r="B657" s="78" t="s">
        <v>6</v>
      </c>
      <c r="C657" s="71"/>
      <c r="D657" s="52">
        <f t="shared" ref="D657:I657" si="193">IF( $F19 = "Eligible", D653, 0 )</f>
        <v>0</v>
      </c>
      <c r="E657" s="53">
        <f t="shared" si="193"/>
        <v>0</v>
      </c>
      <c r="F657" s="54">
        <f t="shared" si="193"/>
        <v>0</v>
      </c>
      <c r="G657" s="54">
        <f t="shared" si="193"/>
        <v>0</v>
      </c>
      <c r="H657" s="54">
        <f t="shared" si="193"/>
        <v>0</v>
      </c>
      <c r="I657" s="54">
        <f t="shared" si="193"/>
        <v>0</v>
      </c>
    </row>
    <row r="658" spans="1:9" x14ac:dyDescent="0.25">
      <c r="B658" s="32" t="s">
        <v>37</v>
      </c>
      <c r="C658" s="6"/>
      <c r="D658" s="39">
        <f t="shared" ref="D658:I658" si="194">SUM(D656:D657)</f>
        <v>0</v>
      </c>
      <c r="E658" s="40">
        <f t="shared" si="194"/>
        <v>0</v>
      </c>
      <c r="F658" s="40">
        <f t="shared" si="194"/>
        <v>0</v>
      </c>
      <c r="G658" s="40">
        <f t="shared" si="194"/>
        <v>0</v>
      </c>
      <c r="H658" s="40">
        <f t="shared" si="194"/>
        <v>0</v>
      </c>
      <c r="I658" s="40">
        <f t="shared" si="194"/>
        <v>0</v>
      </c>
    </row>
    <row r="659" spans="1:9" x14ac:dyDescent="0.25">
      <c r="D659" s="38"/>
      <c r="E659" s="30"/>
      <c r="F659" s="30"/>
      <c r="G659" s="30"/>
      <c r="H659" s="30"/>
      <c r="I659" s="30"/>
    </row>
    <row r="660" spans="1:9" ht="18.75" x14ac:dyDescent="0.3">
      <c r="A660" s="9" t="s">
        <v>35</v>
      </c>
      <c r="D660" s="2">
        <f>D649</f>
        <v>2021</v>
      </c>
      <c r="E660" s="2">
        <f t="shared" ref="E660" si="195">D660+1</f>
        <v>2022</v>
      </c>
      <c r="F660" s="2">
        <f t="shared" ref="F660" si="196">E660+1</f>
        <v>2023</v>
      </c>
      <c r="G660" s="2">
        <f t="shared" ref="G660" si="197">F660+1</f>
        <v>2024</v>
      </c>
      <c r="H660" s="2">
        <f t="shared" ref="H660" si="198">G660+1</f>
        <v>2025</v>
      </c>
      <c r="I660" s="2">
        <f t="shared" ref="I660" si="199">H660+1</f>
        <v>2026</v>
      </c>
    </row>
    <row r="661" spans="1:9" x14ac:dyDescent="0.25">
      <c r="B661" s="78" t="s">
        <v>111</v>
      </c>
      <c r="C661" s="71"/>
      <c r="D661" s="84">
        <v>-43328</v>
      </c>
      <c r="E661" s="85">
        <v>-34809</v>
      </c>
      <c r="F661" s="86">
        <v>-41441</v>
      </c>
      <c r="G661" s="86">
        <v>-40831</v>
      </c>
      <c r="H661" s="86">
        <v>-50808</v>
      </c>
      <c r="I661" s="86">
        <v>-50808</v>
      </c>
    </row>
    <row r="662" spans="1:9" x14ac:dyDescent="0.25">
      <c r="B662" s="79" t="s">
        <v>29</v>
      </c>
      <c r="C662" s="80"/>
      <c r="D662" s="87">
        <v>0</v>
      </c>
      <c r="E662" s="88">
        <v>0</v>
      </c>
      <c r="F662" s="89">
        <v>0</v>
      </c>
      <c r="G662" s="89">
        <v>0</v>
      </c>
      <c r="H662" s="89">
        <v>0</v>
      </c>
      <c r="I662" s="89">
        <v>0</v>
      </c>
    </row>
    <row r="663" spans="1:9" x14ac:dyDescent="0.25">
      <c r="B663" s="79" t="s">
        <v>41</v>
      </c>
      <c r="C663"/>
      <c r="D663" s="58"/>
      <c r="E663" s="59"/>
      <c r="F663" s="60"/>
      <c r="G663" s="60"/>
      <c r="H663" s="60"/>
      <c r="I663" s="60"/>
    </row>
    <row r="664" spans="1:9" x14ac:dyDescent="0.25">
      <c r="B664" s="32" t="s">
        <v>42</v>
      </c>
      <c r="D664" s="7">
        <f t="shared" ref="D664:I664" si="200">SUM(D661:D663)</f>
        <v>-43328</v>
      </c>
      <c r="E664" s="7">
        <f t="shared" si="200"/>
        <v>-34809</v>
      </c>
      <c r="F664" s="7">
        <f t="shared" si="200"/>
        <v>-41441</v>
      </c>
      <c r="G664" s="7">
        <f t="shared" si="200"/>
        <v>-40831</v>
      </c>
      <c r="H664" s="7">
        <f t="shared" si="200"/>
        <v>-50808</v>
      </c>
      <c r="I664" s="7">
        <f t="shared" si="200"/>
        <v>-50808</v>
      </c>
    </row>
    <row r="665" spans="1:9" x14ac:dyDescent="0.25">
      <c r="B665" s="6"/>
      <c r="D665" s="7"/>
      <c r="E665" s="7"/>
      <c r="F665" s="7"/>
      <c r="G665" s="7"/>
      <c r="H665" s="7"/>
      <c r="I665" s="7"/>
    </row>
    <row r="666" spans="1:9" ht="18.75" x14ac:dyDescent="0.3">
      <c r="A666" s="9" t="s">
        <v>43</v>
      </c>
      <c r="D666" s="2">
        <f>D649</f>
        <v>2021</v>
      </c>
      <c r="E666" s="2">
        <f t="shared" ref="E666" si="201">D666+1</f>
        <v>2022</v>
      </c>
      <c r="F666" s="2">
        <f t="shared" ref="F666" si="202">E666+1</f>
        <v>2023</v>
      </c>
      <c r="G666" s="2">
        <f t="shared" ref="G666" si="203">F666+1</f>
        <v>2024</v>
      </c>
      <c r="H666" s="2">
        <f t="shared" ref="H666" si="204">G666+1</f>
        <v>2025</v>
      </c>
      <c r="I666" s="2">
        <f t="shared" ref="I666" si="205">H666+1</f>
        <v>2026</v>
      </c>
    </row>
    <row r="667" spans="1:9" x14ac:dyDescent="0.25">
      <c r="B667" s="78" t="str">
        <f xml:space="preserve"> 'Facility Detail'!$B$761 &amp; " Surplus Applied to " &amp; ( 'Facility Detail'!$B$761 + 1 )</f>
        <v>2021 Surplus Applied to 2022</v>
      </c>
      <c r="C667" s="71"/>
      <c r="D667" s="3"/>
      <c r="E667" s="61">
        <f>D667</f>
        <v>0</v>
      </c>
      <c r="F667" s="124"/>
      <c r="G667" s="63"/>
      <c r="H667" s="63"/>
      <c r="I667" s="63"/>
    </row>
    <row r="668" spans="1:9" x14ac:dyDescent="0.25">
      <c r="B668" s="78" t="str">
        <f xml:space="preserve"> ( 'Facility Detail'!$B$761 + 1 ) &amp; " Surplus Applied to " &amp; ( 'Facility Detail'!$B$761 )</f>
        <v>2022 Surplus Applied to 2021</v>
      </c>
      <c r="C668" s="71"/>
      <c r="D668" s="125">
        <f>E668</f>
        <v>0</v>
      </c>
      <c r="E668" s="10"/>
      <c r="F668" s="75"/>
      <c r="G668" s="74"/>
      <c r="H668" s="74"/>
      <c r="I668" s="74"/>
    </row>
    <row r="669" spans="1:9" x14ac:dyDescent="0.25">
      <c r="B669" s="78" t="str">
        <f xml:space="preserve"> ( 'Facility Detail'!$B$761 + 1 ) &amp; " Surplus Applied to " &amp; ( 'Facility Detail'!$B$761 + 2 )</f>
        <v>2022 Surplus Applied to 2023</v>
      </c>
      <c r="C669" s="71"/>
      <c r="D669" s="64"/>
      <c r="E669" s="10"/>
      <c r="F669" s="70">
        <f>E669</f>
        <v>0</v>
      </c>
      <c r="G669" s="74"/>
      <c r="H669" s="74"/>
      <c r="I669" s="74"/>
    </row>
    <row r="670" spans="1:9" x14ac:dyDescent="0.25">
      <c r="B670" s="78" t="str">
        <f xml:space="preserve"> ( 'Facility Detail'!$B$761 + 2 ) &amp; " Surplus Applied to " &amp; ( 'Facility Detail'!$B$761 + 1 )</f>
        <v>2023 Surplus Applied to 2022</v>
      </c>
      <c r="C670" s="71"/>
      <c r="D670" s="64"/>
      <c r="E670" s="70">
        <f>F670</f>
        <v>0</v>
      </c>
      <c r="F670" s="10"/>
      <c r="G670" s="74"/>
      <c r="H670" s="74"/>
      <c r="I670" s="74"/>
    </row>
    <row r="671" spans="1:9" x14ac:dyDescent="0.25">
      <c r="B671" s="78" t="str">
        <f xml:space="preserve"> ( 'Facility Detail'!$B$761 + 2 ) &amp; " Surplus Applied to " &amp; ( 'Facility Detail'!$B$761 + 3 )</f>
        <v>2023 Surplus Applied to 2024</v>
      </c>
      <c r="D671" s="64"/>
      <c r="E671" s="75"/>
      <c r="F671" s="10"/>
      <c r="G671" s="126">
        <f>F671</f>
        <v>0</v>
      </c>
      <c r="H671" s="74"/>
      <c r="I671" s="74">
        <f>H671</f>
        <v>0</v>
      </c>
    </row>
    <row r="672" spans="1:9" x14ac:dyDescent="0.25">
      <c r="B672" s="78" t="str">
        <f xml:space="preserve"> ( 'Facility Detail'!$B$761 +3 ) &amp; " Surplus Applied to " &amp; ( 'Facility Detail'!$B$761 + 2 )</f>
        <v>2024 Surplus Applied to 2023</v>
      </c>
      <c r="D672" s="65"/>
      <c r="E672" s="76"/>
      <c r="F672" s="62">
        <f>G672</f>
        <v>0</v>
      </c>
      <c r="G672" s="10"/>
      <c r="H672" s="74"/>
      <c r="I672" s="74"/>
    </row>
    <row r="673" spans="1:9" x14ac:dyDescent="0.25">
      <c r="B673" s="78" t="str">
        <f xml:space="preserve"> ( 'Facility Detail'!$B$761 +3 ) &amp; " Surplus Applied to " &amp; ( 'Facility Detail'!$B$761 + 4 )</f>
        <v>2024 Surplus Applied to 2025</v>
      </c>
      <c r="D673" s="130"/>
      <c r="E673" s="130"/>
      <c r="F673" s="74"/>
      <c r="G673" s="10"/>
      <c r="H673" s="135">
        <f>G673</f>
        <v>0</v>
      </c>
      <c r="I673" s="74"/>
    </row>
    <row r="674" spans="1:9" x14ac:dyDescent="0.25">
      <c r="B674" s="32" t="s">
        <v>25</v>
      </c>
      <c r="D674" s="7">
        <f xml:space="preserve"> D668 - D667</f>
        <v>0</v>
      </c>
      <c r="E674" s="7">
        <f xml:space="preserve"> E667 + E670 - E669 - E668</f>
        <v>0</v>
      </c>
      <c r="F674" s="7">
        <f>F669+F672-F670-F671</f>
        <v>0</v>
      </c>
      <c r="G674" s="7">
        <f>G671-G672</f>
        <v>0</v>
      </c>
      <c r="H674" s="7">
        <f>H671-H672</f>
        <v>0</v>
      </c>
      <c r="I674" s="7">
        <f>I671-I672</f>
        <v>0</v>
      </c>
    </row>
    <row r="675" spans="1:9" x14ac:dyDescent="0.25">
      <c r="B675" s="6"/>
      <c r="D675" s="7"/>
      <c r="E675" s="7"/>
      <c r="F675" s="7"/>
      <c r="G675" s="7"/>
      <c r="H675" s="7"/>
      <c r="I675" s="7"/>
    </row>
    <row r="676" spans="1:9" x14ac:dyDescent="0.25">
      <c r="B676" s="78" t="s">
        <v>21</v>
      </c>
      <c r="C676" s="71"/>
      <c r="D676" s="96"/>
      <c r="E676" s="97"/>
      <c r="F676" s="98"/>
      <c r="G676" s="98"/>
      <c r="H676" s="98"/>
      <c r="I676" s="98"/>
    </row>
    <row r="677" spans="1:9" x14ac:dyDescent="0.25">
      <c r="B677" s="6"/>
      <c r="D677" s="7"/>
      <c r="E677" s="7"/>
      <c r="F677" s="7"/>
      <c r="G677" s="7"/>
      <c r="H677" s="7"/>
      <c r="I677" s="7"/>
    </row>
    <row r="678" spans="1:9" ht="15.75" x14ac:dyDescent="0.25">
      <c r="A678" s="81" t="s">
        <v>33</v>
      </c>
      <c r="C678" s="71"/>
      <c r="D678" s="43">
        <f t="shared" ref="D678:I678" si="206" xml:space="preserve"> D653 + D658 + D664 + D674 + D676</f>
        <v>0</v>
      </c>
      <c r="E678" s="44">
        <f t="shared" si="206"/>
        <v>0</v>
      </c>
      <c r="F678" s="45">
        <f t="shared" si="206"/>
        <v>0</v>
      </c>
      <c r="G678" s="45">
        <f t="shared" si="206"/>
        <v>0</v>
      </c>
      <c r="H678" s="45">
        <f t="shared" si="206"/>
        <v>0</v>
      </c>
      <c r="I678" s="45">
        <f t="shared" si="206"/>
        <v>0</v>
      </c>
    </row>
    <row r="679" spans="1:9" ht="50.25" customHeight="1" x14ac:dyDescent="0.25">
      <c r="A679" s="159" t="s">
        <v>114</v>
      </c>
      <c r="B679" s="159"/>
      <c r="C679" s="159"/>
      <c r="D679" s="159"/>
      <c r="E679" s="159"/>
      <c r="F679" s="159"/>
      <c r="G679" s="29"/>
      <c r="H679" s="29"/>
      <c r="I679" s="29"/>
    </row>
    <row r="680" spans="1:9" ht="42.75" customHeight="1" thickBot="1" x14ac:dyDescent="0.3">
      <c r="A680" s="163" t="s">
        <v>115</v>
      </c>
      <c r="B680" s="163"/>
      <c r="C680" s="163"/>
      <c r="D680" s="163"/>
      <c r="E680" s="163"/>
      <c r="F680" s="163"/>
      <c r="G680" s="29"/>
      <c r="H680" s="29"/>
      <c r="I680" s="29"/>
    </row>
    <row r="681" spans="1:9" ht="15.75" customHeight="1" thickBot="1" x14ac:dyDescent="0.3">
      <c r="A681" s="164" t="s">
        <v>112</v>
      </c>
      <c r="B681" s="164"/>
      <c r="C681" s="164"/>
      <c r="D681" s="164"/>
      <c r="E681" s="164"/>
      <c r="F681" s="164"/>
      <c r="G681" s="133"/>
      <c r="H681" s="133"/>
      <c r="I681" s="133"/>
    </row>
    <row r="682" spans="1:9" x14ac:dyDescent="0.25">
      <c r="A682" s="8"/>
      <c r="B682" s="8"/>
      <c r="C682" s="8"/>
      <c r="D682" s="8"/>
      <c r="E682" s="8"/>
      <c r="F682" s="8"/>
      <c r="G682" s="8"/>
      <c r="H682" s="8"/>
      <c r="I682" s="8"/>
    </row>
    <row r="683" spans="1:9" ht="21" x14ac:dyDescent="0.35">
      <c r="A683" s="16" t="s">
        <v>4</v>
      </c>
      <c r="B683" s="16"/>
      <c r="C683" s="154" t="str">
        <f>B20</f>
        <v>Rattlesnake Flat Wind</v>
      </c>
      <c r="D683" s="155"/>
    </row>
    <row r="685" spans="1:9" ht="18.75" x14ac:dyDescent="0.3">
      <c r="A685" s="9" t="s">
        <v>85</v>
      </c>
      <c r="B685" s="9"/>
      <c r="D685" s="2">
        <v>2021</v>
      </c>
      <c r="E685" s="2">
        <f t="shared" ref="E685" si="207">D685+1</f>
        <v>2022</v>
      </c>
      <c r="F685" s="2">
        <f t="shared" ref="F685" si="208">E685+1</f>
        <v>2023</v>
      </c>
      <c r="G685" s="2">
        <f t="shared" ref="G685" si="209">F685+1</f>
        <v>2024</v>
      </c>
      <c r="H685" s="2">
        <f t="shared" ref="H685" si="210">G685+1</f>
        <v>2025</v>
      </c>
      <c r="I685" s="2">
        <f t="shared" ref="I685" si="211">H685+1</f>
        <v>2026</v>
      </c>
    </row>
    <row r="686" spans="1:9" x14ac:dyDescent="0.25">
      <c r="B686" s="78" t="str">
        <f>"Total MWh Produced / Purchased from " &amp; C683</f>
        <v>Total MWh Produced / Purchased from Rattlesnake Flat Wind</v>
      </c>
      <c r="C686" s="71"/>
      <c r="D686" s="3">
        <v>423510</v>
      </c>
      <c r="E686" s="4">
        <v>363553</v>
      </c>
      <c r="F686" s="5">
        <v>343410</v>
      </c>
      <c r="G686" s="5">
        <v>415513</v>
      </c>
      <c r="H686" s="5">
        <v>361310</v>
      </c>
      <c r="I686" s="5">
        <v>361310</v>
      </c>
    </row>
    <row r="687" spans="1:9" x14ac:dyDescent="0.25">
      <c r="B687" s="78" t="s">
        <v>32</v>
      </c>
      <c r="C687" s="71"/>
      <c r="D687" s="55">
        <v>1</v>
      </c>
      <c r="E687" s="56">
        <v>1</v>
      </c>
      <c r="F687" s="57">
        <v>1</v>
      </c>
      <c r="G687" s="57">
        <v>1</v>
      </c>
      <c r="H687" s="57">
        <v>1</v>
      </c>
      <c r="I687" s="57">
        <v>1</v>
      </c>
    </row>
    <row r="688" spans="1:9" x14ac:dyDescent="0.25">
      <c r="B688" s="78" t="s">
        <v>26</v>
      </c>
      <c r="C688" s="71"/>
      <c r="D688" s="48">
        <v>1</v>
      </c>
      <c r="E688" s="49">
        <v>1</v>
      </c>
      <c r="F688" s="50">
        <v>1</v>
      </c>
      <c r="G688" s="50">
        <v>1</v>
      </c>
      <c r="H688" s="50">
        <v>1</v>
      </c>
      <c r="I688" s="50">
        <v>1</v>
      </c>
    </row>
    <row r="689" spans="1:14" x14ac:dyDescent="0.25">
      <c r="B689" s="32" t="s">
        <v>28</v>
      </c>
      <c r="C689" s="6"/>
      <c r="D689" s="37">
        <f t="shared" ref="D689:I689" si="212" xml:space="preserve"> D686 * D687 * D688</f>
        <v>423510</v>
      </c>
      <c r="E689" s="37">
        <f t="shared" si="212"/>
        <v>363553</v>
      </c>
      <c r="F689" s="37">
        <f t="shared" si="212"/>
        <v>343410</v>
      </c>
      <c r="G689" s="37">
        <f t="shared" si="212"/>
        <v>415513</v>
      </c>
      <c r="H689" s="37">
        <f t="shared" si="212"/>
        <v>361310</v>
      </c>
      <c r="I689" s="37">
        <f t="shared" si="212"/>
        <v>361310</v>
      </c>
    </row>
    <row r="690" spans="1:14" x14ac:dyDescent="0.25">
      <c r="D690" s="36"/>
      <c r="E690" s="36"/>
      <c r="F690" s="36"/>
      <c r="G690" s="36"/>
      <c r="H690" s="36"/>
      <c r="I690" s="36"/>
      <c r="J690" s="36"/>
      <c r="K690" s="36"/>
      <c r="L690" s="36"/>
      <c r="M690" s="36"/>
      <c r="N690" s="36"/>
    </row>
    <row r="691" spans="1:14" ht="18.75" x14ac:dyDescent="0.3">
      <c r="A691" s="9" t="s">
        <v>30</v>
      </c>
      <c r="D691" s="2">
        <f>D685</f>
        <v>2021</v>
      </c>
      <c r="E691" s="2">
        <f t="shared" ref="E691" si="213">D691+1</f>
        <v>2022</v>
      </c>
      <c r="F691" s="2">
        <f t="shared" ref="F691" si="214">E691+1</f>
        <v>2023</v>
      </c>
      <c r="G691" s="2">
        <f t="shared" ref="G691" si="215">F691+1</f>
        <v>2024</v>
      </c>
      <c r="H691" s="2">
        <f t="shared" ref="H691" si="216">G691+1</f>
        <v>2025</v>
      </c>
      <c r="I691" s="2">
        <f t="shared" ref="I691" si="217">H691+1</f>
        <v>2026</v>
      </c>
    </row>
    <row r="692" spans="1:14" x14ac:dyDescent="0.25">
      <c r="B692" s="78" t="s">
        <v>110</v>
      </c>
      <c r="C692" s="71"/>
      <c r="D692" s="51">
        <f>IF( $E20 = "Eligible", D689 * 'Facility Detail'!$B$758, 0 )</f>
        <v>84702</v>
      </c>
      <c r="E692" s="51">
        <f>IF( $E20 = "Eligible", E689 * 'Facility Detail'!$B$758, 0 )</f>
        <v>72710.600000000006</v>
      </c>
      <c r="F692" s="51">
        <f>IF( $E20 = "Eligible", F689 * 'Facility Detail'!$B$758, 0 )</f>
        <v>68682</v>
      </c>
      <c r="G692" s="51">
        <f>IF( $E20 = "Eligible", G689 * 'Facility Detail'!$B$758, 0 )</f>
        <v>83102.600000000006</v>
      </c>
      <c r="H692" s="51">
        <f>IF( $E20 = "Eligible", H689 * 'Facility Detail'!$B$758, 0 )</f>
        <v>72262</v>
      </c>
      <c r="I692" s="51">
        <f>IF( $E20 = "Eligible", I689 * 'Facility Detail'!$B$758, 0 )</f>
        <v>72262</v>
      </c>
    </row>
    <row r="693" spans="1:14" x14ac:dyDescent="0.25">
      <c r="B693" s="78" t="s">
        <v>6</v>
      </c>
      <c r="C693" s="71"/>
      <c r="D693" s="52">
        <f t="shared" ref="D693:I693" si="218">IF( $F59 = "Eligible", D689, 0 )</f>
        <v>0</v>
      </c>
      <c r="E693" s="53">
        <f t="shared" si="218"/>
        <v>0</v>
      </c>
      <c r="F693" s="54">
        <f t="shared" si="218"/>
        <v>0</v>
      </c>
      <c r="G693" s="54">
        <f t="shared" si="218"/>
        <v>0</v>
      </c>
      <c r="H693" s="54">
        <f t="shared" si="218"/>
        <v>0</v>
      </c>
      <c r="I693" s="54">
        <f t="shared" si="218"/>
        <v>0</v>
      </c>
    </row>
    <row r="694" spans="1:14" x14ac:dyDescent="0.25">
      <c r="B694" s="32" t="s">
        <v>37</v>
      </c>
      <c r="C694" s="6"/>
      <c r="D694" s="39">
        <f t="shared" ref="D694:I694" si="219">SUM(D692:D693)</f>
        <v>84702</v>
      </c>
      <c r="E694" s="40">
        <f t="shared" si="219"/>
        <v>72710.600000000006</v>
      </c>
      <c r="F694" s="40">
        <f t="shared" si="219"/>
        <v>68682</v>
      </c>
      <c r="G694" s="40">
        <f t="shared" si="219"/>
        <v>83102.600000000006</v>
      </c>
      <c r="H694" s="40">
        <f t="shared" si="219"/>
        <v>72262</v>
      </c>
      <c r="I694" s="40">
        <f t="shared" si="219"/>
        <v>72262</v>
      </c>
    </row>
    <row r="695" spans="1:14" x14ac:dyDescent="0.25">
      <c r="D695" s="38"/>
      <c r="E695" s="30"/>
      <c r="F695" s="30"/>
      <c r="G695" s="30"/>
      <c r="H695" s="30"/>
      <c r="I695" s="30"/>
    </row>
    <row r="696" spans="1:14" ht="18.75" x14ac:dyDescent="0.3">
      <c r="A696" s="9" t="s">
        <v>35</v>
      </c>
      <c r="D696" s="2">
        <f>D685</f>
        <v>2021</v>
      </c>
      <c r="E696" s="2">
        <f t="shared" ref="E696" si="220">D696+1</f>
        <v>2022</v>
      </c>
      <c r="F696" s="2">
        <f t="shared" ref="F696" si="221">E696+1</f>
        <v>2023</v>
      </c>
      <c r="G696" s="2">
        <f t="shared" ref="G696" si="222">F696+1</f>
        <v>2024</v>
      </c>
      <c r="H696" s="2">
        <f t="shared" ref="H696" si="223">G696+1</f>
        <v>2025</v>
      </c>
      <c r="I696" s="2">
        <f t="shared" ref="I696" si="224">H696+1</f>
        <v>2026</v>
      </c>
    </row>
    <row r="697" spans="1:14" x14ac:dyDescent="0.25">
      <c r="B697" s="78" t="s">
        <v>111</v>
      </c>
      <c r="C697" s="71"/>
      <c r="D697" s="84">
        <v>-150481</v>
      </c>
      <c r="E697" s="85">
        <v>-90722</v>
      </c>
      <c r="F697" s="86">
        <v>-17388</v>
      </c>
      <c r="G697" s="86">
        <v>0</v>
      </c>
      <c r="H697" s="86">
        <v>0</v>
      </c>
      <c r="I697" s="86">
        <v>0</v>
      </c>
    </row>
    <row r="698" spans="1:14" x14ac:dyDescent="0.25">
      <c r="B698" s="79" t="s">
        <v>29</v>
      </c>
      <c r="C698" s="80"/>
      <c r="D698" s="87">
        <v>0</v>
      </c>
      <c r="E698" s="88">
        <v>0</v>
      </c>
      <c r="F698" s="89">
        <v>0</v>
      </c>
      <c r="G698" s="89">
        <v>0</v>
      </c>
      <c r="H698" s="89">
        <v>0</v>
      </c>
      <c r="I698" s="89">
        <v>0</v>
      </c>
    </row>
    <row r="699" spans="1:14" x14ac:dyDescent="0.25">
      <c r="B699" s="79" t="s">
        <v>41</v>
      </c>
      <c r="C699"/>
      <c r="D699" s="60">
        <f t="shared" ref="D699:I699" si="225">ROUND(0.2*D697,0)</f>
        <v>-30096</v>
      </c>
      <c r="E699" s="60">
        <f t="shared" si="225"/>
        <v>-18144</v>
      </c>
      <c r="F699" s="60">
        <f t="shared" si="225"/>
        <v>-3478</v>
      </c>
      <c r="G699" s="60">
        <f t="shared" si="225"/>
        <v>0</v>
      </c>
      <c r="H699" s="60">
        <f t="shared" si="225"/>
        <v>0</v>
      </c>
      <c r="I699" s="60">
        <f t="shared" si="225"/>
        <v>0</v>
      </c>
    </row>
    <row r="700" spans="1:14" x14ac:dyDescent="0.25">
      <c r="B700" s="32" t="s">
        <v>42</v>
      </c>
      <c r="D700" s="7">
        <f t="shared" ref="D700:I700" si="226">SUM(D697:D699)</f>
        <v>-180577</v>
      </c>
      <c r="E700" s="7">
        <f t="shared" si="226"/>
        <v>-108866</v>
      </c>
      <c r="F700" s="7">
        <f t="shared" si="226"/>
        <v>-20866</v>
      </c>
      <c r="G700" s="7">
        <f t="shared" si="226"/>
        <v>0</v>
      </c>
      <c r="H700" s="7">
        <f t="shared" si="226"/>
        <v>0</v>
      </c>
      <c r="I700" s="7">
        <f t="shared" si="226"/>
        <v>0</v>
      </c>
    </row>
    <row r="701" spans="1:14" x14ac:dyDescent="0.25">
      <c r="B701" s="6"/>
      <c r="D701" s="7"/>
      <c r="E701" s="7"/>
      <c r="F701" s="7"/>
      <c r="G701" s="7"/>
      <c r="H701" s="7"/>
      <c r="I701" s="7"/>
    </row>
    <row r="702" spans="1:14" ht="18.75" x14ac:dyDescent="0.3">
      <c r="A702" s="9" t="s">
        <v>43</v>
      </c>
      <c r="D702" s="2">
        <f>D685</f>
        <v>2021</v>
      </c>
      <c r="E702" s="2">
        <f t="shared" ref="E702" si="227">D702+1</f>
        <v>2022</v>
      </c>
      <c r="F702" s="2">
        <f t="shared" ref="F702" si="228">E702+1</f>
        <v>2023</v>
      </c>
      <c r="G702" s="2">
        <f t="shared" ref="G702" si="229">F702+1</f>
        <v>2024</v>
      </c>
      <c r="H702" s="2">
        <f t="shared" ref="H702" si="230">G702+1</f>
        <v>2025</v>
      </c>
      <c r="I702" s="2">
        <f t="shared" ref="I702" si="231">H702+1</f>
        <v>2026</v>
      </c>
    </row>
    <row r="703" spans="1:14" x14ac:dyDescent="0.25">
      <c r="B703" s="78" t="str">
        <f xml:space="preserve"> 'Facility Detail'!$B$761 &amp; " Surplus Applied to " &amp; ( 'Facility Detail'!$B$761 + 1 )</f>
        <v>2021 Surplus Applied to 2022</v>
      </c>
      <c r="C703" s="71"/>
      <c r="D703" s="3"/>
      <c r="E703" s="61">
        <f>D703</f>
        <v>0</v>
      </c>
      <c r="F703" s="124"/>
      <c r="G703" s="63"/>
      <c r="H703" s="63"/>
      <c r="I703" s="63"/>
    </row>
    <row r="704" spans="1:14" x14ac:dyDescent="0.25">
      <c r="B704" s="78" t="str">
        <f xml:space="preserve"> ( 'Facility Detail'!$B$761 + 1 ) &amp; " Surplus Applied to " &amp; ( 'Facility Detail'!$B$761 )</f>
        <v>2022 Surplus Applied to 2021</v>
      </c>
      <c r="C704" s="71"/>
      <c r="D704" s="125">
        <f>E704</f>
        <v>0</v>
      </c>
      <c r="E704" s="10"/>
      <c r="F704" s="75"/>
      <c r="G704" s="74"/>
      <c r="H704" s="74"/>
      <c r="I704" s="74"/>
    </row>
    <row r="705" spans="1:9" x14ac:dyDescent="0.25">
      <c r="B705" s="78" t="str">
        <f xml:space="preserve"> ( 'Facility Detail'!$B$761 + 1 ) &amp; " Surplus Applied to " &amp; ( 'Facility Detail'!$B$761 + 2 )</f>
        <v>2022 Surplus Applied to 2023</v>
      </c>
      <c r="C705" s="71"/>
      <c r="D705" s="64"/>
      <c r="E705" s="10"/>
      <c r="F705" s="70">
        <f>E705</f>
        <v>0</v>
      </c>
      <c r="G705" s="74"/>
      <c r="H705" s="74"/>
      <c r="I705" s="74"/>
    </row>
    <row r="706" spans="1:9" x14ac:dyDescent="0.25">
      <c r="B706" s="78" t="str">
        <f xml:space="preserve"> ( 'Facility Detail'!$B$761 + 2 ) &amp; " Surplus Applied to " &amp; ( 'Facility Detail'!$B$761 + 1 )</f>
        <v>2023 Surplus Applied to 2022</v>
      </c>
      <c r="C706" s="71"/>
      <c r="D706" s="64"/>
      <c r="E706" s="70">
        <f>F706</f>
        <v>0</v>
      </c>
      <c r="F706" s="10"/>
      <c r="G706" s="74"/>
      <c r="H706" s="74"/>
      <c r="I706" s="74"/>
    </row>
    <row r="707" spans="1:9" x14ac:dyDescent="0.25">
      <c r="B707" s="78" t="str">
        <f xml:space="preserve"> ( 'Facility Detail'!$B$761 + 2 ) &amp; " Surplus Applied to " &amp; ( 'Facility Detail'!$B$761 + 3 )</f>
        <v>2023 Surplus Applied to 2024</v>
      </c>
      <c r="D707" s="64"/>
      <c r="E707" s="75"/>
      <c r="F707" s="10"/>
      <c r="G707" s="126">
        <f>F707</f>
        <v>0</v>
      </c>
      <c r="H707" s="74"/>
      <c r="I707" s="74">
        <f>H707</f>
        <v>0</v>
      </c>
    </row>
    <row r="708" spans="1:9" x14ac:dyDescent="0.25">
      <c r="B708" s="78" t="str">
        <f xml:space="preserve"> ( 'Facility Detail'!$B$761 +3 ) &amp; " Surplus Applied to " &amp; ( 'Facility Detail'!$B$761 + 2 )</f>
        <v>2024 Surplus Applied to 2023</v>
      </c>
      <c r="D708" s="65"/>
      <c r="E708" s="76"/>
      <c r="F708" s="62">
        <f>G708</f>
        <v>0</v>
      </c>
      <c r="G708" s="10"/>
      <c r="H708" s="74"/>
      <c r="I708" s="74"/>
    </row>
    <row r="709" spans="1:9" x14ac:dyDescent="0.25">
      <c r="B709" s="78" t="str">
        <f xml:space="preserve"> ( 'Facility Detail'!$B$761 +3 ) &amp; " Surplus Applied to " &amp; ( 'Facility Detail'!$B$761 + 4 )</f>
        <v>2024 Surplus Applied to 2025</v>
      </c>
      <c r="D709" s="130"/>
      <c r="E709" s="130"/>
      <c r="F709" s="74"/>
      <c r="G709" s="10"/>
      <c r="H709" s="135">
        <f>G709</f>
        <v>0</v>
      </c>
      <c r="I709" s="74"/>
    </row>
    <row r="710" spans="1:9" x14ac:dyDescent="0.25">
      <c r="B710" s="32" t="s">
        <v>25</v>
      </c>
      <c r="D710" s="7">
        <f xml:space="preserve"> D704 - D703</f>
        <v>0</v>
      </c>
      <c r="E710" s="7">
        <f xml:space="preserve"> E703 + E706 - E705 - E704</f>
        <v>0</v>
      </c>
      <c r="F710" s="7">
        <f>F705+F708-F706-F707</f>
        <v>0</v>
      </c>
      <c r="G710" s="7">
        <f>G707-G708</f>
        <v>0</v>
      </c>
      <c r="H710" s="7">
        <f>H707-H708</f>
        <v>0</v>
      </c>
      <c r="I710" s="7">
        <f>I707-I708</f>
        <v>0</v>
      </c>
    </row>
    <row r="711" spans="1:9" x14ac:dyDescent="0.25">
      <c r="B711" s="6"/>
      <c r="D711" s="7"/>
      <c r="E711" s="7"/>
      <c r="F711" s="7"/>
      <c r="G711" s="7"/>
      <c r="H711" s="7"/>
      <c r="I711" s="7"/>
    </row>
    <row r="712" spans="1:9" x14ac:dyDescent="0.25">
      <c r="B712" s="78" t="s">
        <v>21</v>
      </c>
      <c r="C712" s="71"/>
      <c r="D712" s="96"/>
      <c r="E712" s="97"/>
      <c r="F712" s="98"/>
      <c r="G712" s="98"/>
      <c r="H712" s="98"/>
      <c r="I712" s="98"/>
    </row>
    <row r="713" spans="1:9" x14ac:dyDescent="0.25">
      <c r="B713" s="6"/>
      <c r="D713" s="7"/>
      <c r="E713" s="7"/>
      <c r="F713" s="7"/>
      <c r="G713" s="7"/>
      <c r="H713" s="7"/>
      <c r="I713" s="7"/>
    </row>
    <row r="714" spans="1:9" ht="15.75" x14ac:dyDescent="0.25">
      <c r="A714" s="81" t="s">
        <v>33</v>
      </c>
      <c r="C714" s="71"/>
      <c r="D714" s="43">
        <f t="shared" ref="D714:I714" si="232" xml:space="preserve"> D689 + D694 + D700 + D710 + D712</f>
        <v>327635</v>
      </c>
      <c r="E714" s="44">
        <f t="shared" si="232"/>
        <v>327397.59999999998</v>
      </c>
      <c r="F714" s="45">
        <f t="shared" si="232"/>
        <v>391226</v>
      </c>
      <c r="G714" s="45">
        <f t="shared" si="232"/>
        <v>498615.6</v>
      </c>
      <c r="H714" s="45">
        <f t="shared" si="232"/>
        <v>433572</v>
      </c>
      <c r="I714" s="45">
        <f t="shared" si="232"/>
        <v>433572</v>
      </c>
    </row>
    <row r="715" spans="1:9" ht="50.25" customHeight="1" x14ac:dyDescent="0.25">
      <c r="A715" s="159"/>
      <c r="B715" s="159"/>
      <c r="C715" s="159"/>
      <c r="D715" s="159"/>
      <c r="E715" s="159"/>
      <c r="F715" s="159"/>
      <c r="G715" s="29"/>
      <c r="H715" s="29"/>
      <c r="I715" s="29"/>
    </row>
    <row r="716" spans="1:9" ht="42.75" customHeight="1" thickBot="1" x14ac:dyDescent="0.3">
      <c r="A716" s="163"/>
      <c r="B716" s="163"/>
      <c r="C716" s="163"/>
      <c r="D716" s="163"/>
      <c r="E716" s="163"/>
      <c r="F716" s="163"/>
      <c r="G716" s="29"/>
      <c r="H716" s="29"/>
      <c r="I716" s="29"/>
    </row>
    <row r="717" spans="1:9" x14ac:dyDescent="0.25">
      <c r="A717" s="8"/>
      <c r="B717" s="8"/>
      <c r="C717" s="8"/>
      <c r="D717" s="8"/>
      <c r="E717" s="8"/>
      <c r="F717" s="8"/>
      <c r="G717" s="8"/>
      <c r="H717" s="8"/>
      <c r="I717" s="8"/>
    </row>
    <row r="718" spans="1:9" ht="21" x14ac:dyDescent="0.35">
      <c r="A718" s="16" t="s">
        <v>4</v>
      </c>
      <c r="B718" s="16"/>
      <c r="C718" s="154" t="str">
        <f>B21</f>
        <v>Clearwater Wind</v>
      </c>
      <c r="D718" s="155"/>
    </row>
    <row r="720" spans="1:9" ht="18.75" x14ac:dyDescent="0.3">
      <c r="A720" s="9" t="s">
        <v>85</v>
      </c>
      <c r="B720" s="9"/>
      <c r="D720" s="2">
        <v>2021</v>
      </c>
      <c r="E720" s="2">
        <f t="shared" ref="E720" si="233">D720+1</f>
        <v>2022</v>
      </c>
      <c r="F720" s="2">
        <f t="shared" ref="F720" si="234">E720+1</f>
        <v>2023</v>
      </c>
      <c r="G720" s="2">
        <f t="shared" ref="G720" si="235">F720+1</f>
        <v>2024</v>
      </c>
      <c r="H720" s="2">
        <f t="shared" ref="H720" si="236">G720+1</f>
        <v>2025</v>
      </c>
      <c r="I720" s="2">
        <f t="shared" ref="I720" si="237">H720+1</f>
        <v>2026</v>
      </c>
    </row>
    <row r="721" spans="1:9" x14ac:dyDescent="0.25">
      <c r="B721" s="78" t="str">
        <f>"Total MWh Produced / Purchased from " &amp; C718</f>
        <v>Total MWh Produced / Purchased from Clearwater Wind</v>
      </c>
      <c r="C721" s="71"/>
      <c r="D721" s="3">
        <v>0</v>
      </c>
      <c r="E721" s="4">
        <v>0</v>
      </c>
      <c r="F721" s="5">
        <v>0</v>
      </c>
      <c r="G721" s="5">
        <v>153354</v>
      </c>
      <c r="H721" s="5">
        <v>389854</v>
      </c>
      <c r="I721" s="5">
        <v>389854</v>
      </c>
    </row>
    <row r="722" spans="1:9" x14ac:dyDescent="0.25">
      <c r="B722" s="78" t="s">
        <v>32</v>
      </c>
      <c r="C722" s="71"/>
      <c r="D722" s="55">
        <v>1</v>
      </c>
      <c r="E722" s="56">
        <v>1</v>
      </c>
      <c r="F722" s="57">
        <v>1</v>
      </c>
      <c r="G722" s="57">
        <v>1</v>
      </c>
      <c r="H722" s="57">
        <v>1</v>
      </c>
      <c r="I722" s="57">
        <v>1</v>
      </c>
    </row>
    <row r="723" spans="1:9" x14ac:dyDescent="0.25">
      <c r="B723" s="78" t="s">
        <v>26</v>
      </c>
      <c r="C723" s="71"/>
      <c r="D723" s="48">
        <v>1</v>
      </c>
      <c r="E723" s="49">
        <v>1</v>
      </c>
      <c r="F723" s="50">
        <v>1</v>
      </c>
      <c r="G723" s="50">
        <v>1</v>
      </c>
      <c r="H723" s="50">
        <v>1</v>
      </c>
      <c r="I723" s="50">
        <v>1</v>
      </c>
    </row>
    <row r="724" spans="1:9" x14ac:dyDescent="0.25">
      <c r="B724" s="32" t="s">
        <v>28</v>
      </c>
      <c r="C724" s="6"/>
      <c r="D724" s="37">
        <f t="shared" ref="D724:I724" si="238" xml:space="preserve"> D721 * D722 * D723</f>
        <v>0</v>
      </c>
      <c r="E724" s="37">
        <f t="shared" si="238"/>
        <v>0</v>
      </c>
      <c r="F724" s="37">
        <f t="shared" si="238"/>
        <v>0</v>
      </c>
      <c r="G724" s="37">
        <f t="shared" si="238"/>
        <v>153354</v>
      </c>
      <c r="H724" s="37">
        <f t="shared" si="238"/>
        <v>389854</v>
      </c>
      <c r="I724" s="37">
        <f t="shared" si="238"/>
        <v>389854</v>
      </c>
    </row>
    <row r="725" spans="1:9" x14ac:dyDescent="0.25">
      <c r="D725" s="36"/>
      <c r="E725" s="36"/>
      <c r="F725" s="36"/>
      <c r="G725" s="36"/>
      <c r="H725" s="36"/>
      <c r="I725" s="36"/>
    </row>
    <row r="726" spans="1:9" ht="18.75" x14ac:dyDescent="0.3">
      <c r="A726" s="9" t="s">
        <v>30</v>
      </c>
      <c r="D726" s="2">
        <f>D720</f>
        <v>2021</v>
      </c>
      <c r="E726" s="2">
        <f t="shared" ref="E726" si="239">D726+1</f>
        <v>2022</v>
      </c>
      <c r="F726" s="2">
        <f t="shared" ref="F726" si="240">E726+1</f>
        <v>2023</v>
      </c>
      <c r="G726" s="2">
        <f t="shared" ref="G726" si="241">F726+1</f>
        <v>2024</v>
      </c>
      <c r="H726" s="2">
        <f t="shared" ref="H726" si="242">G726+1</f>
        <v>2025</v>
      </c>
      <c r="I726" s="2">
        <f t="shared" ref="I726" si="243">H726+1</f>
        <v>2026</v>
      </c>
    </row>
    <row r="727" spans="1:9" x14ac:dyDescent="0.25">
      <c r="B727" s="78" t="s">
        <v>110</v>
      </c>
      <c r="C727" s="71"/>
      <c r="D727" s="51">
        <f>IF( $E355 = "Eligible", D724 * 'Facility Detail'!$B$758, 0 )</f>
        <v>0</v>
      </c>
      <c r="E727" s="51">
        <f>IF( $E355 = "Eligible", E724 * 'Facility Detail'!$B$758, 0 )</f>
        <v>0</v>
      </c>
      <c r="F727" s="51">
        <f>IF( $E355 = "Eligible", F724 * 'Facility Detail'!$B$758, 0 )</f>
        <v>0</v>
      </c>
      <c r="G727" s="51">
        <f>IF( $E355 = "Eligible", G724 * 'Facility Detail'!$B$758, 0 )</f>
        <v>0</v>
      </c>
      <c r="H727" s="51">
        <f>IF( $E355 = "Eligible", H724 * 'Facility Detail'!$B$758, 0 )</f>
        <v>0</v>
      </c>
      <c r="I727" s="51">
        <f>IF( $E355 = "Eligible", I724 * 'Facility Detail'!$B$758, 0 )</f>
        <v>0</v>
      </c>
    </row>
    <row r="728" spans="1:9" x14ac:dyDescent="0.25">
      <c r="B728" s="78" t="s">
        <v>6</v>
      </c>
      <c r="C728" s="71"/>
      <c r="D728" s="52">
        <f t="shared" ref="D728:I728" si="244">IF( $F100 = "Eligible", D724, 0 )</f>
        <v>0</v>
      </c>
      <c r="E728" s="53">
        <f t="shared" si="244"/>
        <v>0</v>
      </c>
      <c r="F728" s="54">
        <f t="shared" si="244"/>
        <v>0</v>
      </c>
      <c r="G728" s="54">
        <f t="shared" si="244"/>
        <v>0</v>
      </c>
      <c r="H728" s="54">
        <f t="shared" si="244"/>
        <v>0</v>
      </c>
      <c r="I728" s="54">
        <f t="shared" si="244"/>
        <v>0</v>
      </c>
    </row>
    <row r="729" spans="1:9" x14ac:dyDescent="0.25">
      <c r="B729" s="32" t="s">
        <v>37</v>
      </c>
      <c r="C729" s="6"/>
      <c r="D729" s="39">
        <f t="shared" ref="D729:I729" si="245">SUM(D727:D728)</f>
        <v>0</v>
      </c>
      <c r="E729" s="40">
        <f t="shared" si="245"/>
        <v>0</v>
      </c>
      <c r="F729" s="40">
        <f t="shared" si="245"/>
        <v>0</v>
      </c>
      <c r="G729" s="40">
        <f t="shared" si="245"/>
        <v>0</v>
      </c>
      <c r="H729" s="40">
        <f t="shared" si="245"/>
        <v>0</v>
      </c>
      <c r="I729" s="40">
        <f t="shared" si="245"/>
        <v>0</v>
      </c>
    </row>
    <row r="730" spans="1:9" x14ac:dyDescent="0.25">
      <c r="D730" s="38"/>
      <c r="E730" s="30"/>
      <c r="F730" s="30"/>
      <c r="G730" s="30"/>
      <c r="H730" s="30"/>
      <c r="I730" s="30"/>
    </row>
    <row r="731" spans="1:9" ht="18.75" x14ac:dyDescent="0.3">
      <c r="A731" s="9" t="s">
        <v>35</v>
      </c>
      <c r="D731" s="2">
        <f>D720</f>
        <v>2021</v>
      </c>
      <c r="E731" s="2">
        <f t="shared" ref="E731" si="246">D731+1</f>
        <v>2022</v>
      </c>
      <c r="F731" s="2">
        <f t="shared" ref="F731" si="247">E731+1</f>
        <v>2023</v>
      </c>
      <c r="G731" s="2">
        <f t="shared" ref="G731" si="248">F731+1</f>
        <v>2024</v>
      </c>
      <c r="H731" s="2">
        <f t="shared" ref="H731" si="249">G731+1</f>
        <v>2025</v>
      </c>
      <c r="I731" s="2">
        <f t="shared" ref="I731" si="250">H731+1</f>
        <v>2026</v>
      </c>
    </row>
    <row r="732" spans="1:9" x14ac:dyDescent="0.25">
      <c r="B732" s="78" t="s">
        <v>111</v>
      </c>
      <c r="C732" s="71"/>
      <c r="D732" s="84">
        <v>0</v>
      </c>
      <c r="E732" s="85">
        <v>0</v>
      </c>
      <c r="F732" s="86">
        <v>0</v>
      </c>
      <c r="G732" s="86">
        <v>0</v>
      </c>
      <c r="H732" s="86">
        <v>0</v>
      </c>
      <c r="I732" s="86">
        <v>0</v>
      </c>
    </row>
    <row r="733" spans="1:9" x14ac:dyDescent="0.25">
      <c r="B733" s="79" t="s">
        <v>29</v>
      </c>
      <c r="C733" s="80"/>
      <c r="D733" s="87">
        <v>0</v>
      </c>
      <c r="E733" s="88">
        <v>0</v>
      </c>
      <c r="F733" s="89">
        <v>0</v>
      </c>
      <c r="G733" s="89">
        <v>0</v>
      </c>
      <c r="H733" s="89">
        <v>0</v>
      </c>
      <c r="I733" s="89">
        <v>0</v>
      </c>
    </row>
    <row r="734" spans="1:9" x14ac:dyDescent="0.25">
      <c r="B734" s="79" t="s">
        <v>41</v>
      </c>
      <c r="C734"/>
      <c r="D734" s="58"/>
      <c r="E734" s="59"/>
      <c r="F734" s="60"/>
      <c r="G734" s="60"/>
      <c r="H734" s="60"/>
      <c r="I734" s="60"/>
    </row>
    <row r="735" spans="1:9" x14ac:dyDescent="0.25">
      <c r="B735" s="32" t="s">
        <v>42</v>
      </c>
      <c r="D735" s="7">
        <f t="shared" ref="D735:I735" si="251">SUM(D732:D734)</f>
        <v>0</v>
      </c>
      <c r="E735" s="7">
        <f t="shared" si="251"/>
        <v>0</v>
      </c>
      <c r="F735" s="7">
        <f t="shared" si="251"/>
        <v>0</v>
      </c>
      <c r="G735" s="7">
        <f t="shared" si="251"/>
        <v>0</v>
      </c>
      <c r="H735" s="7">
        <f t="shared" si="251"/>
        <v>0</v>
      </c>
      <c r="I735" s="7">
        <f t="shared" si="251"/>
        <v>0</v>
      </c>
    </row>
    <row r="736" spans="1:9" x14ac:dyDescent="0.25">
      <c r="B736" s="6"/>
      <c r="D736" s="7"/>
      <c r="E736" s="7"/>
      <c r="F736" s="7"/>
      <c r="G736" s="7"/>
      <c r="H736" s="7"/>
      <c r="I736" s="7"/>
    </row>
    <row r="737" spans="1:10" ht="18.75" x14ac:dyDescent="0.3">
      <c r="A737" s="9" t="s">
        <v>43</v>
      </c>
      <c r="D737" s="2">
        <f>D720</f>
        <v>2021</v>
      </c>
      <c r="E737" s="2">
        <f t="shared" ref="E737" si="252">D737+1</f>
        <v>2022</v>
      </c>
      <c r="F737" s="2">
        <f t="shared" ref="F737" si="253">E737+1</f>
        <v>2023</v>
      </c>
      <c r="G737" s="2">
        <f t="shared" ref="G737" si="254">F737+1</f>
        <v>2024</v>
      </c>
      <c r="H737" s="2">
        <f t="shared" ref="H737" si="255">G737+1</f>
        <v>2025</v>
      </c>
      <c r="I737" s="2">
        <f t="shared" ref="I737" si="256">H737+1</f>
        <v>2026</v>
      </c>
    </row>
    <row r="738" spans="1:10" x14ac:dyDescent="0.25">
      <c r="B738" s="78" t="str">
        <f xml:space="preserve"> 'Facility Detail'!$B$761 &amp; " Surplus Applied to " &amp; ( 'Facility Detail'!$B$761 + 1 )</f>
        <v>2021 Surplus Applied to 2022</v>
      </c>
      <c r="C738" s="71"/>
      <c r="D738" s="3"/>
      <c r="E738" s="61">
        <f>D738</f>
        <v>0</v>
      </c>
      <c r="F738" s="124"/>
      <c r="G738" s="63"/>
      <c r="H738" s="63"/>
      <c r="I738" s="63"/>
    </row>
    <row r="739" spans="1:10" x14ac:dyDescent="0.25">
      <c r="B739" s="78" t="str">
        <f xml:space="preserve"> ( 'Facility Detail'!$B$761 + 1 ) &amp; " Surplus Applied to " &amp; ( 'Facility Detail'!$B$761 )</f>
        <v>2022 Surplus Applied to 2021</v>
      </c>
      <c r="C739" s="71"/>
      <c r="D739" s="125">
        <f>E739</f>
        <v>0</v>
      </c>
      <c r="E739" s="10"/>
      <c r="F739" s="75"/>
      <c r="G739" s="74"/>
      <c r="H739" s="74"/>
      <c r="I739" s="74"/>
    </row>
    <row r="740" spans="1:10" x14ac:dyDescent="0.25">
      <c r="B740" s="78" t="str">
        <f xml:space="preserve"> ( 'Facility Detail'!$B$761 + 1 ) &amp; " Surplus Applied to " &amp; ( 'Facility Detail'!$B$761 + 2 )</f>
        <v>2022 Surplus Applied to 2023</v>
      </c>
      <c r="C740" s="71"/>
      <c r="D740" s="64"/>
      <c r="E740" s="10"/>
      <c r="F740" s="70">
        <f>E740</f>
        <v>0</v>
      </c>
      <c r="G740" s="74"/>
      <c r="H740" s="74"/>
      <c r="I740" s="74"/>
    </row>
    <row r="741" spans="1:10" x14ac:dyDescent="0.25">
      <c r="B741" s="78" t="str">
        <f xml:space="preserve"> ( 'Facility Detail'!$B$761 + 2 ) &amp; " Surplus Applied to " &amp; ( 'Facility Detail'!$B$761 + 1 )</f>
        <v>2023 Surplus Applied to 2022</v>
      </c>
      <c r="C741" s="71"/>
      <c r="D741" s="64"/>
      <c r="E741" s="70">
        <f>F741</f>
        <v>0</v>
      </c>
      <c r="F741" s="10"/>
      <c r="G741" s="74"/>
      <c r="H741" s="74"/>
      <c r="I741" s="74"/>
    </row>
    <row r="742" spans="1:10" x14ac:dyDescent="0.25">
      <c r="B742" s="78" t="str">
        <f xml:space="preserve"> ( 'Facility Detail'!$B$761 + 2 ) &amp; " Surplus Applied to " &amp; ( 'Facility Detail'!$B$761 + 3 )</f>
        <v>2023 Surplus Applied to 2024</v>
      </c>
      <c r="D742" s="64"/>
      <c r="E742" s="75"/>
      <c r="F742" s="10"/>
      <c r="G742" s="126">
        <f>F742</f>
        <v>0</v>
      </c>
      <c r="H742" s="74"/>
      <c r="I742" s="74">
        <f>H742</f>
        <v>0</v>
      </c>
    </row>
    <row r="743" spans="1:10" x14ac:dyDescent="0.25">
      <c r="B743" s="78" t="str">
        <f xml:space="preserve"> ( 'Facility Detail'!$B$761 +3 ) &amp; " Surplus Applied to " &amp; ( 'Facility Detail'!$B$761 + 2 )</f>
        <v>2024 Surplus Applied to 2023</v>
      </c>
      <c r="D743" s="65"/>
      <c r="E743" s="76"/>
      <c r="F743" s="62">
        <f>G743</f>
        <v>0</v>
      </c>
      <c r="G743" s="10"/>
      <c r="H743" s="74"/>
      <c r="I743" s="74"/>
    </row>
    <row r="744" spans="1:10" x14ac:dyDescent="0.25">
      <c r="B744" s="78" t="str">
        <f xml:space="preserve"> ( 'Facility Detail'!$B$761 +3 ) &amp; " Surplus Applied to " &amp; ( 'Facility Detail'!$B$761 + 4 )</f>
        <v>2024 Surplus Applied to 2025</v>
      </c>
      <c r="D744" s="130"/>
      <c r="E744" s="130"/>
      <c r="F744" s="74"/>
      <c r="G744" s="10"/>
      <c r="H744" s="135">
        <f>G744</f>
        <v>0</v>
      </c>
      <c r="I744" s="74"/>
    </row>
    <row r="745" spans="1:10" x14ac:dyDescent="0.25">
      <c r="B745" s="32" t="s">
        <v>25</v>
      </c>
      <c r="D745" s="7">
        <f xml:space="preserve"> D739 - D738</f>
        <v>0</v>
      </c>
      <c r="E745" s="7">
        <f xml:space="preserve"> E738 + E741 - E740 - E739</f>
        <v>0</v>
      </c>
      <c r="F745" s="7">
        <f>F740+F743-F741-F742</f>
        <v>0</v>
      </c>
      <c r="G745" s="7">
        <f t="shared" ref="G745:I745" si="257">G742-G743</f>
        <v>0</v>
      </c>
      <c r="H745" s="7">
        <f t="shared" si="257"/>
        <v>0</v>
      </c>
      <c r="I745" s="7">
        <f t="shared" si="257"/>
        <v>0</v>
      </c>
    </row>
    <row r="746" spans="1:10" x14ac:dyDescent="0.25">
      <c r="B746" s="6"/>
      <c r="D746" s="7"/>
      <c r="E746" s="7"/>
      <c r="F746" s="7"/>
      <c r="G746" s="7"/>
      <c r="H746" s="7"/>
      <c r="I746" s="7"/>
    </row>
    <row r="747" spans="1:10" x14ac:dyDescent="0.25">
      <c r="B747" s="78" t="s">
        <v>21</v>
      </c>
      <c r="C747" s="71"/>
      <c r="D747" s="96"/>
      <c r="E747" s="97"/>
      <c r="F747" s="98"/>
      <c r="G747" s="98"/>
      <c r="H747" s="98"/>
      <c r="I747" s="98"/>
    </row>
    <row r="748" spans="1:10" x14ac:dyDescent="0.25">
      <c r="B748" s="6"/>
      <c r="D748" s="7"/>
      <c r="E748" s="7"/>
      <c r="F748" s="7"/>
      <c r="G748" s="7"/>
      <c r="H748" s="7"/>
      <c r="I748" s="7"/>
    </row>
    <row r="749" spans="1:10" ht="15.75" x14ac:dyDescent="0.25">
      <c r="A749" s="81" t="s">
        <v>33</v>
      </c>
      <c r="C749" s="71"/>
      <c r="D749" s="43">
        <f t="shared" ref="D749:I749" si="258" xml:space="preserve"> D724 + D729 + D735 + D745 + D747</f>
        <v>0</v>
      </c>
      <c r="E749" s="44">
        <f t="shared" si="258"/>
        <v>0</v>
      </c>
      <c r="F749" s="45">
        <f t="shared" si="258"/>
        <v>0</v>
      </c>
      <c r="G749" s="45">
        <f t="shared" si="258"/>
        <v>153354</v>
      </c>
      <c r="H749" s="45">
        <f t="shared" si="258"/>
        <v>389854</v>
      </c>
      <c r="I749" s="45">
        <f t="shared" si="258"/>
        <v>389854</v>
      </c>
    </row>
    <row r="750" spans="1:10" x14ac:dyDescent="0.25">
      <c r="A750" s="159"/>
      <c r="B750" s="159"/>
      <c r="C750" s="159"/>
      <c r="D750" s="159"/>
      <c r="E750" s="159"/>
      <c r="F750" s="159"/>
      <c r="G750" s="29"/>
      <c r="H750" s="29"/>
      <c r="I750" s="29"/>
      <c r="J750" s="29"/>
    </row>
    <row r="751" spans="1:10" ht="15.75" thickBot="1" x14ac:dyDescent="0.3">
      <c r="A751" s="163"/>
      <c r="B751" s="163"/>
      <c r="C751" s="163"/>
      <c r="D751" s="163"/>
      <c r="E751" s="163"/>
      <c r="F751" s="163"/>
      <c r="G751" s="163"/>
      <c r="H751" s="163"/>
      <c r="I751" s="163"/>
      <c r="J751" s="163"/>
    </row>
    <row r="752" spans="1:10" ht="15.75" thickBot="1" x14ac:dyDescent="0.3">
      <c r="A752" s="133"/>
      <c r="B752" s="133"/>
      <c r="C752" s="133"/>
      <c r="D752" s="133"/>
      <c r="E752" s="133"/>
      <c r="F752" s="133"/>
      <c r="G752" s="133"/>
      <c r="H752" s="133"/>
      <c r="I752" s="133"/>
      <c r="J752" s="133"/>
    </row>
    <row r="753" spans="1:10" x14ac:dyDescent="0.25">
      <c r="A753" s="151"/>
      <c r="B753" s="151"/>
      <c r="C753" s="151"/>
      <c r="D753" s="151"/>
      <c r="E753" s="151"/>
      <c r="F753" s="151"/>
      <c r="G753" s="151"/>
      <c r="H753" s="151"/>
      <c r="I753" s="151"/>
      <c r="J753" s="151"/>
    </row>
    <row r="754" spans="1:10" x14ac:dyDescent="0.25">
      <c r="B754" s="147" t="s">
        <v>1</v>
      </c>
    </row>
    <row r="755" spans="1:10" x14ac:dyDescent="0.25">
      <c r="B755" s="148" t="s">
        <v>2</v>
      </c>
    </row>
    <row r="757" spans="1:10" x14ac:dyDescent="0.25">
      <c r="B757" s="6" t="s">
        <v>105</v>
      </c>
    </row>
    <row r="758" spans="1:10" x14ac:dyDescent="0.25">
      <c r="B758" s="149">
        <v>0.2</v>
      </c>
    </row>
    <row r="760" spans="1:10" x14ac:dyDescent="0.25">
      <c r="B760" s="6" t="s">
        <v>106</v>
      </c>
    </row>
    <row r="761" spans="1:10" x14ac:dyDescent="0.25">
      <c r="B761" s="149">
        <v>2021</v>
      </c>
    </row>
    <row r="763" spans="1:10" x14ac:dyDescent="0.25">
      <c r="B763" s="6" t="s">
        <v>107</v>
      </c>
    </row>
    <row r="764" spans="1:10" x14ac:dyDescent="0.25">
      <c r="B764" s="146"/>
    </row>
    <row r="765" spans="1:10" x14ac:dyDescent="0.25">
      <c r="B765" s="147" t="s">
        <v>67</v>
      </c>
    </row>
    <row r="766" spans="1:10" x14ac:dyDescent="0.25">
      <c r="B766" s="147" t="s">
        <v>72</v>
      </c>
    </row>
    <row r="767" spans="1:10" x14ac:dyDescent="0.25">
      <c r="B767" s="147" t="s">
        <v>70</v>
      </c>
    </row>
    <row r="768" spans="1:10" x14ac:dyDescent="0.25">
      <c r="B768" s="147" t="s">
        <v>73</v>
      </c>
    </row>
    <row r="769" spans="2:2" x14ac:dyDescent="0.25">
      <c r="B769" s="147" t="s">
        <v>74</v>
      </c>
    </row>
    <row r="770" spans="2:2" x14ac:dyDescent="0.25">
      <c r="B770" s="147" t="s">
        <v>75</v>
      </c>
    </row>
    <row r="771" spans="2:2" x14ac:dyDescent="0.25">
      <c r="B771" s="147" t="s">
        <v>76</v>
      </c>
    </row>
    <row r="772" spans="2:2" x14ac:dyDescent="0.25">
      <c r="B772" s="147" t="s">
        <v>77</v>
      </c>
    </row>
    <row r="773" spans="2:2" x14ac:dyDescent="0.25">
      <c r="B773" s="150" t="s">
        <v>78</v>
      </c>
    </row>
  </sheetData>
  <mergeCells count="18">
    <mergeCell ref="G751:J751"/>
    <mergeCell ref="A751:F751"/>
    <mergeCell ref="A750:F750"/>
    <mergeCell ref="A715:F715"/>
    <mergeCell ref="A716:F716"/>
    <mergeCell ref="A645:F645"/>
    <mergeCell ref="A681:F681"/>
    <mergeCell ref="A680:F680"/>
    <mergeCell ref="A609:F609"/>
    <mergeCell ref="B33:F33"/>
    <mergeCell ref="A465:F465"/>
    <mergeCell ref="A394:F394"/>
    <mergeCell ref="A429:F429"/>
    <mergeCell ref="A573:F573"/>
    <mergeCell ref="A501:I501"/>
    <mergeCell ref="A536:I536"/>
    <mergeCell ref="A608:F608"/>
    <mergeCell ref="A679:F679"/>
  </mergeCells>
  <phoneticPr fontId="5" type="noConversion"/>
  <dataValidations count="2">
    <dataValidation type="list" allowBlank="1" showInputMessage="1" showErrorMessage="1" sqref="E2:F31" xr:uid="{00000000-0002-0000-0100-000000000000}">
      <formula1>LaborBonus</formula1>
    </dataValidation>
    <dataValidation type="list" allowBlank="1" showInputMessage="1" showErrorMessage="1" sqref="D2:D12 D14:D16 D20:D21" xr:uid="{00000000-0002-0000-0100-000001000000}">
      <formula1>Facility</formula1>
    </dataValidation>
  </dataValidations>
  <pageMargins left="0.75" right="0.75" top="1" bottom="1" header="0.5" footer="0.5"/>
  <pageSetup scale="53" fitToHeight="2" orientation="portrait" r:id="rId1"/>
  <headerFooter alignWithMargins="0"/>
  <rowBreaks count="6" manualBreakCount="6">
    <brk id="71" max="8" man="1"/>
    <brk id="143" max="8" man="1"/>
    <brk id="215" max="8" man="1"/>
    <brk id="287" max="8" man="1"/>
    <brk id="359" max="8" man="1"/>
    <brk id="50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40"/>
  <sheetViews>
    <sheetView showGridLines="0" view="pageBreakPreview" zoomScale="75" zoomScaleNormal="100" zoomScaleSheetLayoutView="75" workbookViewId="0">
      <selection activeCell="G21" sqref="G21:G41"/>
    </sheetView>
  </sheetViews>
  <sheetFormatPr defaultRowHeight="12.75" outlineLevelRow="1" x14ac:dyDescent="0.2"/>
  <cols>
    <col min="1" max="1" width="28.7109375" style="101" customWidth="1"/>
    <col min="2" max="2" width="25.140625" style="101" bestFit="1" customWidth="1"/>
    <col min="3" max="5" width="16.42578125" style="101" customWidth="1"/>
    <col min="6" max="8" width="14.28515625" style="101" customWidth="1"/>
    <col min="9" max="249" width="9.140625" style="101"/>
    <col min="250" max="250" width="27" style="101" customWidth="1"/>
    <col min="251" max="254" width="16.42578125" style="101" customWidth="1"/>
    <col min="255" max="256" width="14.28515625" style="101" customWidth="1"/>
    <col min="257" max="505" width="9.140625" style="101"/>
    <col min="506" max="506" width="27" style="101" customWidth="1"/>
    <col min="507" max="510" width="16.42578125" style="101" customWidth="1"/>
    <col min="511" max="512" width="14.28515625" style="101" customWidth="1"/>
    <col min="513" max="761" width="9.140625" style="101"/>
    <col min="762" max="762" width="27" style="101" customWidth="1"/>
    <col min="763" max="766" width="16.42578125" style="101" customWidth="1"/>
    <col min="767" max="768" width="14.28515625" style="101" customWidth="1"/>
    <col min="769" max="1017" width="9.140625" style="101"/>
    <col min="1018" max="1018" width="27" style="101" customWidth="1"/>
    <col min="1019" max="1022" width="16.42578125" style="101" customWidth="1"/>
    <col min="1023" max="1024" width="14.28515625" style="101" customWidth="1"/>
    <col min="1025" max="1273" width="9.140625" style="101"/>
    <col min="1274" max="1274" width="27" style="101" customWidth="1"/>
    <col min="1275" max="1278" width="16.42578125" style="101" customWidth="1"/>
    <col min="1279" max="1280" width="14.28515625" style="101" customWidth="1"/>
    <col min="1281" max="1529" width="9.140625" style="101"/>
    <col min="1530" max="1530" width="27" style="101" customWidth="1"/>
    <col min="1531" max="1534" width="16.42578125" style="101" customWidth="1"/>
    <col min="1535" max="1536" width="14.28515625" style="101" customWidth="1"/>
    <col min="1537" max="1785" width="9.140625" style="101"/>
    <col min="1786" max="1786" width="27" style="101" customWidth="1"/>
    <col min="1787" max="1790" width="16.42578125" style="101" customWidth="1"/>
    <col min="1791" max="1792" width="14.28515625" style="101" customWidth="1"/>
    <col min="1793" max="2041" width="9.140625" style="101"/>
    <col min="2042" max="2042" width="27" style="101" customWidth="1"/>
    <col min="2043" max="2046" width="16.42578125" style="101" customWidth="1"/>
    <col min="2047" max="2048" width="14.28515625" style="101" customWidth="1"/>
    <col min="2049" max="2297" width="9.140625" style="101"/>
    <col min="2298" max="2298" width="27" style="101" customWidth="1"/>
    <col min="2299" max="2302" width="16.42578125" style="101" customWidth="1"/>
    <col min="2303" max="2304" width="14.28515625" style="101" customWidth="1"/>
    <col min="2305" max="2553" width="9.140625" style="101"/>
    <col min="2554" max="2554" width="27" style="101" customWidth="1"/>
    <col min="2555" max="2558" width="16.42578125" style="101" customWidth="1"/>
    <col min="2559" max="2560" width="14.28515625" style="101" customWidth="1"/>
    <col min="2561" max="2809" width="9.140625" style="101"/>
    <col min="2810" max="2810" width="27" style="101" customWidth="1"/>
    <col min="2811" max="2814" width="16.42578125" style="101" customWidth="1"/>
    <col min="2815" max="2816" width="14.28515625" style="101" customWidth="1"/>
    <col min="2817" max="3065" width="9.140625" style="101"/>
    <col min="3066" max="3066" width="27" style="101" customWidth="1"/>
    <col min="3067" max="3070" width="16.42578125" style="101" customWidth="1"/>
    <col min="3071" max="3072" width="14.28515625" style="101" customWidth="1"/>
    <col min="3073" max="3321" width="9.140625" style="101"/>
    <col min="3322" max="3322" width="27" style="101" customWidth="1"/>
    <col min="3323" max="3326" width="16.42578125" style="101" customWidth="1"/>
    <col min="3327" max="3328" width="14.28515625" style="101" customWidth="1"/>
    <col min="3329" max="3577" width="9.140625" style="101"/>
    <col min="3578" max="3578" width="27" style="101" customWidth="1"/>
    <col min="3579" max="3582" width="16.42578125" style="101" customWidth="1"/>
    <col min="3583" max="3584" width="14.28515625" style="101" customWidth="1"/>
    <col min="3585" max="3833" width="9.140625" style="101"/>
    <col min="3834" max="3834" width="27" style="101" customWidth="1"/>
    <col min="3835" max="3838" width="16.42578125" style="101" customWidth="1"/>
    <col min="3839" max="3840" width="14.28515625" style="101" customWidth="1"/>
    <col min="3841" max="4089" width="9.140625" style="101"/>
    <col min="4090" max="4090" width="27" style="101" customWidth="1"/>
    <col min="4091" max="4094" width="16.42578125" style="101" customWidth="1"/>
    <col min="4095" max="4096" width="14.28515625" style="101" customWidth="1"/>
    <col min="4097" max="4345" width="9.140625" style="101"/>
    <col min="4346" max="4346" width="27" style="101" customWidth="1"/>
    <col min="4347" max="4350" width="16.42578125" style="101" customWidth="1"/>
    <col min="4351" max="4352" width="14.28515625" style="101" customWidth="1"/>
    <col min="4353" max="4601" width="9.140625" style="101"/>
    <col min="4602" max="4602" width="27" style="101" customWidth="1"/>
    <col min="4603" max="4606" width="16.42578125" style="101" customWidth="1"/>
    <col min="4607" max="4608" width="14.28515625" style="101" customWidth="1"/>
    <col min="4609" max="4857" width="9.140625" style="101"/>
    <col min="4858" max="4858" width="27" style="101" customWidth="1"/>
    <col min="4859" max="4862" width="16.42578125" style="101" customWidth="1"/>
    <col min="4863" max="4864" width="14.28515625" style="101" customWidth="1"/>
    <col min="4865" max="5113" width="9.140625" style="101"/>
    <col min="5114" max="5114" width="27" style="101" customWidth="1"/>
    <col min="5115" max="5118" width="16.42578125" style="101" customWidth="1"/>
    <col min="5119" max="5120" width="14.28515625" style="101" customWidth="1"/>
    <col min="5121" max="5369" width="9.140625" style="101"/>
    <col min="5370" max="5370" width="27" style="101" customWidth="1"/>
    <col min="5371" max="5374" width="16.42578125" style="101" customWidth="1"/>
    <col min="5375" max="5376" width="14.28515625" style="101" customWidth="1"/>
    <col min="5377" max="5625" width="9.140625" style="101"/>
    <col min="5626" max="5626" width="27" style="101" customWidth="1"/>
    <col min="5627" max="5630" width="16.42578125" style="101" customWidth="1"/>
    <col min="5631" max="5632" width="14.28515625" style="101" customWidth="1"/>
    <col min="5633" max="5881" width="9.140625" style="101"/>
    <col min="5882" max="5882" width="27" style="101" customWidth="1"/>
    <col min="5883" max="5886" width="16.42578125" style="101" customWidth="1"/>
    <col min="5887" max="5888" width="14.28515625" style="101" customWidth="1"/>
    <col min="5889" max="6137" width="9.140625" style="101"/>
    <col min="6138" max="6138" width="27" style="101" customWidth="1"/>
    <col min="6139" max="6142" width="16.42578125" style="101" customWidth="1"/>
    <col min="6143" max="6144" width="14.28515625" style="101" customWidth="1"/>
    <col min="6145" max="6393" width="9.140625" style="101"/>
    <col min="6394" max="6394" width="27" style="101" customWidth="1"/>
    <col min="6395" max="6398" width="16.42578125" style="101" customWidth="1"/>
    <col min="6399" max="6400" width="14.28515625" style="101" customWidth="1"/>
    <col min="6401" max="6649" width="9.140625" style="101"/>
    <col min="6650" max="6650" width="27" style="101" customWidth="1"/>
    <col min="6651" max="6654" width="16.42578125" style="101" customWidth="1"/>
    <col min="6655" max="6656" width="14.28515625" style="101" customWidth="1"/>
    <col min="6657" max="6905" width="9.140625" style="101"/>
    <col min="6906" max="6906" width="27" style="101" customWidth="1"/>
    <col min="6907" max="6910" width="16.42578125" style="101" customWidth="1"/>
    <col min="6911" max="6912" width="14.28515625" style="101" customWidth="1"/>
    <col min="6913" max="7161" width="9.140625" style="101"/>
    <col min="7162" max="7162" width="27" style="101" customWidth="1"/>
    <col min="7163" max="7166" width="16.42578125" style="101" customWidth="1"/>
    <col min="7167" max="7168" width="14.28515625" style="101" customWidth="1"/>
    <col min="7169" max="7417" width="9.140625" style="101"/>
    <col min="7418" max="7418" width="27" style="101" customWidth="1"/>
    <col min="7419" max="7422" width="16.42578125" style="101" customWidth="1"/>
    <col min="7423" max="7424" width="14.28515625" style="101" customWidth="1"/>
    <col min="7425" max="7673" width="9.140625" style="101"/>
    <col min="7674" max="7674" width="27" style="101" customWidth="1"/>
    <col min="7675" max="7678" width="16.42578125" style="101" customWidth="1"/>
    <col min="7679" max="7680" width="14.28515625" style="101" customWidth="1"/>
    <col min="7681" max="7929" width="9.140625" style="101"/>
    <col min="7930" max="7930" width="27" style="101" customWidth="1"/>
    <col min="7931" max="7934" width="16.42578125" style="101" customWidth="1"/>
    <col min="7935" max="7936" width="14.28515625" style="101" customWidth="1"/>
    <col min="7937" max="8185" width="9.140625" style="101"/>
    <col min="8186" max="8186" width="27" style="101" customWidth="1"/>
    <col min="8187" max="8190" width="16.42578125" style="101" customWidth="1"/>
    <col min="8191" max="8192" width="14.28515625" style="101" customWidth="1"/>
    <col min="8193" max="8441" width="9.140625" style="101"/>
    <col min="8442" max="8442" width="27" style="101" customWidth="1"/>
    <col min="8443" max="8446" width="16.42578125" style="101" customWidth="1"/>
    <col min="8447" max="8448" width="14.28515625" style="101" customWidth="1"/>
    <col min="8449" max="8697" width="9.140625" style="101"/>
    <col min="8698" max="8698" width="27" style="101" customWidth="1"/>
    <col min="8699" max="8702" width="16.42578125" style="101" customWidth="1"/>
    <col min="8703" max="8704" width="14.28515625" style="101" customWidth="1"/>
    <col min="8705" max="8953" width="9.140625" style="101"/>
    <col min="8954" max="8954" width="27" style="101" customWidth="1"/>
    <col min="8955" max="8958" width="16.42578125" style="101" customWidth="1"/>
    <col min="8959" max="8960" width="14.28515625" style="101" customWidth="1"/>
    <col min="8961" max="9209" width="9.140625" style="101"/>
    <col min="9210" max="9210" width="27" style="101" customWidth="1"/>
    <col min="9211" max="9214" width="16.42578125" style="101" customWidth="1"/>
    <col min="9215" max="9216" width="14.28515625" style="101" customWidth="1"/>
    <col min="9217" max="9465" width="9.140625" style="101"/>
    <col min="9466" max="9466" width="27" style="101" customWidth="1"/>
    <col min="9467" max="9470" width="16.42578125" style="101" customWidth="1"/>
    <col min="9471" max="9472" width="14.28515625" style="101" customWidth="1"/>
    <col min="9473" max="9721" width="9.140625" style="101"/>
    <col min="9722" max="9722" width="27" style="101" customWidth="1"/>
    <col min="9723" max="9726" width="16.42578125" style="101" customWidth="1"/>
    <col min="9727" max="9728" width="14.28515625" style="101" customWidth="1"/>
    <col min="9729" max="9977" width="9.140625" style="101"/>
    <col min="9978" max="9978" width="27" style="101" customWidth="1"/>
    <col min="9979" max="9982" width="16.42578125" style="101" customWidth="1"/>
    <col min="9983" max="9984" width="14.28515625" style="101" customWidth="1"/>
    <col min="9985" max="10233" width="9.140625" style="101"/>
    <col min="10234" max="10234" width="27" style="101" customWidth="1"/>
    <col min="10235" max="10238" width="16.42578125" style="101" customWidth="1"/>
    <col min="10239" max="10240" width="14.28515625" style="101" customWidth="1"/>
    <col min="10241" max="10489" width="9.140625" style="101"/>
    <col min="10490" max="10490" width="27" style="101" customWidth="1"/>
    <col min="10491" max="10494" width="16.42578125" style="101" customWidth="1"/>
    <col min="10495" max="10496" width="14.28515625" style="101" customWidth="1"/>
    <col min="10497" max="10745" width="9.140625" style="101"/>
    <col min="10746" max="10746" width="27" style="101" customWidth="1"/>
    <col min="10747" max="10750" width="16.42578125" style="101" customWidth="1"/>
    <col min="10751" max="10752" width="14.28515625" style="101" customWidth="1"/>
    <col min="10753" max="11001" width="9.140625" style="101"/>
    <col min="11002" max="11002" width="27" style="101" customWidth="1"/>
    <col min="11003" max="11006" width="16.42578125" style="101" customWidth="1"/>
    <col min="11007" max="11008" width="14.28515625" style="101" customWidth="1"/>
    <col min="11009" max="11257" width="9.140625" style="101"/>
    <col min="11258" max="11258" width="27" style="101" customWidth="1"/>
    <col min="11259" max="11262" width="16.42578125" style="101" customWidth="1"/>
    <col min="11263" max="11264" width="14.28515625" style="101" customWidth="1"/>
    <col min="11265" max="11513" width="9.140625" style="101"/>
    <col min="11514" max="11514" width="27" style="101" customWidth="1"/>
    <col min="11515" max="11518" width="16.42578125" style="101" customWidth="1"/>
    <col min="11519" max="11520" width="14.28515625" style="101" customWidth="1"/>
    <col min="11521" max="11769" width="9.140625" style="101"/>
    <col min="11770" max="11770" width="27" style="101" customWidth="1"/>
    <col min="11771" max="11774" width="16.42578125" style="101" customWidth="1"/>
    <col min="11775" max="11776" width="14.28515625" style="101" customWidth="1"/>
    <col min="11777" max="12025" width="9.140625" style="101"/>
    <col min="12026" max="12026" width="27" style="101" customWidth="1"/>
    <col min="12027" max="12030" width="16.42578125" style="101" customWidth="1"/>
    <col min="12031" max="12032" width="14.28515625" style="101" customWidth="1"/>
    <col min="12033" max="12281" width="9.140625" style="101"/>
    <col min="12282" max="12282" width="27" style="101" customWidth="1"/>
    <col min="12283" max="12286" width="16.42578125" style="101" customWidth="1"/>
    <col min="12287" max="12288" width="14.28515625" style="101" customWidth="1"/>
    <col min="12289" max="12537" width="9.140625" style="101"/>
    <col min="12538" max="12538" width="27" style="101" customWidth="1"/>
    <col min="12539" max="12542" width="16.42578125" style="101" customWidth="1"/>
    <col min="12543" max="12544" width="14.28515625" style="101" customWidth="1"/>
    <col min="12545" max="12793" width="9.140625" style="101"/>
    <col min="12794" max="12794" width="27" style="101" customWidth="1"/>
    <col min="12795" max="12798" width="16.42578125" style="101" customWidth="1"/>
    <col min="12799" max="12800" width="14.28515625" style="101" customWidth="1"/>
    <col min="12801" max="13049" width="9.140625" style="101"/>
    <col min="13050" max="13050" width="27" style="101" customWidth="1"/>
    <col min="13051" max="13054" width="16.42578125" style="101" customWidth="1"/>
    <col min="13055" max="13056" width="14.28515625" style="101" customWidth="1"/>
    <col min="13057" max="13305" width="9.140625" style="101"/>
    <col min="13306" max="13306" width="27" style="101" customWidth="1"/>
    <col min="13307" max="13310" width="16.42578125" style="101" customWidth="1"/>
    <col min="13311" max="13312" width="14.28515625" style="101" customWidth="1"/>
    <col min="13313" max="13561" width="9.140625" style="101"/>
    <col min="13562" max="13562" width="27" style="101" customWidth="1"/>
    <col min="13563" max="13566" width="16.42578125" style="101" customWidth="1"/>
    <col min="13567" max="13568" width="14.28515625" style="101" customWidth="1"/>
    <col min="13569" max="13817" width="9.140625" style="101"/>
    <col min="13818" max="13818" width="27" style="101" customWidth="1"/>
    <col min="13819" max="13822" width="16.42578125" style="101" customWidth="1"/>
    <col min="13823" max="13824" width="14.28515625" style="101" customWidth="1"/>
    <col min="13825" max="14073" width="9.140625" style="101"/>
    <col min="14074" max="14074" width="27" style="101" customWidth="1"/>
    <col min="14075" max="14078" width="16.42578125" style="101" customWidth="1"/>
    <col min="14079" max="14080" width="14.28515625" style="101" customWidth="1"/>
    <col min="14081" max="14329" width="9.140625" style="101"/>
    <col min="14330" max="14330" width="27" style="101" customWidth="1"/>
    <col min="14331" max="14334" width="16.42578125" style="101" customWidth="1"/>
    <col min="14335" max="14336" width="14.28515625" style="101" customWidth="1"/>
    <col min="14337" max="14585" width="9.140625" style="101"/>
    <col min="14586" max="14586" width="27" style="101" customWidth="1"/>
    <col min="14587" max="14590" width="16.42578125" style="101" customWidth="1"/>
    <col min="14591" max="14592" width="14.28515625" style="101" customWidth="1"/>
    <col min="14593" max="14841" width="9.140625" style="101"/>
    <col min="14842" max="14842" width="27" style="101" customWidth="1"/>
    <col min="14843" max="14846" width="16.42578125" style="101" customWidth="1"/>
    <col min="14847" max="14848" width="14.28515625" style="101" customWidth="1"/>
    <col min="14849" max="15097" width="9.140625" style="101"/>
    <col min="15098" max="15098" width="27" style="101" customWidth="1"/>
    <col min="15099" max="15102" width="16.42578125" style="101" customWidth="1"/>
    <col min="15103" max="15104" width="14.28515625" style="101" customWidth="1"/>
    <col min="15105" max="15353" width="9.140625" style="101"/>
    <col min="15354" max="15354" width="27" style="101" customWidth="1"/>
    <col min="15355" max="15358" width="16.42578125" style="101" customWidth="1"/>
    <col min="15359" max="15360" width="14.28515625" style="101" customWidth="1"/>
    <col min="15361" max="15609" width="9.140625" style="101"/>
    <col min="15610" max="15610" width="27" style="101" customWidth="1"/>
    <col min="15611" max="15614" width="16.42578125" style="101" customWidth="1"/>
    <col min="15615" max="15616" width="14.28515625" style="101" customWidth="1"/>
    <col min="15617" max="15865" width="9.140625" style="101"/>
    <col min="15866" max="15866" width="27" style="101" customWidth="1"/>
    <col min="15867" max="15870" width="16.42578125" style="101" customWidth="1"/>
    <col min="15871" max="15872" width="14.28515625" style="101" customWidth="1"/>
    <col min="15873" max="16121" width="9.140625" style="101"/>
    <col min="16122" max="16122" width="27" style="101" customWidth="1"/>
    <col min="16123" max="16126" width="16.42578125" style="101" customWidth="1"/>
    <col min="16127" max="16128" width="14.28515625" style="101" customWidth="1"/>
    <col min="16129" max="16384" width="9.140625" style="101"/>
  </cols>
  <sheetData>
    <row r="2" spans="1:8" ht="21" x14ac:dyDescent="0.35">
      <c r="A2" s="100" t="s">
        <v>71</v>
      </c>
    </row>
    <row r="4" spans="1:8" ht="15" x14ac:dyDescent="0.25">
      <c r="B4" s="102">
        <v>2021</v>
      </c>
      <c r="C4" s="102">
        <v>2022</v>
      </c>
      <c r="D4" s="102">
        <v>2023</v>
      </c>
      <c r="E4" s="102">
        <v>2024</v>
      </c>
      <c r="F4" s="102">
        <v>2025</v>
      </c>
      <c r="G4" s="102">
        <v>2026</v>
      </c>
      <c r="H4" s="102"/>
    </row>
    <row r="5" spans="1:8" ht="15" x14ac:dyDescent="0.25">
      <c r="A5" s="103" t="s">
        <v>67</v>
      </c>
      <c r="B5" s="104">
        <f xml:space="preserve"> SUMIF( $B$21:$B$40, $A5, C$21:C$40 )</f>
        <v>726251</v>
      </c>
      <c r="C5" s="105">
        <f xml:space="preserve"> SUMIF( $B$21:$B$40, $A5, D$21:D$40 )</f>
        <v>699348.6</v>
      </c>
      <c r="D5" s="106">
        <f xml:space="preserve"> SUMIF( $B$21:$B$40, $A5, E$21:E$40 )</f>
        <v>745090</v>
      </c>
      <c r="E5" s="106">
        <f xml:space="preserve"> SUMIF( $B$21:$B$40, $A5, F$21:F$40 )</f>
        <v>1043023.6</v>
      </c>
      <c r="F5" s="106">
        <f xml:space="preserve"> SUMIF( $B$21:$B$40, $A5, G$21:G$40 )</f>
        <v>1176702</v>
      </c>
      <c r="G5" s="106">
        <f xml:space="preserve"> SUMIF( $B$21:$B$40, $A5, H$21:H$40 )</f>
        <v>1176702</v>
      </c>
      <c r="H5" s="106"/>
    </row>
    <row r="6" spans="1:8" ht="15" x14ac:dyDescent="0.25">
      <c r="A6" s="103" t="s">
        <v>72</v>
      </c>
      <c r="B6" s="107">
        <f xml:space="preserve"> SUMIF( $B$21:$B$40, $A6, C$21:C$40 )</f>
        <v>537</v>
      </c>
      <c r="C6" s="108">
        <f xml:space="preserve"> SUMIF( $B$21:$B$40, $A6, D$21:D$40 )</f>
        <v>650</v>
      </c>
      <c r="D6" s="109">
        <f xml:space="preserve"> SUMIF( $B$21:$B$40, $A6, E$21:E$40 )</f>
        <v>1010</v>
      </c>
      <c r="E6" s="109">
        <f xml:space="preserve"> SUMIF( $B$21:$B$40, $A6, F$21:F$40 )</f>
        <v>894</v>
      </c>
      <c r="F6" s="109">
        <f xml:space="preserve"> SUMIF( $B$21:$B$40, $A6, G$21:G$40 )</f>
        <v>1010</v>
      </c>
      <c r="G6" s="109">
        <f xml:space="preserve"> SUMIF( $B$21:$B$40, $A6, H$21:H$40 )</f>
        <v>1010</v>
      </c>
      <c r="H6" s="109"/>
    </row>
    <row r="7" spans="1:8" ht="15" x14ac:dyDescent="0.25">
      <c r="A7" s="103" t="s">
        <v>70</v>
      </c>
      <c r="B7" s="107">
        <f t="shared" ref="B7:F7" si="0" xml:space="preserve"> SUMIF( $B$21:$B$39, $A7, C$21:C$39 )</f>
        <v>164053</v>
      </c>
      <c r="C7" s="108">
        <f xml:space="preserve"> SUMIF( $B$21:$B$40, $A7, D$21:D$40 )</f>
        <v>188388</v>
      </c>
      <c r="D7" s="109">
        <f xml:space="preserve"> SUMIF( $B$21:$B$40, $A7, E$21:E$40 )</f>
        <v>136420</v>
      </c>
      <c r="E7" s="109">
        <f xml:space="preserve"> SUMIF( $B$21:$B$40, $A7, F$21:F$40 )</f>
        <v>148254</v>
      </c>
      <c r="F7" s="109">
        <f xml:space="preserve"> SUMIF( $B$21:$B$40, $A7, G$21:G$40 )</f>
        <v>151541</v>
      </c>
      <c r="G7" s="109">
        <f xml:space="preserve"> SUMIF( $B$21:$B$40, $A7, H$21:H$40 )</f>
        <v>151541</v>
      </c>
      <c r="H7" s="109"/>
    </row>
    <row r="8" spans="1:8" ht="15" x14ac:dyDescent="0.25">
      <c r="A8" s="103" t="s">
        <v>73</v>
      </c>
      <c r="B8" s="107">
        <f xml:space="preserve"> SUMIF( $B$21:$B$40, $A8, C$21:C$40 )</f>
        <v>200780</v>
      </c>
      <c r="C8" s="108">
        <f xml:space="preserve"> SUMIF( $B$21:$B$40, $A8, D$21:D$40 )</f>
        <v>132673</v>
      </c>
      <c r="D8" s="109">
        <f xml:space="preserve"> SUMIF( $B$21:$B$40, $A8, E$21:E$40 )</f>
        <v>288536</v>
      </c>
      <c r="E8" s="109">
        <f xml:space="preserve"> SUMIF( $B$21:$B$40, $A8, F$21:F$40 )</f>
        <v>176812</v>
      </c>
      <c r="F8" s="109">
        <f xml:space="preserve"> SUMIF( $B$21:$B$40, $A8, G$21:G$40 )</f>
        <v>282511</v>
      </c>
      <c r="G8" s="109">
        <f xml:space="preserve"> SUMIF( $B$21:$B$40, $A8, H$21:H$40 )</f>
        <v>282511</v>
      </c>
      <c r="H8" s="109"/>
    </row>
    <row r="9" spans="1:8" ht="15" x14ac:dyDescent="0.25">
      <c r="A9" s="103" t="s">
        <v>74</v>
      </c>
      <c r="B9" s="107">
        <f t="shared" ref="B9:F9" si="1" xml:space="preserve"> SUMIF( $B$21:$B$39, $A9, C$21:C$39 )</f>
        <v>0</v>
      </c>
      <c r="C9" s="108">
        <f t="shared" si="1"/>
        <v>0</v>
      </c>
      <c r="D9" s="109">
        <f t="shared" si="1"/>
        <v>0</v>
      </c>
      <c r="E9" s="109">
        <f t="shared" si="1"/>
        <v>0</v>
      </c>
      <c r="F9" s="109">
        <f t="shared" si="1"/>
        <v>0</v>
      </c>
      <c r="G9" s="109">
        <f xml:space="preserve"> SUMIF( $B$21:$B$39, $A9, H$21:H$39 )</f>
        <v>0</v>
      </c>
      <c r="H9" s="109"/>
    </row>
    <row r="10" spans="1:8" ht="15" x14ac:dyDescent="0.25">
      <c r="A10" s="103" t="s">
        <v>75</v>
      </c>
      <c r="B10" s="107">
        <f xml:space="preserve"> SUMIF( $B$21:$B$39, $A10, C$21:C$39 )</f>
        <v>0</v>
      </c>
      <c r="C10" s="108">
        <f xml:space="preserve"> SUMIF( $B$21:$B$39, $A10, D$21:D$39)</f>
        <v>0</v>
      </c>
      <c r="D10" s="109">
        <f t="shared" ref="D10:F13" si="2" xml:space="preserve"> SUMIF( $B$21:$B$39, $A10, E$21:E$39 )</f>
        <v>0</v>
      </c>
      <c r="E10" s="109">
        <f t="shared" si="2"/>
        <v>0</v>
      </c>
      <c r="F10" s="109">
        <f t="shared" si="2"/>
        <v>0</v>
      </c>
      <c r="G10" s="109">
        <f xml:space="preserve"> SUMIF( $B$21:$B$39, $A10, H$21:H$39 )</f>
        <v>0</v>
      </c>
      <c r="H10" s="109"/>
    </row>
    <row r="11" spans="1:8" ht="15" x14ac:dyDescent="0.25">
      <c r="A11" s="103" t="s">
        <v>76</v>
      </c>
      <c r="B11" s="107">
        <f xml:space="preserve"> SUMIF( $B$21:$B$39, $A11, C$21:C$39 )</f>
        <v>0</v>
      </c>
      <c r="C11" s="108">
        <f xml:space="preserve"> SUMIF( $B$21:$B$39, $A11, D$21:D$39)</f>
        <v>0</v>
      </c>
      <c r="D11" s="109">
        <f t="shared" si="2"/>
        <v>0</v>
      </c>
      <c r="E11" s="109">
        <f t="shared" si="2"/>
        <v>0</v>
      </c>
      <c r="F11" s="109">
        <f t="shared" si="2"/>
        <v>0</v>
      </c>
      <c r="G11" s="109">
        <f xml:space="preserve"> SUMIF( $B$21:$B$39, $A11, H$21:H$39 )</f>
        <v>0</v>
      </c>
      <c r="H11" s="109"/>
    </row>
    <row r="12" spans="1:8" ht="15" x14ac:dyDescent="0.25">
      <c r="A12" s="103" t="s">
        <v>77</v>
      </c>
      <c r="B12" s="107">
        <f xml:space="preserve"> SUMIF( $B$21:$B$39, $A12, C$21:C$39 )</f>
        <v>0</v>
      </c>
      <c r="C12" s="108">
        <f xml:space="preserve"> SUMIF( $B$21:$B$39, $A12, D$21:D$39 )</f>
        <v>0</v>
      </c>
      <c r="D12" s="109">
        <f t="shared" si="2"/>
        <v>0</v>
      </c>
      <c r="E12" s="109">
        <f t="shared" si="2"/>
        <v>0</v>
      </c>
      <c r="F12" s="109">
        <f t="shared" si="2"/>
        <v>0</v>
      </c>
      <c r="G12" s="109">
        <f xml:space="preserve"> SUMIF( $B$21:$B$39, $A12, H$21:H$39 )</f>
        <v>0</v>
      </c>
      <c r="H12" s="109"/>
    </row>
    <row r="13" spans="1:8" ht="15" x14ac:dyDescent="0.25">
      <c r="A13" s="103" t="s">
        <v>78</v>
      </c>
      <c r="B13" s="110">
        <f xml:space="preserve"> SUMIF( $B$21:$B$39, $A13, C$21:C$39 )</f>
        <v>0</v>
      </c>
      <c r="C13" s="111">
        <f xml:space="preserve"> SUMIF( $B$21:$B$39, $A13, D$21:D$39 )</f>
        <v>0</v>
      </c>
      <c r="D13" s="112">
        <f t="shared" si="2"/>
        <v>0</v>
      </c>
      <c r="E13" s="112">
        <f t="shared" si="2"/>
        <v>0</v>
      </c>
      <c r="F13" s="112">
        <f t="shared" si="2"/>
        <v>0</v>
      </c>
      <c r="G13" s="112">
        <f xml:space="preserve"> SUMIF( $B$21:$B$39, $A13, H$21:H$39 )</f>
        <v>0</v>
      </c>
      <c r="H13" s="112"/>
    </row>
    <row r="14" spans="1:8" ht="15.75" x14ac:dyDescent="0.25">
      <c r="A14" s="113" t="s">
        <v>55</v>
      </c>
      <c r="B14" s="114">
        <f>SUM(B5:B13)</f>
        <v>1091621</v>
      </c>
      <c r="C14" s="114">
        <f t="shared" ref="C14:D14" si="3">SUM(C5:C13)</f>
        <v>1021059.6</v>
      </c>
      <c r="D14" s="114">
        <f t="shared" si="3"/>
        <v>1171056</v>
      </c>
      <c r="E14" s="114">
        <f t="shared" ref="E14:G14" si="4">SUM(E5:E13)</f>
        <v>1368983.6</v>
      </c>
      <c r="F14" s="114">
        <f t="shared" ref="F14" si="5">SUM(F5:F13)</f>
        <v>1611764</v>
      </c>
      <c r="G14" s="114">
        <f t="shared" si="4"/>
        <v>1611764</v>
      </c>
      <c r="H14" s="114"/>
    </row>
    <row r="19" spans="1:8" outlineLevel="1" x14ac:dyDescent="0.2"/>
    <row r="20" spans="1:8" ht="15" outlineLevel="1" x14ac:dyDescent="0.25">
      <c r="A20" s="115" t="s">
        <v>40</v>
      </c>
      <c r="B20" s="116" t="s">
        <v>79</v>
      </c>
      <c r="C20" s="116">
        <v>2021</v>
      </c>
      <c r="D20" s="116">
        <v>2022</v>
      </c>
      <c r="E20" s="116">
        <v>2023</v>
      </c>
      <c r="F20" s="116">
        <v>2024</v>
      </c>
      <c r="G20" s="116">
        <v>2025</v>
      </c>
      <c r="H20" s="116">
        <v>2026</v>
      </c>
    </row>
    <row r="21" spans="1:8" ht="15" outlineLevel="1" x14ac:dyDescent="0.25">
      <c r="A21" s="117" t="str">
        <f>'Facility Detail'!B2</f>
        <v>Long Lake #3</v>
      </c>
      <c r="B21" s="117" t="str">
        <f xml:space="preserve"> IF( 'Facility Detail'!D2 = "", "", 'Facility Detail'!D2 )</f>
        <v>Water (Incremental Hydro)</v>
      </c>
      <c r="C21" s="104">
        <f>'Facility Detail'!D68</f>
        <v>14200</v>
      </c>
      <c r="D21" s="105">
        <f>'Facility Detail'!E68</f>
        <v>12319</v>
      </c>
      <c r="E21" s="106">
        <f>'Facility Detail'!F68</f>
        <v>9621</v>
      </c>
      <c r="F21" s="106">
        <f>'Facility Detail'!G68</f>
        <v>13618</v>
      </c>
      <c r="G21" s="106">
        <f>'Facility Detail'!H68</f>
        <v>13262</v>
      </c>
      <c r="H21" s="106">
        <f>'Facility Detail'!I68</f>
        <v>13262</v>
      </c>
    </row>
    <row r="22" spans="1:8" ht="15" outlineLevel="1" x14ac:dyDescent="0.25">
      <c r="A22" s="118" t="str">
        <f>'Facility Detail'!B3</f>
        <v>Little Falls #4</v>
      </c>
      <c r="B22" s="118" t="str">
        <f xml:space="preserve"> IF( 'Facility Detail'!D3 = "", "", 'Facility Detail'!D3 )</f>
        <v>Water (Incremental Hydro)</v>
      </c>
      <c r="C22" s="107">
        <f>'Facility Detail'!D104</f>
        <v>0</v>
      </c>
      <c r="D22" s="108">
        <f>'Facility Detail'!E104</f>
        <v>2015</v>
      </c>
      <c r="E22" s="109">
        <f>'Facility Detail'!F104</f>
        <v>1875</v>
      </c>
      <c r="F22" s="109">
        <f>'Facility Detail'!G104</f>
        <v>2288</v>
      </c>
      <c r="G22" s="109">
        <f>'Facility Detail'!H104</f>
        <v>2160</v>
      </c>
      <c r="H22" s="109">
        <f>'Facility Detail'!I104</f>
        <v>2160</v>
      </c>
    </row>
    <row r="23" spans="1:8" ht="15" outlineLevel="1" x14ac:dyDescent="0.25">
      <c r="A23" s="118" t="str">
        <f>'Facility Detail'!B4</f>
        <v>Cabinet Gorge #2</v>
      </c>
      <c r="B23" s="118" t="str">
        <f xml:space="preserve"> IF( 'Facility Detail'!D4 = "", "", 'Facility Detail'!D4 )</f>
        <v>Water (Incremental Hydro)</v>
      </c>
      <c r="C23" s="107">
        <f>'Facility Detail'!D140</f>
        <v>33542</v>
      </c>
      <c r="D23" s="108">
        <f>'Facility Detail'!E140</f>
        <v>23465</v>
      </c>
      <c r="E23" s="109">
        <f>'Facility Detail'!F140</f>
        <v>13332</v>
      </c>
      <c r="F23" s="109">
        <f>'Facility Detail'!G140</f>
        <v>12929</v>
      </c>
      <c r="G23" s="109">
        <f>'Facility Detail'!H140</f>
        <v>14300</v>
      </c>
      <c r="H23" s="109">
        <f>'Facility Detail'!I140</f>
        <v>14300</v>
      </c>
    </row>
    <row r="24" spans="1:8" ht="15" outlineLevel="1" x14ac:dyDescent="0.25">
      <c r="A24" s="118" t="str">
        <f>'Facility Detail'!B5</f>
        <v>Cabinet Gorge #3</v>
      </c>
      <c r="B24" s="118" t="str">
        <f xml:space="preserve"> IF( 'Facility Detail'!D5 = "", "", 'Facility Detail'!D5 )</f>
        <v>Water (Incremental Hydro)</v>
      </c>
      <c r="C24" s="107">
        <f>'Facility Detail'!D176</f>
        <v>20576</v>
      </c>
      <c r="D24" s="108">
        <f>'Facility Detail'!E176</f>
        <v>20379</v>
      </c>
      <c r="E24" s="109">
        <f>'Facility Detail'!F176</f>
        <v>9500</v>
      </c>
      <c r="F24" s="109">
        <f>'Facility Detail'!G176</f>
        <v>9019</v>
      </c>
      <c r="G24" s="109">
        <f>'Facility Detail'!H176</f>
        <v>9508</v>
      </c>
      <c r="H24" s="109">
        <f>'Facility Detail'!I176</f>
        <v>9508</v>
      </c>
    </row>
    <row r="25" spans="1:8" ht="15" outlineLevel="1" x14ac:dyDescent="0.25">
      <c r="A25" s="118" t="str">
        <f>'Facility Detail'!B6</f>
        <v>Cabinet Gorge #4</v>
      </c>
      <c r="B25" s="118" t="str">
        <f xml:space="preserve"> IF( 'Facility Detail'!D6 = "", "", 'Facility Detail'!D6 )</f>
        <v>Water (Incremental Hydro)</v>
      </c>
      <c r="C25" s="107">
        <f>'Facility Detail'!D212</f>
        <v>302</v>
      </c>
      <c r="D25" s="108">
        <f>'Facility Detail'!E212</f>
        <v>13662</v>
      </c>
      <c r="E25" s="109">
        <f>'Facility Detail'!F212</f>
        <v>13442</v>
      </c>
      <c r="F25" s="109">
        <f>'Facility Detail'!G212</f>
        <v>15024</v>
      </c>
      <c r="G25" s="109">
        <f>'Facility Detail'!H212</f>
        <v>14967</v>
      </c>
      <c r="H25" s="109">
        <f>'Facility Detail'!I212</f>
        <v>14967</v>
      </c>
    </row>
    <row r="26" spans="1:8" ht="15" outlineLevel="1" x14ac:dyDescent="0.25">
      <c r="A26" s="118" t="str">
        <f>'Facility Detail'!B7</f>
        <v>Noxon Rapids #1</v>
      </c>
      <c r="B26" s="118" t="str">
        <f xml:space="preserve"> IF( 'Facility Detail'!D7 = "", "", 'Facility Detail'!D7 )</f>
        <v>Water (Incremental Hydro)</v>
      </c>
      <c r="C26" s="107">
        <f>'Facility Detail'!D248</f>
        <v>30000</v>
      </c>
      <c r="D26" s="108">
        <f>'Facility Detail'!E248</f>
        <v>26788</v>
      </c>
      <c r="E26" s="109">
        <f>'Facility Detail'!F248</f>
        <v>19549</v>
      </c>
      <c r="F26" s="109">
        <f>'Facility Detail'!G248</f>
        <v>21726</v>
      </c>
      <c r="G26" s="109">
        <f>'Facility Detail'!H248</f>
        <v>21912</v>
      </c>
      <c r="H26" s="109">
        <f>'Facility Detail'!I248</f>
        <v>21912</v>
      </c>
    </row>
    <row r="27" spans="1:8" ht="15" outlineLevel="1" x14ac:dyDescent="0.25">
      <c r="A27" s="118" t="str">
        <f>'Facility Detail'!B8</f>
        <v>Noxon Rapids #2</v>
      </c>
      <c r="B27" s="118" t="str">
        <f xml:space="preserve"> IF( 'Facility Detail'!D8 = "", "", 'Facility Detail'!D8 )</f>
        <v>Water (Incremental Hydro)</v>
      </c>
      <c r="C27" s="107">
        <f>'Facility Detail'!D284</f>
        <v>9701</v>
      </c>
      <c r="D27" s="108">
        <f>'Facility Detail'!E284</f>
        <v>8412</v>
      </c>
      <c r="E27" s="109">
        <f>'Facility Detail'!F284</f>
        <v>6417</v>
      </c>
      <c r="F27" s="109">
        <f>'Facility Detail'!G284</f>
        <v>5374</v>
      </c>
      <c r="G27" s="109">
        <f>'Facility Detail'!H284</f>
        <v>5959</v>
      </c>
      <c r="H27" s="109">
        <f>'Facility Detail'!I284</f>
        <v>5959</v>
      </c>
    </row>
    <row r="28" spans="1:8" ht="15" outlineLevel="1" x14ac:dyDescent="0.25">
      <c r="A28" s="118" t="str">
        <f>'Facility Detail'!B9</f>
        <v>Noxon Rapids #3</v>
      </c>
      <c r="B28" s="118" t="str">
        <f xml:space="preserve"> IF( 'Facility Detail'!D9 = "", "", 'Facility Detail'!D9 )</f>
        <v>Water (Incremental Hydro)</v>
      </c>
      <c r="C28" s="107">
        <f>'Facility Detail'!D320</f>
        <v>32000</v>
      </c>
      <c r="D28" s="108">
        <f>'Facility Detail'!E320</f>
        <v>32039</v>
      </c>
      <c r="E28" s="109">
        <f>'Facility Detail'!F320</f>
        <v>21245</v>
      </c>
      <c r="F28" s="109">
        <f>'Facility Detail'!G320</f>
        <v>22136</v>
      </c>
      <c r="G28" s="109">
        <f>'Facility Detail'!H320</f>
        <v>25214</v>
      </c>
      <c r="H28" s="109">
        <f>'Facility Detail'!I320</f>
        <v>25214</v>
      </c>
    </row>
    <row r="29" spans="1:8" ht="15" outlineLevel="1" x14ac:dyDescent="0.25">
      <c r="A29" s="118" t="str">
        <f>'Facility Detail'!B10</f>
        <v>Noxon Rapids #4</v>
      </c>
      <c r="B29" s="118" t="str">
        <f xml:space="preserve"> IF( 'Facility Detail'!D10 = "", "", 'Facility Detail'!D10 )</f>
        <v>Water (Incremental Hydro)</v>
      </c>
      <c r="C29" s="107">
        <f>'Facility Detail'!D356</f>
        <v>14994</v>
      </c>
      <c r="D29" s="108">
        <f>'Facility Detail'!E356</f>
        <v>11742</v>
      </c>
      <c r="E29" s="109">
        <f>'Facility Detail'!F356</f>
        <v>11778</v>
      </c>
      <c r="F29" s="109">
        <f>'Facility Detail'!G356</f>
        <v>14627</v>
      </c>
      <c r="G29" s="109">
        <f>'Facility Detail'!H356</f>
        <v>12533</v>
      </c>
      <c r="H29" s="109">
        <f>'Facility Detail'!I356</f>
        <v>12533</v>
      </c>
    </row>
    <row r="30" spans="1:8" ht="15" outlineLevel="1" x14ac:dyDescent="0.25">
      <c r="A30" s="118" t="str">
        <f>'Facility Detail'!B11</f>
        <v>Grant PUD Fish Bypasses</v>
      </c>
      <c r="B30" s="118" t="str">
        <f xml:space="preserve"> IF( 'Facility Detail'!D11 = "", "", 'Facility Detail'!D11 )</f>
        <v>Water (Incremental Hydro)</v>
      </c>
      <c r="C30" s="107">
        <f>'Facility Detail'!D392</f>
        <v>0</v>
      </c>
      <c r="D30" s="108">
        <f>'Facility Detail'!E392</f>
        <v>0</v>
      </c>
      <c r="E30" s="108">
        <f>'Facility Detail'!F392</f>
        <v>0</v>
      </c>
      <c r="F30" s="108">
        <f>'Facility Detail'!G392</f>
        <v>0</v>
      </c>
      <c r="G30" s="108">
        <f>'Facility Detail'!H392</f>
        <v>0</v>
      </c>
      <c r="H30" s="108">
        <f>'Facility Detail'!I392</f>
        <v>0</v>
      </c>
    </row>
    <row r="31" spans="1:8" ht="15" outlineLevel="1" x14ac:dyDescent="0.25">
      <c r="A31" s="118" t="str">
        <f>'Facility Detail'!B12</f>
        <v>Palouse Wind</v>
      </c>
      <c r="B31" s="118" t="str">
        <f xml:space="preserve"> IF( 'Facility Detail'!D12 = "", "", 'Facility Detail'!D12 )</f>
        <v>Wind</v>
      </c>
      <c r="C31" s="107">
        <f>'Facility Detail'!D428</f>
        <v>398616</v>
      </c>
      <c r="D31" s="132">
        <f>'Facility Detail'!E428</f>
        <v>371951</v>
      </c>
      <c r="E31" s="109">
        <f>'Facility Detail'!F428</f>
        <v>353864</v>
      </c>
      <c r="F31" s="109">
        <f>'Facility Detail'!G428</f>
        <v>391054</v>
      </c>
      <c r="G31" s="109">
        <f>'Facility Detail'!H428</f>
        <v>353276</v>
      </c>
      <c r="H31" s="109">
        <f>'Facility Detail'!I428</f>
        <v>353276</v>
      </c>
    </row>
    <row r="32" spans="1:8" ht="15" outlineLevel="1" x14ac:dyDescent="0.25">
      <c r="A32" s="118" t="str">
        <f>'Facility Detail'!B13</f>
        <v>EWEB (Stateline) Wind REC Purchase</v>
      </c>
      <c r="B32" s="118" t="str">
        <f xml:space="preserve"> IF( 'Facility Detail'!D13 = "", "", 'Facility Detail'!D13 )</f>
        <v>Wind</v>
      </c>
      <c r="C32" s="107">
        <f>'Facility Detail'!D462</f>
        <v>0</v>
      </c>
      <c r="D32" s="107">
        <f>'Facility Detail'!E462</f>
        <v>0</v>
      </c>
      <c r="E32" s="107">
        <f>'Facility Detail'!F462</f>
        <v>0</v>
      </c>
      <c r="F32" s="107">
        <f>'Facility Detail'!G462</f>
        <v>0</v>
      </c>
      <c r="G32" s="107">
        <f>'Facility Detail'!H462</f>
        <v>0</v>
      </c>
      <c r="H32" s="107">
        <f>'Facility Detail'!I462</f>
        <v>0</v>
      </c>
    </row>
    <row r="33" spans="1:8" ht="15" outlineLevel="1" x14ac:dyDescent="0.25">
      <c r="A33" s="118" t="str">
        <f>'Facility Detail'!B14</f>
        <v>Nine Mile #1</v>
      </c>
      <c r="B33" s="118" t="str">
        <f xml:space="preserve"> IF( 'Facility Detail'!D14 = "", "", 'Facility Detail'!D14 )</f>
        <v>Water (Incremental Hydro)</v>
      </c>
      <c r="C33" s="107">
        <f>'Facility Detail'!D498</f>
        <v>3395</v>
      </c>
      <c r="D33" s="107">
        <f>'Facility Detail'!E498</f>
        <v>18326</v>
      </c>
      <c r="E33" s="107">
        <f>'Facility Detail'!F498</f>
        <v>14469</v>
      </c>
      <c r="F33" s="107">
        <f>'Facility Detail'!G498</f>
        <v>16062</v>
      </c>
      <c r="G33" s="107">
        <f>'Facility Detail'!H498</f>
        <v>16172</v>
      </c>
      <c r="H33" s="107">
        <f>'Facility Detail'!I498</f>
        <v>16172</v>
      </c>
    </row>
    <row r="34" spans="1:8" ht="15" outlineLevel="1" x14ac:dyDescent="0.25">
      <c r="A34" s="118" t="str">
        <f>'Facility Detail'!B15</f>
        <v>Nine Mile #2</v>
      </c>
      <c r="B34" s="118" t="str">
        <f xml:space="preserve"> IF( 'Facility Detail'!D15 = "", "", 'Facility Detail'!D15 )</f>
        <v>Water (Incremental Hydro)</v>
      </c>
      <c r="C34" s="107">
        <f>'Facility Detail'!D534</f>
        <v>5343</v>
      </c>
      <c r="D34" s="107">
        <f>'Facility Detail'!E534</f>
        <v>19241</v>
      </c>
      <c r="E34" s="107">
        <f>'Facility Detail'!F534</f>
        <v>15192</v>
      </c>
      <c r="F34" s="107">
        <f>'Facility Detail'!G534</f>
        <v>15451</v>
      </c>
      <c r="G34" s="107">
        <f>'Facility Detail'!H534</f>
        <v>15554</v>
      </c>
      <c r="H34" s="107">
        <f>'Facility Detail'!I534</f>
        <v>15554</v>
      </c>
    </row>
    <row r="35" spans="1:8" ht="15" outlineLevel="1" x14ac:dyDescent="0.25">
      <c r="A35" s="118" t="str">
        <f>'Facility Detail'!B16</f>
        <v>Kettle Falls</v>
      </c>
      <c r="B35" s="118" t="str">
        <f xml:space="preserve"> IF( 'Facility Detail'!D16 = "", "", 'Facility Detail'!D16 )</f>
        <v>Biomass</v>
      </c>
      <c r="C35" s="107">
        <f>'Facility Detail'!D570</f>
        <v>200780</v>
      </c>
      <c r="D35" s="107">
        <f>'Facility Detail'!E570</f>
        <v>132673</v>
      </c>
      <c r="E35" s="107">
        <f>'Facility Detail'!F570</f>
        <v>288536</v>
      </c>
      <c r="F35" s="107">
        <f>'Facility Detail'!G570</f>
        <v>176812</v>
      </c>
      <c r="G35" s="107">
        <f>'Facility Detail'!H570</f>
        <v>282511</v>
      </c>
      <c r="H35" s="107">
        <f>'Facility Detail'!I570</f>
        <v>282511</v>
      </c>
    </row>
    <row r="36" spans="1:8" ht="15" x14ac:dyDescent="0.25">
      <c r="A36" s="118" t="str">
        <f>'Facility Detail'!B17</f>
        <v>Boulder Community Solar</v>
      </c>
      <c r="B36" s="118" t="str">
        <f xml:space="preserve"> IF( 'Facility Detail'!D17 = "", "", 'Facility Detail'!D17 )</f>
        <v>Solar</v>
      </c>
      <c r="C36" s="107">
        <f>'Facility Detail'!D606</f>
        <v>537</v>
      </c>
      <c r="D36" s="107">
        <f>'Facility Detail'!E606</f>
        <v>650</v>
      </c>
      <c r="E36" s="107">
        <f>'Facility Detail'!F606</f>
        <v>1010</v>
      </c>
      <c r="F36" s="107">
        <f>'Facility Detail'!G606</f>
        <v>894</v>
      </c>
      <c r="G36" s="107">
        <f>'Facility Detail'!H606</f>
        <v>1010</v>
      </c>
      <c r="H36" s="107">
        <f>'Facility Detail'!I606</f>
        <v>1010</v>
      </c>
    </row>
    <row r="37" spans="1:8" ht="15" x14ac:dyDescent="0.25">
      <c r="A37" s="118" t="str">
        <f>'Facility Detail'!B18</f>
        <v>Rathdrum Solar</v>
      </c>
      <c r="B37" s="118" t="str">
        <f xml:space="preserve"> IF( 'Facility Detail'!D18 = "", "", 'Facility Detail'!D18 )</f>
        <v>Solar</v>
      </c>
      <c r="C37" s="107">
        <f>'Facility Detail'!D642</f>
        <v>0</v>
      </c>
      <c r="D37" s="107">
        <f>'Facility Detail'!E642</f>
        <v>0</v>
      </c>
      <c r="E37" s="107">
        <f>'Facility Detail'!F642</f>
        <v>0</v>
      </c>
      <c r="F37" s="107">
        <f>'Facility Detail'!G642</f>
        <v>0</v>
      </c>
      <c r="G37" s="107">
        <f>'Facility Detail'!H642</f>
        <v>0</v>
      </c>
      <c r="H37" s="107">
        <f>'Facility Detail'!I642</f>
        <v>0</v>
      </c>
    </row>
    <row r="38" spans="1:8" ht="15" x14ac:dyDescent="0.25">
      <c r="A38" s="118" t="str">
        <f>'Facility Detail'!B19</f>
        <v>Adams-Neilson Solar Farm</v>
      </c>
      <c r="B38" s="118" t="str">
        <f xml:space="preserve"> IF( 'Facility Detail'!D19 = "", "", 'Facility Detail'!D19 )</f>
        <v>Solar</v>
      </c>
      <c r="C38" s="107">
        <f>'Facility Detail'!D678</f>
        <v>0</v>
      </c>
      <c r="D38" s="107">
        <f>'Facility Detail'!E678</f>
        <v>0</v>
      </c>
      <c r="E38" s="107">
        <f>'Facility Detail'!F678</f>
        <v>0</v>
      </c>
      <c r="F38" s="107">
        <f>'Facility Detail'!G678</f>
        <v>0</v>
      </c>
      <c r="G38" s="107">
        <f>'Facility Detail'!H678</f>
        <v>0</v>
      </c>
      <c r="H38" s="107">
        <f>'Facility Detail'!I678</f>
        <v>0</v>
      </c>
    </row>
    <row r="39" spans="1:8" ht="15" x14ac:dyDescent="0.25">
      <c r="A39" s="118" t="str">
        <f>'Facility Detail'!B20</f>
        <v>Rattlesnake Flat Wind</v>
      </c>
      <c r="B39" s="118" t="str">
        <f xml:space="preserve"> IF( 'Facility Detail'!D20 = "", "", 'Facility Detail'!D20 )</f>
        <v>Wind</v>
      </c>
      <c r="C39" s="107">
        <f>'Facility Detail'!D714</f>
        <v>327635</v>
      </c>
      <c r="D39" s="107">
        <f>'Facility Detail'!E714</f>
        <v>327397.59999999998</v>
      </c>
      <c r="E39" s="107">
        <f>'Facility Detail'!F714</f>
        <v>391226</v>
      </c>
      <c r="F39" s="107">
        <f>'Facility Detail'!G714</f>
        <v>498615.6</v>
      </c>
      <c r="G39" s="107">
        <f>'Facility Detail'!H714</f>
        <v>433572</v>
      </c>
      <c r="H39" s="107">
        <f>'Facility Detail'!I714</f>
        <v>433572</v>
      </c>
    </row>
    <row r="40" spans="1:8" ht="15" x14ac:dyDescent="0.25">
      <c r="A40" s="118" t="str">
        <f>'Facility Detail'!B21</f>
        <v>Clearwater Wind</v>
      </c>
      <c r="B40" s="118" t="str">
        <f xml:space="preserve"> IF( 'Facility Detail'!D21 = "", "", 'Facility Detail'!D21 )</f>
        <v>Wind</v>
      </c>
      <c r="C40" s="107">
        <f>'Facility Detail'!D749</f>
        <v>0</v>
      </c>
      <c r="D40" s="107">
        <f>'Facility Detail'!E749</f>
        <v>0</v>
      </c>
      <c r="E40" s="107">
        <f>'Facility Detail'!F749</f>
        <v>0</v>
      </c>
      <c r="F40" s="107">
        <f>'Facility Detail'!G749</f>
        <v>153354</v>
      </c>
      <c r="G40" s="107">
        <f>'Facility Detail'!H749</f>
        <v>389854</v>
      </c>
      <c r="H40" s="107">
        <f>'Facility Detail'!I749</f>
        <v>389854</v>
      </c>
    </row>
  </sheetData>
  <pageMargins left="0.7" right="0.7" top="0.75" bottom="0.75" header="0.3" footer="0.3"/>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CB96142BC0162419F26E4CD39D2A30B" ma:contentTypeVersion="19" ma:contentTypeDescription="" ma:contentTypeScope="" ma:versionID="679cbdf10ff11072b4b00c63e58f845d">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140</IndustryCode>
    <CaseStatus xmlns="dc463f71-b30c-4ab2-9473-d307f9d35888">Closed</CaseStatus>
    <OpenedDate xmlns="dc463f71-b30c-4ab2-9473-d307f9d35888">2025-05-30T07:00:00+00:00</OpenedDate>
    <SignificantOrder xmlns="dc463f71-b30c-4ab2-9473-d307f9d35888">false</SignificantOrder>
    <Date1 xmlns="dc463f71-b30c-4ab2-9473-d307f9d35888">2025-05-30T07:00:00+00:00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250415</DocketNumber>
    <DelegatedOrder xmlns="dc463f71-b30c-4ab2-9473-d307f9d35888">false</DelegatedOrder>
  </documentManagement>
</p:properties>
</file>

<file path=customXml/itemProps1.xml><?xml version="1.0" encoding="utf-8"?>
<ds:datastoreItem xmlns:ds="http://schemas.openxmlformats.org/officeDocument/2006/customXml" ds:itemID="{DF7CC04B-ED45-46F7-ABA4-9FFB3BF659FE}"/>
</file>

<file path=customXml/itemProps2.xml><?xml version="1.0" encoding="utf-8"?>
<ds:datastoreItem xmlns:ds="http://schemas.openxmlformats.org/officeDocument/2006/customXml" ds:itemID="{AA6A79DF-C39A-4931-B6B4-647824676BAD}"/>
</file>

<file path=customXml/itemProps3.xml><?xml version="1.0" encoding="utf-8"?>
<ds:datastoreItem xmlns:ds="http://schemas.openxmlformats.org/officeDocument/2006/customXml" ds:itemID="{F1B7C913-C4AA-4378-9D41-E03226E2ED08}"/>
</file>

<file path=customXml/itemProps4.xml><?xml version="1.0" encoding="utf-8"?>
<ds:datastoreItem xmlns:ds="http://schemas.openxmlformats.org/officeDocument/2006/customXml" ds:itemID="{B0C96D1A-1EEB-443A-81B2-E0FD2F5E61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Summary</vt:lpstr>
      <vt:lpstr>Facility Detail</vt:lpstr>
      <vt:lpstr>Generation Rollup</vt:lpstr>
      <vt:lpstr>Facility</vt:lpstr>
      <vt:lpstr>'Generation Rollup'!LaborBonus</vt:lpstr>
      <vt:lpstr>LaborBonus</vt:lpstr>
      <vt:lpstr>'Facility Detail'!Print_Area</vt:lpstr>
      <vt:lpstr>'Generation Rollup'!Print_Area</vt:lpstr>
      <vt:lpstr>Summary!Print_Area</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Watts</dc:creator>
  <cp:lastModifiedBy>Lyons, John</cp:lastModifiedBy>
  <cp:lastPrinted>2017-07-11T18:54:52Z</cp:lastPrinted>
  <dcterms:created xsi:type="dcterms:W3CDTF">2011-06-02T16:07:19Z</dcterms:created>
  <dcterms:modified xsi:type="dcterms:W3CDTF">2025-05-27T22:27:06Z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0x0101006E56B4D1795A2E4DB2F0B01679ED314A002CB96142BC0162419F26E4CD39D2A30B</vt:lpwstr>
  </property>
  <property fmtid="{D5CDD505-2E9C-101B-9397-08002B2CF9AE}" pid="3" name="_docset_NoMedatataSyncRequired">
    <vt:lpwstr>False</vt:lpwstr>
  </property>
</Properties>
</file>