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83278775-602B-4C67-B57C-6F08A3312E45}" xr6:coauthVersionLast="47" xr6:coauthVersionMax="47" xr10:uidLastSave="{00000000-0000-0000-0000-000000000000}"/>
  <bookViews>
    <workbookView xWindow="20100" yWindow="-1590" windowWidth="16260" windowHeight="11385" activeTab="1" xr2:uid="{A360F259-1AA6-4E6F-A8C8-6E4FB2408303}"/>
  </bookViews>
  <sheets>
    <sheet name="Summary" sheetId="4" r:id="rId1"/>
    <sheet name="2024 GRC" sheetId="1" r:id="rId2"/>
    <sheet name="Grossed Up ROR" sheetId="2" r:id="rId3"/>
  </sheets>
  <definedNames>
    <definedName name="_xlnm.Print_Area" localSheetId="1">'2024 GRC'!$B$1:$I$38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8" i="1"/>
  <c r="D8" i="2" l="1"/>
  <c r="D7" i="2"/>
  <c r="C47" i="1" l="1"/>
  <c r="C48" i="1"/>
  <c r="C49" i="1"/>
  <c r="C46" i="1"/>
  <c r="F49" i="1"/>
  <c r="F48" i="1"/>
  <c r="F47" i="1"/>
  <c r="F46" i="1"/>
  <c r="E49" i="1"/>
  <c r="E48" i="1"/>
  <c r="E47" i="1"/>
  <c r="E46" i="1"/>
  <c r="D10" i="1"/>
  <c r="D16" i="1" s="1"/>
  <c r="F20" i="1"/>
  <c r="E20" i="1"/>
  <c r="F19" i="1"/>
  <c r="E19" i="1"/>
  <c r="D50" i="1" l="1"/>
  <c r="E50" i="1"/>
  <c r="F50" i="1"/>
  <c r="G50" i="1"/>
  <c r="H50" i="1"/>
  <c r="I50" i="1"/>
  <c r="C50" i="1"/>
  <c r="C19" i="1"/>
  <c r="C20" i="1"/>
  <c r="D32" i="1" l="1"/>
  <c r="D34" i="1"/>
  <c r="D11" i="2" l="1"/>
  <c r="E10" i="1" l="1"/>
  <c r="E16" i="1" s="1"/>
  <c r="F10" i="1"/>
  <c r="F16" i="1" s="1"/>
  <c r="G10" i="1"/>
  <c r="H10" i="1"/>
  <c r="H16" i="1" s="1"/>
  <c r="I10" i="1"/>
  <c r="D38" i="1"/>
  <c r="E9" i="1"/>
  <c r="F9" i="1"/>
  <c r="G9" i="1"/>
  <c r="H9" i="1"/>
  <c r="I9" i="1"/>
  <c r="D9" i="1"/>
  <c r="E8" i="1"/>
  <c r="F8" i="1"/>
  <c r="G8" i="1"/>
  <c r="H8" i="1"/>
  <c r="I8" i="1"/>
  <c r="D8" i="1"/>
  <c r="H11" i="1" l="1"/>
  <c r="D11" i="1"/>
  <c r="I11" i="1"/>
  <c r="F11" i="1"/>
  <c r="G11" i="1"/>
  <c r="C10" i="1"/>
  <c r="E11" i="1"/>
  <c r="C9" i="1"/>
  <c r="C8" i="1"/>
  <c r="C11" i="1" l="1"/>
  <c r="D9" i="2" l="1"/>
  <c r="D12" i="2" s="1"/>
  <c r="D14" i="2" s="1"/>
  <c r="B7" i="2"/>
  <c r="B9" i="2" s="1"/>
  <c r="D17" i="1" l="1"/>
  <c r="E17" i="1" l="1"/>
  <c r="E18" i="1" s="1"/>
  <c r="E22" i="1" s="1"/>
  <c r="H17" i="1"/>
  <c r="H18" i="1" s="1"/>
  <c r="H22" i="1" s="1"/>
  <c r="E9" i="4" s="1"/>
  <c r="F9" i="4" s="1"/>
  <c r="G9" i="4" s="1"/>
  <c r="F17" i="1"/>
  <c r="F18" i="1" s="1"/>
  <c r="F22" i="1" s="1"/>
  <c r="E8" i="4" s="1"/>
  <c r="F8" i="4" s="1"/>
  <c r="G8" i="4" s="1"/>
  <c r="D26" i="1" l="1"/>
  <c r="D35" i="1"/>
  <c r="D33" i="1"/>
  <c r="E7" i="4"/>
  <c r="F7" i="4" s="1"/>
  <c r="G7" i="4" s="1"/>
  <c r="D24" i="1" l="1"/>
  <c r="E6" i="4"/>
  <c r="F6" i="4" s="1"/>
  <c r="G6" i="4" s="1"/>
</calcChain>
</file>

<file path=xl/sharedStrings.xml><?xml version="1.0" encoding="utf-8"?>
<sst xmlns="http://schemas.openxmlformats.org/spreadsheetml/2006/main" count="77" uniqueCount="64">
  <si>
    <t>SUMMARY BY FUNCTION ANALYSIS</t>
  </si>
  <si>
    <t>Total</t>
  </si>
  <si>
    <t>Sch 25</t>
  </si>
  <si>
    <t>Sch 30-32</t>
  </si>
  <si>
    <t>Sch 41-48</t>
  </si>
  <si>
    <t>Functional Cost Components at Current Rates</t>
  </si>
  <si>
    <t>Production</t>
  </si>
  <si>
    <t>Transmission</t>
  </si>
  <si>
    <t xml:space="preserve">Distribution </t>
  </si>
  <si>
    <t>Common</t>
  </si>
  <si>
    <t>Total Current Rate Revenue</t>
  </si>
  <si>
    <t>Allowed Cost of Capital</t>
  </si>
  <si>
    <t>Component</t>
  </si>
  <si>
    <t>Capital Structure</t>
  </si>
  <si>
    <t>Cost</t>
  </si>
  <si>
    <t>Weighted Cost</t>
  </si>
  <si>
    <t>Total Debt</t>
  </si>
  <si>
    <t>Common Equity</t>
  </si>
  <si>
    <t xml:space="preserve">Total </t>
  </si>
  <si>
    <t>Tax Benefit of Interest</t>
  </si>
  <si>
    <t>Net of Tax ROR</t>
  </si>
  <si>
    <t>Revenue Conversion Factor</t>
  </si>
  <si>
    <t>Pre-Tax Cost of Capital</t>
  </si>
  <si>
    <t>ROR</t>
  </si>
  <si>
    <t>Total Allowance</t>
  </si>
  <si>
    <t>Avg Number of Customers-All (CO1)</t>
  </si>
  <si>
    <t>Proposed Allowance</t>
  </si>
  <si>
    <t>Distribution Delivery Revenue</t>
  </si>
  <si>
    <t>Schedule</t>
  </si>
  <si>
    <t>Current</t>
  </si>
  <si>
    <t>Proposed</t>
  </si>
  <si>
    <t>$ Change</t>
  </si>
  <si>
    <t>% Change</t>
  </si>
  <si>
    <t>Sheet 51 Margin Allowance Amounts for New Services</t>
  </si>
  <si>
    <t>Total Load (kWh's) E01</t>
  </si>
  <si>
    <t>Delivery Revenue Per Customer</t>
  </si>
  <si>
    <t>Apartments</t>
  </si>
  <si>
    <t>Current Schedule 1 Allowance</t>
  </si>
  <si>
    <t>Present Schedule 51</t>
  </si>
  <si>
    <t>Current Duplex Allowance</t>
  </si>
  <si>
    <t>Current Multiplex Allowance</t>
  </si>
  <si>
    <t>Ratio of Duplex to Residence</t>
  </si>
  <si>
    <t>New Duplex Allowance</t>
  </si>
  <si>
    <t>Ratio of Multiplex to Residence</t>
  </si>
  <si>
    <t>New Multiplex Allowance</t>
  </si>
  <si>
    <t>D27/D26</t>
  </si>
  <si>
    <t>D22*D29</t>
  </si>
  <si>
    <t>D28/D26</t>
  </si>
  <si>
    <t>D22*D31</t>
  </si>
  <si>
    <t>Rounded to nearest $5 increment</t>
  </si>
  <si>
    <t>Avista</t>
  </si>
  <si>
    <t>Schedule 51</t>
  </si>
  <si>
    <t>Sch 1,7,8</t>
  </si>
  <si>
    <t>Sch 11,12,13,17,18</t>
  </si>
  <si>
    <t>Sch 21,22,23</t>
  </si>
  <si>
    <t>Sch 1</t>
  </si>
  <si>
    <t>Sch 11-12-13</t>
  </si>
  <si>
    <t>Sch 21-22-13</t>
  </si>
  <si>
    <t>Source: UE-240006 (Garbarino Cost of Service Study)</t>
  </si>
  <si>
    <t>WUTC Docket No. UE-240006</t>
  </si>
  <si>
    <t>1, 7 &amp; 8</t>
  </si>
  <si>
    <t>11, 12, 13, 17 &amp; 18</t>
  </si>
  <si>
    <t>21, 22 &amp; 23</t>
  </si>
  <si>
    <t>31 &amp;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</si>
</sst>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_(&quot;$&quot;* #,##0_);_(&quot;$&quot;* \(#,##0\);_(&quot;$&quot;* &quot;-&quot;??_);_(@_)"/>
    <numFmt numFmtId="169" formatCode="0.00_)"/>
    <numFmt numFmtId="170" formatCode="[Blue]#,##0_);[Magenta]\(#,##0\)"/>
    <numFmt numFmtId="171" formatCode="&quot;$&quot;#,##0.00"/>
    <numFmt numFmtId="172" formatCode="_(&quot;$&quot;* #,##0.0000_);_(&quot;$&quot;* \(#,##0.0000\);_(&quot;$&quot;* &quot;-&quot;????_);_(@_)"/>
    <numFmt numFmtId="173" formatCode="#."/>
    <numFmt numFmtId="174" formatCode="mmmm\ d\,\ yyyy"/>
    <numFmt numFmtId="175" formatCode="0.000000"/>
    <numFmt numFmtId="176" formatCode="_(* #,##0.0_);_(* \(#,##0.0\);_(* &quot;-&quot;_);_(@_)"/>
    <numFmt numFmtId="177" formatCode="0.0000000"/>
    <numFmt numFmtId="178" formatCode="d\.mmm\.yy"/>
    <numFmt numFmtId="179" formatCode="&quot;$&quot;#,##0;\-&quot;$&quot;#,##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Helv"/>
    </font>
    <font>
      <b/>
      <sz val="8"/>
      <name val="Arial"/>
      <family val="2"/>
    </font>
    <font>
      <sz val="10"/>
      <name val="Helv"/>
    </font>
    <font>
      <b/>
      <i/>
      <sz val="16"/>
      <name val="Helv"/>
    </font>
    <font>
      <sz val="8"/>
      <color indexed="12"/>
      <name val="Arial"/>
      <family val="2"/>
    </font>
    <font>
      <sz val="12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7"/>
      <name val="Small Fonts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37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37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178" fontId="38" fillId="0" borderId="0" applyFill="0" applyBorder="0" applyAlignment="0"/>
    <xf numFmtId="41" fontId="5" fillId="20" borderId="0"/>
    <xf numFmtId="41" fontId="5" fillId="20" borderId="0"/>
    <xf numFmtId="0" fontId="30" fillId="21" borderId="11" applyNumberFormat="0" applyAlignment="0" applyProtection="0"/>
    <xf numFmtId="41" fontId="5" fillId="22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ill="0" applyBorder="0" applyAlignment="0" applyProtection="0"/>
    <xf numFmtId="0" fontId="10" fillId="0" borderId="0"/>
    <xf numFmtId="0" fontId="10" fillId="0" borderId="0"/>
    <xf numFmtId="0" fontId="14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73" fontId="15" fillId="0" borderId="0">
      <protection locked="0"/>
    </xf>
    <xf numFmtId="0" fontId="14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10" fillId="0" borderId="0"/>
    <xf numFmtId="0" fontId="14" fillId="0" borderId="0"/>
    <xf numFmtId="0" fontId="10" fillId="0" borderId="0"/>
    <xf numFmtId="0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3" fillId="0" borderId="0" applyFill="0" applyBorder="0" applyAlignment="0" applyProtection="0"/>
    <xf numFmtId="174" fontId="13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12" fillId="0" borderId="0"/>
    <xf numFmtId="0" fontId="31" fillId="0" borderId="0" applyNumberFormat="0" applyFill="0" applyBorder="0" applyAlignment="0" applyProtection="0"/>
    <xf numFmtId="2" fontId="13" fillId="0" borderId="0" applyFill="0" applyBorder="0" applyAlignment="0" applyProtection="0"/>
    <xf numFmtId="0" fontId="10" fillId="0" borderId="0"/>
    <xf numFmtId="0" fontId="32" fillId="4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0" fontId="25" fillId="0" borderId="12" applyNumberFormat="0" applyAlignment="0" applyProtection="0">
      <alignment horizontal="left"/>
    </xf>
    <xf numFmtId="0" fontId="25" fillId="0" borderId="13">
      <alignment horizontal="left"/>
    </xf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8" fontId="9" fillId="0" borderId="0"/>
    <xf numFmtId="40" fontId="9" fillId="0" borderId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0" fontId="33" fillId="7" borderId="14" applyNumberFormat="0" applyAlignment="0" applyProtection="0"/>
    <xf numFmtId="0" fontId="33" fillId="7" borderId="14" applyNumberFormat="0" applyAlignment="0" applyProtection="0"/>
    <xf numFmtId="0" fontId="33" fillId="7" borderId="14" applyNumberFormat="0" applyAlignment="0" applyProtection="0"/>
    <xf numFmtId="41" fontId="17" fillId="23" borderId="16">
      <alignment horizontal="left"/>
      <protection locked="0"/>
    </xf>
    <xf numFmtId="10" fontId="17" fillId="23" borderId="16">
      <alignment horizontal="right"/>
      <protection locked="0"/>
    </xf>
    <xf numFmtId="0" fontId="7" fillId="22" borderId="0"/>
    <xf numFmtId="3" fontId="18" fillId="0" borderId="0" applyFill="0" applyBorder="0" applyAlignment="0" applyProtection="0"/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0" fontId="34" fillId="24" borderId="0" applyNumberFormat="0" applyBorder="0" applyAlignment="0" applyProtection="0"/>
    <xf numFmtId="37" fontId="43" fillId="0" borderId="0"/>
    <xf numFmtId="169" fontId="11" fillId="0" borderId="0"/>
    <xf numFmtId="179" fontId="5" fillId="0" borderId="0"/>
    <xf numFmtId="179" fontId="5" fillId="0" borderId="0"/>
    <xf numFmtId="179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5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35" fillId="26" borderId="20" applyNumberFormat="0" applyAlignment="0" applyProtection="0"/>
    <xf numFmtId="0" fontId="10" fillId="0" borderId="0"/>
    <xf numFmtId="0" fontId="10" fillId="0" borderId="0"/>
    <xf numFmtId="0" fontId="14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16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27" borderId="16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4" fillId="0" borderId="9">
      <alignment horizontal="center"/>
    </xf>
    <xf numFmtId="3" fontId="26" fillId="0" borderId="0" applyFont="0" applyFill="0" applyBorder="0" applyAlignment="0" applyProtection="0"/>
    <xf numFmtId="0" fontId="26" fillId="28" borderId="0" applyNumberFormat="0" applyFont="0" applyBorder="0" applyAlignment="0" applyProtection="0"/>
    <xf numFmtId="0" fontId="14" fillId="0" borderId="0"/>
    <xf numFmtId="3" fontId="19" fillId="0" borderId="0" applyFill="0" applyBorder="0" applyAlignment="0" applyProtection="0"/>
    <xf numFmtId="0" fontId="20" fillId="0" borderId="0"/>
    <xf numFmtId="3" fontId="19" fillId="0" borderId="0" applyFill="0" applyBorder="0" applyAlignment="0" applyProtection="0"/>
    <xf numFmtId="42" fontId="5" fillId="20" borderId="0"/>
    <xf numFmtId="42" fontId="5" fillId="20" borderId="21">
      <alignment vertical="center"/>
    </xf>
    <xf numFmtId="0" fontId="3" fillId="20" borderId="22" applyNumberFormat="0">
      <alignment horizontal="center" vertical="center" wrapText="1"/>
    </xf>
    <xf numFmtId="10" fontId="5" fillId="20" borderId="0"/>
    <xf numFmtId="172" fontId="5" fillId="20" borderId="0"/>
    <xf numFmtId="165" fontId="9" fillId="0" borderId="0" applyBorder="0" applyAlignment="0"/>
    <xf numFmtId="42" fontId="5" fillId="20" borderId="1">
      <alignment horizontal="left"/>
    </xf>
    <xf numFmtId="172" fontId="21" fillId="20" borderId="1">
      <alignment horizontal="left"/>
    </xf>
    <xf numFmtId="14" fontId="8" fillId="0" borderId="0" applyNumberFormat="0" applyFill="0" applyBorder="0" applyAlignment="0" applyProtection="0">
      <alignment horizontal="left"/>
    </xf>
    <xf numFmtId="176" fontId="5" fillId="0" borderId="0" applyFont="0" applyFill="0" applyAlignment="0">
      <alignment horizontal="right"/>
    </xf>
    <xf numFmtId="4" fontId="6" fillId="23" borderId="20" applyNumberFormat="0" applyProtection="0">
      <alignment vertical="center"/>
    </xf>
    <xf numFmtId="4" fontId="45" fillId="23" borderId="20" applyNumberFormat="0" applyProtection="0">
      <alignment vertical="center"/>
    </xf>
    <xf numFmtId="4" fontId="6" fillId="23" borderId="20" applyNumberFormat="0" applyProtection="0">
      <alignment horizontal="left" vertical="center" indent="1"/>
    </xf>
    <xf numFmtId="4" fontId="6" fillId="23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30" borderId="20" applyNumberFormat="0" applyProtection="0">
      <alignment horizontal="right" vertical="center"/>
    </xf>
    <xf numFmtId="4" fontId="6" fillId="31" borderId="20" applyNumberFormat="0" applyProtection="0">
      <alignment horizontal="right" vertical="center"/>
    </xf>
    <xf numFmtId="4" fontId="6" fillId="32" borderId="20" applyNumberFormat="0" applyProtection="0">
      <alignment horizontal="right" vertical="center"/>
    </xf>
    <xf numFmtId="4" fontId="6" fillId="33" borderId="20" applyNumberFormat="0" applyProtection="0">
      <alignment horizontal="right" vertical="center"/>
    </xf>
    <xf numFmtId="4" fontId="6" fillId="34" borderId="20" applyNumberFormat="0" applyProtection="0">
      <alignment horizontal="right" vertical="center"/>
    </xf>
    <xf numFmtId="4" fontId="6" fillId="35" borderId="20" applyNumberFormat="0" applyProtection="0">
      <alignment horizontal="right" vertical="center"/>
    </xf>
    <xf numFmtId="4" fontId="6" fillId="36" borderId="20" applyNumberFormat="0" applyProtection="0">
      <alignment horizontal="right" vertical="center"/>
    </xf>
    <xf numFmtId="4" fontId="6" fillId="37" borderId="20" applyNumberFormat="0" applyProtection="0">
      <alignment horizontal="right" vertical="center"/>
    </xf>
    <xf numFmtId="4" fontId="6" fillId="38" borderId="20" applyNumberFormat="0" applyProtection="0">
      <alignment horizontal="right" vertical="center"/>
    </xf>
    <xf numFmtId="4" fontId="46" fillId="39" borderId="20" applyNumberFormat="0" applyProtection="0">
      <alignment horizontal="left" vertical="center" indent="1"/>
    </xf>
    <xf numFmtId="4" fontId="6" fillId="40" borderId="23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40" borderId="20" applyNumberFormat="0" applyProtection="0">
      <alignment horizontal="left" vertical="center" indent="1"/>
    </xf>
    <xf numFmtId="4" fontId="6" fillId="42" borderId="20" applyNumberFormat="0" applyProtection="0">
      <alignment horizontal="left" vertical="center" indent="1"/>
    </xf>
    <xf numFmtId="0" fontId="5" fillId="42" borderId="20" applyNumberFormat="0" applyProtection="0">
      <alignment horizontal="left" vertical="center" indent="1"/>
    </xf>
    <xf numFmtId="0" fontId="5" fillId="42" borderId="20" applyNumberFormat="0" applyProtection="0">
      <alignment horizontal="left" vertical="center" indent="1"/>
    </xf>
    <xf numFmtId="0" fontId="5" fillId="43" borderId="20" applyNumberFormat="0" applyProtection="0">
      <alignment horizontal="left" vertical="center" indent="1"/>
    </xf>
    <xf numFmtId="0" fontId="5" fillId="43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44" borderId="20" applyNumberFormat="0" applyProtection="0">
      <alignment vertical="center"/>
    </xf>
    <xf numFmtId="4" fontId="45" fillId="44" borderId="20" applyNumberFormat="0" applyProtection="0">
      <alignment vertical="center"/>
    </xf>
    <xf numFmtId="4" fontId="6" fillId="44" borderId="20" applyNumberFormat="0" applyProtection="0">
      <alignment horizontal="left" vertical="center" indent="1"/>
    </xf>
    <xf numFmtId="4" fontId="6" fillId="44" borderId="20" applyNumberFormat="0" applyProtection="0">
      <alignment horizontal="left" vertical="center" indent="1"/>
    </xf>
    <xf numFmtId="4" fontId="6" fillId="40" borderId="20" applyNumberFormat="0" applyProtection="0">
      <alignment horizontal="right" vertical="center"/>
    </xf>
    <xf numFmtId="4" fontId="45" fillId="40" borderId="20" applyNumberFormat="0" applyProtection="0">
      <alignment horizontal="right" vertical="center"/>
    </xf>
    <xf numFmtId="0" fontId="5" fillId="29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0" fontId="48" fillId="0" borderId="0"/>
    <xf numFmtId="4" fontId="49" fillId="40" borderId="20" applyNumberFormat="0" applyProtection="0">
      <alignment horizontal="right" vertical="center"/>
    </xf>
    <xf numFmtId="39" fontId="5" fillId="45" borderId="0"/>
    <xf numFmtId="38" fontId="7" fillId="0" borderId="24"/>
    <xf numFmtId="38" fontId="7" fillId="0" borderId="24"/>
    <xf numFmtId="38" fontId="7" fillId="0" borderId="24"/>
    <xf numFmtId="38" fontId="7" fillId="0" borderId="24"/>
    <xf numFmtId="38" fontId="7" fillId="0" borderId="24"/>
    <xf numFmtId="38" fontId="9" fillId="0" borderId="1"/>
    <xf numFmtId="39" fontId="8" fillId="46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40" fontId="50" fillId="0" borderId="0" applyBorder="0">
      <alignment horizontal="right"/>
    </xf>
    <xf numFmtId="41" fontId="22" fillId="20" borderId="0">
      <alignment horizontal="left"/>
    </xf>
    <xf numFmtId="171" fontId="23" fillId="20" borderId="0">
      <alignment horizontal="left" vertical="center"/>
    </xf>
    <xf numFmtId="0" fontId="3" fillId="20" borderId="0">
      <alignment horizontal="left" wrapText="1"/>
    </xf>
    <xf numFmtId="0" fontId="24" fillId="0" borderId="0">
      <alignment horizontal="left" vertical="center"/>
    </xf>
    <xf numFmtId="41" fontId="3" fillId="20" borderId="0">
      <alignment horizontal="left"/>
    </xf>
    <xf numFmtId="0" fontId="42" fillId="0" borderId="25" applyNumberFormat="0" applyFont="0" applyFill="0" applyAlignment="0" applyProtection="0"/>
    <xf numFmtId="0" fontId="14" fillId="0" borderId="26"/>
    <xf numFmtId="0" fontId="36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3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164" fontId="0" fillId="0" borderId="0" xfId="0" applyNumberFormat="1"/>
    <xf numFmtId="10" fontId="0" fillId="0" borderId="0" xfId="3" applyNumberFormat="1" applyFont="1"/>
    <xf numFmtId="10" fontId="0" fillId="0" borderId="6" xfId="0" applyNumberFormat="1" applyBorder="1"/>
    <xf numFmtId="164" fontId="0" fillId="0" borderId="0" xfId="3" applyNumberFormat="1" applyFont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0" fontId="0" fillId="0" borderId="10" xfId="0" applyNumberFormat="1" applyBorder="1"/>
    <xf numFmtId="9" fontId="0" fillId="0" borderId="0" xfId="3" applyFont="1"/>
    <xf numFmtId="10" fontId="0" fillId="0" borderId="0" xfId="0" applyNumberFormat="1"/>
    <xf numFmtId="165" fontId="0" fillId="0" borderId="0" xfId="1" applyNumberFormat="1" applyFont="1"/>
    <xf numFmtId="3" fontId="5" fillId="0" borderId="0" xfId="0" applyNumberFormat="1" applyFont="1"/>
    <xf numFmtId="44" fontId="0" fillId="0" borderId="0" xfId="2" applyFont="1"/>
    <xf numFmtId="0" fontId="0" fillId="0" borderId="29" xfId="0" applyBorder="1"/>
    <xf numFmtId="0" fontId="0" fillId="0" borderId="12" xfId="0" applyBorder="1"/>
    <xf numFmtId="43" fontId="2" fillId="0" borderId="12" xfId="0" applyNumberFormat="1" applyFont="1" applyBorder="1"/>
    <xf numFmtId="166" fontId="2" fillId="0" borderId="12" xfId="2" applyNumberFormat="1" applyFont="1" applyBorder="1"/>
    <xf numFmtId="0" fontId="2" fillId="0" borderId="12" xfId="0" applyFont="1" applyBorder="1"/>
    <xf numFmtId="0" fontId="0" fillId="0" borderId="30" xfId="0" applyBorder="1"/>
    <xf numFmtId="43" fontId="2" fillId="0" borderId="0" xfId="0" applyNumberFormat="1" applyFont="1"/>
    <xf numFmtId="166" fontId="2" fillId="0" borderId="0" xfId="2" applyNumberFormat="1" applyFont="1" applyBorder="1"/>
    <xf numFmtId="0" fontId="2" fillId="0" borderId="0" xfId="0" applyFont="1"/>
    <xf numFmtId="168" fontId="0" fillId="0" borderId="0" xfId="2" applyNumberFormat="1" applyFont="1"/>
    <xf numFmtId="0" fontId="51" fillId="0" borderId="0" xfId="0" applyFont="1"/>
    <xf numFmtId="168" fontId="52" fillId="0" borderId="0" xfId="2" applyNumberFormat="1" applyFont="1"/>
    <xf numFmtId="2" fontId="0" fillId="0" borderId="0" xfId="0" applyNumberFormat="1"/>
    <xf numFmtId="44" fontId="2" fillId="0" borderId="0" xfId="0" applyNumberFormat="1" applyFont="1"/>
    <xf numFmtId="7" fontId="2" fillId="0" borderId="21" xfId="0" applyNumberFormat="1" applyFont="1" applyBorder="1"/>
    <xf numFmtId="7" fontId="2" fillId="0" borderId="0" xfId="0" applyNumberFormat="1" applyFont="1"/>
    <xf numFmtId="175" fontId="5" fillId="0" borderId="0" xfId="290" applyAlignment="1"/>
    <xf numFmtId="0" fontId="54" fillId="0" borderId="0" xfId="0" applyFont="1"/>
    <xf numFmtId="0" fontId="37" fillId="0" borderId="15" xfId="4" applyFont="1" applyBorder="1" applyAlignment="1">
      <alignment horizontal="center"/>
    </xf>
    <xf numFmtId="0" fontId="37" fillId="0" borderId="15" xfId="4" applyFont="1" applyBorder="1" applyAlignment="1">
      <alignment horizontal="right"/>
    </xf>
    <xf numFmtId="168" fontId="37" fillId="0" borderId="15" xfId="4" applyNumberFormat="1" applyFont="1" applyBorder="1" applyAlignment="1">
      <alignment horizontal="right"/>
    </xf>
    <xf numFmtId="9" fontId="37" fillId="0" borderId="15" xfId="330" applyFont="1" applyBorder="1" applyAlignment="1">
      <alignment horizontal="right"/>
    </xf>
    <xf numFmtId="166" fontId="37" fillId="0" borderId="15" xfId="4" applyNumberFormat="1" applyFont="1" applyBorder="1" applyAlignment="1">
      <alignment horizontal="right"/>
    </xf>
    <xf numFmtId="0" fontId="37" fillId="0" borderId="27" xfId="4" applyFont="1" applyBorder="1" applyAlignment="1">
      <alignment horizontal="center" wrapText="1"/>
    </xf>
    <xf numFmtId="0" fontId="37" fillId="0" borderId="13" xfId="4" applyFont="1" applyBorder="1" applyAlignment="1">
      <alignment horizontal="center" wrapText="1"/>
    </xf>
    <xf numFmtId="0" fontId="37" fillId="0" borderId="28" xfId="4" applyFont="1" applyBorder="1" applyAlignment="1">
      <alignment horizontal="center" wrapText="1"/>
    </xf>
  </cellXfs>
  <cellStyles count="423">
    <cellStyle name="_x0013_" xfId="5" xr:uid="{36491D33-C901-4C55-A67D-828B59A0DED2}"/>
    <cellStyle name="_4.06E Pass Throughs" xfId="6" xr:uid="{95A48545-4672-460C-B822-0292672B9342}"/>
    <cellStyle name="_4.06E Pass Throughs_04 07E Wild Horse Wind Expansion (C) (2)" xfId="7" xr:uid="{B3ECC736-65D4-427A-ADAB-B4DDC01BA919}"/>
    <cellStyle name="_4.06E Pass Throughs_04 07E Wild Horse Wind Expansion (C) (2)_Electric Rev Req Model (2009 GRC) " xfId="8" xr:uid="{B3F0949C-2D78-4AEF-A172-E70C327CC8B4}"/>
    <cellStyle name="_4.06E Pass Throughs_Production Adj 4.37" xfId="9" xr:uid="{B33A3B7B-FFB3-43D8-87D4-D44D7C80C101}"/>
    <cellStyle name="_4.06E Pass Throughs_Purchased Power Adj 4.03" xfId="10" xr:uid="{0E49A73D-3081-45A6-990A-1B89120255DE}"/>
    <cellStyle name="_4.06E Pass Throughs_ROR 5.02" xfId="11" xr:uid="{91C852F0-B59B-4236-A542-D0AF7580A81F}"/>
    <cellStyle name="_4.13E Montana Energy Tax" xfId="12" xr:uid="{ECDCECE0-1F6C-44D8-A8E9-CA556655112A}"/>
    <cellStyle name="_4.13E Montana Energy Tax_04 07E Wild Horse Wind Expansion (C) (2)" xfId="13" xr:uid="{30EF7E5A-5A80-4516-96A7-0E13CBB86EF2}"/>
    <cellStyle name="_4.13E Montana Energy Tax_04 07E Wild Horse Wind Expansion (C) (2)_Electric Rev Req Model (2009 GRC) " xfId="14" xr:uid="{F5911E87-4DED-4316-94F5-64F8C7BFAC01}"/>
    <cellStyle name="_4.13E Montana Energy Tax_Production Adj 4.37" xfId="15" xr:uid="{5F51AB1F-8E5B-44FF-9A23-931784028F88}"/>
    <cellStyle name="_4.13E Montana Energy Tax_Purchased Power Adj 4.03" xfId="16" xr:uid="{57829B56-8CAE-46E0-86E8-4C1FC692A167}"/>
    <cellStyle name="_4.13E Montana Energy Tax_ROR 5.02" xfId="17" xr:uid="{B155DF39-FBE6-4C91-9085-2AE8AD853967}"/>
    <cellStyle name="_Book1" xfId="18" xr:uid="{941317B4-35B7-4C7E-9543-6157D95CCCFC}"/>
    <cellStyle name="_Book1 (2)" xfId="19" xr:uid="{657BE41A-CBF8-4F17-AD24-31D24DE8CDBB}"/>
    <cellStyle name="_Book1 (2)_04 07E Wild Horse Wind Expansion (C) (2)" xfId="20" xr:uid="{13AA112A-3EEB-4603-8914-5A532B22D281}"/>
    <cellStyle name="_Book1 (2)_04 07E Wild Horse Wind Expansion (C) (2)_Electric Rev Req Model (2009 GRC) " xfId="21" xr:uid="{596A8609-FB19-425E-81C3-2BAA97664730}"/>
    <cellStyle name="_Book1 (2)_Production Adj 4.37" xfId="22" xr:uid="{AFD072A5-DA0C-4D38-A081-4A74D92786A0}"/>
    <cellStyle name="_Book1 (2)_Purchased Power Adj 4.03" xfId="23" xr:uid="{9B2F5024-F230-45A6-9ED7-E58D7BE294E6}"/>
    <cellStyle name="_Book1 (2)_ROR 5.02" xfId="24" xr:uid="{4D0FA329-EB44-4BB2-8918-7CA8712B8EF6}"/>
    <cellStyle name="_Book1_Production Adj 4.37" xfId="25" xr:uid="{8EA81AE6-2A5D-4BAA-BA1B-66529AA6A35B}"/>
    <cellStyle name="_Book1_Purchased Power Adj 4.03" xfId="26" xr:uid="{D2C1B49E-7D09-4604-B7EA-8CAB6F7B21CB}"/>
    <cellStyle name="_Book1_ROR 5.02" xfId="27" xr:uid="{80A043F0-CD17-4F4D-B499-239319076008}"/>
    <cellStyle name="_Book2" xfId="28" xr:uid="{958FCAEF-E322-4A11-A0F7-9FBE0F3E6BE0}"/>
    <cellStyle name="_Book2_04 07E Wild Horse Wind Expansion (C) (2)" xfId="29" xr:uid="{7A91EA43-F9AD-46A7-BEC3-AC982BE59F2D}"/>
    <cellStyle name="_Book2_04 07E Wild Horse Wind Expansion (C) (2)_Electric Rev Req Model (2009 GRC) " xfId="30" xr:uid="{CB4B08B9-D994-4EBB-B646-793B8CE040C1}"/>
    <cellStyle name="_Book2_Production Adj 4.37" xfId="31" xr:uid="{49194A2E-66EE-4417-93DC-5B976560E2B9}"/>
    <cellStyle name="_Book2_Purchased Power Adj 4.03" xfId="32" xr:uid="{6A75B92C-C25C-41A3-971A-44DC13F7B2A8}"/>
    <cellStyle name="_Book2_ROR 5.02" xfId="33" xr:uid="{949F7D91-AD30-4CDD-9D9E-6E9C727EB952}"/>
    <cellStyle name="_Chelan Debt Forecast 12.19.05" xfId="34" xr:uid="{34D8BF92-AE64-4395-84BA-3C589DEBD240}"/>
    <cellStyle name="_Chelan Debt Forecast 12.19.05_Production Adj 4.37" xfId="35" xr:uid="{B277931F-7785-473C-B502-AFA6C12DB6B7}"/>
    <cellStyle name="_Chelan Debt Forecast 12.19.05_Purchased Power Adj 4.03" xfId="36" xr:uid="{386E157D-FCCF-417F-A364-74F671876015}"/>
    <cellStyle name="_Chelan Debt Forecast 12.19.05_ROR 5.02" xfId="37" xr:uid="{E8D0B203-ABEA-42F7-A98A-1CD71D3B315A}"/>
    <cellStyle name="_Costs not in AURORA 06GRC" xfId="38" xr:uid="{17ECA930-C13C-4408-A4A9-791714114B9A}"/>
    <cellStyle name="_Costs not in AURORA 06GRC_04 07E Wild Horse Wind Expansion (C) (2)" xfId="39" xr:uid="{4B9522C5-06DA-49FB-B00C-289F12820503}"/>
    <cellStyle name="_Costs not in AURORA 06GRC_04 07E Wild Horse Wind Expansion (C) (2)_Electric Rev Req Model (2009 GRC) " xfId="40" xr:uid="{E205564D-D06C-4E88-9FA1-F2BF21E01DC6}"/>
    <cellStyle name="_Costs not in AURORA 06GRC_Production Adj 4.37" xfId="41" xr:uid="{77B29170-FB89-432D-860A-3075FD4CB55A}"/>
    <cellStyle name="_Costs not in AURORA 06GRC_Purchased Power Adj 4.03" xfId="42" xr:uid="{FB3BB447-B75B-4F5D-AF45-7F56D43CA5DF}"/>
    <cellStyle name="_Costs not in AURORA 06GRC_ROR 5.02" xfId="43" xr:uid="{F235228C-040A-4A63-AA72-CD97BCF6A641}"/>
    <cellStyle name="_Costs not in AURORA 2006GRC 6.15.06" xfId="44" xr:uid="{A4B5BB7C-D6F4-4703-A015-DC32017157CC}"/>
    <cellStyle name="_Costs not in AURORA 2006GRC 6.15.06_04 07E Wild Horse Wind Expansion (C) (2)" xfId="45" xr:uid="{DF30C890-D098-40B1-AE9A-D5F1C11BA4AC}"/>
    <cellStyle name="_Costs not in AURORA 2006GRC 6.15.06_04 07E Wild Horse Wind Expansion (C) (2)_Electric Rev Req Model (2009 GRC) " xfId="46" xr:uid="{4EAE50B8-5C2C-4CB9-A86B-9A75F210F08E}"/>
    <cellStyle name="_Costs not in AURORA 2006GRC 6.15.06_Production Adj 4.37" xfId="47" xr:uid="{5EBAD823-D8C1-4BB0-9ED2-57DDE0F3E45F}"/>
    <cellStyle name="_Costs not in AURORA 2006GRC 6.15.06_Purchased Power Adj 4.03" xfId="48" xr:uid="{7CEEC212-33AC-4C1C-B852-3F7FA97C9DC4}"/>
    <cellStyle name="_Costs not in AURORA 2006GRC 6.15.06_ROR 5.02" xfId="49" xr:uid="{AF7EC306-426C-4EE7-A196-C073CFEC0F9C}"/>
    <cellStyle name="_Costs not in AURORA 2006GRC w gas price updated" xfId="50" xr:uid="{66CE5860-5D90-4CD2-94A6-D3EF00DCC01A}"/>
    <cellStyle name="_Costs not in AURORA 2006GRC w gas price updated_Electric Rev Req Model (2009 GRC) " xfId="51" xr:uid="{96E2304A-3A5F-47A8-A5E2-3427495E17BF}"/>
    <cellStyle name="_Costs not in AURORA 2007 Rate Case" xfId="52" xr:uid="{3D2655B6-2F03-4CC9-BB55-DB73821A83BF}"/>
    <cellStyle name="_Costs not in AURORA 2007 Rate Case_Production Adj 4.37" xfId="53" xr:uid="{B41C17AA-C4C8-4605-A66F-A09334D982B5}"/>
    <cellStyle name="_Costs not in AURORA 2007 Rate Case_Purchased Power Adj 4.03" xfId="54" xr:uid="{A7EAB05D-BA54-4004-8602-EC71B3254B3C}"/>
    <cellStyle name="_Costs not in AURORA 2007 Rate Case_ROR 5.02" xfId="55" xr:uid="{D23A4553-71D2-4E5A-A311-2797EEBDB7AB}"/>
    <cellStyle name="_Costs not in KWI3000 '06Budget" xfId="56" xr:uid="{FE0F5ABA-385A-460F-843A-677937752758}"/>
    <cellStyle name="_Costs not in KWI3000 '06Budget_Production Adj 4.37" xfId="57" xr:uid="{30B29A1E-131A-48F8-BFA1-6CB502E223A8}"/>
    <cellStyle name="_Costs not in KWI3000 '06Budget_Purchased Power Adj 4.03" xfId="58" xr:uid="{9B457A1F-494A-4759-8CD3-164912AB9EF5}"/>
    <cellStyle name="_Costs not in KWI3000 '06Budget_ROR 5.02" xfId="59" xr:uid="{46A1E5E4-5AE4-42C9-9FA7-A177709CAF70}"/>
    <cellStyle name="_DEM-WP (C) Power Cost 2006GRC Order" xfId="60" xr:uid="{8A8A6416-FFDB-44C1-82F8-491E8314217A}"/>
    <cellStyle name="_DEM-WP (C) Power Cost 2006GRC Order_04 07E Wild Horse Wind Expansion (C) (2)" xfId="61" xr:uid="{0D86FF40-EC70-45CE-AF50-88B77AE443AE}"/>
    <cellStyle name="_DEM-WP (C) Power Cost 2006GRC Order_04 07E Wild Horse Wind Expansion (C) (2)_Electric Rev Req Model (2009 GRC) " xfId="62" xr:uid="{82161B92-EC71-4DCB-ACD8-348FF71FE347}"/>
    <cellStyle name="_DEM-WP (C) Power Cost 2006GRC Order_Production Adj 4.37" xfId="63" xr:uid="{C385C1D0-F430-45F4-9158-DD09855979C7}"/>
    <cellStyle name="_DEM-WP (C) Power Cost 2006GRC Order_Purchased Power Adj 4.03" xfId="64" xr:uid="{0CE8DAD4-7A2A-41AA-BE07-2DB57B8666EB}"/>
    <cellStyle name="_DEM-WP (C) Power Cost 2006GRC Order_ROR 5.02" xfId="65" xr:uid="{5C4544D5-DEEA-477E-AE35-D78F70806AC0}"/>
    <cellStyle name="_DEM-WP Revised (HC) Wild Horse 2006GRC" xfId="66" xr:uid="{A6975E54-7913-4A0B-A027-4FE4075FA66C}"/>
    <cellStyle name="_DEM-WP Revised (HC) Wild Horse 2006GRC_Electric Rev Req Model (2009 GRC) " xfId="67" xr:uid="{1147DEF7-045C-4764-A45C-9C69655E5FEF}"/>
    <cellStyle name="_DEM-WP(C) Costs not in AURORA 2006GRC" xfId="68" xr:uid="{98CD329C-A7A6-45E8-94AB-A2DC810139D6}"/>
    <cellStyle name="_DEM-WP(C) Costs not in AURORA 2006GRC_Production Adj 4.37" xfId="69" xr:uid="{A07C4850-6D7C-4BDC-B7BC-20B2D52D7C79}"/>
    <cellStyle name="_DEM-WP(C) Costs not in AURORA 2006GRC_Purchased Power Adj 4.03" xfId="70" xr:uid="{8896AE2F-A1B8-4EFE-A338-0BBBAF0342D4}"/>
    <cellStyle name="_DEM-WP(C) Costs not in AURORA 2006GRC_ROR 5.02" xfId="71" xr:uid="{F2A6026D-8CF0-4771-B08F-07E20BC38979}"/>
    <cellStyle name="_DEM-WP(C) Costs not in AURORA 2007GRC" xfId="72" xr:uid="{143B782E-F20C-402F-9D91-148491561D48}"/>
    <cellStyle name="_DEM-WP(C) Costs not in AURORA 2007GRC_Electric Rev Req Model (2009 GRC) " xfId="73" xr:uid="{E66A61F4-8FD9-43A1-8CF2-F3B8C2699700}"/>
    <cellStyle name="_DEM-WP(C) Costs not in AURORA 2007PCORC-5.07Update" xfId="74" xr:uid="{35EAE744-1F9D-4A3B-B10C-D76C7DE2B639}"/>
    <cellStyle name="_DEM-WP(C) Costs not in AURORA 2007PCORC-5.07Update_Electric Rev Req Model (2009 GRC) " xfId="75" xr:uid="{65CCC93A-D345-4753-900B-FB108323CA90}"/>
    <cellStyle name="_DEM-WP(C) Sumas Proforma 11.5.07" xfId="76" xr:uid="{EF4DD1A3-A3A2-467B-ABDC-4EC7F2B0C726}"/>
    <cellStyle name="_DEM-WP(C) Westside Hydro Data_051007" xfId="77" xr:uid="{545D82D5-EB1F-4D72-9F84-DB0F4684F9C6}"/>
    <cellStyle name="_DEM-WP(C) Westside Hydro Data_051007_Electric Rev Req Model (2009 GRC) " xfId="78" xr:uid="{38C054A1-D5DE-4273-9196-CC13234EB458}"/>
    <cellStyle name="_x0013__Electric Rev Req Model (2009 GRC) " xfId="79" xr:uid="{646A2AF0-B892-457F-AB63-8D450011F6E6}"/>
    <cellStyle name="_Fuel Prices 4-14" xfId="80" xr:uid="{5BE85466-BFF0-48A5-8E6A-447E3934F277}"/>
    <cellStyle name="_Fuel Prices 4-14_04 07E Wild Horse Wind Expansion (C) (2)" xfId="81" xr:uid="{D5113EBA-39FF-493A-AEB5-D14C8960A815}"/>
    <cellStyle name="_Fuel Prices 4-14_04 07E Wild Horse Wind Expansion (C) (2)_Electric Rev Req Model (2009 GRC) " xfId="82" xr:uid="{1E7393C1-F128-4A9F-BB57-91F14A1CDC23}"/>
    <cellStyle name="_Fuel Prices 4-14_Production Adj 4.37" xfId="83" xr:uid="{510FFCDF-FA55-4C98-9FC8-9DC2FCCEF74C}"/>
    <cellStyle name="_Fuel Prices 4-14_Purchased Power Adj 4.03" xfId="84" xr:uid="{BE5564D1-7687-45B4-834C-7B0CCD96DE51}"/>
    <cellStyle name="_Fuel Prices 4-14_ROR 5.02" xfId="85" xr:uid="{853074E7-BA17-400F-9C96-EE5A129E0782}"/>
    <cellStyle name="_Fuel Prices 4-14_Sch 40 Interim Energy Rates " xfId="86" xr:uid="{598E0B5E-2DFB-4D80-B412-7E3BE417E8E2}"/>
    <cellStyle name="_NIM 06 Base Case Current Trends" xfId="87" xr:uid="{C5CB8CBD-433E-4638-BD21-7698D0467FB7}"/>
    <cellStyle name="_NIM 06 Base Case Current Trends_Electric Rev Req Model (2009 GRC) " xfId="88" xr:uid="{ECB6C219-16A2-4D18-BBDE-05775804B165}"/>
    <cellStyle name="_Portfolio SPlan Base Case.xls Chart 1" xfId="89" xr:uid="{02C0E35E-CA51-459D-8A8B-BAEED573C73F}"/>
    <cellStyle name="_Portfolio SPlan Base Case.xls Chart 1_Electric Rev Req Model (2009 GRC) " xfId="90" xr:uid="{07397BDB-A8CF-459A-BEF1-3B02017250F3}"/>
    <cellStyle name="_Portfolio SPlan Base Case.xls Chart 2" xfId="91" xr:uid="{9A398D12-FF1B-4047-818B-CAF7E5F7EC87}"/>
    <cellStyle name="_Portfolio SPlan Base Case.xls Chart 2_Electric Rev Req Model (2009 GRC) " xfId="92" xr:uid="{2DEB9B3B-BBCD-4B95-9E9F-478261D59641}"/>
    <cellStyle name="_Portfolio SPlan Base Case.xls Chart 3" xfId="93" xr:uid="{49C7AC0F-1BEC-4410-A28B-4C0CFA82BC69}"/>
    <cellStyle name="_Portfolio SPlan Base Case.xls Chart 3_Electric Rev Req Model (2009 GRC) " xfId="94" xr:uid="{EC46AE47-E781-4B74-B972-DE43B0262EC6}"/>
    <cellStyle name="_Power Cost Value Copy 11.30.05 gas 1.09.06 AURORA at 1.10.06" xfId="95" xr:uid="{773B29CF-CD65-4B2E-BD24-9E1B31907EB4}"/>
    <cellStyle name="_Power Cost Value Copy 11.30.05 gas 1.09.06 AURORA at 1.10.06_04 07E Wild Horse Wind Expansion (C) (2)" xfId="96" xr:uid="{E6609509-DA9A-4C5E-B676-24ECDC388F70}"/>
    <cellStyle name="_Power Cost Value Copy 11.30.05 gas 1.09.06 AURORA at 1.10.06_04 07E Wild Horse Wind Expansion (C) (2)_Electric Rev Req Model (2009 GRC) " xfId="97" xr:uid="{2D553565-4C1C-49A6-AF26-1E5A02B4A1BD}"/>
    <cellStyle name="_Power Cost Value Copy 11.30.05 gas 1.09.06 AURORA at 1.10.06_Production Adj 4.37" xfId="98" xr:uid="{BD4864B7-C1D9-4B48-B526-B2F04CF55C7D}"/>
    <cellStyle name="_Power Cost Value Copy 11.30.05 gas 1.09.06 AURORA at 1.10.06_Purchased Power Adj 4.03" xfId="99" xr:uid="{7F467AF6-5593-4C24-8C1A-2EA0E99E906A}"/>
    <cellStyle name="_Power Cost Value Copy 11.30.05 gas 1.09.06 AURORA at 1.10.06_ROR 5.02" xfId="100" xr:uid="{1735A072-40DA-49F5-A05E-37D4A2C203A0}"/>
    <cellStyle name="_Power Cost Value Copy 11.30.05 gas 1.09.06 AURORA at 1.10.06_Sch 40 Interim Energy Rates " xfId="101" xr:uid="{0832AF68-1992-45A9-90D8-C025A38C01BE}"/>
    <cellStyle name="_Recon to Darrin's 5.11.05 proforma" xfId="102" xr:uid="{94AD91BE-7073-4651-823D-2A30E65E335A}"/>
    <cellStyle name="_Recon to Darrin's 5.11.05 proforma_Production Adj 4.37" xfId="103" xr:uid="{86FD412B-88A2-43F2-B637-DA1B5AF35C6A}"/>
    <cellStyle name="_Recon to Darrin's 5.11.05 proforma_Purchased Power Adj 4.03" xfId="104" xr:uid="{C6FA04EE-5B94-4D29-86BF-96211857692D}"/>
    <cellStyle name="_Recon to Darrin's 5.11.05 proforma_ROR 5.02" xfId="105" xr:uid="{81B640C6-843D-4FE8-B72A-E3AFEDA6E062}"/>
    <cellStyle name="_Tenaska Comparison" xfId="106" xr:uid="{A3ABCB51-EAB5-4A68-A965-40998744797A}"/>
    <cellStyle name="_Tenaska Comparison_Production Adj 4.37" xfId="107" xr:uid="{E55A5F26-3996-4B4C-B144-BB7CA1DB6D64}"/>
    <cellStyle name="_Tenaska Comparison_Purchased Power Adj 4.03" xfId="108" xr:uid="{26017D00-C863-4F05-B743-95CC168E5E38}"/>
    <cellStyle name="_Tenaska Comparison_ROR 5.02" xfId="109" xr:uid="{E7B7F42D-6512-4218-930C-1719BD1C86CA}"/>
    <cellStyle name="_Value Copy 11 30 05 gas 12 09 05 AURORA at 12 14 05" xfId="110" xr:uid="{C1A9BEFE-3725-4D10-84AB-38F53A02BDDF}"/>
    <cellStyle name="_Value Copy 11 30 05 gas 12 09 05 AURORA at 12 14 05_04 07E Wild Horse Wind Expansion (C) (2)" xfId="111" xr:uid="{B1BE4871-74AB-49E1-8030-C72337FAE909}"/>
    <cellStyle name="_Value Copy 11 30 05 gas 12 09 05 AURORA at 12 14 05_04 07E Wild Horse Wind Expansion (C) (2)_Electric Rev Req Model (2009 GRC) " xfId="112" xr:uid="{07771820-5678-4489-A6F9-A8ADB8D938F7}"/>
    <cellStyle name="_Value Copy 11 30 05 gas 12 09 05 AURORA at 12 14 05_Production Adj 4.37" xfId="113" xr:uid="{ABCF64E3-5224-4EA0-9A80-18C5AC9D4A73}"/>
    <cellStyle name="_Value Copy 11 30 05 gas 12 09 05 AURORA at 12 14 05_Purchased Power Adj 4.03" xfId="114" xr:uid="{CF01876D-4F66-4747-BC2E-71A7708F40B4}"/>
    <cellStyle name="_Value Copy 11 30 05 gas 12 09 05 AURORA at 12 14 05_ROR 5.02" xfId="115" xr:uid="{CB7ACA29-1FD0-46FE-B78D-2563376B5EFB}"/>
    <cellStyle name="_Value Copy 11 30 05 gas 12 09 05 AURORA at 12 14 05_Sch 40 Interim Energy Rates " xfId="116" xr:uid="{AD69E4E1-A17D-4B38-B18C-920FDC942BD3}"/>
    <cellStyle name="_VC 6.15.06 update on 06GRC power costs.xls Chart 1" xfId="117" xr:uid="{BCAA12BE-8155-4346-B849-98F024E338A8}"/>
    <cellStyle name="_VC 6.15.06 update on 06GRC power costs.xls Chart 1_04 07E Wild Horse Wind Expansion (C) (2)" xfId="118" xr:uid="{514407B0-7DFB-48DF-8F94-4F8B22917DF1}"/>
    <cellStyle name="_VC 6.15.06 update on 06GRC power costs.xls Chart 1_04 07E Wild Horse Wind Expansion (C) (2)_Electric Rev Req Model (2009 GRC) " xfId="119" xr:uid="{103F841D-2D37-4AAE-AFF8-BC6F351B7332}"/>
    <cellStyle name="_VC 6.15.06 update on 06GRC power costs.xls Chart 1_Production Adj 4.37" xfId="120" xr:uid="{25912072-6B96-430B-9704-10400BEC74FD}"/>
    <cellStyle name="_VC 6.15.06 update on 06GRC power costs.xls Chart 1_Purchased Power Adj 4.03" xfId="121" xr:uid="{AA7B65EB-225C-438E-9723-46CDD1128C3A}"/>
    <cellStyle name="_VC 6.15.06 update on 06GRC power costs.xls Chart 1_ROR 5.02" xfId="122" xr:uid="{4DB6419D-EE5A-4245-9DF4-26CD18C72F68}"/>
    <cellStyle name="_VC 6.15.06 update on 06GRC power costs.xls Chart 2" xfId="123" xr:uid="{DE8D89A0-3306-4CF8-9B16-D8B5225BA801}"/>
    <cellStyle name="_VC 6.15.06 update on 06GRC power costs.xls Chart 2_04 07E Wild Horse Wind Expansion (C) (2)" xfId="124" xr:uid="{11FECBEE-D571-4F53-9D29-280E2D0CE768}"/>
    <cellStyle name="_VC 6.15.06 update on 06GRC power costs.xls Chart 2_04 07E Wild Horse Wind Expansion (C) (2)_Electric Rev Req Model (2009 GRC) " xfId="125" xr:uid="{1CCE1D7E-7901-4DE5-85FC-3C9E7BA1522C}"/>
    <cellStyle name="_VC 6.15.06 update on 06GRC power costs.xls Chart 2_Production Adj 4.37" xfId="126" xr:uid="{6EEBDA31-CC08-4C28-B2F4-73F8BAF4CF49}"/>
    <cellStyle name="_VC 6.15.06 update on 06GRC power costs.xls Chart 2_Purchased Power Adj 4.03" xfId="127" xr:uid="{80693D57-495A-4219-8A0E-FDA04D3F0121}"/>
    <cellStyle name="_VC 6.15.06 update on 06GRC power costs.xls Chart 2_ROR 5.02" xfId="128" xr:uid="{CB9E0033-1D09-4E75-AD49-DF1BBB22C143}"/>
    <cellStyle name="_VC 6.15.06 update on 06GRC power costs.xls Chart 3" xfId="129" xr:uid="{9B814ED9-8738-4405-90AA-608FB8378FC3}"/>
    <cellStyle name="_VC 6.15.06 update on 06GRC power costs.xls Chart 3_04 07E Wild Horse Wind Expansion (C) (2)" xfId="130" xr:uid="{E938B5D9-5F5E-4ED4-8611-3D102236885F}"/>
    <cellStyle name="_VC 6.15.06 update on 06GRC power costs.xls Chart 3_04 07E Wild Horse Wind Expansion (C) (2)_Electric Rev Req Model (2009 GRC) " xfId="131" xr:uid="{A84AB320-FD3F-445E-B70A-DA53D917B792}"/>
    <cellStyle name="_VC 6.15.06 update on 06GRC power costs.xls Chart 3_Production Adj 4.37" xfId="132" xr:uid="{F1370DB6-67BB-40B9-8ED8-6A8AFEBDBC0E}"/>
    <cellStyle name="_VC 6.15.06 update on 06GRC power costs.xls Chart 3_Purchased Power Adj 4.03" xfId="133" xr:uid="{FF1C334F-C197-4A51-8E5E-E97E10364091}"/>
    <cellStyle name="_VC 6.15.06 update on 06GRC power costs.xls Chart 3_ROR 5.02" xfId="134" xr:uid="{36E70B66-965B-4D17-B916-D537013A5C91}"/>
    <cellStyle name="0,0_x000d__x000a_NA_x000d__x000a_" xfId="135" xr:uid="{7031AB8E-F72B-4486-9C7C-69127A8386E3}"/>
    <cellStyle name="20% - Accent1 2" xfId="136" xr:uid="{58C860E7-80C9-499E-8A03-AB94AD582C04}"/>
    <cellStyle name="20% - Accent1 3" xfId="137" xr:uid="{14F4B961-B03C-464F-B5F4-5C67A8287748}"/>
    <cellStyle name="20% - Accent1 4" xfId="138" xr:uid="{8173A796-C8A4-4DC0-8A52-E531C4D18FB4}"/>
    <cellStyle name="20% - Accent2 2" xfId="139" xr:uid="{54FC840F-3C0D-43C9-9122-3AA1429CACF2}"/>
    <cellStyle name="20% - Accent2 3" xfId="140" xr:uid="{66232BFB-4925-4006-802C-47EDE21A1091}"/>
    <cellStyle name="20% - Accent2 4" xfId="141" xr:uid="{AE735758-98C5-406F-89C6-4E4CD0C85AAD}"/>
    <cellStyle name="20% - Accent3 2" xfId="142" xr:uid="{13E006C1-993B-415A-8ADB-CCBB95534459}"/>
    <cellStyle name="20% - Accent3 3" xfId="143" xr:uid="{0EA37EBF-3BBE-4536-B219-560A7E9C87E8}"/>
    <cellStyle name="20% - Accent3 4" xfId="144" xr:uid="{8CEB39EF-9228-4C65-9B52-7E21AB220242}"/>
    <cellStyle name="20% - Accent4 2" xfId="145" xr:uid="{3EFD60F0-8674-4495-B21B-08D2DB50F7B5}"/>
    <cellStyle name="20% - Accent4 3" xfId="146" xr:uid="{086F3D57-0A1F-428A-A64D-49457516FEAD}"/>
    <cellStyle name="20% - Accent4 4" xfId="147" xr:uid="{DB7976B9-EAD6-4B20-9909-F8832833C2B4}"/>
    <cellStyle name="20% - Accent5 2" xfId="148" xr:uid="{57C9118B-0AA8-47B3-9583-7B5468AA11F5}"/>
    <cellStyle name="20% - Accent5 3" xfId="149" xr:uid="{C9D03391-5176-4FFF-896B-C003913A371A}"/>
    <cellStyle name="20% - Accent5 4" xfId="150" xr:uid="{96077F09-3BC2-4F19-9DD6-79E0FF59F756}"/>
    <cellStyle name="20% - Accent6 2" xfId="151" xr:uid="{8A5A215C-C8C0-4EFB-A1C8-122945CEB7C8}"/>
    <cellStyle name="20% - Accent6 3" xfId="152" xr:uid="{ADD6270E-C2C3-4EEC-892E-CDC32EC43B4F}"/>
    <cellStyle name="20% - Accent6 4" xfId="153" xr:uid="{41143B73-40D8-4C4E-B672-CEB0E5AE14FE}"/>
    <cellStyle name="40% - Accent1 2" xfId="154" xr:uid="{58E31649-34AA-4351-9F44-50F9B315D73E}"/>
    <cellStyle name="40% - Accent1 3" xfId="155" xr:uid="{B9EFCF4B-F265-4EFE-8354-210033A3E7C1}"/>
    <cellStyle name="40% - Accent1 4" xfId="156" xr:uid="{292FECEF-114C-4CDF-8B27-1045B055D7E9}"/>
    <cellStyle name="40% - Accent2 2" xfId="157" xr:uid="{C6D45C49-6807-4CC3-918E-4F758B5D7CCE}"/>
    <cellStyle name="40% - Accent2 3" xfId="158" xr:uid="{A0DDED31-CC21-44A9-B78F-CC7E2AB740C6}"/>
    <cellStyle name="40% - Accent2 4" xfId="159" xr:uid="{EBF87F85-8EDF-4D49-84F9-19D0BAA4FA5E}"/>
    <cellStyle name="40% - Accent3 2" xfId="160" xr:uid="{F4EEBE99-019E-4352-966E-AC66B9C9EC6D}"/>
    <cellStyle name="40% - Accent3 3" xfId="161" xr:uid="{085B8964-CFB5-4AA6-AF2C-BDF7497A75E3}"/>
    <cellStyle name="40% - Accent3 4" xfId="162" xr:uid="{670F7DC8-6B61-4947-9C37-93573B109E12}"/>
    <cellStyle name="40% - Accent4 2" xfId="163" xr:uid="{D99A42D4-A0F4-4D46-8CE1-17789F31071E}"/>
    <cellStyle name="40% - Accent4 3" xfId="164" xr:uid="{BF95B60D-4A00-48E0-A45C-8EA8124B68DB}"/>
    <cellStyle name="40% - Accent4 4" xfId="165" xr:uid="{D0746825-342F-4C06-9EF6-8D0EAA4627DF}"/>
    <cellStyle name="40% - Accent5 2" xfId="166" xr:uid="{1615F59F-4D73-4C22-B1B5-94959B431957}"/>
    <cellStyle name="40% - Accent5 3" xfId="167" xr:uid="{DA1B26D6-6123-47A5-9708-826691F8D4B2}"/>
    <cellStyle name="40% - Accent5 4" xfId="168" xr:uid="{1A290641-A3E1-4750-A890-10FDE5BDE352}"/>
    <cellStyle name="40% - Accent6 2" xfId="169" xr:uid="{B2EDDCAA-0D00-4078-BD2E-3905C1CF2C35}"/>
    <cellStyle name="40% - Accent6 3" xfId="170" xr:uid="{9F4E0924-D367-4969-A3C7-433346EFFC64}"/>
    <cellStyle name="40% - Accent6 4" xfId="171" xr:uid="{920238BD-037C-489E-9A7A-6E92926E5069}"/>
    <cellStyle name="60% - Accent1 2" xfId="172" xr:uid="{33592E20-1497-4E75-9116-D3B50B5C0F8A}"/>
    <cellStyle name="60% - Accent2 2" xfId="173" xr:uid="{A1480F57-19C4-494A-B4BA-4B94A48DA4D7}"/>
    <cellStyle name="60% - Accent3 2" xfId="174" xr:uid="{57072E6C-5648-40EE-A685-F094D90292DE}"/>
    <cellStyle name="60% - Accent4 2" xfId="175" xr:uid="{4986495A-938B-4BDB-9188-CA838CEFDF74}"/>
    <cellStyle name="60% - Accent5 2" xfId="176" xr:uid="{DA5B691D-64A3-4A69-800D-BDE8FB806A80}"/>
    <cellStyle name="60% - Accent6 2" xfId="177" xr:uid="{BE1B61AB-36AA-4DDF-B517-C956D06E6D58}"/>
    <cellStyle name="Accent1 2" xfId="178" xr:uid="{9713FC2D-3F82-423A-B51C-43E037E1A49E}"/>
    <cellStyle name="Accent2 2" xfId="179" xr:uid="{82815E64-A3AA-4F75-BDCC-A2A186AA305A}"/>
    <cellStyle name="Accent3 2" xfId="180" xr:uid="{76DBB165-1375-4377-85F1-ECE3FA7F7892}"/>
    <cellStyle name="Accent4 2" xfId="181" xr:uid="{3AE8FC0A-298C-4F2E-A3F3-1B20B9AF0A27}"/>
    <cellStyle name="Accent5 2" xfId="182" xr:uid="{E2BFBF2B-3DB2-4F44-AC90-986479F0BF6D}"/>
    <cellStyle name="Accent6 2" xfId="183" xr:uid="{73CE8B54-A10D-450C-AF28-D27B5E9272E8}"/>
    <cellStyle name="Bad 2" xfId="184" xr:uid="{BFE8FCD1-D91E-4188-9F74-9F1B2E68D216}"/>
    <cellStyle name="Calc Currency (0)" xfId="185" xr:uid="{52D16A87-D5D8-4F39-BE82-FAABF65EC155}"/>
    <cellStyle name="Calculation 2" xfId="187" xr:uid="{982B693C-4E7D-446B-971E-E7D8794FDF46}"/>
    <cellStyle name="Calculation 3" xfId="186" xr:uid="{8BA34018-947E-4DF5-A827-2A19A2B1843C}"/>
    <cellStyle name="Check Cell 2" xfId="188" xr:uid="{A6640FB5-7623-433A-9DE8-3A99413889F1}"/>
    <cellStyle name="CheckCell" xfId="189" xr:uid="{AD0EACDC-CE6E-4486-B7EF-805EA5CEBE3A}"/>
    <cellStyle name="Comma" xfId="1" builtinId="3"/>
    <cellStyle name="Comma 10" xfId="191" xr:uid="{64848DC7-1069-4E88-9A7C-0696BEFA98C4}"/>
    <cellStyle name="Comma 11" xfId="192" xr:uid="{0A08C34A-7647-49DF-94D1-D2784B752FCB}"/>
    <cellStyle name="Comma 12" xfId="193" xr:uid="{37D23E26-3340-4DDC-8A0A-9D2135E55C27}"/>
    <cellStyle name="Comma 13" xfId="190" xr:uid="{C0AD533C-A7CC-4BC9-A0CF-79744505C339}"/>
    <cellStyle name="Comma 2" xfId="194" xr:uid="{973C0D5D-C410-49AD-AE7C-4612C4CB4052}"/>
    <cellStyle name="Comma 2 2" xfId="195" xr:uid="{620FBDDC-2C1E-4519-8BD2-A64C50428FFC}"/>
    <cellStyle name="Comma 3" xfId="196" xr:uid="{B5C602DC-8309-4511-9FC4-2B54AF799719}"/>
    <cellStyle name="Comma 4" xfId="197" xr:uid="{9B65ED94-49F0-4D7B-903C-42403882B6AF}"/>
    <cellStyle name="Comma 5" xfId="198" xr:uid="{1D625E2C-9294-46F5-92CF-A4C3173AA385}"/>
    <cellStyle name="Comma 6" xfId="199" xr:uid="{76586952-FCC3-455F-9639-E85409A752EA}"/>
    <cellStyle name="Comma 7" xfId="200" xr:uid="{0F9E906D-11B3-4C85-BB49-98C7249C5495}"/>
    <cellStyle name="Comma 8" xfId="201" xr:uid="{12414FE0-78D5-49A7-9EC7-CA0C0D36F2C0}"/>
    <cellStyle name="Comma 8 2" xfId="202" xr:uid="{CB4A0313-383D-4C2F-8650-CEEF65825D8C}"/>
    <cellStyle name="Comma 9" xfId="203" xr:uid="{7F08279D-F779-446D-A485-09A23619FC6B}"/>
    <cellStyle name="Comma0" xfId="204" xr:uid="{4161B424-FB22-46C2-8483-9D6F1A906008}"/>
    <cellStyle name="Comma0 - Style2" xfId="205" xr:uid="{44A95073-9681-43EE-9309-8077079A77CB}"/>
    <cellStyle name="Comma0 - Style4" xfId="206" xr:uid="{183BB555-7144-46CD-841D-26B6C2F6CAD2}"/>
    <cellStyle name="Comma0 - Style5" xfId="207" xr:uid="{3229636F-BC49-40F7-9A9E-EDECBB2DCEC4}"/>
    <cellStyle name="Comma0 2" xfId="208" xr:uid="{87110101-5FAB-429C-8DA4-AD4141C6C8E1}"/>
    <cellStyle name="Comma0 3" xfId="209" xr:uid="{F9907122-3950-4D8E-812F-4D02A7767730}"/>
    <cellStyle name="Comma0 4" xfId="210" xr:uid="{91E493B5-71ED-47D7-9262-A7A692950FE9}"/>
    <cellStyle name="Comma0_00COS Ind Allocators" xfId="211" xr:uid="{1D42557E-1125-4FB4-B92B-2BF380E9FB18}"/>
    <cellStyle name="Comma1 - Style1" xfId="212" xr:uid="{2B422179-160D-4778-8FBB-9557B2C6BC79}"/>
    <cellStyle name="Copied" xfId="213" xr:uid="{AF9BFFB7-A732-427D-B6BA-141A580EE6AE}"/>
    <cellStyle name="COST1" xfId="214" xr:uid="{CC00F6A2-C8E9-4340-A474-FFC8FC36DAC7}"/>
    <cellStyle name="Curren - Style1" xfId="215" xr:uid="{5C7E6C21-D5BA-4719-AE67-30AD9E478F98}"/>
    <cellStyle name="Curren - Style2" xfId="216" xr:uid="{E29D4BA8-3C76-4026-A3B4-DD76051B951E}"/>
    <cellStyle name="Curren - Style5" xfId="217" xr:uid="{D932800B-4313-45AD-8514-4D2F9B8F4AC8}"/>
    <cellStyle name="Curren - Style6" xfId="218" xr:uid="{875DCD83-33CC-4A7A-AF5D-E95DD49E9160}"/>
    <cellStyle name="Currency" xfId="2" builtinId="4"/>
    <cellStyle name="Currency 10" xfId="220" xr:uid="{9178B254-4C83-4D87-A07B-6A581E483211}"/>
    <cellStyle name="Currency 11" xfId="221" xr:uid="{C5149C3E-CF12-4FAC-B865-319D11E4B4A3}"/>
    <cellStyle name="Currency 12" xfId="219" xr:uid="{4103FC0B-75A3-44A3-BB86-08C4CCA5390E}"/>
    <cellStyle name="Currency 2" xfId="222" xr:uid="{99946B4A-EE08-492C-A444-A1D83A782D7F}"/>
    <cellStyle name="Currency 3" xfId="223" xr:uid="{D54688F4-CF4E-468C-AA59-4D5DEEDB39C1}"/>
    <cellStyle name="Currency 3 2" xfId="224" xr:uid="{34B84D0C-E89C-4ADE-B55E-10DE6E3DD31B}"/>
    <cellStyle name="Currency 4" xfId="225" xr:uid="{9E8078F7-B0B5-4714-8E50-7F8492AC1FEF}"/>
    <cellStyle name="Currency 5" xfId="226" xr:uid="{E3A5FCEB-70FE-4232-9B99-F15E60C9AC9B}"/>
    <cellStyle name="Currency 6" xfId="227" xr:uid="{E517BD58-9188-45C4-B533-185457F81C1F}"/>
    <cellStyle name="Currency 7" xfId="228" xr:uid="{439981FC-7926-4629-8469-5BFDE5CE6BCB}"/>
    <cellStyle name="Currency 8" xfId="229" xr:uid="{18F5036F-7134-454C-9DFA-83A1D4B74AE4}"/>
    <cellStyle name="Currency 9" xfId="230" xr:uid="{C3DC7640-292C-440F-A46C-8C6C00208BF1}"/>
    <cellStyle name="Currency0" xfId="231" xr:uid="{7BB7C2FC-7575-425D-A1B0-BC50A20167FE}"/>
    <cellStyle name="Date" xfId="232" xr:uid="{3B2D1D7B-8E71-47F5-BB05-54DF5EA90E1E}"/>
    <cellStyle name="Date 2" xfId="233" xr:uid="{39C2B007-8A62-4289-9F61-5C14B71C234F}"/>
    <cellStyle name="Date 3" xfId="234" xr:uid="{C7EF26C1-1AD7-4758-9F4E-9A14ADA6DEE9}"/>
    <cellStyle name="Date 4" xfId="235" xr:uid="{5308F4E7-7799-4896-9BD1-699A40AFA057}"/>
    <cellStyle name="Entered" xfId="236" xr:uid="{80BB571D-E0EC-450F-BEAE-72476D802C75}"/>
    <cellStyle name="Explanatory Text 2" xfId="237" xr:uid="{BAC78424-0BB8-4233-843F-42A51FBB5D98}"/>
    <cellStyle name="Fixed" xfId="238" xr:uid="{9E781C71-7710-4190-9B79-386291C09E4A}"/>
    <cellStyle name="Fixed3 - Style3" xfId="239" xr:uid="{A6E6A938-EC8E-4321-97A4-5FB065E70202}"/>
    <cellStyle name="Good 2" xfId="240" xr:uid="{4531FEE5-B72F-408A-8C53-3E79C920D6C8}"/>
    <cellStyle name="Grey" xfId="241" xr:uid="{57436B30-923D-4E2C-BCC7-8299ABBE80F7}"/>
    <cellStyle name="Grey 2" xfId="242" xr:uid="{4F6C7693-B012-488E-9A43-65A335687359}"/>
    <cellStyle name="Grey 3" xfId="243" xr:uid="{E7CAF98E-E02D-422B-9E51-5EBA5B9240CA}"/>
    <cellStyle name="Grey 4" xfId="244" xr:uid="{449D8481-B816-49CB-B25C-49B2E700663C}"/>
    <cellStyle name="Grey_ERB" xfId="245" xr:uid="{A012F5C4-3F37-4368-B9C3-60E53D2A9FFF}"/>
    <cellStyle name="Header1" xfId="246" xr:uid="{B93A600A-A98F-48EC-8FEF-DCDDD3465F97}"/>
    <cellStyle name="Header2" xfId="247" xr:uid="{1DA3F53B-8A99-4F6C-96A6-5A0A391D32B3}"/>
    <cellStyle name="Heading 1 2" xfId="249" xr:uid="{CEDB4136-8D77-41E7-A1C2-FB8DEBDD4CC7}"/>
    <cellStyle name="Heading 1 3" xfId="248" xr:uid="{801653FE-EE5D-42BE-B4A8-40ABA9670ADD}"/>
    <cellStyle name="Heading 2 2" xfId="251" xr:uid="{471C876A-9337-41AD-803D-0ECAEB8AD1B2}"/>
    <cellStyle name="Heading 2 3" xfId="250" xr:uid="{50A014FC-46E4-4CFC-B48D-075654CC5E9D}"/>
    <cellStyle name="Heading1" xfId="252" xr:uid="{3D5F96C7-9730-4DB0-AB6F-A9389225F007}"/>
    <cellStyle name="Heading2" xfId="253" xr:uid="{9C7DD0B0-087B-454E-A6D5-EC8FD9FB012B}"/>
    <cellStyle name="Input [yellow]" xfId="254" xr:uid="{84297042-11E8-4BCC-B407-157D7DB59444}"/>
    <cellStyle name="Input [yellow] 2" xfId="255" xr:uid="{D1B4C2B5-D24B-4352-8F50-109455BD3BA0}"/>
    <cellStyle name="Input [yellow] 3" xfId="256" xr:uid="{6EDA331E-76C2-4FAF-A320-19004DF56BE3}"/>
    <cellStyle name="Input [yellow] 4" xfId="257" xr:uid="{A9CC67E3-51EA-4C01-A8FF-A4EDB14329B9}"/>
    <cellStyle name="Input [yellow]_ERB" xfId="258" xr:uid="{9185286A-2597-4AA6-B500-F43D0C413394}"/>
    <cellStyle name="Input 2" xfId="259" xr:uid="{C6A07F15-6C5C-4F67-904F-616747C7871E}"/>
    <cellStyle name="Input 3" xfId="260" xr:uid="{7F859FC4-FCAC-46E4-88C5-CBC6AB3B2703}"/>
    <cellStyle name="Input 4" xfId="261" xr:uid="{263C703E-315F-43C1-80F6-228F737865C3}"/>
    <cellStyle name="Input Cells" xfId="262" xr:uid="{AE76C5DF-D3DE-44EC-BC07-B0CFD37C106C}"/>
    <cellStyle name="Input Cells Percent" xfId="263" xr:uid="{6320C372-728A-4B90-95F8-2A181F81BD65}"/>
    <cellStyle name="Lines" xfId="264" xr:uid="{55E2C4C3-93C3-4143-AD82-C15DD98429E2}"/>
    <cellStyle name="LINKED" xfId="265" xr:uid="{A075142A-069D-404A-BFCF-1B29881DACDA}"/>
    <cellStyle name="modified border" xfId="266" xr:uid="{CFA72B1B-386E-434C-8AC9-7562CE17C002}"/>
    <cellStyle name="modified border 2" xfId="267" xr:uid="{7AE6793D-AFA5-452F-92D0-7842D58A2B73}"/>
    <cellStyle name="modified border 3" xfId="268" xr:uid="{5D0BB80F-1B4F-417B-9561-6A5579453DED}"/>
    <cellStyle name="modified border 4" xfId="269" xr:uid="{458C84C8-3F66-4E19-9C93-86816AC56B5C}"/>
    <cellStyle name="modified border1" xfId="270" xr:uid="{A70AA0C3-7E4B-4774-A315-E5300B9CC1AE}"/>
    <cellStyle name="modified border1 2" xfId="271" xr:uid="{AAEE3C91-07BB-41FE-B9B6-7E3D98313CDA}"/>
    <cellStyle name="modified border1 3" xfId="272" xr:uid="{C751C646-FF28-45F3-848B-894DABD44A2D}"/>
    <cellStyle name="modified border1 4" xfId="273" xr:uid="{77D08CC2-A9A1-44FF-8661-BB221960EA5B}"/>
    <cellStyle name="Neutral 2" xfId="274" xr:uid="{86A3DE6B-B6D1-4739-837B-FA157C70B6C5}"/>
    <cellStyle name="no dec" xfId="275" xr:uid="{5D2B8F78-5C92-4B5A-927D-BFB5D0C73E83}"/>
    <cellStyle name="Normal" xfId="0" builtinId="0"/>
    <cellStyle name="Normal - Style1" xfId="276" xr:uid="{E6362861-2DB9-46C1-B1CA-DCD426C8A1AD}"/>
    <cellStyle name="Normal - Style1 2" xfId="277" xr:uid="{929E2D23-0B36-4D59-98F8-EA818F30E65F}"/>
    <cellStyle name="Normal - Style1 3" xfId="278" xr:uid="{485006C2-E583-41DD-A8C5-C4307A5F38F1}"/>
    <cellStyle name="Normal - Style1 4" xfId="279" xr:uid="{D267D4E8-90B3-4DEE-A87F-779478272F51}"/>
    <cellStyle name="Normal - Style1_Depreciation Exp" xfId="280" xr:uid="{462A4A6E-3967-4CE7-9803-12F0C0B89EA4}"/>
    <cellStyle name="Normal 10" xfId="281" xr:uid="{BF4CB5B8-9286-4E11-AF52-C28469575CFC}"/>
    <cellStyle name="Normal 11" xfId="282" xr:uid="{AE95FCF3-847B-4E39-ABD9-A261819D6A02}"/>
    <cellStyle name="Normal 12" xfId="283" xr:uid="{44BCD9A7-5F04-4B71-AE26-F915CA9BDA5B}"/>
    <cellStyle name="Normal 13" xfId="284" xr:uid="{1EA44ED1-8025-4D5A-B9DC-5DD9FBBFCE0A}"/>
    <cellStyle name="Normal 14" xfId="285" xr:uid="{53E5505C-723D-4EBA-BB27-67F011CD94E0}"/>
    <cellStyle name="Normal 15" xfId="286" xr:uid="{68D11603-82DE-45C5-9DCA-F0E32683DDD8}"/>
    <cellStyle name="Normal 16" xfId="287" xr:uid="{64F17A5A-9338-43D4-A53B-0F6EE0E47D70}"/>
    <cellStyle name="Normal 17" xfId="288" xr:uid="{75C80697-C548-47BC-9D0E-074BA19CA249}"/>
    <cellStyle name="Normal 18" xfId="289" xr:uid="{85BCA61C-B076-4E02-B41D-D8EF73FDF300}"/>
    <cellStyle name="Normal 19" xfId="4" xr:uid="{2E4E5208-BF45-437C-9117-CEAA0F24A709}"/>
    <cellStyle name="Normal 2" xfId="290" xr:uid="{753C5801-07E1-492F-A79A-B02B93D360CD}"/>
    <cellStyle name="Normal 2 2" xfId="291" xr:uid="{0D2AC4EE-ADBE-4121-B77C-E5ACDAE5936D}"/>
    <cellStyle name="Normal 2 2 2" xfId="292" xr:uid="{51950638-DFDD-43E8-9382-504DC3EE49FB}"/>
    <cellStyle name="Normal 2 2 3" xfId="293" xr:uid="{4959747C-32C0-45DA-8BDC-98D02BD4FB24}"/>
    <cellStyle name="Normal 2 2_4.14E Miscellaneous Operating Expense working file" xfId="294" xr:uid="{A1877394-BCEF-4510-99FE-23FCD12B44BF}"/>
    <cellStyle name="Normal 2 3" xfId="295" xr:uid="{ABF1F144-BE05-41C8-8363-42A43FC7D781}"/>
    <cellStyle name="Normal 2 4" xfId="296" xr:uid="{F030F1EE-5938-414D-8174-F8D44C7AD308}"/>
    <cellStyle name="Normal 2 5" xfId="297" xr:uid="{D6632CD0-E5C7-488C-84F5-C55DAE1738D3}"/>
    <cellStyle name="Normal 2 6" xfId="298" xr:uid="{F6EBBFDD-870E-45CE-9E4F-67F62EDA5838}"/>
    <cellStyle name="Normal 2 7" xfId="299" xr:uid="{6F09004C-F7F2-4887-9728-6764C70EC32A}"/>
    <cellStyle name="Normal 2 8" xfId="300" xr:uid="{5F8757B1-3D08-4CAB-B758-3202092B9326}"/>
    <cellStyle name="Normal 2 9" xfId="301" xr:uid="{165391CD-C657-4119-9E63-89535EFA7AE0}"/>
    <cellStyle name="Normal 2_Allocation Method - Working File" xfId="302" xr:uid="{70999315-2B0A-45F0-A5B1-6B795E1D3DCB}"/>
    <cellStyle name="Normal 3" xfId="303" xr:uid="{ED42F5F6-E742-4147-91C5-60A5689A302F}"/>
    <cellStyle name="Normal 3 2" xfId="304" xr:uid="{6E7672E6-F75E-40D2-8544-245AB504711E}"/>
    <cellStyle name="Normal 3 3" xfId="305" xr:uid="{0626B8D0-10D1-42FA-AC72-E47C707ECE52}"/>
    <cellStyle name="Normal 3_4.14E Miscellaneous Operating Expense working file" xfId="306" xr:uid="{BC7305E7-5B3B-43FD-B912-9E1A105EDBEF}"/>
    <cellStyle name="Normal 4" xfId="307" xr:uid="{55959239-D191-4B91-AA55-3EA776F77175}"/>
    <cellStyle name="Normal 45" xfId="308" xr:uid="{70FE3804-4803-4FDB-A99B-312160AF7A14}"/>
    <cellStyle name="Normal 5" xfId="309" xr:uid="{27301058-E552-4563-8292-1A6F498FC778}"/>
    <cellStyle name="Normal 6" xfId="310" xr:uid="{4E1DB59C-4BC0-4BFB-B3E4-CDB347D47462}"/>
    <cellStyle name="Normal 7" xfId="311" xr:uid="{D8DC8547-7871-44B1-876F-4E1336600E9E}"/>
    <cellStyle name="Normal 8" xfId="312" xr:uid="{D30992BE-7349-4050-AF35-8CFB87DA8646}"/>
    <cellStyle name="Normal 9" xfId="313" xr:uid="{CD1C98D0-621C-47F3-93AF-F2B59EE2CB12}"/>
    <cellStyle name="Note 10" xfId="314" xr:uid="{8F5FF77F-86B1-4977-9231-EF9D0A30DC1C}"/>
    <cellStyle name="Note 11" xfId="315" xr:uid="{6C968DB3-6373-4904-85CF-14F6437BECA3}"/>
    <cellStyle name="Note 12" xfId="316" xr:uid="{C2CF79BB-2EDE-4F4D-8CEF-F42F3D99750C}"/>
    <cellStyle name="Note 2" xfId="317" xr:uid="{56D735ED-07E5-4DA4-8CCE-8E87E17BF143}"/>
    <cellStyle name="Note 3" xfId="318" xr:uid="{A8B96F00-3F92-46A7-B594-A840BD35FFB9}"/>
    <cellStyle name="Note 4" xfId="319" xr:uid="{5709AB24-FC7B-40AE-83A1-466A1D47675E}"/>
    <cellStyle name="Note 5" xfId="320" xr:uid="{7F2E6BAF-D2E9-4BD6-84BD-87583C99ECFB}"/>
    <cellStyle name="Note 6" xfId="321" xr:uid="{93B75304-2D21-4038-8990-DBA7BDDE9F76}"/>
    <cellStyle name="Note 7" xfId="322" xr:uid="{A5C2ABC9-9F4D-499E-BD86-4E932684E65A}"/>
    <cellStyle name="Note 8" xfId="323" xr:uid="{E66F8B4E-3C6D-4A14-997E-DDF751F9E06D}"/>
    <cellStyle name="Note 9" xfId="324" xr:uid="{C92840EE-CD17-4311-A70C-B4816D4AFEAA}"/>
    <cellStyle name="Output 2" xfId="325" xr:uid="{C5BA7AAD-448D-4FC2-96B8-1801EF457C51}"/>
    <cellStyle name="Percen - Style1" xfId="326" xr:uid="{4907F092-5BFA-430E-8062-1F80D98F7353}"/>
    <cellStyle name="Percen - Style2" xfId="327" xr:uid="{747E1BE3-32C5-4315-A397-9B2C24B5A4E7}"/>
    <cellStyle name="Percen - Style3" xfId="328" xr:uid="{A3C37C04-43E1-46BF-8F6B-C1B330A965FB}"/>
    <cellStyle name="Percent" xfId="3" builtinId="5"/>
    <cellStyle name="Percent [2]" xfId="329" xr:uid="{2CC7DF11-F97D-4E64-94D2-F1AB8142E0EA}"/>
    <cellStyle name="Percent 10" xfId="330" xr:uid="{33A7B60D-2B26-4EB3-AE31-C8A868EE926A}"/>
    <cellStyle name="Percent 11" xfId="331" xr:uid="{9A36F456-E6C7-4EAF-99C1-4427E2BF7A12}"/>
    <cellStyle name="Percent 12" xfId="332" xr:uid="{5BDB894E-7685-4E14-B6A1-22BAB44FE3D8}"/>
    <cellStyle name="Percent 2" xfId="333" xr:uid="{4ED28130-9D8C-493F-BF77-E68CD2B4C3D8}"/>
    <cellStyle name="Percent 3" xfId="334" xr:uid="{5F246C87-AA48-42E9-8613-0B0B2724FCE0}"/>
    <cellStyle name="Percent 4" xfId="335" xr:uid="{C7A24A0E-65F9-4922-B0F5-87ECCC91CE7C}"/>
    <cellStyle name="Percent 4 2" xfId="336" xr:uid="{E98D7EEF-AF00-4789-A9A4-C674820D4A00}"/>
    <cellStyle name="Percent 5" xfId="337" xr:uid="{03383B0C-832B-4587-A6E3-4041E70EDFA6}"/>
    <cellStyle name="Percent 6" xfId="338" xr:uid="{6E21B4D7-83C8-4C00-9F4B-9449BDD9A4A9}"/>
    <cellStyle name="Percent 7" xfId="339" xr:uid="{D1841E78-C024-46BA-BA62-E3F21B7EAFAE}"/>
    <cellStyle name="Percent 8" xfId="340" xr:uid="{483FA42B-C4CC-4BA4-94C2-2233420A8908}"/>
    <cellStyle name="Percent 9" xfId="341" xr:uid="{F20358ED-B4E1-4332-8E3D-8ECECFB2B963}"/>
    <cellStyle name="Processing" xfId="342" xr:uid="{8D8FC126-1D8A-4C4F-91BE-823C42932271}"/>
    <cellStyle name="PSChar" xfId="343" xr:uid="{AE977E68-5CCC-4A69-8A61-9CC3FC92F098}"/>
    <cellStyle name="PSDate" xfId="344" xr:uid="{EE9C8BB2-5388-4C39-BEB1-252D978CADE4}"/>
    <cellStyle name="PSDec" xfId="345" xr:uid="{47633A24-BBDD-4C7C-94DF-028DA4342111}"/>
    <cellStyle name="PSHeading" xfId="346" xr:uid="{26EA1B67-6CAE-4F3C-AA57-9EECE7EF821F}"/>
    <cellStyle name="PSInt" xfId="347" xr:uid="{65DB1D99-9873-4664-B504-9A966E822C05}"/>
    <cellStyle name="PSSpacer" xfId="348" xr:uid="{5118965A-B199-4D4F-87D7-DB1C16C021DD}"/>
    <cellStyle name="purple - Style8" xfId="349" xr:uid="{1E50104E-34A1-4AF4-B180-15B3F0D8939A}"/>
    <cellStyle name="RED" xfId="350" xr:uid="{22CB9AE0-7FD9-4110-97E0-D916F8B59C69}"/>
    <cellStyle name="Red - Style7" xfId="351" xr:uid="{0ABB1646-62C0-4E19-AC9D-AD3BEC51DFDA}"/>
    <cellStyle name="RED_04 07E Wild Horse Wind Expansion (C) (2)" xfId="352" xr:uid="{353E9890-FD2C-4AF1-B0FD-8BE4EADB41C4}"/>
    <cellStyle name="Report" xfId="353" xr:uid="{D2166D77-E744-4A76-A573-6C0D5104E9C5}"/>
    <cellStyle name="Report Bar" xfId="354" xr:uid="{BC5BDB81-9087-4F27-864F-45563BE96AEC}"/>
    <cellStyle name="Report Heading" xfId="355" xr:uid="{D29E8F91-F507-49E9-805C-1B6ED10D74EB}"/>
    <cellStyle name="Report Percent" xfId="356" xr:uid="{BFBA7DE4-AEB7-4AB8-9E6F-1C5808AD0980}"/>
    <cellStyle name="Report Unit Cost" xfId="357" xr:uid="{B1B9E8A7-5046-46D1-A015-3E922D0EF560}"/>
    <cellStyle name="Reports" xfId="358" xr:uid="{CEC70555-80F8-472A-BE1F-D431E9BA4078}"/>
    <cellStyle name="Reports Total" xfId="359" xr:uid="{FC180200-A273-4439-82F9-19D1C99B21D5}"/>
    <cellStyle name="Reports Unit Cost Total" xfId="360" xr:uid="{D295F6FD-A8F3-4D45-B412-C3F216557A76}"/>
    <cellStyle name="RevList" xfId="361" xr:uid="{CE01F867-48DA-4EC3-9FD1-19B10A424664}"/>
    <cellStyle name="round100" xfId="362" xr:uid="{67419642-8D3F-4706-8CC5-6430A5F5826A}"/>
    <cellStyle name="SAPBEXaggData" xfId="363" xr:uid="{9719425C-46BD-4E05-9820-5D0F8F81F58F}"/>
    <cellStyle name="SAPBEXaggDataEmph" xfId="364" xr:uid="{1EB9511E-F513-4140-BFB0-1DA7D72FB4CD}"/>
    <cellStyle name="SAPBEXaggItem" xfId="365" xr:uid="{8D7261C3-D4DB-4325-80EE-8EEAF2D44571}"/>
    <cellStyle name="SAPBEXaggItemX" xfId="366" xr:uid="{0EE1D73D-B140-47D6-8197-933E46B57004}"/>
    <cellStyle name="SAPBEXchaText" xfId="367" xr:uid="{363F09AC-ADE5-48F0-AB51-811ECE8A0685}"/>
    <cellStyle name="SAPBEXexcBad7" xfId="368" xr:uid="{893A1C08-9856-4655-84E6-F427B3E47E95}"/>
    <cellStyle name="SAPBEXexcBad8" xfId="369" xr:uid="{5D97133D-1D39-4FF1-910A-301BFE096A2B}"/>
    <cellStyle name="SAPBEXexcBad9" xfId="370" xr:uid="{0A411335-7768-4722-A0E0-E346ED7D5454}"/>
    <cellStyle name="SAPBEXexcCritical4" xfId="371" xr:uid="{74EE6E76-8109-4FAD-9B54-0C5C2CF8DF61}"/>
    <cellStyle name="SAPBEXexcCritical5" xfId="372" xr:uid="{E3B29D0F-CE7C-421B-BF09-392ACADC4810}"/>
    <cellStyle name="SAPBEXexcCritical6" xfId="373" xr:uid="{0B167A37-B04A-434C-8CC4-D86806344E82}"/>
    <cellStyle name="SAPBEXexcGood1" xfId="374" xr:uid="{07B5937F-3195-4F66-9207-CAD7B12FA4D5}"/>
    <cellStyle name="SAPBEXexcGood2" xfId="375" xr:uid="{3BB10196-D4F3-40B9-979A-E3EF1F56771F}"/>
    <cellStyle name="SAPBEXexcGood3" xfId="376" xr:uid="{CAD18152-CC97-4F09-AEAA-0AF0D02A146C}"/>
    <cellStyle name="SAPBEXfilterDrill" xfId="377" xr:uid="{08772267-347C-41EA-BCD8-523D4F8F0F9D}"/>
    <cellStyle name="SAPBEXfilterItem" xfId="378" xr:uid="{E83981F9-AE02-40CD-AF33-82044D8F11CE}"/>
    <cellStyle name="SAPBEXfilterText" xfId="379" xr:uid="{C45C951C-C3AF-4730-AE93-4BAF2190269B}"/>
    <cellStyle name="SAPBEXformats" xfId="380" xr:uid="{8479A24E-E62D-4392-9B4E-68051614D774}"/>
    <cellStyle name="SAPBEXheaderItem" xfId="381" xr:uid="{9E079F49-DF86-423A-8F82-43A53D6C72CD}"/>
    <cellStyle name="SAPBEXheaderText" xfId="382" xr:uid="{F065A490-61B5-4CEB-A5C0-497F91855DB4}"/>
    <cellStyle name="SAPBEXHLevel0" xfId="383" xr:uid="{47223D7C-906A-4C4C-9F3F-16B5A9633452}"/>
    <cellStyle name="SAPBEXHLevel0X" xfId="384" xr:uid="{A1E1674A-1F6B-454C-8A3A-1E7515A757DA}"/>
    <cellStyle name="SAPBEXHLevel1" xfId="385" xr:uid="{87087A24-16CD-4B4F-A336-B91F144344E8}"/>
    <cellStyle name="SAPBEXHLevel1X" xfId="386" xr:uid="{ACA32F50-F1F0-4D5D-9AB4-BC8F57B81C15}"/>
    <cellStyle name="SAPBEXHLevel2" xfId="387" xr:uid="{168DDEDD-E698-4102-B3E7-867622502CD9}"/>
    <cellStyle name="SAPBEXHLevel2X" xfId="388" xr:uid="{F7749165-2FB2-48C4-9B58-74A249DC6EB4}"/>
    <cellStyle name="SAPBEXHLevel3" xfId="389" xr:uid="{AF0252C2-9396-4E04-B517-2D705876B571}"/>
    <cellStyle name="SAPBEXHLevel3X" xfId="390" xr:uid="{334D5C11-6146-4751-8A94-1E4C24051FDF}"/>
    <cellStyle name="SAPBEXresData" xfId="391" xr:uid="{342FBCC6-3B40-4F3B-B524-E11DAACB3615}"/>
    <cellStyle name="SAPBEXresDataEmph" xfId="392" xr:uid="{6CB47A91-87B8-48D6-AD05-2C33E14723BF}"/>
    <cellStyle name="SAPBEXresItem" xfId="393" xr:uid="{CB0CECFE-E3D3-41BF-A9E4-FF97F7EB9404}"/>
    <cellStyle name="SAPBEXresItemX" xfId="394" xr:uid="{ABB37E8D-C58A-4265-A851-99FF1B41B697}"/>
    <cellStyle name="SAPBEXstdData" xfId="395" xr:uid="{49A886E6-944A-4BDA-A967-3BB8AC035F69}"/>
    <cellStyle name="SAPBEXstdDataEmph" xfId="396" xr:uid="{1EDE8AF0-C797-4B91-B579-58E1BB2C6321}"/>
    <cellStyle name="SAPBEXstdItem" xfId="397" xr:uid="{A5FB8477-7078-4300-85B9-E11043C70928}"/>
    <cellStyle name="SAPBEXstdItemX" xfId="398" xr:uid="{9B79E068-544D-43EC-BD30-5862800E3D8B}"/>
    <cellStyle name="SAPBEXtitle" xfId="399" xr:uid="{9D5BBC9B-478C-485D-9B12-C3DBFA37B66E}"/>
    <cellStyle name="SAPBEXundefined" xfId="400" xr:uid="{4815F46C-DFAB-4754-9B36-6EFF3334C04D}"/>
    <cellStyle name="shade" xfId="401" xr:uid="{C2F935E8-C83D-46F4-B506-EB9142CAFF2E}"/>
    <cellStyle name="StmtTtl1" xfId="402" xr:uid="{E6CB2A39-D905-41D1-817D-B0D3C75F4662}"/>
    <cellStyle name="StmtTtl1 2" xfId="403" xr:uid="{3D8DDF9C-3436-4BD8-940D-41DE1453881C}"/>
    <cellStyle name="StmtTtl1 3" xfId="404" xr:uid="{3EF1D14E-3BAF-4D55-AD62-CA64AC90AEE7}"/>
    <cellStyle name="StmtTtl1 4" xfId="405" xr:uid="{CC3DF31A-F2DE-43EB-9898-0CA6E87FDE19}"/>
    <cellStyle name="StmtTtl1_ERB" xfId="406" xr:uid="{6D888185-0277-46BC-8BE6-CEBAFFEA9020}"/>
    <cellStyle name="StmtTtl2" xfId="407" xr:uid="{92179145-BE39-4659-A165-860EEA771D62}"/>
    <cellStyle name="STYL1 - Style1" xfId="408" xr:uid="{D86D2324-2EA5-4491-A3C3-7A9288CCD87F}"/>
    <cellStyle name="Style 1" xfId="409" xr:uid="{3BAFC00A-08CE-4C48-86C0-49204EF3B992}"/>
    <cellStyle name="Style 1 2" xfId="410" xr:uid="{3B5C397E-A749-4139-AC9D-3198AC2C7E58}"/>
    <cellStyle name="Style 1 3" xfId="411" xr:uid="{C195E78D-82FA-466A-8381-2E02C5A37A20}"/>
    <cellStyle name="Style 1 4" xfId="412" xr:uid="{923F7042-AC9D-4EA6-8F13-F7634F489AE4}"/>
    <cellStyle name="Style 1_4.14E Miscellaneous Operating Expense working file" xfId="413" xr:uid="{13558CB3-6B0A-4BDD-86B1-495A40FE00CB}"/>
    <cellStyle name="Subtotal" xfId="414" xr:uid="{E073B4F5-B2C4-4229-AD01-ABEA501303A4}"/>
    <cellStyle name="Sub-total" xfId="415" xr:uid="{D37E3596-EDB9-4785-8D19-D32EFC8C52A9}"/>
    <cellStyle name="Title: Major" xfId="416" xr:uid="{83DB393F-9BE4-47BE-A620-BC4A0FCF32E0}"/>
    <cellStyle name="Title: Minor" xfId="417" xr:uid="{7BD23FB7-A97F-4729-AE2F-9252A553E76D}"/>
    <cellStyle name="Title: Worksheet" xfId="418" xr:uid="{9181B8A5-E550-4AE7-8765-F7C3D119D584}"/>
    <cellStyle name="Total 2" xfId="420" xr:uid="{2CBDEC1C-3F25-450D-8D4F-D280A806AD8A}"/>
    <cellStyle name="Total 3" xfId="419" xr:uid="{604EA8B8-837B-4026-8887-2C42076A9066}"/>
    <cellStyle name="Total4 - Style4" xfId="421" xr:uid="{9B48C2FA-CA5C-4BBC-B2A9-7C574287FD59}"/>
    <cellStyle name="Warning Text 2" xfId="422" xr:uid="{0978673D-F552-41E5-8118-4B51AD95E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7A6F-C4DA-4658-A1B2-8D32999226D9}">
  <dimension ref="C4:H9"/>
  <sheetViews>
    <sheetView workbookViewId="0">
      <selection activeCell="C22" sqref="C22"/>
    </sheetView>
  </sheetViews>
  <sheetFormatPr defaultRowHeight="15" x14ac:dyDescent="0.25"/>
  <cols>
    <col min="3" max="3" width="19" bestFit="1" customWidth="1"/>
    <col min="4" max="6" width="11" bestFit="1" customWidth="1"/>
    <col min="7" max="7" width="10" bestFit="1" customWidth="1"/>
  </cols>
  <sheetData>
    <row r="4" spans="3:8" ht="15.75" x14ac:dyDescent="0.25">
      <c r="C4" s="48" t="s">
        <v>33</v>
      </c>
      <c r="D4" s="49"/>
      <c r="E4" s="49"/>
      <c r="F4" s="49"/>
      <c r="G4" s="50"/>
      <c r="H4" s="42"/>
    </row>
    <row r="5" spans="3:8" ht="15.75" x14ac:dyDescent="0.25">
      <c r="C5" s="43" t="s">
        <v>28</v>
      </c>
      <c r="D5" s="44" t="s">
        <v>29</v>
      </c>
      <c r="E5" s="44" t="s">
        <v>30</v>
      </c>
      <c r="F5" s="44" t="s">
        <v>31</v>
      </c>
      <c r="G5" s="44" t="s">
        <v>32</v>
      </c>
      <c r="H5" s="42"/>
    </row>
    <row r="6" spans="3:8" ht="15.75" x14ac:dyDescent="0.25">
      <c r="C6" s="43" t="s">
        <v>60</v>
      </c>
      <c r="D6" s="45">
        <v>4840</v>
      </c>
      <c r="E6" s="45">
        <f>'2024 GRC'!D26</f>
        <v>7210</v>
      </c>
      <c r="F6" s="45">
        <f>E6-D6</f>
        <v>2370</v>
      </c>
      <c r="G6" s="46">
        <f>F6/D6</f>
        <v>0.48966942148760328</v>
      </c>
      <c r="H6" s="42"/>
    </row>
    <row r="7" spans="3:8" ht="15.75" x14ac:dyDescent="0.25">
      <c r="C7" s="43" t="s">
        <v>61</v>
      </c>
      <c r="D7" s="47">
        <v>0.61037277285841629</v>
      </c>
      <c r="E7" s="47">
        <f>'2024 GRC'!E22</f>
        <v>0.77176165378675143</v>
      </c>
      <c r="F7" s="47">
        <f>E7-D7</f>
        <v>0.16138888092833514</v>
      </c>
      <c r="G7" s="46">
        <f>F7/D7</f>
        <v>0.26441035397522777</v>
      </c>
      <c r="H7" s="42"/>
    </row>
    <row r="8" spans="3:8" ht="15.75" x14ac:dyDescent="0.25">
      <c r="C8" s="43" t="s">
        <v>62</v>
      </c>
      <c r="D8" s="47">
        <v>0.32515643498067726</v>
      </c>
      <c r="E8" s="47">
        <f>'2024 GRC'!F22</f>
        <v>0.47353251871306073</v>
      </c>
      <c r="F8" s="47">
        <f>E8-D8</f>
        <v>0.14837608373238348</v>
      </c>
      <c r="G8" s="46">
        <f>F8/D8</f>
        <v>0.45632215072477617</v>
      </c>
      <c r="H8" s="42"/>
    </row>
    <row r="9" spans="3:8" ht="15.75" x14ac:dyDescent="0.25">
      <c r="C9" s="43" t="s">
        <v>63</v>
      </c>
      <c r="D9" s="47">
        <v>0.38952219783064895</v>
      </c>
      <c r="E9" s="47">
        <f>'2024 GRC'!H22</f>
        <v>0.53406793055070401</v>
      </c>
      <c r="F9" s="47">
        <f>E9-D9</f>
        <v>0.14454573272005505</v>
      </c>
      <c r="G9" s="46">
        <f>F9/D9</f>
        <v>0.37108471230925494</v>
      </c>
      <c r="H9" s="42"/>
    </row>
  </sheetData>
  <mergeCells count="1">
    <mergeCell ref="C4:G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0D55-A55C-464B-B7D8-B98E203552DD}">
  <sheetPr>
    <pageSetUpPr fitToPage="1"/>
  </sheetPr>
  <dimension ref="A1:J50"/>
  <sheetViews>
    <sheetView tabSelected="1" workbookViewId="0">
      <selection activeCell="C12" sqref="C12"/>
    </sheetView>
  </sheetViews>
  <sheetFormatPr defaultRowHeight="15" x14ac:dyDescent="0.25"/>
  <cols>
    <col min="2" max="2" width="43.140625" bestFit="1" customWidth="1"/>
    <col min="3" max="3" width="29.28515625" bestFit="1" customWidth="1"/>
    <col min="4" max="4" width="16.85546875" bestFit="1" customWidth="1"/>
    <col min="5" max="5" width="19.140625" bestFit="1" customWidth="1"/>
    <col min="6" max="6" width="14.140625" customWidth="1"/>
    <col min="7" max="7" width="15.28515625" customWidth="1"/>
    <col min="8" max="8" width="12.5703125" customWidth="1"/>
    <col min="9" max="9" width="11.42578125" customWidth="1"/>
    <col min="10" max="10" width="10.5703125" bestFit="1" customWidth="1"/>
    <col min="11" max="11" width="22.140625" bestFit="1" customWidth="1"/>
    <col min="12" max="12" width="11" bestFit="1" customWidth="1"/>
    <col min="13" max="13" width="22.85546875" bestFit="1" customWidth="1"/>
  </cols>
  <sheetData>
    <row r="1" spans="2:9" x14ac:dyDescent="0.25">
      <c r="B1" t="s">
        <v>50</v>
      </c>
    </row>
    <row r="2" spans="2:9" x14ac:dyDescent="0.25">
      <c r="B2" t="s">
        <v>51</v>
      </c>
    </row>
    <row r="4" spans="2:9" x14ac:dyDescent="0.25">
      <c r="B4" s="1" t="s">
        <v>0</v>
      </c>
    </row>
    <row r="6" spans="2:9" x14ac:dyDescent="0.25">
      <c r="C6" s="3" t="s">
        <v>1</v>
      </c>
      <c r="D6" s="3" t="s">
        <v>52</v>
      </c>
      <c r="E6" s="3" t="s">
        <v>53</v>
      </c>
      <c r="F6" s="3" t="s">
        <v>54</v>
      </c>
      <c r="G6" s="3" t="s">
        <v>2</v>
      </c>
      <c r="H6" s="3" t="s">
        <v>3</v>
      </c>
      <c r="I6" s="3" t="s">
        <v>4</v>
      </c>
    </row>
    <row r="7" spans="2:9" x14ac:dyDescent="0.25">
      <c r="B7" s="1" t="s">
        <v>5</v>
      </c>
    </row>
    <row r="8" spans="2:9" x14ac:dyDescent="0.25">
      <c r="B8" s="4" t="s">
        <v>6</v>
      </c>
      <c r="C8" s="5">
        <f>SUM(D8:I8)</f>
        <v>219596458.17242151</v>
      </c>
      <c r="D8" s="5">
        <f t="shared" ref="D8:I8" si="0">D46+(D49*(D46/SUM(D46:D48)))</f>
        <v>103011607.30142337</v>
      </c>
      <c r="E8" s="5">
        <f t="shared" si="0"/>
        <v>30218397.697543368</v>
      </c>
      <c r="F8" s="5">
        <f t="shared" si="0"/>
        <v>55073674.126439765</v>
      </c>
      <c r="G8" s="5">
        <f t="shared" si="0"/>
        <v>25677406.994266652</v>
      </c>
      <c r="H8" s="5">
        <f t="shared" si="0"/>
        <v>5180778.3238149006</v>
      </c>
      <c r="I8" s="5">
        <f t="shared" si="0"/>
        <v>434593.72893344035</v>
      </c>
    </row>
    <row r="9" spans="2:9" x14ac:dyDescent="0.25">
      <c r="B9" s="4" t="s">
        <v>7</v>
      </c>
      <c r="C9" s="5">
        <f t="shared" ref="C9:C10" si="1">SUM(D9:I9)</f>
        <v>87125715.486920282</v>
      </c>
      <c r="D9" s="5">
        <f t="shared" ref="D9:I9" si="2">D47+(D49*(D47/SUM(D46:D48)))</f>
        <v>34367874.772261187</v>
      </c>
      <c r="E9" s="5">
        <f t="shared" si="2"/>
        <v>14145412.476844825</v>
      </c>
      <c r="F9" s="5">
        <f t="shared" si="2"/>
        <v>25300843.148877315</v>
      </c>
      <c r="G9" s="5">
        <f t="shared" si="2"/>
        <v>11317961.061785493</v>
      </c>
      <c r="H9" s="5">
        <f t="shared" si="2"/>
        <v>1899874.7797770053</v>
      </c>
      <c r="I9" s="5">
        <f t="shared" si="2"/>
        <v>93749.247374461862</v>
      </c>
    </row>
    <row r="10" spans="2:9" x14ac:dyDescent="0.25">
      <c r="B10" s="4" t="s">
        <v>8</v>
      </c>
      <c r="C10" s="5">
        <f t="shared" si="1"/>
        <v>274197102.3373273</v>
      </c>
      <c r="D10" s="5">
        <f>D48+(D49*(D48/SUM(D46:D48)))</f>
        <v>148207062.98475254</v>
      </c>
      <c r="E10" s="5">
        <f t="shared" ref="E10:I10" si="3">E48+(E49*(E48/SUM(E46:E48)))</f>
        <v>47153267.033292502</v>
      </c>
      <c r="F10" s="5">
        <f t="shared" si="3"/>
        <v>54801976.421456829</v>
      </c>
      <c r="G10" s="5">
        <f t="shared" si="3"/>
        <v>10234799.416524667</v>
      </c>
      <c r="H10" s="5">
        <f t="shared" si="3"/>
        <v>6772380.0665147286</v>
      </c>
      <c r="I10" s="5">
        <f t="shared" si="3"/>
        <v>7027616.414786011</v>
      </c>
    </row>
    <row r="11" spans="2:9" x14ac:dyDescent="0.25">
      <c r="B11" s="6" t="s">
        <v>10</v>
      </c>
      <c r="C11" s="7">
        <f>SUM(C8:C10)</f>
        <v>580919275.99666905</v>
      </c>
      <c r="D11" s="7">
        <f t="shared" ref="D11:I11" si="4">SUM(D8:D10)</f>
        <v>285586545.05843711</v>
      </c>
      <c r="E11" s="7">
        <f t="shared" si="4"/>
        <v>91517077.207680702</v>
      </c>
      <c r="F11" s="7">
        <f t="shared" si="4"/>
        <v>135176493.69677389</v>
      </c>
      <c r="G11" s="7">
        <f t="shared" si="4"/>
        <v>47230167.472576812</v>
      </c>
      <c r="H11" s="7">
        <f t="shared" si="4"/>
        <v>13853033.170106634</v>
      </c>
      <c r="I11" s="7">
        <f t="shared" si="4"/>
        <v>7555959.3910939135</v>
      </c>
    </row>
    <row r="16" spans="2:9" x14ac:dyDescent="0.25">
      <c r="B16" t="s">
        <v>27</v>
      </c>
      <c r="D16" s="5">
        <f>D10</f>
        <v>148207062.98475254</v>
      </c>
      <c r="E16" s="5">
        <f>E10</f>
        <v>47153267.033292502</v>
      </c>
      <c r="F16" s="5">
        <f>F10</f>
        <v>54801976.421456829</v>
      </c>
      <c r="G16" s="5"/>
      <c r="H16" s="5">
        <f>H10</f>
        <v>6772380.0665147286</v>
      </c>
    </row>
    <row r="17" spans="1:10" x14ac:dyDescent="0.25">
      <c r="B17" t="s">
        <v>23</v>
      </c>
      <c r="D17" s="21">
        <f>'Grossed Up ROR'!D14</f>
        <v>9.0106049330214752E-2</v>
      </c>
      <c r="E17" s="21">
        <f>D17</f>
        <v>9.0106049330214752E-2</v>
      </c>
      <c r="F17" s="21">
        <f>D17</f>
        <v>9.0106049330214752E-2</v>
      </c>
      <c r="H17" s="21">
        <f>D17</f>
        <v>9.0106049330214752E-2</v>
      </c>
    </row>
    <row r="18" spans="1:10" x14ac:dyDescent="0.25">
      <c r="B18" t="s">
        <v>24</v>
      </c>
      <c r="D18" s="22">
        <f>D16/D17</f>
        <v>1644807025.5706472</v>
      </c>
      <c r="E18" s="22">
        <f t="shared" ref="E18:H18" si="5">E16/E17</f>
        <v>523308561.23198009</v>
      </c>
      <c r="F18" s="22">
        <f t="shared" si="5"/>
        <v>608194198.15668678</v>
      </c>
      <c r="H18" s="22">
        <f t="shared" si="5"/>
        <v>75160104.308821186</v>
      </c>
    </row>
    <row r="19" spans="1:10" x14ac:dyDescent="0.25">
      <c r="B19" t="s">
        <v>34</v>
      </c>
      <c r="C19" s="5">
        <f>SUM(D19:I19)</f>
        <v>5334011271.4001799</v>
      </c>
      <c r="D19" s="23">
        <v>2586958495.49228</v>
      </c>
      <c r="E19" s="23">
        <f>677699559.69088+370617.37</f>
        <v>678070177.06087995</v>
      </c>
      <c r="F19" s="23">
        <f>1283925192.63102+451643.43</f>
        <v>1284376836.0610201</v>
      </c>
      <c r="G19" s="23">
        <v>627844986.16700006</v>
      </c>
      <c r="H19" s="23">
        <v>140731356.46118999</v>
      </c>
      <c r="I19" s="23">
        <v>16029420.157810001</v>
      </c>
    </row>
    <row r="20" spans="1:10" x14ac:dyDescent="0.25">
      <c r="A20" s="4"/>
      <c r="B20" s="4" t="s">
        <v>25</v>
      </c>
      <c r="C20" s="5">
        <f>SUM(D20:J20)</f>
        <v>267698</v>
      </c>
      <c r="D20" s="23">
        <v>228181</v>
      </c>
      <c r="E20" s="23">
        <f>34728+13</f>
        <v>34741</v>
      </c>
      <c r="F20" s="23">
        <f>1701+3</f>
        <v>1704</v>
      </c>
      <c r="G20" s="23">
        <v>21</v>
      </c>
      <c r="H20" s="23">
        <v>2552</v>
      </c>
      <c r="I20" s="23">
        <v>499</v>
      </c>
    </row>
    <row r="21" spans="1:10" ht="15.75" thickBot="1" x14ac:dyDescent="0.3"/>
    <row r="22" spans="1:10" ht="15.75" thickBot="1" x14ac:dyDescent="0.3">
      <c r="B22" s="25" t="s">
        <v>26</v>
      </c>
      <c r="C22" s="26"/>
      <c r="D22" s="27">
        <f>D18/D20</f>
        <v>7208.3434885930346</v>
      </c>
      <c r="E22" s="28">
        <f>E18/E19</f>
        <v>0.77176165378675143</v>
      </c>
      <c r="F22" s="28">
        <f>F18/F19</f>
        <v>0.47353251871306073</v>
      </c>
      <c r="G22" s="29"/>
      <c r="H22" s="28">
        <f>H18/H19</f>
        <v>0.53406793055070401</v>
      </c>
      <c r="I22" s="30"/>
      <c r="J22" s="34"/>
    </row>
    <row r="23" spans="1:10" x14ac:dyDescent="0.25">
      <c r="D23" s="31"/>
      <c r="E23" s="32"/>
      <c r="F23" s="32"/>
      <c r="G23" s="33"/>
      <c r="H23" s="32"/>
      <c r="J23" s="34"/>
    </row>
    <row r="24" spans="1:10" x14ac:dyDescent="0.25">
      <c r="C24" s="41" t="s">
        <v>49</v>
      </c>
      <c r="D24" s="40">
        <f>D26-D22</f>
        <v>1.6565114069653646</v>
      </c>
      <c r="E24" s="32"/>
      <c r="F24" s="32"/>
      <c r="G24" s="33"/>
      <c r="H24" s="32"/>
      <c r="J24" s="34"/>
    </row>
    <row r="25" spans="1:10" x14ac:dyDescent="0.25">
      <c r="C25" s="41"/>
      <c r="D25" s="40"/>
      <c r="E25" s="32"/>
      <c r="F25" s="32"/>
      <c r="G25" s="33"/>
      <c r="H25" s="32"/>
      <c r="J25" s="34"/>
    </row>
    <row r="26" spans="1:10" ht="15.75" thickBot="1" x14ac:dyDescent="0.3">
      <c r="C26" t="s">
        <v>26</v>
      </c>
      <c r="D26" s="39">
        <f>MROUND(D22,5)</f>
        <v>7210</v>
      </c>
      <c r="E26" s="32"/>
      <c r="F26" s="32"/>
      <c r="G26" s="33"/>
      <c r="H26" s="32"/>
      <c r="J26" s="34"/>
    </row>
    <row r="27" spans="1:10" ht="15.75" thickTop="1" x14ac:dyDescent="0.25">
      <c r="D27" s="40"/>
      <c r="E27" s="32"/>
      <c r="F27" s="32"/>
      <c r="G27" s="33"/>
      <c r="H27" s="32"/>
      <c r="J27" s="34"/>
    </row>
    <row r="28" spans="1:10" x14ac:dyDescent="0.25">
      <c r="C28" s="35" t="s">
        <v>36</v>
      </c>
      <c r="F28" s="32"/>
      <c r="G28" s="33"/>
      <c r="H28" s="32"/>
      <c r="J28" s="34"/>
    </row>
    <row r="29" spans="1:10" x14ac:dyDescent="0.25">
      <c r="C29" t="s">
        <v>37</v>
      </c>
      <c r="D29" s="36">
        <v>4840</v>
      </c>
      <c r="E29" t="s">
        <v>38</v>
      </c>
      <c r="F29" s="32"/>
      <c r="G29" s="33"/>
      <c r="H29" s="32"/>
      <c r="J29" s="34"/>
    </row>
    <row r="30" spans="1:10" x14ac:dyDescent="0.25">
      <c r="C30" t="s">
        <v>39</v>
      </c>
      <c r="D30" s="36">
        <v>3865</v>
      </c>
      <c r="E30" t="s">
        <v>38</v>
      </c>
      <c r="F30" s="32"/>
      <c r="G30" s="33"/>
      <c r="H30" s="32"/>
      <c r="J30" s="34"/>
    </row>
    <row r="31" spans="1:10" x14ac:dyDescent="0.25">
      <c r="C31" t="s">
        <v>40</v>
      </c>
      <c r="D31" s="36">
        <v>2900</v>
      </c>
      <c r="E31" t="s">
        <v>38</v>
      </c>
      <c r="F31" s="32"/>
      <c r="G31" s="33"/>
      <c r="H31" s="32"/>
      <c r="J31" s="34"/>
    </row>
    <row r="32" spans="1:10" x14ac:dyDescent="0.25">
      <c r="C32" t="s">
        <v>41</v>
      </c>
      <c r="D32" s="37">
        <f>D30/D29</f>
        <v>0.79855371900826444</v>
      </c>
      <c r="E32" t="s">
        <v>45</v>
      </c>
      <c r="F32" s="32"/>
      <c r="G32" s="33"/>
      <c r="H32" s="32"/>
      <c r="J32" s="34"/>
    </row>
    <row r="33" spans="2:10" x14ac:dyDescent="0.25">
      <c r="C33" s="33" t="s">
        <v>42</v>
      </c>
      <c r="D33" s="38">
        <f>MROUND(D32*D22,5)</f>
        <v>5755</v>
      </c>
      <c r="E33" t="s">
        <v>46</v>
      </c>
      <c r="F33" s="32"/>
      <c r="G33" s="33"/>
      <c r="H33" s="32"/>
      <c r="J33" s="34"/>
    </row>
    <row r="34" spans="2:10" x14ac:dyDescent="0.25">
      <c r="C34" t="s">
        <v>43</v>
      </c>
      <c r="D34" s="37">
        <f>D31/D29</f>
        <v>0.59917355371900827</v>
      </c>
      <c r="E34" t="s">
        <v>47</v>
      </c>
      <c r="F34" s="32"/>
      <c r="G34" s="33"/>
      <c r="H34" s="32"/>
    </row>
    <row r="35" spans="2:10" x14ac:dyDescent="0.25">
      <c r="C35" s="33" t="s">
        <v>44</v>
      </c>
      <c r="D35" s="38">
        <f>MROUND(D34*D22,5)</f>
        <v>4320</v>
      </c>
      <c r="E35" t="s">
        <v>48</v>
      </c>
    </row>
    <row r="36" spans="2:10" x14ac:dyDescent="0.25">
      <c r="C36" s="33"/>
      <c r="D36" s="38"/>
    </row>
    <row r="37" spans="2:10" x14ac:dyDescent="0.25">
      <c r="C37" s="33"/>
      <c r="D37" s="38"/>
    </row>
    <row r="38" spans="2:10" x14ac:dyDescent="0.25">
      <c r="B38" t="s">
        <v>35</v>
      </c>
      <c r="D38" s="24">
        <f>D16/D20</f>
        <v>649.51535397229623</v>
      </c>
    </row>
    <row r="42" spans="2:10" x14ac:dyDescent="0.25">
      <c r="B42" s="1" t="s">
        <v>0</v>
      </c>
      <c r="C42" t="s">
        <v>58</v>
      </c>
      <c r="J42" s="2"/>
    </row>
    <row r="43" spans="2:10" x14ac:dyDescent="0.25">
      <c r="J43" s="2"/>
    </row>
    <row r="44" spans="2:10" x14ac:dyDescent="0.25">
      <c r="C44" s="3" t="s">
        <v>1</v>
      </c>
      <c r="D44" s="3" t="s">
        <v>55</v>
      </c>
      <c r="E44" s="3" t="s">
        <v>56</v>
      </c>
      <c r="F44" s="3" t="s">
        <v>57</v>
      </c>
      <c r="G44" s="3" t="s">
        <v>2</v>
      </c>
      <c r="H44" s="3" t="s">
        <v>3</v>
      </c>
      <c r="I44" s="3" t="s">
        <v>4</v>
      </c>
      <c r="J44" s="2"/>
    </row>
    <row r="45" spans="2:10" x14ac:dyDescent="0.25">
      <c r="B45" s="1" t="s">
        <v>5</v>
      </c>
      <c r="J45" s="2"/>
    </row>
    <row r="46" spans="2:10" x14ac:dyDescent="0.25">
      <c r="B46" s="4" t="s">
        <v>6</v>
      </c>
      <c r="C46" s="5">
        <f>SUM(D46:I46)</f>
        <v>167245917.74374744</v>
      </c>
      <c r="D46" s="5">
        <v>74288930.345264331</v>
      </c>
      <c r="E46" s="5">
        <f>23406570.9710716+6169</f>
        <v>23412739.971071601</v>
      </c>
      <c r="F46" s="5">
        <f>44372556.0853985+4777</f>
        <v>44377333.085398503</v>
      </c>
      <c r="G46" s="5">
        <v>20782082.900744561</v>
      </c>
      <c r="H46" s="5">
        <v>4047518.1264520572</v>
      </c>
      <c r="I46" s="5">
        <v>337313.31481637259</v>
      </c>
      <c r="J46" s="2">
        <v>927</v>
      </c>
    </row>
    <row r="47" spans="2:10" x14ac:dyDescent="0.25">
      <c r="B47" s="4" t="s">
        <v>7</v>
      </c>
      <c r="C47" s="5">
        <f t="shared" ref="C47:C49" si="6">SUM(D47:I47)</f>
        <v>66848963.258431733</v>
      </c>
      <c r="D47" s="5">
        <v>24785096.766818434</v>
      </c>
      <c r="E47" s="5">
        <f>10960308.440355-665</f>
        <v>10959643.440354999</v>
      </c>
      <c r="F47" s="5">
        <f>20389904.6077164-2960</f>
        <v>20386944.6077164</v>
      </c>
      <c r="G47" s="5">
        <v>9160224.2043343317</v>
      </c>
      <c r="H47" s="5">
        <v>1484290.0291232921</v>
      </c>
      <c r="I47" s="5">
        <v>72764.210084271617</v>
      </c>
      <c r="J47" s="2">
        <v>928</v>
      </c>
    </row>
    <row r="48" spans="2:10" x14ac:dyDescent="0.25">
      <c r="B48" s="4" t="s">
        <v>8</v>
      </c>
      <c r="C48" s="5">
        <f t="shared" si="6"/>
        <v>206603645.10939905</v>
      </c>
      <c r="D48" s="5">
        <v>106882558.8414865</v>
      </c>
      <c r="E48" s="5">
        <f>36514901.7786658+18709</f>
        <v>36533610.778665803</v>
      </c>
      <c r="F48" s="5">
        <f>44151293.1734671+7111</f>
        <v>44158404.1734671</v>
      </c>
      <c r="G48" s="5">
        <v>8283564.2241523936</v>
      </c>
      <c r="H48" s="5">
        <v>5290967.7591177914</v>
      </c>
      <c r="I48" s="5">
        <v>5454539.3325094981</v>
      </c>
      <c r="J48" s="2">
        <v>929</v>
      </c>
    </row>
    <row r="49" spans="2:10" x14ac:dyDescent="0.25">
      <c r="B49" s="4" t="s">
        <v>9</v>
      </c>
      <c r="C49" s="5">
        <f t="shared" si="6"/>
        <v>140220749.88509083</v>
      </c>
      <c r="D49" s="5">
        <v>79629959.104867816</v>
      </c>
      <c r="E49" s="5">
        <f>20587481.0175883+23602</f>
        <v>20611083.017588299</v>
      </c>
      <c r="F49" s="5">
        <f>26201619.8301919+52192</f>
        <v>26253811.830191899</v>
      </c>
      <c r="G49" s="5">
        <v>9004296.1433455274</v>
      </c>
      <c r="H49" s="5">
        <v>3030257.2554134941</v>
      </c>
      <c r="I49" s="5">
        <v>1691342.533683771</v>
      </c>
      <c r="J49" s="2">
        <v>930</v>
      </c>
    </row>
    <row r="50" spans="2:10" x14ac:dyDescent="0.25">
      <c r="B50" s="6" t="s">
        <v>10</v>
      </c>
      <c r="C50" s="7">
        <f>SUM(C46:C49)</f>
        <v>580919275.99666905</v>
      </c>
      <c r="D50" s="7">
        <f t="shared" ref="D50:I50" si="7">SUM(D46:D49)</f>
        <v>285586545.05843711</v>
      </c>
      <c r="E50" s="7">
        <f t="shared" si="7"/>
        <v>91517077.207680717</v>
      </c>
      <c r="F50" s="7">
        <f t="shared" si="7"/>
        <v>135176493.69677392</v>
      </c>
      <c r="G50" s="7">
        <f t="shared" si="7"/>
        <v>47230167.472576812</v>
      </c>
      <c r="H50" s="7">
        <f t="shared" si="7"/>
        <v>13853033.170106634</v>
      </c>
      <c r="I50" s="7">
        <f t="shared" si="7"/>
        <v>7555959.3910939135</v>
      </c>
      <c r="J50" s="2">
        <v>931</v>
      </c>
    </row>
  </sheetData>
  <phoneticPr fontId="53" type="noConversion"/>
  <pageMargins left="0.7" right="0.7" top="0.75" bottom="0.75" header="0.3" footer="0.3"/>
  <pageSetup scale="79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58D8-A87B-4126-97ED-B7DBA2B72D56}">
  <sheetPr>
    <pageSetUpPr fitToPage="1"/>
  </sheetPr>
  <dimension ref="A3:D14"/>
  <sheetViews>
    <sheetView workbookViewId="0">
      <selection activeCell="M7" sqref="M7"/>
    </sheetView>
  </sheetViews>
  <sheetFormatPr defaultRowHeight="15" x14ac:dyDescent="0.25"/>
  <cols>
    <col min="1" max="1" width="37.140625" bestFit="1" customWidth="1"/>
  </cols>
  <sheetData>
    <row r="3" spans="1:4" x14ac:dyDescent="0.25">
      <c r="A3" t="s">
        <v>59</v>
      </c>
    </row>
    <row r="4" spans="1:4" x14ac:dyDescent="0.25">
      <c r="A4" t="s">
        <v>11</v>
      </c>
    </row>
    <row r="5" spans="1:4" ht="15.75" thickBot="1" x14ac:dyDescent="0.3"/>
    <row r="6" spans="1:4" ht="30" x14ac:dyDescent="0.25">
      <c r="A6" s="8" t="s">
        <v>12</v>
      </c>
      <c r="B6" s="9" t="s">
        <v>13</v>
      </c>
      <c r="C6" s="9" t="s">
        <v>14</v>
      </c>
      <c r="D6" s="10" t="s">
        <v>15</v>
      </c>
    </row>
    <row r="7" spans="1:4" x14ac:dyDescent="0.25">
      <c r="A7" s="11" t="s">
        <v>16</v>
      </c>
      <c r="B7" s="12">
        <f>1-B8</f>
        <v>0.51500000000000001</v>
      </c>
      <c r="C7" s="13">
        <v>4.99E-2</v>
      </c>
      <c r="D7" s="14">
        <f>ROUND(B7*C7,4)</f>
        <v>2.5700000000000001E-2</v>
      </c>
    </row>
    <row r="8" spans="1:4" x14ac:dyDescent="0.25">
      <c r="A8" s="11" t="s">
        <v>17</v>
      </c>
      <c r="B8" s="15">
        <v>0.48499999999999999</v>
      </c>
      <c r="C8" s="13">
        <v>9.8000000000000004E-2</v>
      </c>
      <c r="D8" s="14">
        <f>ROUND(B8*C8,4)</f>
        <v>4.7500000000000001E-2</v>
      </c>
    </row>
    <row r="9" spans="1:4" ht="15.75" thickBot="1" x14ac:dyDescent="0.3">
      <c r="A9" s="16" t="s">
        <v>18</v>
      </c>
      <c r="B9" s="17">
        <f>B7+B8</f>
        <v>1</v>
      </c>
      <c r="C9" s="18"/>
      <c r="D9" s="19">
        <f>D7+D8</f>
        <v>7.3200000000000001E-2</v>
      </c>
    </row>
    <row r="11" spans="1:4" x14ac:dyDescent="0.25">
      <c r="A11" t="s">
        <v>19</v>
      </c>
      <c r="C11" s="20">
        <v>-0.21</v>
      </c>
      <c r="D11" s="21">
        <f>D7*C11</f>
        <v>-5.3969999999999999E-3</v>
      </c>
    </row>
    <row r="12" spans="1:4" x14ac:dyDescent="0.25">
      <c r="A12" t="s">
        <v>20</v>
      </c>
      <c r="D12" s="21">
        <f>D9+D11</f>
        <v>6.7803000000000002E-2</v>
      </c>
    </row>
    <row r="13" spans="1:4" x14ac:dyDescent="0.25">
      <c r="A13" t="s">
        <v>21</v>
      </c>
      <c r="D13">
        <v>0.75248000000000004</v>
      </c>
    </row>
    <row r="14" spans="1:4" x14ac:dyDescent="0.25">
      <c r="A14" t="s">
        <v>22</v>
      </c>
      <c r="D14" s="13">
        <f>D12/D13</f>
        <v>9.0106049330214752E-2</v>
      </c>
    </row>
  </sheetData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49D71EA84CCA458D7E11941EC141C4" ma:contentTypeVersion="19" ma:contentTypeDescription="" ma:contentTypeScope="" ma:versionID="716d9923b5cc2ad043aa53dcd2d7e2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250212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947E25-7325-42CB-B080-0E30E9423369}"/>
</file>

<file path=customXml/itemProps2.xml><?xml version="1.0" encoding="utf-8"?>
<ds:datastoreItem xmlns:ds="http://schemas.openxmlformats.org/officeDocument/2006/customXml" ds:itemID="{DC333FC5-78F3-45A2-8405-08E266A5CBFD}"/>
</file>

<file path=customXml/itemProps3.xml><?xml version="1.0" encoding="utf-8"?>
<ds:datastoreItem xmlns:ds="http://schemas.openxmlformats.org/officeDocument/2006/customXml" ds:itemID="{039F50FE-8166-43FC-A60C-71B4621F27E5}"/>
</file>

<file path=customXml/itemProps4.xml><?xml version="1.0" encoding="utf-8"?>
<ds:datastoreItem xmlns:ds="http://schemas.openxmlformats.org/officeDocument/2006/customXml" ds:itemID="{A88D0C93-ECE0-467E-880D-D35D47931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2024 GRC</vt:lpstr>
      <vt:lpstr>Grossed Up ROR</vt:lpstr>
      <vt:lpstr>'2024 GRC'!Print_Area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Booth, Avery (UTC)</cp:lastModifiedBy>
  <cp:lastPrinted>2021-03-26T14:52:31Z</cp:lastPrinted>
  <dcterms:created xsi:type="dcterms:W3CDTF">2021-03-01T22:38:55Z</dcterms:created>
  <dcterms:modified xsi:type="dcterms:W3CDTF">2025-03-31T22:06:03Z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0x0101006E56B4D1795A2E4DB2F0B01679ED314A00D949D71EA84CCA458D7E11941EC141C4</vt:lpwstr>
  </property>
</Properties>
</file>