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37 - REC Filing\2025\Filed on 11.30.2024\"/>
    </mc:Choice>
  </mc:AlternateContent>
  <xr:revisionPtr revIDLastSave="0" documentId="13_ncr:1_{60896E89-206C-4FBD-8AF5-205884A075F0}" xr6:coauthVersionLast="47" xr6:coauthVersionMax="47" xr10:uidLastSave="{00000000-0000-0000-0000-000000000000}"/>
  <bookViews>
    <workbookView xWindow="9750" yWindow="570" windowWidth="18315" windowHeight="13980" tabRatio="847" xr2:uid="{00000000-000D-0000-FFFF-FFFF00000000}"/>
  </bookViews>
  <sheets>
    <sheet name="Sch 137 Rates" sheetId="93" r:id="rId1"/>
    <sheet name="Lighting Rates" sheetId="94" r:id="rId2"/>
    <sheet name="Rate Impacts" sheetId="95" r:id="rId3"/>
    <sheet name="Rate Spread and Design" sheetId="97" r:id="rId4"/>
    <sheet name="Workpapers--&gt;" sheetId="73" r:id="rId5"/>
    <sheet name="Lighting RD" sheetId="98" r:id="rId6"/>
    <sheet name="Inputs" sheetId="99" r:id="rId7"/>
  </sheets>
  <definedNames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3" hidden="1">{#N/A,#N/A,FALSE,"schA"}</definedName>
    <definedName name="__________________www1" hidden="1">{#N/A,#N/A,FALSE,"schA"}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3" hidden="1">{#N/A,#N/A,FALSE,"schA"}</definedName>
    <definedName name="_______________www1" hidden="1">{#N/A,#N/A,FALSE,"schA"}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3" hidden="1">{#N/A,#N/A,FALSE,"schA"}</definedName>
    <definedName name="______________www1" hidden="1">{#N/A,#N/A,FALSE,"schA"}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3" hidden="1">{#N/A,#N/A,FALSE,"schA"}</definedName>
    <definedName name="_____________www1" hidden="1">{#N/A,#N/A,FALSE,"schA"}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3" hidden="1">{#N/A,#N/A,FALSE,"schA"}</definedName>
    <definedName name="____________www1" hidden="1">{#N/A,#N/A,FALSE,"schA"}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3" hidden="1">{#N/A,#N/A,FALSE,"schA"}</definedName>
    <definedName name="___________www1" hidden="1">{#N/A,#N/A,FALSE,"schA"}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3" hidden="1">{#N/A,#N/A,FALSE,"schA"}</definedName>
    <definedName name="__________www1" hidden="1">{#N/A,#N/A,FALSE,"schA"}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3" hidden="1">{#N/A,#N/A,FALSE,"schA"}</definedName>
    <definedName name="_________www1" hidden="1">{#N/A,#N/A,FALSE,"schA"}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3" hidden="1">{#N/A,#N/A,FALSE,"schA"}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3" hidden="1">{#N/A,#N/A,FALSE,"schA"}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3" hidden="1">{#N/A,#N/A,FALSE,"schA"}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3" hidden="1">{#N/A,#N/A,FALSE,"schA"}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3" hidden="1">{#N/A,#N/A,FALSE,"schA"}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3" hidden="1">{#N/A,#N/A,FALSE,"schA"}</definedName>
    <definedName name="___www1" hidden="1">{#N/A,#N/A,FALSE,"schA"}</definedName>
    <definedName name="__123Graph_A" hidden="1">#REF!</definedName>
    <definedName name="__123Graph_B" hidden="1">#REF!</definedName>
    <definedName name="__123Graph_D" hidden="1">#REF!</definedName>
    <definedName name="__123Graph_ECURRENT" hidden="1">#REF!</definedName>
    <definedName name="__ex1" hidden="1">{#N/A,#N/A,FALSE,"Summ";#N/A,#N/A,FALSE,"General"}</definedName>
    <definedName name="__new1" hidden="1">{#N/A,#N/A,FALSE,"Summ";#N/A,#N/A,FALSE,"General"}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3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3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3" hidden="1">{#N/A,#N/A,FALSE,"schA"}</definedName>
    <definedName name="_www1" hidden="1">{#N/A,#N/A,FALSE,"schA"}</definedName>
    <definedName name="a" localSheetId="3" hidden="1">{#N/A,#N/A,FALSE,"Coversheet";#N/A,#N/A,FALSE,"QA"}</definedName>
    <definedName name="a" hidden="1">{#N/A,#N/A,FALSE,"Coversheet";#N/A,#N/A,FALSE,"QA"}</definedName>
    <definedName name="AAAAAAAAAAAAAA" localSheetId="3" hidden="1">{#N/A,#N/A,FALSE,"Coversheet";#N/A,#N/A,FALSE,"QA"}</definedName>
    <definedName name="AAAAAAAAAAAAAA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localSheetId="3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3" hidden="1">{#N/A,#N/A,FALSE,"Coversheet";#N/A,#N/A,FALSE,"QA"}</definedName>
    <definedName name="HELP" hidden="1">{#N/A,#N/A,FALSE,"Coversheet";#N/A,#N/A,FALSE,"QA"}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3" hidden="1">{#N/A,#N/A,FALSE,"Coversheet";#N/A,#N/A,FALSE,"QA"}</definedName>
    <definedName name="lookup" hidden="1">{#N/A,#N/A,FALSE,"Coversheet";#N/A,#N/A,FALSE,"QA"}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3" hidden="1">{#N/A,#N/A,FALSE,"Summ";#N/A,#N/A,FALSE,"General"}</definedName>
    <definedName name="new" hidden="1">{#N/A,#N/A,FALSE,"Summ";#N/A,#N/A,FALSE,"General"}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3" hidden="1">{#N/A,#N/A,FALSE,"schA"}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3" hidden="1">{#N/A,#N/A,FALSE,"Summ";#N/A,#N/A,FALSE,"General"}</definedName>
    <definedName name="u" hidden="1">{#N/A,#N/A,FALSE,"Summ";#N/A,#N/A,FALSE,"General"}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3" hidden="1">{#N/A,#N/A,FALSE,"Summ";#N/A,#N/A,FALSE,"General"}</definedName>
    <definedName name="Value" hidden="1">{#N/A,#N/A,FALSE,"Summ";#N/A,#N/A,FALSE,"General"}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3" hidden="1">{#N/A,#N/A,FALSE,"schA"}</definedName>
    <definedName name="wrn.ECR." hidden="1">{#N/A,#N/A,FALSE,"schA"}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3" hidden="1">{#N/A,#N/A,FALSE,"schA"}</definedName>
    <definedName name="www" hidden="1">{#N/A,#N/A,FALSE,"schA"}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hidden="1">{#N/A,#N/A,FALSE,"2002 Small Tool OH";#N/A,#N/A,FALSE,"QA"}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3" hidden="1">{#N/A,#N/A,FALSE,"Coversheet";#N/A,#N/A,FALSE,"QA"}</definedName>
    <definedName name="z" hidden="1">{#N/A,#N/A,FALSE,"Coversheet";#N/A,#N/A,FALSE,"QA"}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5" l="1"/>
  <c r="A11" i="97" l="1"/>
  <c r="A12" i="97" s="1"/>
  <c r="A13" i="97" s="1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4" i="97" s="1"/>
  <c r="A25" i="97" s="1"/>
  <c r="A26" i="97" s="1"/>
  <c r="A27" i="97" s="1"/>
  <c r="A28" i="97" s="1"/>
  <c r="A29" i="97" s="1"/>
  <c r="A30" i="97" s="1"/>
  <c r="A31" i="97" s="1"/>
  <c r="A32" i="97" s="1"/>
  <c r="E123" i="94" l="1"/>
  <c r="E111" i="94"/>
  <c r="E103" i="94"/>
  <c r="E59" i="94"/>
  <c r="E40" i="94"/>
  <c r="E31" i="94"/>
  <c r="F22" i="93"/>
  <c r="F21" i="93"/>
  <c r="F20" i="93"/>
  <c r="D28" i="97" l="1"/>
  <c r="E12" i="97" s="1"/>
  <c r="G12" i="97" s="1"/>
  <c r="I28" i="97"/>
  <c r="J21" i="97" s="1"/>
  <c r="L21" i="97" s="1"/>
  <c r="J19" i="97" l="1"/>
  <c r="L19" i="97" s="1"/>
  <c r="J18" i="97"/>
  <c r="L18" i="97" s="1"/>
  <c r="J14" i="97"/>
  <c r="L14" i="97" s="1"/>
  <c r="J13" i="97"/>
  <c r="L13" i="97" s="1"/>
  <c r="J12" i="97"/>
  <c r="L12" i="97" s="1"/>
  <c r="N12" i="97" s="1"/>
  <c r="P12" i="97" s="1"/>
  <c r="J15" i="97"/>
  <c r="L15" i="97" s="1"/>
  <c r="J10" i="97"/>
  <c r="L10" i="97" s="1"/>
  <c r="E10" i="97"/>
  <c r="E15" i="97"/>
  <c r="G15" i="97" s="1"/>
  <c r="J24" i="97"/>
  <c r="L24" i="97" s="1"/>
  <c r="J28" i="97"/>
  <c r="L28" i="97" s="1"/>
  <c r="J17" i="97"/>
  <c r="L17" i="97" s="1"/>
  <c r="E22" i="97"/>
  <c r="G22" i="97" s="1"/>
  <c r="E24" i="97"/>
  <c r="G24" i="97" s="1"/>
  <c r="E26" i="97"/>
  <c r="G26" i="97" s="1"/>
  <c r="E17" i="97"/>
  <c r="G17" i="97" s="1"/>
  <c r="E14" i="97"/>
  <c r="G14" i="97" s="1"/>
  <c r="D37" i="97"/>
  <c r="E19" i="97"/>
  <c r="G19" i="97" s="1"/>
  <c r="N19" i="97" s="1"/>
  <c r="P19" i="97" s="1"/>
  <c r="E21" i="97"/>
  <c r="G21" i="97" s="1"/>
  <c r="N21" i="97" s="1"/>
  <c r="P21" i="97" s="1"/>
  <c r="J22" i="97"/>
  <c r="L22" i="97" s="1"/>
  <c r="I37" i="97"/>
  <c r="E18" i="97"/>
  <c r="G18" i="97" s="1"/>
  <c r="N18" i="97" s="1"/>
  <c r="P18" i="97" s="1"/>
  <c r="J26" i="97"/>
  <c r="L26" i="97" s="1"/>
  <c r="E13" i="97"/>
  <c r="G13" i="97" s="1"/>
  <c r="N24" i="97" l="1"/>
  <c r="P24" i="97" s="1"/>
  <c r="H166" i="98"/>
  <c r="N14" i="97"/>
  <c r="P14" i="97" s="1"/>
  <c r="N13" i="97"/>
  <c r="P13" i="97" s="1"/>
  <c r="N15" i="97"/>
  <c r="P15" i="97" s="1"/>
  <c r="N26" i="97"/>
  <c r="P26" i="97" s="1"/>
  <c r="N22" i="97"/>
  <c r="P22" i="97" s="1"/>
  <c r="G10" i="97"/>
  <c r="N10" i="97" s="1"/>
  <c r="P10" i="97" s="1"/>
  <c r="E28" i="97"/>
  <c r="G28" i="97" s="1"/>
  <c r="N28" i="97" s="1"/>
  <c r="P28" i="97" s="1"/>
  <c r="N17" i="97"/>
  <c r="P17" i="97" s="1"/>
  <c r="F27" i="93" l="1"/>
  <c r="F26" i="93"/>
  <c r="F16" i="93"/>
  <c r="F15" i="93"/>
  <c r="F14" i="93"/>
  <c r="E113" i="94" l="1"/>
  <c r="E114" i="94"/>
  <c r="E115" i="94"/>
  <c r="E116" i="94"/>
  <c r="E117" i="94"/>
  <c r="E118" i="94"/>
  <c r="E119" i="94"/>
  <c r="E120" i="94"/>
  <c r="E112" i="94"/>
  <c r="E82" i="94"/>
  <c r="E83" i="94"/>
  <c r="E84" i="94"/>
  <c r="E85" i="94"/>
  <c r="E86" i="94"/>
  <c r="E87" i="94"/>
  <c r="E88" i="94"/>
  <c r="E81" i="94"/>
  <c r="E60" i="94"/>
  <c r="E51" i="94"/>
  <c r="E52" i="94"/>
  <c r="E53" i="94"/>
  <c r="E54" i="94"/>
  <c r="E55" i="94"/>
  <c r="E56" i="94"/>
  <c r="E57" i="94"/>
  <c r="E50" i="94"/>
  <c r="E44" i="95"/>
  <c r="D44" i="95"/>
  <c r="C44" i="95"/>
  <c r="Q26" i="97"/>
  <c r="R26" i="97" s="1"/>
  <c r="I35" i="95" s="1"/>
  <c r="N35" i="95" s="1"/>
  <c r="Q24" i="97"/>
  <c r="R24" i="97" s="1"/>
  <c r="I33" i="95" s="1"/>
  <c r="N33" i="95" s="1"/>
  <c r="Q30" i="97"/>
  <c r="Q22" i="97"/>
  <c r="R22" i="97" s="1"/>
  <c r="I26" i="95" s="1"/>
  <c r="N26" i="95" s="1"/>
  <c r="Q21" i="97"/>
  <c r="R21" i="97" s="1"/>
  <c r="I25" i="95" s="1"/>
  <c r="N25" i="95" s="1"/>
  <c r="Q19" i="97"/>
  <c r="R19" i="97" s="1"/>
  <c r="I21" i="95" s="1"/>
  <c r="N21" i="95" s="1"/>
  <c r="Q18" i="97"/>
  <c r="R18" i="97" s="1"/>
  <c r="I20" i="95" s="1"/>
  <c r="N20" i="95" s="1"/>
  <c r="Q17" i="97"/>
  <c r="R17" i="97" s="1"/>
  <c r="I19" i="95" s="1"/>
  <c r="N19" i="95" s="1"/>
  <c r="Q15" i="97"/>
  <c r="R15" i="97" s="1"/>
  <c r="I15" i="95" s="1"/>
  <c r="N15" i="95" s="1"/>
  <c r="Q14" i="97"/>
  <c r="R14" i="97" s="1"/>
  <c r="I14" i="95" s="1"/>
  <c r="N14" i="95" s="1"/>
  <c r="Q13" i="97"/>
  <c r="R13" i="97" s="1"/>
  <c r="I13" i="95" s="1"/>
  <c r="N13" i="95" s="1"/>
  <c r="Q12" i="97"/>
  <c r="R12" i="97" s="1"/>
  <c r="I12" i="95" s="1"/>
  <c r="N12" i="95" s="1"/>
  <c r="Q10" i="97"/>
  <c r="F162" i="98"/>
  <c r="H162" i="98" s="1"/>
  <c r="F161" i="98"/>
  <c r="H161" i="98" s="1"/>
  <c r="F160" i="98"/>
  <c r="H160" i="98" s="1"/>
  <c r="F159" i="98"/>
  <c r="H159" i="98" s="1"/>
  <c r="F158" i="98"/>
  <c r="H158" i="98" s="1"/>
  <c r="F157" i="98"/>
  <c r="H157" i="98" s="1"/>
  <c r="F156" i="98"/>
  <c r="H156" i="98" s="1"/>
  <c r="F155" i="98"/>
  <c r="H155" i="98" s="1"/>
  <c r="F154" i="98"/>
  <c r="H154" i="98" s="1"/>
  <c r="F153" i="98"/>
  <c r="H153" i="98" s="1"/>
  <c r="F152" i="98"/>
  <c r="H152" i="98" s="1"/>
  <c r="F151" i="98"/>
  <c r="F150" i="98"/>
  <c r="F149" i="98"/>
  <c r="F148" i="98"/>
  <c r="H148" i="98" s="1"/>
  <c r="F147" i="98"/>
  <c r="H147" i="98" s="1"/>
  <c r="F145" i="98"/>
  <c r="H145" i="98" s="1"/>
  <c r="F144" i="98"/>
  <c r="H144" i="98" s="1"/>
  <c r="F142" i="98"/>
  <c r="H142" i="98" s="1"/>
  <c r="F141" i="98"/>
  <c r="H141" i="98" s="1"/>
  <c r="F140" i="98"/>
  <c r="H140" i="98" s="1"/>
  <c r="F139" i="98"/>
  <c r="H139" i="98" s="1"/>
  <c r="F137" i="98"/>
  <c r="H137" i="98" s="1"/>
  <c r="F136" i="98"/>
  <c r="F135" i="98"/>
  <c r="H135" i="98" s="1"/>
  <c r="F134" i="98"/>
  <c r="H134" i="98" s="1"/>
  <c r="F133" i="98"/>
  <c r="H133" i="98" s="1"/>
  <c r="F131" i="98"/>
  <c r="H131" i="98" s="1"/>
  <c r="F130" i="98"/>
  <c r="H130" i="98" s="1"/>
  <c r="F129" i="98"/>
  <c r="H129" i="98" s="1"/>
  <c r="F128" i="98"/>
  <c r="F127" i="98"/>
  <c r="H127" i="98" s="1"/>
  <c r="F126" i="98"/>
  <c r="H126" i="98" s="1"/>
  <c r="F123" i="98"/>
  <c r="H123" i="98" s="1"/>
  <c r="F120" i="98"/>
  <c r="H120" i="98" s="1"/>
  <c r="F119" i="98"/>
  <c r="H119" i="98" s="1"/>
  <c r="F118" i="98"/>
  <c r="H118" i="98" s="1"/>
  <c r="F117" i="98"/>
  <c r="H117" i="98" s="1"/>
  <c r="F116" i="98"/>
  <c r="H116" i="98" s="1"/>
  <c r="F115" i="98"/>
  <c r="H115" i="98" s="1"/>
  <c r="F114" i="98"/>
  <c r="H114" i="98" s="1"/>
  <c r="F113" i="98"/>
  <c r="F112" i="98"/>
  <c r="F111" i="98"/>
  <c r="F109" i="98"/>
  <c r="H109" i="98" s="1"/>
  <c r="F107" i="98"/>
  <c r="F106" i="98"/>
  <c r="F105" i="98"/>
  <c r="F104" i="98"/>
  <c r="H104" i="98" s="1"/>
  <c r="F103" i="98"/>
  <c r="F102" i="98"/>
  <c r="F99" i="98"/>
  <c r="H99" i="98" s="1"/>
  <c r="F98" i="98"/>
  <c r="H98" i="98" s="1"/>
  <c r="F97" i="98"/>
  <c r="H97" i="98" s="1"/>
  <c r="F96" i="98"/>
  <c r="H96" i="98" s="1"/>
  <c r="F95" i="98"/>
  <c r="F94" i="98"/>
  <c r="H94" i="98" s="1"/>
  <c r="F93" i="98"/>
  <c r="H93" i="98" s="1"/>
  <c r="F92" i="98"/>
  <c r="H92" i="98" s="1"/>
  <c r="F91" i="98"/>
  <c r="H91" i="98" s="1"/>
  <c r="F90" i="98"/>
  <c r="H90" i="98" s="1"/>
  <c r="F88" i="98"/>
  <c r="H88" i="98" s="1"/>
  <c r="F87" i="98"/>
  <c r="F86" i="98"/>
  <c r="F85" i="98"/>
  <c r="H85" i="98" s="1"/>
  <c r="F84" i="98"/>
  <c r="F83" i="98"/>
  <c r="F82" i="98"/>
  <c r="F81" i="98"/>
  <c r="H81" i="98" s="1"/>
  <c r="F80" i="98"/>
  <c r="F76" i="98"/>
  <c r="F75" i="98"/>
  <c r="H75" i="98" s="1"/>
  <c r="F74" i="98"/>
  <c r="F73" i="98"/>
  <c r="F72" i="98"/>
  <c r="F71" i="98"/>
  <c r="H71" i="98" s="1"/>
  <c r="F70" i="98"/>
  <c r="F69" i="98"/>
  <c r="F68" i="98"/>
  <c r="F67" i="98"/>
  <c r="H67" i="98" s="1"/>
  <c r="F65" i="98"/>
  <c r="H65" i="98" s="1"/>
  <c r="F64" i="98"/>
  <c r="H64" i="98" s="1"/>
  <c r="F63" i="98"/>
  <c r="F62" i="98"/>
  <c r="H62" i="98" s="1"/>
  <c r="F61" i="98"/>
  <c r="H61" i="98" s="1"/>
  <c r="F60" i="98"/>
  <c r="H60" i="98" s="1"/>
  <c r="F58" i="98"/>
  <c r="H58" i="98" s="1"/>
  <c r="F57" i="98"/>
  <c r="H57" i="98" s="1"/>
  <c r="F56" i="98"/>
  <c r="H56" i="98" s="1"/>
  <c r="F55" i="98"/>
  <c r="H55" i="98" s="1"/>
  <c r="F54" i="98"/>
  <c r="F53" i="98"/>
  <c r="H53" i="98" s="1"/>
  <c r="F52" i="98"/>
  <c r="H52" i="98" s="1"/>
  <c r="F51" i="98"/>
  <c r="H51" i="98" s="1"/>
  <c r="F50" i="98"/>
  <c r="F47" i="98"/>
  <c r="H47" i="98" s="1"/>
  <c r="F46" i="98"/>
  <c r="H46" i="98" s="1"/>
  <c r="F45" i="98"/>
  <c r="H45" i="98" s="1"/>
  <c r="F44" i="98"/>
  <c r="F43" i="98"/>
  <c r="H43" i="98" s="1"/>
  <c r="F42" i="98"/>
  <c r="H42" i="98" s="1"/>
  <c r="F41" i="98"/>
  <c r="H41" i="98" s="1"/>
  <c r="F39" i="98"/>
  <c r="F38" i="98"/>
  <c r="H38" i="98" s="1"/>
  <c r="F37" i="98"/>
  <c r="H37" i="98" s="1"/>
  <c r="F36" i="98"/>
  <c r="H36" i="98" s="1"/>
  <c r="F35" i="98"/>
  <c r="F34" i="98"/>
  <c r="H34" i="98" s="1"/>
  <c r="F33" i="98"/>
  <c r="H33" i="98" s="1"/>
  <c r="F32" i="98"/>
  <c r="H32" i="98" s="1"/>
  <c r="F28" i="98"/>
  <c r="H28" i="98" s="1"/>
  <c r="F27" i="98"/>
  <c r="H27" i="98" s="1"/>
  <c r="F26" i="98"/>
  <c r="F25" i="98"/>
  <c r="H25" i="98" s="1"/>
  <c r="F24" i="98"/>
  <c r="H24" i="98" s="1"/>
  <c r="F23" i="98"/>
  <c r="H23" i="98" s="1"/>
  <c r="F22" i="98"/>
  <c r="H22" i="98" s="1"/>
  <c r="F21" i="98"/>
  <c r="H21" i="98" s="1"/>
  <c r="F20" i="98"/>
  <c r="H20" i="98" s="1"/>
  <c r="F19" i="98"/>
  <c r="H19" i="98" s="1"/>
  <c r="F16" i="98"/>
  <c r="H16" i="98" s="1"/>
  <c r="F15" i="98"/>
  <c r="F14" i="98"/>
  <c r="F13" i="98"/>
  <c r="F11" i="98"/>
  <c r="H11" i="98" s="1"/>
  <c r="H13" i="98" l="1"/>
  <c r="H68" i="98"/>
  <c r="H72" i="98"/>
  <c r="H76" i="98"/>
  <c r="H82" i="98"/>
  <c r="H86" i="98"/>
  <c r="H105" i="98"/>
  <c r="H111" i="98"/>
  <c r="H149" i="98"/>
  <c r="H14" i="98"/>
  <c r="H69" i="98"/>
  <c r="H73" i="98"/>
  <c r="H83" i="98"/>
  <c r="H87" i="98"/>
  <c r="H102" i="98"/>
  <c r="H106" i="98"/>
  <c r="H112" i="98"/>
  <c r="H150" i="98"/>
  <c r="H15" i="98"/>
  <c r="H70" i="98"/>
  <c r="H74" i="98"/>
  <c r="H80" i="98"/>
  <c r="H84" i="98"/>
  <c r="H103" i="98"/>
  <c r="H107" i="98"/>
  <c r="H113" i="98"/>
  <c r="H151" i="98"/>
  <c r="Q28" i="97"/>
  <c r="R10" i="97"/>
  <c r="I9" i="95" s="1"/>
  <c r="N9" i="95" s="1"/>
  <c r="H26" i="98"/>
  <c r="H35" i="98"/>
  <c r="H39" i="98"/>
  <c r="H44" i="98"/>
  <c r="H50" i="98"/>
  <c r="H54" i="98"/>
  <c r="H95" i="98"/>
  <c r="H128" i="98"/>
  <c r="H136" i="98"/>
  <c r="G16" i="95"/>
  <c r="G37" i="95" s="1"/>
  <c r="G27" i="95"/>
  <c r="G22" i="95"/>
  <c r="H63" i="98"/>
  <c r="Q36" i="97" l="1"/>
  <c r="Q32" i="97"/>
  <c r="Q37" i="97" s="1"/>
  <c r="R28" i="97"/>
  <c r="D36" i="93"/>
  <c r="D31" i="93"/>
  <c r="D30" i="93"/>
  <c r="B26" i="95" l="1"/>
  <c r="B25" i="95"/>
  <c r="B21" i="95"/>
  <c r="B20" i="95"/>
  <c r="B19" i="95"/>
  <c r="B13" i="95"/>
  <c r="B14" i="95"/>
  <c r="B15" i="95"/>
  <c r="B12" i="95"/>
  <c r="A2" i="97"/>
  <c r="A1" i="97"/>
  <c r="A1" i="98" l="1"/>
  <c r="A2" i="98"/>
  <c r="A3" i="98"/>
  <c r="A4" i="98"/>
  <c r="A10" i="98"/>
  <c r="A11" i="98"/>
  <c r="A12" i="98" s="1"/>
  <c r="A13" i="98" s="1"/>
  <c r="A14" i="98" s="1"/>
  <c r="A15" i="98" s="1"/>
  <c r="A16" i="98" s="1"/>
  <c r="A17" i="98" s="1"/>
  <c r="A18" i="98" s="1"/>
  <c r="A19" i="98" s="1"/>
  <c r="A20" i="98" s="1"/>
  <c r="A21" i="98" s="1"/>
  <c r="A22" i="98" s="1"/>
  <c r="A23" i="98" s="1"/>
  <c r="A24" i="98" s="1"/>
  <c r="A25" i="98" s="1"/>
  <c r="A26" i="98" s="1"/>
  <c r="A27" i="98" s="1"/>
  <c r="A28" i="98" s="1"/>
  <c r="A29" i="98" s="1"/>
  <c r="A30" i="98" s="1"/>
  <c r="A31" i="98" s="1"/>
  <c r="A32" i="98" s="1"/>
  <c r="A33" i="98" s="1"/>
  <c r="A34" i="98" s="1"/>
  <c r="A35" i="98" s="1"/>
  <c r="A36" i="98" s="1"/>
  <c r="A37" i="98" s="1"/>
  <c r="A38" i="98" s="1"/>
  <c r="A39" i="98" s="1"/>
  <c r="A40" i="98" s="1"/>
  <c r="A41" i="98" s="1"/>
  <c r="A42" i="98" s="1"/>
  <c r="A43" i="98" s="1"/>
  <c r="A44" i="98" s="1"/>
  <c r="A45" i="98" s="1"/>
  <c r="A46" i="98" s="1"/>
  <c r="A47" i="98" s="1"/>
  <c r="A48" i="98" s="1"/>
  <c r="A49" i="98" s="1"/>
  <c r="A50" i="98" s="1"/>
  <c r="A51" i="98" s="1"/>
  <c r="A52" i="98" s="1"/>
  <c r="A53" i="98" s="1"/>
  <c r="A54" i="98" s="1"/>
  <c r="A55" i="98" s="1"/>
  <c r="A56" i="98" s="1"/>
  <c r="A57" i="98" s="1"/>
  <c r="A58" i="98" s="1"/>
  <c r="A59" i="98" s="1"/>
  <c r="A60" i="98" s="1"/>
  <c r="A61" i="98" s="1"/>
  <c r="A62" i="98" s="1"/>
  <c r="A63" i="98" s="1"/>
  <c r="A64" i="98" s="1"/>
  <c r="A65" i="98" s="1"/>
  <c r="A66" i="98" s="1"/>
  <c r="A67" i="98" s="1"/>
  <c r="A68" i="98" s="1"/>
  <c r="A69" i="98" s="1"/>
  <c r="A70" i="98" s="1"/>
  <c r="A71" i="98" s="1"/>
  <c r="A72" i="98" s="1"/>
  <c r="A73" i="98" s="1"/>
  <c r="A74" i="98" s="1"/>
  <c r="A75" i="98" s="1"/>
  <c r="A76" i="98" s="1"/>
  <c r="A77" i="98" s="1"/>
  <c r="A78" i="98" s="1"/>
  <c r="A79" i="98" s="1"/>
  <c r="A80" i="98" s="1"/>
  <c r="A81" i="98" s="1"/>
  <c r="A82" i="98" s="1"/>
  <c r="A83" i="98" s="1"/>
  <c r="A84" i="98" s="1"/>
  <c r="A85" i="98" s="1"/>
  <c r="A86" i="98" s="1"/>
  <c r="A87" i="98" s="1"/>
  <c r="A88" i="98" s="1"/>
  <c r="A89" i="98" s="1"/>
  <c r="A90" i="98" s="1"/>
  <c r="A91" i="98" s="1"/>
  <c r="A92" i="98" s="1"/>
  <c r="A93" i="98" s="1"/>
  <c r="A94" i="98" s="1"/>
  <c r="A95" i="98" s="1"/>
  <c r="A96" i="98" s="1"/>
  <c r="A97" i="98" s="1"/>
  <c r="A98" i="98" s="1"/>
  <c r="A99" i="98" s="1"/>
  <c r="A100" i="98" s="1"/>
  <c r="A101" i="98" s="1"/>
  <c r="A102" i="98" s="1"/>
  <c r="A103" i="98" s="1"/>
  <c r="A104" i="98" s="1"/>
  <c r="A105" i="98" s="1"/>
  <c r="A106" i="98" s="1"/>
  <c r="A107" i="98" s="1"/>
  <c r="A108" i="98" s="1"/>
  <c r="A109" i="98" s="1"/>
  <c r="A110" i="98" s="1"/>
  <c r="A111" i="98" s="1"/>
  <c r="A112" i="98" s="1"/>
  <c r="A113" i="98" s="1"/>
  <c r="A114" i="98" s="1"/>
  <c r="A115" i="98" s="1"/>
  <c r="A116" i="98" s="1"/>
  <c r="A117" i="98" s="1"/>
  <c r="A118" i="98" s="1"/>
  <c r="A119" i="98" s="1"/>
  <c r="A120" i="98" s="1"/>
  <c r="A121" i="98" s="1"/>
  <c r="A122" i="98" s="1"/>
  <c r="A123" i="98" s="1"/>
  <c r="A124" i="98" s="1"/>
  <c r="A125" i="98" s="1"/>
  <c r="A126" i="98" s="1"/>
  <c r="A127" i="98" s="1"/>
  <c r="A128" i="98" s="1"/>
  <c r="A129" i="98" s="1"/>
  <c r="A130" i="98" s="1"/>
  <c r="A131" i="98" s="1"/>
  <c r="A132" i="98" s="1"/>
  <c r="A133" i="98" s="1"/>
  <c r="A134" i="98" s="1"/>
  <c r="A135" i="98" s="1"/>
  <c r="A136" i="98" s="1"/>
  <c r="A137" i="98" s="1"/>
  <c r="A138" i="98" s="1"/>
  <c r="A139" i="98" s="1"/>
  <c r="A140" i="98" s="1"/>
  <c r="A141" i="98" s="1"/>
  <c r="A142" i="98" s="1"/>
  <c r="A143" i="98" s="1"/>
  <c r="A144" i="98" s="1"/>
  <c r="A145" i="98" s="1"/>
  <c r="A146" i="98" s="1"/>
  <c r="A147" i="98" s="1"/>
  <c r="A148" i="98" s="1"/>
  <c r="A149" i="98" s="1"/>
  <c r="A150" i="98" s="1"/>
  <c r="A151" i="98" s="1"/>
  <c r="A152" i="98" s="1"/>
  <c r="A153" i="98" s="1"/>
  <c r="A154" i="98" s="1"/>
  <c r="A155" i="98" s="1"/>
  <c r="A156" i="98" s="1"/>
  <c r="A157" i="98" s="1"/>
  <c r="A158" i="98" s="1"/>
  <c r="A159" i="98" s="1"/>
  <c r="A160" i="98" s="1"/>
  <c r="A161" i="98" s="1"/>
  <c r="A162" i="98" s="1"/>
  <c r="A163" i="98" s="1"/>
  <c r="A164" i="98" s="1"/>
  <c r="A165" i="98" s="1"/>
  <c r="A166" i="98" s="1"/>
  <c r="A167" i="98" s="1"/>
  <c r="A168" i="98" s="1"/>
  <c r="A169" i="98" s="1"/>
  <c r="A170" i="98" s="1"/>
  <c r="A171" i="98" s="1"/>
  <c r="B14" i="98"/>
  <c r="B15" i="98" s="1"/>
  <c r="B16" i="98" s="1"/>
  <c r="D17" i="94"/>
  <c r="D20" i="94"/>
  <c r="D23" i="94"/>
  <c r="B33" i="98"/>
  <c r="B34" i="98"/>
  <c r="B35" i="98" s="1"/>
  <c r="B36" i="98" s="1"/>
  <c r="D41" i="94"/>
  <c r="C45" i="98"/>
  <c r="C46" i="98"/>
  <c r="C47" i="98" s="1"/>
  <c r="B51" i="98"/>
  <c r="B52" i="98" s="1"/>
  <c r="B53" i="98" s="1"/>
  <c r="B54" i="98" s="1"/>
  <c r="B55" i="98" s="1"/>
  <c r="B56" i="98" s="1"/>
  <c r="B57" i="98" s="1"/>
  <c r="B58" i="98" s="1"/>
  <c r="B60" i="98" s="1"/>
  <c r="B61" i="98" s="1"/>
  <c r="B62" i="98" s="1"/>
  <c r="B63" i="98" s="1"/>
  <c r="B64" i="98" s="1"/>
  <c r="D52" i="94"/>
  <c r="D56" i="94"/>
  <c r="D61" i="94"/>
  <c r="D63" i="94"/>
  <c r="D72" i="94"/>
  <c r="B81" i="98"/>
  <c r="B82" i="98" s="1"/>
  <c r="B83" i="98" s="1"/>
  <c r="B84" i="98" s="1"/>
  <c r="B85" i="98" s="1"/>
  <c r="B86" i="98" s="1"/>
  <c r="B87" i="98" s="1"/>
  <c r="D83" i="94"/>
  <c r="D87" i="94"/>
  <c r="D91" i="94"/>
  <c r="D95" i="94"/>
  <c r="D99" i="94"/>
  <c r="B103" i="98"/>
  <c r="B104" i="98" s="1"/>
  <c r="B105" i="98" s="1"/>
  <c r="B106" i="98" s="1"/>
  <c r="B107" i="98" s="1"/>
  <c r="B109" i="98" s="1"/>
  <c r="D105" i="94"/>
  <c r="D111" i="94"/>
  <c r="D116" i="94"/>
  <c r="D119" i="94"/>
  <c r="D123" i="94"/>
  <c r="B127" i="98"/>
  <c r="B128" i="98" s="1"/>
  <c r="B129" i="98" s="1"/>
  <c r="B130" i="98" s="1"/>
  <c r="B131" i="98" s="1"/>
  <c r="D129" i="94"/>
  <c r="B134" i="98"/>
  <c r="B135" i="98" s="1"/>
  <c r="B136" i="98" s="1"/>
  <c r="B137" i="98" s="1"/>
  <c r="B139" i="98"/>
  <c r="B140" i="98" s="1"/>
  <c r="B141" i="98" s="1"/>
  <c r="B142" i="98" s="1"/>
  <c r="D142" i="94"/>
  <c r="B144" i="98"/>
  <c r="B145" i="98"/>
  <c r="B149" i="98"/>
  <c r="B150" i="98" s="1"/>
  <c r="B151" i="98" s="1"/>
  <c r="B152" i="98" s="1"/>
  <c r="B153" i="98" s="1"/>
  <c r="B154" i="98" s="1"/>
  <c r="B155" i="98" s="1"/>
  <c r="B156" i="98" s="1"/>
  <c r="B157" i="98" s="1"/>
  <c r="B158" i="98" s="1"/>
  <c r="B159" i="98" s="1"/>
  <c r="B160" i="98" s="1"/>
  <c r="B161" i="98" s="1"/>
  <c r="B162" i="98" s="1"/>
  <c r="A1" i="95"/>
  <c r="A2" i="95"/>
  <c r="A3" i="95"/>
  <c r="A9" i="95"/>
  <c r="A10" i="95" s="1"/>
  <c r="A11" i="95" s="1"/>
  <c r="A12" i="95" s="1"/>
  <c r="A13" i="95" s="1"/>
  <c r="A14" i="95" s="1"/>
  <c r="A15" i="95" s="1"/>
  <c r="A16" i="95" s="1"/>
  <c r="A17" i="95" s="1"/>
  <c r="A18" i="95" s="1"/>
  <c r="A19" i="95" s="1"/>
  <c r="A20" i="95" s="1"/>
  <c r="A21" i="95" s="1"/>
  <c r="A22" i="95" s="1"/>
  <c r="A23" i="95" s="1"/>
  <c r="A24" i="95" s="1"/>
  <c r="A25" i="95" s="1"/>
  <c r="A26" i="95" s="1"/>
  <c r="A27" i="95" s="1"/>
  <c r="A28" i="95" s="1"/>
  <c r="A29" i="95" s="1"/>
  <c r="A30" i="95" s="1"/>
  <c r="A31" i="95" s="1"/>
  <c r="A32" i="95" s="1"/>
  <c r="A33" i="95" s="1"/>
  <c r="A34" i="95" s="1"/>
  <c r="A35" i="95" s="1"/>
  <c r="A36" i="95" s="1"/>
  <c r="A37" i="95" s="1"/>
  <c r="A38" i="95" s="1"/>
  <c r="A39" i="95" s="1"/>
  <c r="A40" i="95" s="1"/>
  <c r="A41" i="95" s="1"/>
  <c r="J16" i="95"/>
  <c r="J22" i="95"/>
  <c r="J27" i="95"/>
  <c r="G43" i="95"/>
  <c r="A1" i="94"/>
  <c r="A2" i="94"/>
  <c r="A8" i="94"/>
  <c r="A9" i="94"/>
  <c r="D9" i="94"/>
  <c r="A10" i="94"/>
  <c r="A11" i="94"/>
  <c r="A12" i="94" s="1"/>
  <c r="A13" i="94" s="1"/>
  <c r="A14" i="94" s="1"/>
  <c r="A15" i="94" s="1"/>
  <c r="A16" i="94" s="1"/>
  <c r="A17" i="94" s="1"/>
  <c r="A18" i="94" s="1"/>
  <c r="A19" i="94" s="1"/>
  <c r="A20" i="94" s="1"/>
  <c r="A21" i="94" s="1"/>
  <c r="A22" i="94" s="1"/>
  <c r="A23" i="94" s="1"/>
  <c r="A24" i="94" s="1"/>
  <c r="A25" i="94" s="1"/>
  <c r="A26" i="94" s="1"/>
  <c r="A27" i="94" s="1"/>
  <c r="A28" i="94" s="1"/>
  <c r="A29" i="94" s="1"/>
  <c r="A30" i="94" s="1"/>
  <c r="A31" i="94" s="1"/>
  <c r="A32" i="94" s="1"/>
  <c r="A33" i="94" s="1"/>
  <c r="A34" i="94" s="1"/>
  <c r="A35" i="94" s="1"/>
  <c r="A36" i="94" s="1"/>
  <c r="A37" i="94" s="1"/>
  <c r="A38" i="94" s="1"/>
  <c r="A39" i="94" s="1"/>
  <c r="A40" i="94" s="1"/>
  <c r="A41" i="94" s="1"/>
  <c r="A42" i="94" s="1"/>
  <c r="A43" i="94" s="1"/>
  <c r="A44" i="94" s="1"/>
  <c r="A45" i="94" s="1"/>
  <c r="A46" i="94" s="1"/>
  <c r="A47" i="94" s="1"/>
  <c r="A48" i="94" s="1"/>
  <c r="A49" i="94" s="1"/>
  <c r="A50" i="94" s="1"/>
  <c r="A51" i="94" s="1"/>
  <c r="A52" i="94" s="1"/>
  <c r="A53" i="94" s="1"/>
  <c r="A54" i="94" s="1"/>
  <c r="A55" i="94" s="1"/>
  <c r="A56" i="94" s="1"/>
  <c r="A57" i="94" s="1"/>
  <c r="A58" i="94" s="1"/>
  <c r="A59" i="94" s="1"/>
  <c r="A60" i="94" s="1"/>
  <c r="A61" i="94" s="1"/>
  <c r="A62" i="94" s="1"/>
  <c r="A63" i="94" s="1"/>
  <c r="A64" i="94" s="1"/>
  <c r="A65" i="94" s="1"/>
  <c r="A66" i="94" s="1"/>
  <c r="A67" i="94" s="1"/>
  <c r="A68" i="94" s="1"/>
  <c r="A69" i="94" s="1"/>
  <c r="A70" i="94" s="1"/>
  <c r="A71" i="94" s="1"/>
  <c r="A72" i="94" s="1"/>
  <c r="A73" i="94" s="1"/>
  <c r="A74" i="94" s="1"/>
  <c r="A75" i="94" s="1"/>
  <c r="A76" i="94" s="1"/>
  <c r="A77" i="94" s="1"/>
  <c r="A78" i="94" s="1"/>
  <c r="A79" i="94" s="1"/>
  <c r="A80" i="94" s="1"/>
  <c r="A81" i="94" s="1"/>
  <c r="A82" i="94" s="1"/>
  <c r="A83" i="94" s="1"/>
  <c r="A84" i="94" s="1"/>
  <c r="A85" i="94" s="1"/>
  <c r="A86" i="94" s="1"/>
  <c r="A87" i="94" s="1"/>
  <c r="A88" i="94" s="1"/>
  <c r="A89" i="94" s="1"/>
  <c r="A90" i="94" s="1"/>
  <c r="A91" i="94" s="1"/>
  <c r="A92" i="94" s="1"/>
  <c r="A93" i="94" s="1"/>
  <c r="A94" i="94" s="1"/>
  <c r="A95" i="94" s="1"/>
  <c r="A96" i="94" s="1"/>
  <c r="A97" i="94" s="1"/>
  <c r="A98" i="94" s="1"/>
  <c r="A99" i="94" s="1"/>
  <c r="A100" i="94" s="1"/>
  <c r="A101" i="94" s="1"/>
  <c r="A102" i="94" s="1"/>
  <c r="A103" i="94" s="1"/>
  <c r="A104" i="94" s="1"/>
  <c r="A105" i="94" s="1"/>
  <c r="A106" i="94" s="1"/>
  <c r="A107" i="94" s="1"/>
  <c r="A108" i="94" s="1"/>
  <c r="A109" i="94" s="1"/>
  <c r="A110" i="94" s="1"/>
  <c r="A111" i="94" s="1"/>
  <c r="A112" i="94" s="1"/>
  <c r="A113" i="94" s="1"/>
  <c r="A114" i="94" s="1"/>
  <c r="A115" i="94" s="1"/>
  <c r="A116" i="94" s="1"/>
  <c r="A117" i="94" s="1"/>
  <c r="A118" i="94" s="1"/>
  <c r="A119" i="94" s="1"/>
  <c r="A120" i="94" s="1"/>
  <c r="A121" i="94" s="1"/>
  <c r="A122" i="94" s="1"/>
  <c r="A123" i="94" s="1"/>
  <c r="A124" i="94" s="1"/>
  <c r="A125" i="94" s="1"/>
  <c r="A126" i="94" s="1"/>
  <c r="A127" i="94" s="1"/>
  <c r="A128" i="94" s="1"/>
  <c r="A129" i="94" s="1"/>
  <c r="A130" i="94" s="1"/>
  <c r="A131" i="94" s="1"/>
  <c r="A132" i="94" s="1"/>
  <c r="A133" i="94" s="1"/>
  <c r="A134" i="94" s="1"/>
  <c r="A135" i="94" s="1"/>
  <c r="A136" i="94" s="1"/>
  <c r="A137" i="94" s="1"/>
  <c r="A138" i="94" s="1"/>
  <c r="A139" i="94" s="1"/>
  <c r="A140" i="94" s="1"/>
  <c r="A141" i="94" s="1"/>
  <c r="A142" i="94" s="1"/>
  <c r="A143" i="94" s="1"/>
  <c r="A144" i="94" s="1"/>
  <c r="A145" i="94" s="1"/>
  <c r="A146" i="94" s="1"/>
  <c r="A147" i="94" s="1"/>
  <c r="A148" i="94" s="1"/>
  <c r="A149" i="94" s="1"/>
  <c r="A150" i="94" s="1"/>
  <c r="A151" i="94" s="1"/>
  <c r="A152" i="94" s="1"/>
  <c r="A153" i="94" s="1"/>
  <c r="A154" i="94" s="1"/>
  <c r="A155" i="94" s="1"/>
  <c r="A156" i="94" s="1"/>
  <c r="A157" i="94" s="1"/>
  <c r="A158" i="94" s="1"/>
  <c r="A159" i="94" s="1"/>
  <c r="A160" i="94" s="1"/>
  <c r="A161" i="94" s="1"/>
  <c r="A162" i="94" s="1"/>
  <c r="D11" i="94"/>
  <c r="E11" i="94"/>
  <c r="D12" i="94"/>
  <c r="E12" i="94"/>
  <c r="D13" i="94"/>
  <c r="E13" i="94"/>
  <c r="D14" i="94"/>
  <c r="E14" i="94"/>
  <c r="D18" i="94"/>
  <c r="E18" i="94"/>
  <c r="D19" i="94"/>
  <c r="E19" i="94"/>
  <c r="E20" i="94"/>
  <c r="D21" i="94"/>
  <c r="E21" i="94"/>
  <c r="D22" i="94"/>
  <c r="E22" i="94"/>
  <c r="E23" i="94"/>
  <c r="D24" i="94"/>
  <c r="E24" i="94"/>
  <c r="D25" i="94"/>
  <c r="E25" i="94"/>
  <c r="D26" i="94"/>
  <c r="E26" i="94"/>
  <c r="D31" i="94"/>
  <c r="D32" i="94"/>
  <c r="D33" i="94"/>
  <c r="D34" i="94"/>
  <c r="D35" i="94"/>
  <c r="D36" i="94"/>
  <c r="D37" i="94"/>
  <c r="D38" i="94"/>
  <c r="D40" i="94"/>
  <c r="E41" i="94"/>
  <c r="D42" i="94"/>
  <c r="E42" i="94"/>
  <c r="D43" i="94"/>
  <c r="E43" i="94"/>
  <c r="D44" i="94"/>
  <c r="E44" i="94"/>
  <c r="E45" i="94"/>
  <c r="D46" i="94"/>
  <c r="E46" i="94"/>
  <c r="D49" i="94"/>
  <c r="D50" i="94"/>
  <c r="D51" i="94"/>
  <c r="D53" i="94"/>
  <c r="D54" i="94"/>
  <c r="D55" i="94"/>
  <c r="D57" i="94"/>
  <c r="D59" i="94"/>
  <c r="D60" i="94"/>
  <c r="E61" i="94"/>
  <c r="D62" i="94"/>
  <c r="E62" i="94"/>
  <c r="E63" i="94"/>
  <c r="D64" i="94"/>
  <c r="E64" i="94"/>
  <c r="E66" i="94"/>
  <c r="D67" i="94"/>
  <c r="E67" i="94"/>
  <c r="E68" i="94"/>
  <c r="D69" i="94"/>
  <c r="E69" i="94"/>
  <c r="E70" i="94"/>
  <c r="D71" i="94"/>
  <c r="E71" i="94"/>
  <c r="E72" i="94"/>
  <c r="D73" i="94"/>
  <c r="E73" i="94"/>
  <c r="E74" i="94"/>
  <c r="D75" i="94"/>
  <c r="E75" i="94"/>
  <c r="D80" i="94"/>
  <c r="D82" i="94"/>
  <c r="D84" i="94"/>
  <c r="D86" i="94"/>
  <c r="D88" i="94"/>
  <c r="D90" i="94"/>
  <c r="E90" i="94"/>
  <c r="E91" i="94"/>
  <c r="D92" i="94"/>
  <c r="E92" i="94"/>
  <c r="D93" i="94"/>
  <c r="E93" i="94"/>
  <c r="D94" i="94"/>
  <c r="E94" i="94"/>
  <c r="E95" i="94"/>
  <c r="D96" i="94"/>
  <c r="E96" i="94"/>
  <c r="D97" i="94"/>
  <c r="E97" i="94"/>
  <c r="D98" i="94"/>
  <c r="E98" i="94"/>
  <c r="E99" i="94"/>
  <c r="D102" i="94"/>
  <c r="D103" i="94"/>
  <c r="D104" i="94"/>
  <c r="E104" i="94"/>
  <c r="E105" i="94"/>
  <c r="D106" i="94"/>
  <c r="E106" i="94"/>
  <c r="D107" i="94"/>
  <c r="E107" i="94"/>
  <c r="D109" i="94"/>
  <c r="E109" i="94"/>
  <c r="D112" i="94"/>
  <c r="D113" i="94"/>
  <c r="D114" i="94"/>
  <c r="D115" i="94"/>
  <c r="D117" i="94"/>
  <c r="D118" i="94"/>
  <c r="D120" i="94"/>
  <c r="D126" i="94"/>
  <c r="E128" i="94"/>
  <c r="D128" i="94"/>
  <c r="D130" i="94"/>
  <c r="D133" i="94"/>
  <c r="D135" i="94"/>
  <c r="D137" i="94"/>
  <c r="D139" i="94"/>
  <c r="D140" i="94"/>
  <c r="D141" i="94"/>
  <c r="D144" i="94"/>
  <c r="D145" i="94"/>
  <c r="D147" i="94"/>
  <c r="D148" i="94"/>
  <c r="E148" i="94"/>
  <c r="D149" i="94"/>
  <c r="E149" i="94"/>
  <c r="D150" i="94"/>
  <c r="E150" i="94"/>
  <c r="D151" i="94"/>
  <c r="E151" i="94"/>
  <c r="D152" i="94"/>
  <c r="E152" i="94"/>
  <c r="D153" i="94"/>
  <c r="E153" i="94"/>
  <c r="D154" i="94"/>
  <c r="E154" i="94"/>
  <c r="D155" i="94"/>
  <c r="E155" i="94"/>
  <c r="D156" i="94"/>
  <c r="E156" i="94"/>
  <c r="D157" i="94"/>
  <c r="E157" i="94"/>
  <c r="D158" i="94"/>
  <c r="E158" i="94"/>
  <c r="D159" i="94"/>
  <c r="E159" i="94"/>
  <c r="D160" i="94"/>
  <c r="E160" i="94"/>
  <c r="D161" i="94"/>
  <c r="E161" i="94"/>
  <c r="D162" i="94"/>
  <c r="E162" i="94"/>
  <c r="A3" i="93"/>
  <c r="E7" i="93"/>
  <c r="A10" i="93"/>
  <c r="A11" i="93" s="1"/>
  <c r="A12" i="93" s="1"/>
  <c r="A13" i="93" s="1"/>
  <c r="A14" i="93" s="1"/>
  <c r="A15" i="93" s="1"/>
  <c r="A16" i="93" s="1"/>
  <c r="A17" i="93" s="1"/>
  <c r="A18" i="93" s="1"/>
  <c r="A19" i="93" s="1"/>
  <c r="A20" i="93" s="1"/>
  <c r="A21" i="93" s="1"/>
  <c r="A22" i="93" s="1"/>
  <c r="A23" i="93" s="1"/>
  <c r="A24" i="93" s="1"/>
  <c r="A25" i="93" s="1"/>
  <c r="A26" i="93" s="1"/>
  <c r="A27" i="93" s="1"/>
  <c r="A28" i="93" s="1"/>
  <c r="A29" i="93" s="1"/>
  <c r="A30" i="93" s="1"/>
  <c r="A31" i="93" s="1"/>
  <c r="A32" i="93" s="1"/>
  <c r="A33" i="93" s="1"/>
  <c r="A34" i="93" s="1"/>
  <c r="A35" i="93" s="1"/>
  <c r="A36" i="93" s="1"/>
  <c r="A37" i="93" s="1"/>
  <c r="A38" i="93" s="1"/>
  <c r="A39" i="93" s="1"/>
  <c r="A40" i="93" s="1"/>
  <c r="A41" i="93" s="1"/>
  <c r="A42" i="93" s="1"/>
  <c r="A43" i="93" s="1"/>
  <c r="A44" i="93" s="1"/>
  <c r="A45" i="93" s="1"/>
  <c r="A46" i="93" s="1"/>
  <c r="A47" i="93" s="1"/>
  <c r="A48" i="93" s="1"/>
  <c r="A49" i="93" s="1"/>
  <c r="A50" i="93" s="1"/>
  <c r="A51" i="93" s="1"/>
  <c r="A52" i="93" s="1"/>
  <c r="A53" i="93" s="1"/>
  <c r="A54" i="93" s="1"/>
  <c r="A55" i="93" s="1"/>
  <c r="A56" i="93" s="1"/>
  <c r="A57" i="93" s="1"/>
  <c r="A58" i="93" s="1"/>
  <c r="A59" i="93" s="1"/>
  <c r="A60" i="93" s="1"/>
  <c r="A61" i="93" s="1"/>
  <c r="A62" i="93" s="1"/>
  <c r="A63" i="93" s="1"/>
  <c r="A64" i="93" s="1"/>
  <c r="A65" i="93" s="1"/>
  <c r="A66" i="93" s="1"/>
  <c r="A67" i="93" s="1"/>
  <c r="A68" i="93" s="1"/>
  <c r="A69" i="93" s="1"/>
  <c r="A70" i="93" s="1"/>
  <c r="D10" i="93"/>
  <c r="C13" i="93"/>
  <c r="C45" i="93" s="1"/>
  <c r="D13" i="93"/>
  <c r="F13" i="93"/>
  <c r="C14" i="93"/>
  <c r="C46" i="93" s="1"/>
  <c r="D14" i="93"/>
  <c r="C15" i="93"/>
  <c r="C47" i="93" s="1"/>
  <c r="D15" i="93"/>
  <c r="C16" i="93"/>
  <c r="C48" i="93" s="1"/>
  <c r="D16" i="93"/>
  <c r="C20" i="93"/>
  <c r="C52" i="93" s="1"/>
  <c r="D20" i="93"/>
  <c r="C21" i="93"/>
  <c r="C53" i="93" s="1"/>
  <c r="D21" i="93"/>
  <c r="C22" i="93"/>
  <c r="C54" i="93" s="1"/>
  <c r="D22" i="93"/>
  <c r="C26" i="93"/>
  <c r="C58" i="93" s="1"/>
  <c r="D26" i="93"/>
  <c r="C27" i="93"/>
  <c r="C59" i="93" s="1"/>
  <c r="D27" i="93"/>
  <c r="C30" i="93"/>
  <c r="C62" i="93" s="1"/>
  <c r="C31" i="93"/>
  <c r="C63" i="93" s="1"/>
  <c r="C32" i="93"/>
  <c r="C64" i="93" s="1"/>
  <c r="D32" i="93"/>
  <c r="B42" i="93"/>
  <c r="B44" i="93"/>
  <c r="B45" i="93"/>
  <c r="B46" i="93"/>
  <c r="B47" i="93"/>
  <c r="B48" i="93"/>
  <c r="B51" i="93"/>
  <c r="B52" i="93"/>
  <c r="B53" i="93"/>
  <c r="B54" i="93"/>
  <c r="B57" i="93"/>
  <c r="B58" i="93"/>
  <c r="B59" i="93"/>
  <c r="B62" i="93"/>
  <c r="B63" i="93"/>
  <c r="B64" i="93"/>
  <c r="B66" i="93"/>
  <c r="B68" i="93"/>
  <c r="C68" i="93"/>
  <c r="A3" i="94" l="1"/>
  <c r="A3" i="97"/>
  <c r="E145" i="94"/>
  <c r="E134" i="94"/>
  <c r="E139" i="94"/>
  <c r="E133" i="94"/>
  <c r="E127" i="94"/>
  <c r="E137" i="94"/>
  <c r="E131" i="94"/>
  <c r="E144" i="94"/>
  <c r="E142" i="94"/>
  <c r="E130" i="94"/>
  <c r="E141" i="94"/>
  <c r="E136" i="94"/>
  <c r="E135" i="94"/>
  <c r="E129" i="94"/>
  <c r="E140" i="94"/>
  <c r="E33" i="94"/>
  <c r="E35" i="94"/>
  <c r="E38" i="94"/>
  <c r="J37" i="95"/>
  <c r="A42" i="95"/>
  <c r="A43" i="95" s="1"/>
  <c r="A44" i="95" s="1"/>
  <c r="A45" i="95" s="1"/>
  <c r="A46" i="95" s="1"/>
  <c r="A47" i="95" s="1"/>
  <c r="A48" i="95" s="1"/>
  <c r="A49" i="95" s="1"/>
  <c r="B67" i="98"/>
  <c r="B65" i="98"/>
  <c r="B68" i="98" s="1"/>
  <c r="B69" i="98" s="1"/>
  <c r="B70" i="98" s="1"/>
  <c r="B71" i="98" s="1"/>
  <c r="B72" i="98" s="1"/>
  <c r="B73" i="98" s="1"/>
  <c r="B74" i="98" s="1"/>
  <c r="B75" i="98" s="1"/>
  <c r="B76" i="98" s="1"/>
  <c r="B37" i="98"/>
  <c r="B41" i="98"/>
  <c r="B88" i="98"/>
  <c r="B91" i="98" s="1"/>
  <c r="B92" i="98" s="1"/>
  <c r="B93" i="98" s="1"/>
  <c r="B94" i="98" s="1"/>
  <c r="B95" i="98" s="1"/>
  <c r="B96" i="98" s="1"/>
  <c r="B97" i="98" s="1"/>
  <c r="B98" i="98" s="1"/>
  <c r="B99" i="98" s="1"/>
  <c r="B90" i="98"/>
  <c r="D134" i="94"/>
  <c r="D74" i="94"/>
  <c r="D66" i="94"/>
  <c r="D68" i="94"/>
  <c r="D70" i="94"/>
  <c r="D136" i="94"/>
  <c r="D131" i="94"/>
  <c r="D127" i="94"/>
  <c r="D85" i="94"/>
  <c r="D81" i="94"/>
  <c r="D45" i="94"/>
  <c r="E32" i="94"/>
  <c r="E37" i="94"/>
  <c r="E34" i="94"/>
  <c r="E36" i="94"/>
  <c r="F31" i="93"/>
  <c r="B42" i="98" l="1"/>
  <c r="B38" i="98"/>
  <c r="B39" i="98" l="1"/>
  <c r="B44" i="98" s="1"/>
  <c r="B45" i="98" s="1"/>
  <c r="B46" i="98" s="1"/>
  <c r="B47" i="98" s="1"/>
  <c r="B43" i="98"/>
  <c r="F77" i="98" l="1"/>
  <c r="F29" i="98"/>
  <c r="E36" i="93"/>
  <c r="E31" i="93"/>
  <c r="E30" i="93"/>
  <c r="F44" i="95"/>
  <c r="K31" i="95"/>
  <c r="L31" i="95" s="1"/>
  <c r="M31" i="95" s="1"/>
  <c r="K21" i="95"/>
  <c r="L21" i="95" s="1"/>
  <c r="M21" i="95" s="1"/>
  <c r="E22" i="93"/>
  <c r="K20" i="95"/>
  <c r="L20" i="95" s="1"/>
  <c r="M20" i="95" s="1"/>
  <c r="E21" i="93"/>
  <c r="K19" i="95"/>
  <c r="E20" i="93"/>
  <c r="H29" i="98" l="1"/>
  <c r="D28" i="94"/>
  <c r="H77" i="98"/>
  <c r="D77" i="94"/>
  <c r="K35" i="95"/>
  <c r="L35" i="95" s="1"/>
  <c r="M35" i="95" s="1"/>
  <c r="K29" i="95"/>
  <c r="L29" i="95" s="1"/>
  <c r="M29" i="95" s="1"/>
  <c r="K33" i="95"/>
  <c r="L33" i="95" s="1"/>
  <c r="M33" i="95" s="1"/>
  <c r="E32" i="93"/>
  <c r="L19" i="95"/>
  <c r="K22" i="95"/>
  <c r="K14" i="95"/>
  <c r="L14" i="95" s="1"/>
  <c r="M14" i="95" s="1"/>
  <c r="E15" i="93"/>
  <c r="E13" i="93"/>
  <c r="K12" i="95"/>
  <c r="K9" i="95"/>
  <c r="G44" i="95"/>
  <c r="G45" i="95" s="1"/>
  <c r="G46" i="95" s="1"/>
  <c r="E10" i="93"/>
  <c r="H165" i="98" l="1"/>
  <c r="H167" i="98" s="1"/>
  <c r="K26" i="95"/>
  <c r="L26" i="95" s="1"/>
  <c r="M26" i="95" s="1"/>
  <c r="E27" i="93"/>
  <c r="K25" i="95"/>
  <c r="E26" i="93"/>
  <c r="M19" i="95"/>
  <c r="L22" i="95"/>
  <c r="M22" i="95" s="1"/>
  <c r="K13" i="95"/>
  <c r="L13" i="95" s="1"/>
  <c r="M13" i="95" s="1"/>
  <c r="E14" i="93"/>
  <c r="K15" i="95"/>
  <c r="L15" i="95" s="1"/>
  <c r="M15" i="95" s="1"/>
  <c r="E16" i="93"/>
  <c r="L12" i="95"/>
  <c r="L9" i="95"/>
  <c r="C10" i="93"/>
  <c r="C42" i="93" s="1"/>
  <c r="L25" i="95" l="1"/>
  <c r="K27" i="95"/>
  <c r="K16" i="95"/>
  <c r="M12" i="95"/>
  <c r="L16" i="95"/>
  <c r="M16" i="95" s="1"/>
  <c r="M9" i="95"/>
  <c r="K37" i="95" l="1"/>
  <c r="M25" i="95"/>
  <c r="L27" i="95"/>
  <c r="M27" i="95" s="1"/>
  <c r="L37" i="95" l="1"/>
  <c r="M37" i="95" s="1"/>
</calcChain>
</file>

<file path=xl/sharedStrings.xml><?xml version="1.0" encoding="utf-8"?>
<sst xmlns="http://schemas.openxmlformats.org/spreadsheetml/2006/main" count="648" uniqueCount="219">
  <si>
    <t>Line No.</t>
  </si>
  <si>
    <t>Schedule</t>
  </si>
  <si>
    <t>Residential</t>
  </si>
  <si>
    <t>Total High Voltage</t>
  </si>
  <si>
    <t>50-59</t>
  </si>
  <si>
    <t>Total</t>
  </si>
  <si>
    <t>Lamp Type</t>
  </si>
  <si>
    <t>Mercury Vapor</t>
  </si>
  <si>
    <t>Sodium Vapor</t>
  </si>
  <si>
    <t>Wattage (W)</t>
  </si>
  <si>
    <t>003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</si>
  <si>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</si>
  <si>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</si>
  <si>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</si>
  <si>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</si>
  <si>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</si>
  <si>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</si>
  <si>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</si>
  <si>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</si>
  <si>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</si>
  <si>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</si>
  <si>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</si>
  <si>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</si>
  <si>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 xml:space="preserve">52E </t>
  </si>
  <si>
    <t>Metal Halide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</si>
  <si>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</si>
  <si>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</si>
  <si>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</si>
  <si>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</si>
  <si>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</si>
  <si>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</si>
  <si>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</si>
  <si>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</si>
  <si>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</si>
  <si>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</si>
  <si>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</si>
  <si>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</si>
  <si>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</si>
  <si>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</si>
  <si>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</si>
  <si>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</si>
  <si>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Basic Charge</t>
  </si>
  <si>
    <t>First 600 kWh</t>
  </si>
  <si>
    <t>Over 600 kWh</t>
  </si>
  <si>
    <t>Smart LED</t>
  </si>
  <si>
    <t>0 - 30</t>
  </si>
  <si>
    <t>Subtotal</t>
  </si>
  <si>
    <t>Compact Flourescent</t>
  </si>
  <si>
    <t>50E</t>
  </si>
  <si>
    <t>0-30</t>
  </si>
  <si>
    <t>30 - 60</t>
  </si>
  <si>
    <t>Per kWh - All Lamps</t>
  </si>
  <si>
    <t>53E</t>
  </si>
  <si>
    <t>PUGET SOUND ENERGY</t>
  </si>
  <si>
    <t>a</t>
  </si>
  <si>
    <t>c</t>
  </si>
  <si>
    <t>Tariff Reference</t>
  </si>
  <si>
    <t>Voltage Level</t>
  </si>
  <si>
    <t>b</t>
  </si>
  <si>
    <t>d</t>
  </si>
  <si>
    <t>Secondary Voltage</t>
  </si>
  <si>
    <t>Total Secondary Voltage</t>
  </si>
  <si>
    <t>Primary Voltage</t>
  </si>
  <si>
    <t>General Service</t>
  </si>
  <si>
    <t>Total Primary Voltage</t>
  </si>
  <si>
    <t>Lighting</t>
  </si>
  <si>
    <t>Firm Resale</t>
  </si>
  <si>
    <t>cross check</t>
  </si>
  <si>
    <t>58E &amp; 59E - LED</t>
  </si>
  <si>
    <t>58E &amp; 59E - Horizontal Metal Halide</t>
  </si>
  <si>
    <t>58E &amp; 59E - Directional Metal Halide</t>
  </si>
  <si>
    <t>58E &amp; 59E - Horizontal Sodium Vapor</t>
  </si>
  <si>
    <t>58E &amp; 59E - Directional Sodium Vapor</t>
  </si>
  <si>
    <t>per W charge</t>
  </si>
  <si>
    <t>55E &amp; 56E - LED</t>
  </si>
  <si>
    <t>55E &amp; 56E - Metal Halide</t>
  </si>
  <si>
    <t>55E &amp; 56E - Sodium Vapor</t>
  </si>
  <si>
    <t>Sch 55 &amp; Sch 56</t>
  </si>
  <si>
    <t>54E - LED</t>
  </si>
  <si>
    <t>54E - Sodium Vapor</t>
  </si>
  <si>
    <t>Sch 54</t>
  </si>
  <si>
    <t>per kWh</t>
  </si>
  <si>
    <t>53S - Smart LED</t>
  </si>
  <si>
    <t>53E - LED</t>
  </si>
  <si>
    <t>53E - Metal Halide</t>
  </si>
  <si>
    <t>53E - Sodium Vapor</t>
  </si>
  <si>
    <t>Sch 53</t>
  </si>
  <si>
    <t>52E  - Metal Halide</t>
  </si>
  <si>
    <t>52E  - Sodium Vapor</t>
  </si>
  <si>
    <t>Sch 52</t>
  </si>
  <si>
    <t>51S - Smart LED</t>
  </si>
  <si>
    <t>51E - LED</t>
  </si>
  <si>
    <t>Sch 51</t>
  </si>
  <si>
    <t>50E - Mercury Vapor</t>
  </si>
  <si>
    <t>003 - Compact Flourescent</t>
  </si>
  <si>
    <t>Sch 50</t>
  </si>
  <si>
    <t xml:space="preserve"> </t>
  </si>
  <si>
    <t>Proposed Rates</t>
  </si>
  <si>
    <t>Wattage</t>
  </si>
  <si>
    <t>Schedule &amp; Charge Type</t>
  </si>
  <si>
    <t>Street Lighting Rates</t>
  </si>
  <si>
    <t>Demand</t>
  </si>
  <si>
    <t>Total Retail Sales</t>
  </si>
  <si>
    <t>Special Contracts</t>
  </si>
  <si>
    <t>Choice / Retail Wheeling</t>
  </si>
  <si>
    <t>Interruptible Service</t>
  </si>
  <si>
    <t>High Voltage</t>
  </si>
  <si>
    <t>All Electric Schools</t>
  </si>
  <si>
    <t>Irrigation &amp; Pumping Service</t>
  </si>
  <si>
    <t>Irrigation &amp; Pumping Service: Demand &gt; 50 kW but &lt;= 350 kW</t>
  </si>
  <si>
    <t>Large General Service: Demand &gt; 350 kW</t>
  </si>
  <si>
    <t>Small General Service: Demand &gt; 50 kW but &lt;= 350 kW</t>
  </si>
  <si>
    <t>General Service: Demand &lt;= 50 kW</t>
  </si>
  <si>
    <t>Energy</t>
  </si>
  <si>
    <t>f</t>
  </si>
  <si>
    <t xml:space="preserve">Current Rates </t>
  </si>
  <si>
    <t>Rate Schedule</t>
  </si>
  <si>
    <t xml:space="preserve">Note [1]: Rate for Street Lighting (Sch. 03, 50-59) displayed in energy determinates (kWh). Proposed Lighting tariff rates are detailed on the "Lighting Rates" tab.
</t>
  </si>
  <si>
    <t>Proposed</t>
  </si>
  <si>
    <t>Current</t>
  </si>
  <si>
    <t>Current Bill</t>
  </si>
  <si>
    <t>Pass-Thru Trackers</t>
  </si>
  <si>
    <t>Typical Residential Bill at 800 kWh</t>
  </si>
  <si>
    <t>Residential Bill Impacts</t>
  </si>
  <si>
    <t>g = f / d</t>
  </si>
  <si>
    <t>f = e - d</t>
  </si>
  <si>
    <t>e = a * (c - b) + d</t>
  </si>
  <si>
    <t>Projected Rate-Year
Revenue Impacts
from Proposed Rate Changes</t>
  </si>
  <si>
    <t>Total Projected Revenue
@ Proposed Rates</t>
  </si>
  <si>
    <t>Total Projected Revenue
 @ Current Rates</t>
  </si>
  <si>
    <t>Proposed Rate</t>
  </si>
  <si>
    <r>
      <t xml:space="preserve">Current Rate </t>
    </r>
    <r>
      <rPr>
        <b/>
        <vertAlign val="superscript"/>
        <sz val="8"/>
        <rFont val="Arial"/>
        <family val="2"/>
      </rPr>
      <t>[2]</t>
    </r>
  </si>
  <si>
    <t>Customer Class</t>
  </si>
  <si>
    <t>Projected Schedule Revenue Impacts of Rate Change by Forecasted Energy</t>
  </si>
  <si>
    <t>Note [2]: Utilizes lamp inventory from February 2024</t>
  </si>
  <si>
    <t>Note [1]: Utilizes the allocation factor as approved in the Lighting COS Model from the 2022 GRC (Docket No. UE-220066).</t>
  </si>
  <si>
    <t>Scaling Factor [SF]</t>
  </si>
  <si>
    <t>Variance</t>
  </si>
  <si>
    <t>Lighting Allocation of Revenue Requirement</t>
  </si>
  <si>
    <t>Proposed Lighting Revenue</t>
  </si>
  <si>
    <t>53S</t>
  </si>
  <si>
    <t>51S</t>
  </si>
  <si>
    <t>g = e * f</t>
  </si>
  <si>
    <t>e</t>
  </si>
  <si>
    <t>Proposed Lamp Revenue</t>
  </si>
  <si>
    <r>
      <t>Lamp Inventory (Annualized)</t>
    </r>
    <r>
      <rPr>
        <b/>
        <vertAlign val="superscript"/>
        <sz val="8"/>
        <rFont val="Arial"/>
        <family val="2"/>
      </rPr>
      <t xml:space="preserve"> [2]</t>
    </r>
  </si>
  <si>
    <t>Proposed Lamp Charge</t>
  </si>
  <si>
    <r>
      <t>Combined Energy &amp; Demand Allocation</t>
    </r>
    <r>
      <rPr>
        <b/>
        <vertAlign val="superscript"/>
        <sz val="8"/>
        <rFont val="Arial"/>
        <family val="2"/>
      </rPr>
      <t xml:space="preserve"> [1]</t>
    </r>
  </si>
  <si>
    <t>Lamp Level Rate Design</t>
  </si>
  <si>
    <t>Forecasted Rate Year End Date</t>
  </si>
  <si>
    <t>Forecasted Rate Year Start Date</t>
  </si>
  <si>
    <t>F2024</t>
  </si>
  <si>
    <t>Budget Forecast</t>
  </si>
  <si>
    <t>Proposed Rider Rate Effective Start Date</t>
  </si>
  <si>
    <t>Note 1: Utilizes the allocation factor as approved in the ECOS Model from the 2022 GRC (Docket No. UE-220066).</t>
  </si>
  <si>
    <r>
      <t xml:space="preserve">Lighting </t>
    </r>
    <r>
      <rPr>
        <b/>
        <vertAlign val="superscript"/>
        <sz val="8"/>
        <rFont val="Arial"/>
        <family val="2"/>
      </rPr>
      <t>[1]</t>
    </r>
  </si>
  <si>
    <t>See "Lighting Rates" tab</t>
  </si>
  <si>
    <t>Schedule 137 Temporary Charge or Credit</t>
  </si>
  <si>
    <t>Sch 137 Tariff Reference</t>
  </si>
  <si>
    <t>Sheet No. 137-A</t>
  </si>
  <si>
    <t>Sheet No. 137-B</t>
  </si>
  <si>
    <t>Sheet No. 137-C</t>
  </si>
  <si>
    <t>Sheet No. 137-G</t>
  </si>
  <si>
    <t>Sheet No. 137-D</t>
  </si>
  <si>
    <t>Sheet No. 137-E</t>
  </si>
  <si>
    <t>Sheet No. 137-F</t>
  </si>
  <si>
    <t>Sheet No. 137-H</t>
  </si>
  <si>
    <t>Schedules</t>
  </si>
  <si>
    <t>Energy Allocator (Energy2)</t>
  </si>
  <si>
    <r>
      <rPr>
        <b/>
        <sz val="8"/>
        <color rgb="FF0033CC"/>
        <rFont val="Arial"/>
        <family val="2"/>
      </rPr>
      <t xml:space="preserve">2022 GRC </t>
    </r>
    <r>
      <rPr>
        <b/>
        <sz val="8"/>
        <rFont val="Arial"/>
        <family val="2"/>
      </rPr>
      <t>Renewable Peak Credit Energy Component</t>
    </r>
  </si>
  <si>
    <t>Weighted Energy Allocator</t>
  </si>
  <si>
    <r>
      <rPr>
        <b/>
        <sz val="8"/>
        <color rgb="FF0033CC"/>
        <rFont val="Arial"/>
        <family val="2"/>
      </rPr>
      <t xml:space="preserve">2022 GRC </t>
    </r>
    <r>
      <rPr>
        <b/>
        <sz val="8"/>
        <rFont val="Arial"/>
        <family val="2"/>
      </rPr>
      <t xml:space="preserve">12CP Demand
Allocator (DEM-1B)
</t>
    </r>
  </si>
  <si>
    <t>Demand Allocator</t>
  </si>
  <si>
    <r>
      <rPr>
        <b/>
        <sz val="8"/>
        <color rgb="FF0033CC"/>
        <rFont val="Arial"/>
        <family val="2"/>
      </rPr>
      <t xml:space="preserve">2022 GRC </t>
    </r>
    <r>
      <rPr>
        <b/>
        <sz val="8"/>
        <rFont val="Arial"/>
        <family val="2"/>
      </rPr>
      <t>Renewable Peak Credit Demand Component</t>
    </r>
  </si>
  <si>
    <t>Weighted Demand Allocator</t>
  </si>
  <si>
    <t>Total Weighted Allocation</t>
  </si>
  <si>
    <t>REC Revenue Requirement</t>
  </si>
  <si>
    <t>Schedule Revenue Requirement</t>
  </si>
  <si>
    <t>b = a / ∑(a)</t>
  </si>
  <si>
    <t>d = b * c</t>
  </si>
  <si>
    <t>f = e / ∑(e)</t>
  </si>
  <si>
    <t>h = f * g</t>
  </si>
  <si>
    <t>i = d + h</t>
  </si>
  <si>
    <t>j</t>
  </si>
  <si>
    <t>k = 
i * j</t>
  </si>
  <si>
    <t>l</t>
  </si>
  <si>
    <t>m = 
k / l</t>
  </si>
  <si>
    <t>Sec Gen Svc - Small</t>
  </si>
  <si>
    <t>8/24</t>
  </si>
  <si>
    <t>Sec Gen Svc - Medium</t>
  </si>
  <si>
    <t>7A/11/25</t>
  </si>
  <si>
    <t>Sec Gen Svc - Large</t>
  </si>
  <si>
    <t>12/26</t>
  </si>
  <si>
    <t>Sec Irrigation Svc</t>
  </si>
  <si>
    <t>Pri Gen Svc</t>
  </si>
  <si>
    <t>10/31</t>
  </si>
  <si>
    <t>Pri Irrigation Svc</t>
  </si>
  <si>
    <t>Pri Interruptible Svc</t>
  </si>
  <si>
    <t>HV - Interruptible Svc</t>
  </si>
  <si>
    <t>HV - General Svc</t>
  </si>
  <si>
    <t>Lights</t>
  </si>
  <si>
    <t>Firm Resale - Small</t>
  </si>
  <si>
    <t>Transportation</t>
  </si>
  <si>
    <t>449-459-SC</t>
  </si>
  <si>
    <r>
      <rPr>
        <b/>
        <sz val="8"/>
        <color rgb="FF0033CC"/>
        <rFont val="Arial"/>
        <family val="2"/>
      </rPr>
      <t xml:space="preserve">2022 GRC </t>
    </r>
    <r>
      <rPr>
        <b/>
        <sz val="8"/>
        <rFont val="Arial"/>
        <family val="2"/>
      </rPr>
      <t>Temperature Adjusted Annual Energy Allocation (Note 1)</t>
    </r>
  </si>
  <si>
    <t>Allocation of Revenue Requirement to Rate Schedule  137</t>
  </si>
  <si>
    <r>
      <t xml:space="preserve">$ per kWh Proposed Eff </t>
    </r>
    <r>
      <rPr>
        <b/>
        <sz val="8"/>
        <color rgb="FF0033CC"/>
        <rFont val="Arial"/>
        <family val="2"/>
      </rPr>
      <t>1-1-25</t>
    </r>
  </si>
  <si>
    <r>
      <rPr>
        <b/>
        <sz val="8"/>
        <color rgb="FF0033CC"/>
        <rFont val="Arial"/>
        <family val="2"/>
      </rPr>
      <t>F2024</t>
    </r>
    <r>
      <rPr>
        <b/>
        <sz val="8"/>
        <rFont val="Arial"/>
        <family val="2"/>
      </rPr>
      <t xml:space="preserve">
Forecast
kWh
</t>
    </r>
    <r>
      <rPr>
        <b/>
        <sz val="8"/>
        <color rgb="FF0033CC"/>
        <rFont val="Arial"/>
        <family val="2"/>
      </rPr>
      <t>1/25 to 12/25</t>
    </r>
  </si>
  <si>
    <t>Note [2]: Ref. UE-230984</t>
  </si>
  <si>
    <t>c = 20%</t>
  </si>
  <si>
    <t>g = 80%</t>
  </si>
  <si>
    <t>7 (307) (317) (327)</t>
  </si>
  <si>
    <t>08 (24) (324)</t>
  </si>
  <si>
    <t>7A (11) (25)</t>
  </si>
  <si>
    <t>12 (26) (26P)</t>
  </si>
  <si>
    <t>10 (31)</t>
  </si>
  <si>
    <t>448 - 459</t>
  </si>
  <si>
    <t>Special Contract</t>
  </si>
  <si>
    <t>50 - 59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</si>
</sst>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0.000000"/>
    <numFmt numFmtId="168" formatCode="_(&quot;$&quot;* #,##0.00000_);_(&quot;$&quot;* \(#,##0.00000\);_(&quot;$&quot;* &quot;-&quot;??_);_(@_)"/>
    <numFmt numFmtId="169" formatCode="_(* #,##0.000000_);_(* \(#,##0.000000\);_(* &quot;-&quot;??_);_(@_)"/>
    <numFmt numFmtId="170" formatCode="#,##0&quot;  kWh&quot;"/>
    <numFmt numFmtId="171" formatCode="m/d/yy;@"/>
    <numFmt numFmtId="172" formatCode="0.0000\ \¢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8080"/>
      <name val="Arial"/>
      <family val="2"/>
    </font>
    <font>
      <b/>
      <sz val="8"/>
      <color rgb="FF0033CC"/>
      <name val="Arial"/>
      <family val="2"/>
    </font>
    <font>
      <sz val="12"/>
      <name val="Times New Roman"/>
      <family val="1"/>
    </font>
    <font>
      <b/>
      <i/>
      <sz val="8"/>
      <color rgb="FF0000FF"/>
      <name val="Arial"/>
      <family val="2"/>
    </font>
    <font>
      <sz val="10"/>
      <name val="Arial"/>
      <family val="2"/>
    </font>
    <font>
      <sz val="8"/>
      <color rgb="FF0033CC"/>
      <name val="Arial"/>
      <family val="2"/>
    </font>
    <font>
      <b/>
      <sz val="8"/>
      <color rgb="FF0000FF"/>
      <name val="Arial"/>
      <family val="2"/>
    </font>
    <font>
      <sz val="11"/>
      <color rgb="FF0033CC"/>
      <name val="Calibri"/>
      <family val="2"/>
      <scheme val="minor"/>
    </font>
    <font>
      <b/>
      <sz val="11"/>
      <color rgb="FF008080"/>
      <name val="Calibri"/>
      <family val="2"/>
      <scheme val="minor"/>
    </font>
    <font>
      <sz val="12"/>
      <name val="Times New Roman"/>
      <family val="1"/>
    </font>
    <font>
      <u/>
      <sz val="8"/>
      <name val="Arial"/>
      <family val="2"/>
    </font>
    <font>
      <sz val="12"/>
      <name val="Times New Roman"/>
    </font>
    <font>
      <b/>
      <u val="singleAccounting"/>
      <sz val="8"/>
      <name val="Arial"/>
      <family val="2"/>
    </font>
    <font>
      <sz val="10"/>
      <name val="Arial"/>
    </font>
    <font>
      <sz val="8"/>
      <color theme="0" tint="-0.499984740745262"/>
      <name val="Arial"/>
      <family val="2"/>
    </font>
    <font>
      <u/>
      <sz val="8"/>
      <color theme="0" tint="-0.499984740745262"/>
      <name val="Arial"/>
      <family val="2"/>
    </font>
    <font>
      <u val="singleAccounting"/>
      <sz val="8"/>
      <name val="Arial"/>
      <family val="2"/>
    </font>
    <font>
      <b/>
      <vertAlign val="superscript"/>
      <sz val="8"/>
      <name val="Arial"/>
      <family val="2"/>
    </font>
    <font>
      <u val="singleAccounting"/>
      <sz val="8"/>
      <color rgb="FF0033CC"/>
      <name val="Arial"/>
      <family val="2"/>
    </font>
    <font>
      <u val="singleAccounting"/>
      <sz val="8"/>
      <color rgb="FF008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167" fontId="3" fillId="0" borderId="0">
      <alignment horizontal="left" wrapText="1"/>
    </xf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>
      <alignment horizontal="left" wrapText="1"/>
    </xf>
    <xf numFmtId="9" fontId="1" fillId="0" borderId="0" applyFont="0" applyFill="0" applyBorder="0" applyAlignment="0" applyProtection="0"/>
    <xf numFmtId="0" fontId="13" fillId="0" borderId="0"/>
    <xf numFmtId="0" fontId="15" fillId="0" borderId="0"/>
    <xf numFmtId="0" fontId="2" fillId="0" borderId="0"/>
    <xf numFmtId="0" fontId="20" fillId="0" borderId="0"/>
    <xf numFmtId="44" fontId="13" fillId="0" borderId="0" applyFont="0" applyFill="0" applyBorder="0" applyAlignment="0" applyProtection="0"/>
    <xf numFmtId="0" fontId="22" fillId="0" borderId="0"/>
    <xf numFmtId="43" fontId="13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4" fillId="0" borderId="0"/>
    <xf numFmtId="0" fontId="13" fillId="0" borderId="0"/>
    <xf numFmtId="0" fontId="1" fillId="0" borderId="0"/>
  </cellStyleXfs>
  <cellXfs count="278">
    <xf numFmtId="0" fontId="0" fillId="0" borderId="0" xfId="0"/>
    <xf numFmtId="0" fontId="4" fillId="0" borderId="0" xfId="5" applyFont="1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0" fontId="5" fillId="0" borderId="0" xfId="5" applyFont="1"/>
    <xf numFmtId="0" fontId="5" fillId="0" borderId="0" xfId="5" quotePrefix="1" applyFont="1" applyAlignment="1">
      <alignment horizontal="left"/>
    </xf>
    <xf numFmtId="0" fontId="5" fillId="0" borderId="0" xfId="5" applyFont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0" fontId="5" fillId="0" borderId="0" xfId="5" quotePrefix="1" applyFont="1" applyAlignment="1">
      <alignment horizontal="center"/>
    </xf>
    <xf numFmtId="0" fontId="5" fillId="0" borderId="0" xfId="5" applyFont="1" applyAlignment="1">
      <alignment horizontal="center"/>
    </xf>
    <xf numFmtId="164" fontId="5" fillId="0" borderId="0" xfId="5" applyNumberFormat="1" applyFont="1"/>
    <xf numFmtId="0" fontId="5" fillId="0" borderId="0" xfId="14" applyFont="1"/>
    <xf numFmtId="164" fontId="5" fillId="0" borderId="0" xfId="14" applyNumberFormat="1" applyFont="1"/>
    <xf numFmtId="165" fontId="5" fillId="0" borderId="0" xfId="14" applyNumberFormat="1" applyFont="1"/>
    <xf numFmtId="44" fontId="5" fillId="0" borderId="0" xfId="14" applyNumberFormat="1" applyFont="1"/>
    <xf numFmtId="0" fontId="14" fillId="0" borderId="0" xfId="14" applyFont="1"/>
    <xf numFmtId="41" fontId="11" fillId="0" borderId="0" xfId="14" applyNumberFormat="1" applyFont="1"/>
    <xf numFmtId="0" fontId="6" fillId="0" borderId="0" xfId="14" applyFont="1"/>
    <xf numFmtId="0" fontId="6" fillId="0" borderId="0" xfId="14" applyFont="1" applyAlignment="1">
      <alignment horizontal="center"/>
    </xf>
    <xf numFmtId="0" fontId="5" fillId="0" borderId="0" xfId="5" applyFont="1" applyAlignment="1">
      <alignment vertical="top"/>
    </xf>
    <xf numFmtId="0" fontId="5" fillId="0" borderId="0" xfId="5" applyFont="1" applyAlignment="1">
      <alignment horizontal="center" vertical="center" wrapText="1"/>
    </xf>
    <xf numFmtId="44" fontId="11" fillId="0" borderId="0" xfId="5" applyNumberFormat="1" applyFont="1"/>
    <xf numFmtId="164" fontId="5" fillId="0" borderId="0" xfId="5" applyNumberFormat="1" applyFont="1" applyAlignment="1">
      <alignment horizontal="center"/>
    </xf>
    <xf numFmtId="164" fontId="5" fillId="0" borderId="0" xfId="5" quotePrefix="1" applyNumberFormat="1" applyFont="1" applyAlignment="1">
      <alignment horizontal="center"/>
    </xf>
    <xf numFmtId="0" fontId="16" fillId="0" borderId="0" xfId="5" quotePrefix="1" applyFont="1" applyAlignment="1">
      <alignment horizontal="center"/>
    </xf>
    <xf numFmtId="0" fontId="16" fillId="0" borderId="0" xfId="5" applyFont="1" applyAlignment="1">
      <alignment horizontal="center"/>
    </xf>
    <xf numFmtId="164" fontId="5" fillId="0" borderId="0" xfId="5" applyNumberFormat="1" applyFont="1" applyAlignment="1">
      <alignment horizontal="left"/>
    </xf>
    <xf numFmtId="44" fontId="23" fillId="0" borderId="0" xfId="5" applyNumberFormat="1" applyFont="1"/>
    <xf numFmtId="168" fontId="11" fillId="0" borderId="0" xfId="5" applyNumberFormat="1" applyFont="1"/>
    <xf numFmtId="166" fontId="11" fillId="0" borderId="0" xfId="5" applyNumberFormat="1" applyFont="1"/>
    <xf numFmtId="0" fontId="5" fillId="0" borderId="0" xfId="5" quotePrefix="1" applyFont="1" applyAlignment="1">
      <alignment horizontal="center" wrapText="1"/>
    </xf>
    <xf numFmtId="0" fontId="4" fillId="0" borderId="9" xfId="5" applyFont="1" applyBorder="1" applyAlignment="1">
      <alignment horizontal="center" wrapText="1"/>
    </xf>
    <xf numFmtId="0" fontId="7" fillId="0" borderId="9" xfId="5" quotePrefix="1" applyFont="1" applyBorder="1" applyAlignment="1">
      <alignment horizontal="center" wrapText="1"/>
    </xf>
    <xf numFmtId="0" fontId="4" fillId="0" borderId="9" xfId="5" applyFont="1" applyBorder="1" applyAlignment="1">
      <alignment horizontal="centerContinuous" wrapText="1"/>
    </xf>
    <xf numFmtId="0" fontId="4" fillId="0" borderId="9" xfId="5" applyFont="1" applyBorder="1" applyAlignment="1">
      <alignment horizont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5" fillId="0" borderId="0" xfId="19" applyFont="1"/>
    <xf numFmtId="0" fontId="5" fillId="0" borderId="0" xfId="19" applyFont="1" applyAlignment="1">
      <alignment vertical="top"/>
    </xf>
    <xf numFmtId="0" fontId="5" fillId="0" borderId="0" xfId="19" applyFont="1" applyAlignment="1">
      <alignment horizontal="center" vertical="center"/>
    </xf>
    <xf numFmtId="166" fontId="25" fillId="0" borderId="2" xfId="19" applyNumberFormat="1" applyFont="1" applyBorder="1"/>
    <xf numFmtId="0" fontId="25" fillId="0" borderId="0" xfId="19" quotePrefix="1" applyFont="1" applyAlignment="1">
      <alignment horizontal="left"/>
    </xf>
    <xf numFmtId="0" fontId="5" fillId="0" borderId="0" xfId="19" applyFont="1" applyAlignment="1">
      <alignment horizontal="left"/>
    </xf>
    <xf numFmtId="166" fontId="25" fillId="0" borderId="0" xfId="19" applyNumberFormat="1" applyFont="1"/>
    <xf numFmtId="0" fontId="25" fillId="0" borderId="0" xfId="19" applyFont="1" applyAlignment="1">
      <alignment horizontal="left"/>
    </xf>
    <xf numFmtId="0" fontId="5" fillId="0" borderId="0" xfId="19" applyFont="1" applyAlignment="1">
      <alignment horizontal="left" vertical="center"/>
    </xf>
    <xf numFmtId="44" fontId="25" fillId="0" borderId="0" xfId="19" applyNumberFormat="1" applyFont="1"/>
    <xf numFmtId="0" fontId="25" fillId="0" borderId="0" xfId="19" applyFont="1" applyAlignment="1">
      <alignment horizontal="center"/>
    </xf>
    <xf numFmtId="44" fontId="25" fillId="0" borderId="1" xfId="19" applyNumberFormat="1" applyFont="1" applyBorder="1"/>
    <xf numFmtId="0" fontId="25" fillId="0" borderId="0" xfId="19" quotePrefix="1" applyFont="1" applyAlignment="1">
      <alignment horizontal="center"/>
    </xf>
    <xf numFmtId="0" fontId="5" fillId="0" borderId="0" xfId="19" quotePrefix="1" applyFont="1" applyAlignment="1">
      <alignment horizontal="left"/>
    </xf>
    <xf numFmtId="44" fontId="11" fillId="0" borderId="0" xfId="19" applyNumberFormat="1" applyFont="1"/>
    <xf numFmtId="0" fontId="5" fillId="0" borderId="0" xfId="19" applyFont="1" applyAlignment="1">
      <alignment horizontal="center"/>
    </xf>
    <xf numFmtId="0" fontId="5" fillId="0" borderId="0" xfId="19" applyFont="1" applyAlignment="1">
      <alignment horizontal="left" vertical="center" indent="1"/>
    </xf>
    <xf numFmtId="0" fontId="5" fillId="0" borderId="0" xfId="19" quotePrefix="1" applyFont="1" applyAlignment="1">
      <alignment horizontal="center"/>
    </xf>
    <xf numFmtId="44" fontId="11" fillId="0" borderId="1" xfId="19" applyNumberFormat="1" applyFont="1" applyBorder="1"/>
    <xf numFmtId="0" fontId="25" fillId="0" borderId="0" xfId="19" applyFont="1"/>
    <xf numFmtId="0" fontId="26" fillId="0" borderId="0" xfId="19" applyFont="1" applyAlignment="1">
      <alignment horizontal="left" wrapText="1"/>
    </xf>
    <xf numFmtId="0" fontId="21" fillId="0" borderId="0" xfId="19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6" fillId="0" borderId="0" xfId="19" applyFont="1" applyAlignment="1">
      <alignment horizontal="center"/>
    </xf>
    <xf numFmtId="166" fontId="11" fillId="0" borderId="0" xfId="19" applyNumberFormat="1" applyFont="1"/>
    <xf numFmtId="0" fontId="11" fillId="0" borderId="0" xfId="19" applyFont="1" applyAlignment="1">
      <alignment horizontal="center"/>
    </xf>
    <xf numFmtId="166" fontId="11" fillId="0" borderId="1" xfId="19" applyNumberFormat="1" applyFont="1" applyBorder="1"/>
    <xf numFmtId="0" fontId="11" fillId="0" borderId="0" xfId="19" quotePrefix="1" applyFont="1" applyAlignment="1">
      <alignment horizontal="center"/>
    </xf>
    <xf numFmtId="166" fontId="11" fillId="0" borderId="0" xfId="19" applyNumberFormat="1" applyFont="1" applyAlignment="1">
      <alignment horizontal="center"/>
    </xf>
    <xf numFmtId="0" fontId="4" fillId="0" borderId="0" xfId="19" applyFont="1"/>
    <xf numFmtId="0" fontId="5" fillId="0" borderId="0" xfId="19" quotePrefix="1" applyFont="1" applyAlignment="1">
      <alignment horizontal="center" wrapText="1"/>
    </xf>
    <xf numFmtId="0" fontId="5" fillId="0" borderId="9" xfId="19" quotePrefix="1" applyFont="1" applyBorder="1" applyAlignment="1">
      <alignment horizontal="center" wrapText="1"/>
    </xf>
    <xf numFmtId="0" fontId="5" fillId="0" borderId="1" xfId="19" applyFont="1" applyBorder="1" applyAlignment="1">
      <alignment horizontal="center" wrapText="1"/>
    </xf>
    <xf numFmtId="0" fontId="5" fillId="0" borderId="1" xfId="19" applyFont="1" applyBorder="1" applyAlignment="1">
      <alignment horizontal="center"/>
    </xf>
    <xf numFmtId="0" fontId="5" fillId="0" borderId="1" xfId="19" quotePrefix="1" applyFont="1" applyBorder="1" applyAlignment="1">
      <alignment horizontal="center" wrapText="1"/>
    </xf>
    <xf numFmtId="14" fontId="9" fillId="0" borderId="1" xfId="19" quotePrefix="1" applyNumberFormat="1" applyFont="1" applyBorder="1" applyAlignment="1">
      <alignment horizontal="center" wrapText="1"/>
    </xf>
    <xf numFmtId="0" fontId="4" fillId="0" borderId="1" xfId="19" applyFont="1" applyBorder="1" applyAlignment="1">
      <alignment horizontal="center" wrapText="1"/>
    </xf>
    <xf numFmtId="0" fontId="4" fillId="0" borderId="9" xfId="19" applyFont="1" applyBorder="1" applyAlignment="1">
      <alignment horizontal="center" wrapText="1"/>
    </xf>
    <xf numFmtId="0" fontId="4" fillId="0" borderId="9" xfId="19" quotePrefix="1" applyFont="1" applyBorder="1" applyAlignment="1">
      <alignment horizontal="center" wrapText="1"/>
    </xf>
    <xf numFmtId="0" fontId="11" fillId="0" borderId="0" xfId="19" applyFont="1"/>
    <xf numFmtId="0" fontId="10" fillId="0" borderId="0" xfId="19" applyFont="1" applyAlignment="1">
      <alignment horizontal="centerContinuous"/>
    </xf>
    <xf numFmtId="0" fontId="4" fillId="0" borderId="0" xfId="19" applyFont="1" applyAlignment="1">
      <alignment horizontal="centerContinuous"/>
    </xf>
    <xf numFmtId="0" fontId="17" fillId="0" borderId="0" xfId="19" applyFont="1" applyAlignment="1">
      <alignment horizontal="centerContinuous"/>
    </xf>
    <xf numFmtId="0" fontId="12" fillId="0" borderId="0" xfId="19" applyFont="1" applyAlignment="1">
      <alignment horizontal="centerContinuous"/>
    </xf>
    <xf numFmtId="0" fontId="6" fillId="0" borderId="0" xfId="19" applyFont="1" applyAlignment="1">
      <alignment horizontal="center"/>
    </xf>
    <xf numFmtId="164" fontId="5" fillId="0" borderId="0" xfId="19" applyNumberFormat="1" applyFont="1"/>
    <xf numFmtId="0" fontId="5" fillId="0" borderId="0" xfId="19" applyFont="1" applyAlignment="1">
      <alignment horizontal="center" vertical="center" wrapText="1"/>
    </xf>
    <xf numFmtId="0" fontId="5" fillId="0" borderId="0" xfId="19" quotePrefix="1" applyFont="1"/>
    <xf numFmtId="10" fontId="5" fillId="0" borderId="0" xfId="19" quotePrefix="1" applyNumberFormat="1" applyFont="1"/>
    <xf numFmtId="10" fontId="5" fillId="0" borderId="0" xfId="19" applyNumberFormat="1" applyFont="1"/>
    <xf numFmtId="43" fontId="5" fillId="0" borderId="0" xfId="19" quotePrefix="1" applyNumberFormat="1" applyFont="1"/>
    <xf numFmtId="44" fontId="5" fillId="0" borderId="0" xfId="19" applyNumberFormat="1" applyFont="1"/>
    <xf numFmtId="44" fontId="11" fillId="0" borderId="0" xfId="19" applyNumberFormat="1" applyFont="1" applyAlignment="1">
      <alignment horizontal="center" vertical="center"/>
    </xf>
    <xf numFmtId="0" fontId="5" fillId="0" borderId="0" xfId="19" applyFont="1" applyAlignment="1">
      <alignment horizontal="right" vertical="center"/>
    </xf>
    <xf numFmtId="0" fontId="8" fillId="0" borderId="0" xfId="19" applyFont="1" applyAlignment="1">
      <alignment horizontal="center"/>
    </xf>
    <xf numFmtId="44" fontId="23" fillId="0" borderId="0" xfId="19" applyNumberFormat="1" applyFont="1" applyAlignment="1">
      <alignment horizontal="center"/>
    </xf>
    <xf numFmtId="44" fontId="23" fillId="0" borderId="0" xfId="19" applyNumberFormat="1" applyFont="1" applyAlignment="1">
      <alignment horizontal="center" wrapText="1"/>
    </xf>
    <xf numFmtId="44" fontId="23" fillId="0" borderId="0" xfId="19" applyNumberFormat="1" applyFont="1" applyAlignment="1">
      <alignment horizontal="centerContinuous"/>
    </xf>
    <xf numFmtId="44" fontId="23" fillId="0" borderId="0" xfId="19" quotePrefix="1" applyNumberFormat="1" applyFont="1" applyAlignment="1">
      <alignment horizontal="centerContinuous"/>
    </xf>
    <xf numFmtId="44" fontId="23" fillId="0" borderId="0" xfId="19" quotePrefix="1" applyNumberFormat="1" applyFont="1" applyAlignment="1">
      <alignment horizontal="center" vertical="center"/>
    </xf>
    <xf numFmtId="44" fontId="23" fillId="0" borderId="0" xfId="19" quotePrefix="1" applyNumberFormat="1" applyFont="1" applyAlignment="1">
      <alignment horizontal="centerContinuous" vertical="center"/>
    </xf>
    <xf numFmtId="0" fontId="5" fillId="0" borderId="9" xfId="19" applyFont="1" applyBorder="1" applyAlignment="1">
      <alignment horizontal="centerContinuous" vertical="center"/>
    </xf>
    <xf numFmtId="164" fontId="5" fillId="0" borderId="9" xfId="19" applyNumberFormat="1" applyFont="1" applyBorder="1" applyAlignment="1">
      <alignment horizontal="centerContinuous" vertical="center"/>
    </xf>
    <xf numFmtId="164" fontId="16" fillId="0" borderId="9" xfId="19" applyNumberFormat="1" applyFont="1" applyBorder="1" applyAlignment="1">
      <alignment horizontal="centerContinuous" vertical="center"/>
    </xf>
    <xf numFmtId="44" fontId="23" fillId="0" borderId="9" xfId="19" quotePrefix="1" applyNumberFormat="1" applyFont="1" applyBorder="1" applyAlignment="1">
      <alignment horizontal="centerContinuous" vertical="center"/>
    </xf>
    <xf numFmtId="44" fontId="7" fillId="0" borderId="9" xfId="19" quotePrefix="1" applyNumberFormat="1" applyFont="1" applyBorder="1" applyAlignment="1">
      <alignment horizontal="centerContinuous" vertical="center"/>
    </xf>
    <xf numFmtId="164" fontId="5" fillId="0" borderId="0" xfId="19" applyNumberFormat="1" applyFont="1" applyAlignment="1">
      <alignment horizontal="centerContinuous"/>
    </xf>
    <xf numFmtId="0" fontId="5" fillId="0" borderId="0" xfId="19" applyFont="1" applyAlignment="1">
      <alignment horizontal="centerContinuous"/>
    </xf>
    <xf numFmtId="165" fontId="5" fillId="0" borderId="0" xfId="19" applyNumberFormat="1" applyFont="1"/>
    <xf numFmtId="164" fontId="6" fillId="0" borderId="0" xfId="19" applyNumberFormat="1" applyFont="1" applyAlignment="1">
      <alignment horizontal="centerContinuous"/>
    </xf>
    <xf numFmtId="164" fontId="6" fillId="0" borderId="0" xfId="19" applyNumberFormat="1" applyFont="1" applyAlignment="1">
      <alignment horizontal="right"/>
    </xf>
    <xf numFmtId="10" fontId="5" fillId="0" borderId="2" xfId="19" applyNumberFormat="1" applyFont="1" applyBorder="1" applyAlignment="1">
      <alignment horizontal="right"/>
    </xf>
    <xf numFmtId="165" fontId="5" fillId="0" borderId="2" xfId="19" applyNumberFormat="1" applyFont="1" applyBorder="1"/>
    <xf numFmtId="165" fontId="5" fillId="0" borderId="2" xfId="19" applyNumberFormat="1" applyFont="1" applyBorder="1" applyAlignment="1">
      <alignment horizontal="centerContinuous"/>
    </xf>
    <xf numFmtId="166" fontId="5" fillId="0" borderId="2" xfId="19" applyNumberFormat="1" applyFont="1" applyBorder="1"/>
    <xf numFmtId="166" fontId="5" fillId="0" borderId="2" xfId="19" applyNumberFormat="1" applyFont="1" applyBorder="1" applyAlignment="1">
      <alignment horizontal="centerContinuous" wrapText="1"/>
    </xf>
    <xf numFmtId="0" fontId="5" fillId="0" borderId="2" xfId="19" applyFont="1" applyBorder="1" applyAlignment="1">
      <alignment horizontal="centerContinuous" vertical="center"/>
    </xf>
    <xf numFmtId="0" fontId="5" fillId="0" borderId="2" xfId="19" quotePrefix="1" applyFont="1" applyBorder="1" applyAlignment="1">
      <alignment horizontal="centerContinuous" vertical="center" wrapText="1"/>
    </xf>
    <xf numFmtId="0" fontId="4" fillId="0" borderId="2" xfId="19" applyFont="1" applyBorder="1" applyAlignment="1">
      <alignment horizontal="left"/>
    </xf>
    <xf numFmtId="10" fontId="5" fillId="0" borderId="0" xfId="19" applyNumberFormat="1" applyFont="1" applyAlignment="1">
      <alignment horizontal="right"/>
    </xf>
    <xf numFmtId="164" fontId="11" fillId="0" borderId="0" xfId="19" applyNumberFormat="1" applyFont="1" applyAlignment="1">
      <alignment horizontal="centerContinuous"/>
    </xf>
    <xf numFmtId="166" fontId="5" fillId="0" borderId="0" xfId="19" applyNumberFormat="1" applyFont="1"/>
    <xf numFmtId="166" fontId="5" fillId="0" borderId="0" xfId="19" applyNumberFormat="1" applyFont="1" applyAlignment="1">
      <alignment horizontal="centerContinuous"/>
    </xf>
    <xf numFmtId="0" fontId="5" fillId="0" borderId="0" xfId="19" applyFont="1" applyAlignment="1">
      <alignment horizontal="centerContinuous" vertical="center"/>
    </xf>
    <xf numFmtId="0" fontId="5" fillId="0" borderId="0" xfId="19" quotePrefix="1" applyFont="1" applyAlignment="1">
      <alignment horizontal="centerContinuous" vertical="center" wrapText="1"/>
    </xf>
    <xf numFmtId="166" fontId="6" fillId="0" borderId="0" xfId="19" applyNumberFormat="1" applyFont="1" applyAlignment="1">
      <alignment horizontal="center"/>
    </xf>
    <xf numFmtId="10" fontId="5" fillId="0" borderId="1" xfId="19" applyNumberFormat="1" applyFont="1" applyBorder="1" applyAlignment="1">
      <alignment horizontal="right"/>
    </xf>
    <xf numFmtId="165" fontId="5" fillId="0" borderId="1" xfId="19" applyNumberFormat="1" applyFont="1" applyBorder="1"/>
    <xf numFmtId="165" fontId="11" fillId="0" borderId="1" xfId="19" applyNumberFormat="1" applyFont="1" applyBorder="1" applyAlignment="1">
      <alignment horizontal="centerContinuous" vertical="center"/>
    </xf>
    <xf numFmtId="166" fontId="11" fillId="0" borderId="1" xfId="19" applyNumberFormat="1" applyFont="1" applyBorder="1" applyAlignment="1">
      <alignment horizontal="centerContinuous"/>
    </xf>
    <xf numFmtId="170" fontId="11" fillId="0" borderId="1" xfId="19" applyNumberFormat="1" applyFont="1" applyBorder="1"/>
    <xf numFmtId="0" fontId="4" fillId="0" borderId="0" xfId="19" applyFont="1" applyAlignment="1">
      <alignment horizontal="centerContinuous" vertical="center"/>
    </xf>
    <xf numFmtId="0" fontId="11" fillId="0" borderId="0" xfId="19" applyFont="1" applyAlignment="1">
      <alignment horizontal="centerContinuous" vertical="center"/>
    </xf>
    <xf numFmtId="0" fontId="12" fillId="0" borderId="0" xfId="19" applyFont="1"/>
    <xf numFmtId="166" fontId="11" fillId="0" borderId="0" xfId="19" applyNumberFormat="1" applyFont="1" applyAlignment="1">
      <alignment horizontal="centerContinuous"/>
    </xf>
    <xf numFmtId="164" fontId="11" fillId="0" borderId="0" xfId="19" applyNumberFormat="1" applyFont="1"/>
    <xf numFmtId="0" fontId="4" fillId="0" borderId="0" xfId="19" quotePrefix="1" applyFont="1" applyAlignment="1">
      <alignment horizontal="left"/>
    </xf>
    <xf numFmtId="0" fontId="4" fillId="0" borderId="0" xfId="19" applyFont="1" applyAlignment="1">
      <alignment horizontal="left"/>
    </xf>
    <xf numFmtId="164" fontId="5" fillId="0" borderId="1" xfId="19" applyNumberFormat="1" applyFont="1" applyBorder="1"/>
    <xf numFmtId="165" fontId="5" fillId="0" borderId="1" xfId="19" applyNumberFormat="1" applyFont="1" applyBorder="1" applyAlignment="1">
      <alignment horizontal="centerContinuous"/>
    </xf>
    <xf numFmtId="166" fontId="5" fillId="0" borderId="1" xfId="19" applyNumberFormat="1" applyFont="1" applyBorder="1" applyAlignment="1">
      <alignment horizontal="centerContinuous" wrapText="1"/>
    </xf>
    <xf numFmtId="170" fontId="11" fillId="0" borderId="0" xfId="19" applyNumberFormat="1" applyFont="1"/>
    <xf numFmtId="166" fontId="5" fillId="0" borderId="1" xfId="19" applyNumberFormat="1" applyFont="1" applyBorder="1" applyAlignment="1">
      <alignment horizontal="centerContinuous"/>
    </xf>
    <xf numFmtId="165" fontId="5" fillId="0" borderId="9" xfId="19" applyNumberFormat="1" applyFont="1" applyBorder="1" applyAlignment="1">
      <alignment horizontal="centerContinuous"/>
    </xf>
    <xf numFmtId="0" fontId="5" fillId="0" borderId="0" xfId="19" applyFont="1" applyAlignment="1">
      <alignment horizontal="center" wrapText="1"/>
    </xf>
    <xf numFmtId="165" fontId="11" fillId="0" borderId="0" xfId="19" applyNumberFormat="1" applyFont="1" applyAlignment="1">
      <alignment horizontal="centerContinuous"/>
    </xf>
    <xf numFmtId="0" fontId="11" fillId="0" borderId="0" xfId="19" quotePrefix="1" applyFont="1" applyAlignment="1">
      <alignment horizontal="centerContinuous" vertical="center" wrapText="1"/>
    </xf>
    <xf numFmtId="164" fontId="5" fillId="0" borderId="1" xfId="19" applyNumberFormat="1" applyFont="1" applyBorder="1" applyAlignment="1">
      <alignment horizontal="center" wrapText="1"/>
    </xf>
    <xf numFmtId="164" fontId="5" fillId="0" borderId="1" xfId="19" quotePrefix="1" applyNumberFormat="1" applyFont="1" applyBorder="1" applyAlignment="1">
      <alignment horizontal="centerContinuous" wrapText="1"/>
    </xf>
    <xf numFmtId="0" fontId="5" fillId="0" borderId="1" xfId="19" applyFont="1" applyBorder="1" applyAlignment="1">
      <alignment horizontal="centerContinuous" wrapText="1"/>
    </xf>
    <xf numFmtId="0" fontId="4" fillId="0" borderId="0" xfId="19" applyFont="1" applyAlignment="1">
      <alignment horizontal="center" wrapText="1"/>
    </xf>
    <xf numFmtId="0" fontId="6" fillId="0" borderId="0" xfId="19" applyFont="1" applyAlignment="1">
      <alignment horizontal="center" wrapText="1"/>
    </xf>
    <xf numFmtId="0" fontId="4" fillId="0" borderId="9" xfId="19" quotePrefix="1" applyFont="1" applyBorder="1" applyAlignment="1">
      <alignment horizontal="centerContinuous" wrapText="1"/>
    </xf>
    <xf numFmtId="164" fontId="4" fillId="0" borderId="9" xfId="19" quotePrefix="1" applyNumberFormat="1" applyFont="1" applyBorder="1" applyAlignment="1">
      <alignment horizontal="center" wrapText="1"/>
    </xf>
    <xf numFmtId="164" fontId="4" fillId="0" borderId="9" xfId="19" quotePrefix="1" applyNumberFormat="1" applyFont="1" applyBorder="1" applyAlignment="1">
      <alignment horizontal="centerContinuous" wrapText="1"/>
    </xf>
    <xf numFmtId="0" fontId="4" fillId="0" borderId="0" xfId="19" applyFont="1" applyAlignment="1">
      <alignment horizontal="centerContinuous" wrapText="1"/>
    </xf>
    <xf numFmtId="0" fontId="4" fillId="0" borderId="9" xfId="19" applyFont="1" applyBorder="1" applyAlignment="1">
      <alignment horizontal="centerContinuous" wrapText="1"/>
    </xf>
    <xf numFmtId="0" fontId="17" fillId="0" borderId="0" xfId="19" applyFont="1" applyAlignment="1">
      <alignment horizontal="centerContinuous" vertical="center"/>
    </xf>
    <xf numFmtId="0" fontId="10" fillId="0" borderId="0" xfId="19" applyFont="1"/>
    <xf numFmtId="0" fontId="24" fillId="0" borderId="0" xfId="19"/>
    <xf numFmtId="169" fontId="29" fillId="0" borderId="0" xfId="19" applyNumberFormat="1" applyFont="1" applyAlignment="1">
      <alignment horizontal="center"/>
    </xf>
    <xf numFmtId="44" fontId="5" fillId="0" borderId="0" xfId="19" applyNumberFormat="1" applyFont="1" applyAlignment="1">
      <alignment horizontal="right" vertical="center"/>
    </xf>
    <xf numFmtId="165" fontId="6" fillId="0" borderId="0" xfId="19" applyNumberFormat="1" applyFont="1"/>
    <xf numFmtId="44" fontId="6" fillId="0" borderId="0" xfId="19" applyNumberFormat="1" applyFont="1" applyAlignment="1">
      <alignment horizontal="right"/>
    </xf>
    <xf numFmtId="41" fontId="30" fillId="0" borderId="0" xfId="19" applyNumberFormat="1" applyFont="1"/>
    <xf numFmtId="44" fontId="27" fillId="0" borderId="0" xfId="19" applyNumberFormat="1" applyFont="1" applyAlignment="1">
      <alignment horizontal="right"/>
    </xf>
    <xf numFmtId="44" fontId="5" fillId="0" borderId="0" xfId="19" applyNumberFormat="1" applyFont="1" applyAlignment="1">
      <alignment horizontal="right"/>
    </xf>
    <xf numFmtId="41" fontId="6" fillId="0" borderId="0" xfId="19" applyNumberFormat="1" applyFont="1"/>
    <xf numFmtId="0" fontId="6" fillId="0" borderId="0" xfId="19" applyFont="1"/>
    <xf numFmtId="41" fontId="5" fillId="0" borderId="0" xfId="19" applyNumberFormat="1" applyFont="1"/>
    <xf numFmtId="44" fontId="6" fillId="0" borderId="0" xfId="19" applyNumberFormat="1" applyFont="1"/>
    <xf numFmtId="164" fontId="5" fillId="0" borderId="0" xfId="19" applyNumberFormat="1" applyFont="1" applyAlignment="1">
      <alignment horizontal="right" vertical="center"/>
    </xf>
    <xf numFmtId="0" fontId="5" fillId="0" borderId="0" xfId="19" applyFont="1" applyAlignment="1">
      <alignment horizontal="left" indent="1"/>
    </xf>
    <xf numFmtId="164" fontId="5" fillId="0" borderId="0" xfId="19" quotePrefix="1" applyNumberFormat="1" applyFont="1" applyAlignment="1">
      <alignment horizontal="right" vertical="center"/>
    </xf>
    <xf numFmtId="0" fontId="5" fillId="0" borderId="0" xfId="19" quotePrefix="1" applyFont="1" applyAlignment="1">
      <alignment horizontal="left" indent="1"/>
    </xf>
    <xf numFmtId="44" fontId="23" fillId="0" borderId="0" xfId="19" applyNumberFormat="1" applyFont="1"/>
    <xf numFmtId="164" fontId="16" fillId="0" borderId="0" xfId="19" applyNumberFormat="1" applyFont="1" applyAlignment="1">
      <alignment horizontal="right" vertical="center"/>
    </xf>
    <xf numFmtId="164" fontId="5" fillId="0" borderId="0" xfId="19" applyNumberFormat="1" applyFont="1" applyAlignment="1">
      <alignment vertical="center"/>
    </xf>
    <xf numFmtId="0" fontId="5" fillId="0" borderId="0" xfId="19" quotePrefix="1" applyFont="1" applyAlignment="1">
      <alignment horizontal="right" vertical="center" wrapText="1"/>
    </xf>
    <xf numFmtId="0" fontId="5" fillId="0" borderId="0" xfId="19" quotePrefix="1" applyFont="1" applyAlignment="1">
      <alignment horizontal="center" vertical="center" wrapText="1"/>
    </xf>
    <xf numFmtId="0" fontId="5" fillId="0" borderId="0" xfId="19" applyFont="1" applyAlignment="1">
      <alignment vertical="center"/>
    </xf>
    <xf numFmtId="0" fontId="5" fillId="0" borderId="3" xfId="19" quotePrefix="1" applyFont="1" applyBorder="1" applyAlignment="1">
      <alignment horizontal="center" vertical="center"/>
    </xf>
    <xf numFmtId="0" fontId="5" fillId="0" borderId="3" xfId="19" applyFont="1" applyBorder="1" applyAlignment="1">
      <alignment horizontal="center" vertical="center"/>
    </xf>
    <xf numFmtId="0" fontId="5" fillId="0" borderId="3" xfId="19" applyFont="1" applyBorder="1" applyAlignment="1">
      <alignment horizontal="center"/>
    </xf>
    <xf numFmtId="0" fontId="4" fillId="0" borderId="0" xfId="19" applyFont="1" applyAlignment="1">
      <alignment horizontal="center"/>
    </xf>
    <xf numFmtId="0" fontId="12" fillId="0" borderId="0" xfId="19" applyFont="1" applyAlignment="1">
      <alignment horizontal="centerContinuous" vertical="center"/>
    </xf>
    <xf numFmtId="171" fontId="17" fillId="0" borderId="0" xfId="19" applyNumberFormat="1" applyFont="1" applyAlignment="1">
      <alignment horizontal="center"/>
    </xf>
    <xf numFmtId="44" fontId="27" fillId="0" borderId="0" xfId="19" applyNumberFormat="1" applyFont="1"/>
    <xf numFmtId="44" fontId="27" fillId="0" borderId="0" xfId="19" quotePrefix="1" applyNumberFormat="1" applyFont="1" applyAlignment="1">
      <alignment horizontal="left"/>
    </xf>
    <xf numFmtId="0" fontId="17" fillId="0" borderId="0" xfId="19" applyFont="1" applyAlignment="1">
      <alignment horizontal="center"/>
    </xf>
    <xf numFmtId="171" fontId="17" fillId="0" borderId="0" xfId="19" quotePrefix="1" applyNumberFormat="1" applyFont="1" applyAlignment="1">
      <alignment horizontal="center"/>
    </xf>
    <xf numFmtId="165" fontId="11" fillId="0" borderId="0" xfId="19" applyNumberFormat="1" applyFont="1" applyAlignment="1">
      <alignment horizontal="center" vertical="center"/>
    </xf>
    <xf numFmtId="165" fontId="5" fillId="0" borderId="0" xfId="19" applyNumberFormat="1" applyFont="1" applyAlignment="1">
      <alignment horizontal="center" vertical="center"/>
    </xf>
    <xf numFmtId="10" fontId="5" fillId="0" borderId="0" xfId="19" applyNumberFormat="1" applyFont="1" applyAlignment="1">
      <alignment vertical="center"/>
    </xf>
    <xf numFmtId="165" fontId="11" fillId="0" borderId="9" xfId="19" applyNumberFormat="1" applyFont="1" applyBorder="1" applyAlignment="1">
      <alignment horizontal="center" vertical="center"/>
    </xf>
    <xf numFmtId="10" fontId="5" fillId="0" borderId="0" xfId="19" applyNumberFormat="1" applyFont="1" applyAlignment="1">
      <alignment horizontal="right" vertical="center"/>
    </xf>
    <xf numFmtId="0" fontId="4" fillId="0" borderId="0" xfId="19" applyFont="1" applyBorder="1"/>
    <xf numFmtId="44" fontId="5" fillId="0" borderId="0" xfId="19" applyNumberFormat="1" applyFont="1" applyBorder="1" applyAlignment="1">
      <alignment horizontal="left" indent="1"/>
    </xf>
    <xf numFmtId="170" fontId="11" fillId="0" borderId="0" xfId="19" applyNumberFormat="1" applyFont="1" applyBorder="1"/>
    <xf numFmtId="166" fontId="11" fillId="0" borderId="0" xfId="19" applyNumberFormat="1" applyFont="1" applyBorder="1" applyAlignment="1">
      <alignment horizontal="centerContinuous"/>
    </xf>
    <xf numFmtId="165" fontId="11" fillId="0" borderId="0" xfId="19" applyNumberFormat="1" applyFont="1" applyBorder="1" applyAlignment="1">
      <alignment horizontal="centerContinuous" vertical="center"/>
    </xf>
    <xf numFmtId="165" fontId="5" fillId="0" borderId="0" xfId="19" applyNumberFormat="1" applyFont="1" applyBorder="1"/>
    <xf numFmtId="10" fontId="5" fillId="0" borderId="0" xfId="19" applyNumberFormat="1" applyFont="1" applyBorder="1" applyAlignment="1">
      <alignment horizontal="right"/>
    </xf>
    <xf numFmtId="0" fontId="4" fillId="0" borderId="0" xfId="14" applyFont="1" applyBorder="1"/>
    <xf numFmtId="44" fontId="11" fillId="0" borderId="0" xfId="14" applyNumberFormat="1" applyFont="1"/>
    <xf numFmtId="41" fontId="16" fillId="0" borderId="0" xfId="14" applyNumberFormat="1" applyFont="1"/>
    <xf numFmtId="168" fontId="11" fillId="0" borderId="0" xfId="14" applyNumberFormat="1" applyFont="1"/>
    <xf numFmtId="168" fontId="5" fillId="0" borderId="0" xfId="14" applyNumberFormat="1" applyFont="1"/>
    <xf numFmtId="166" fontId="11" fillId="0" borderId="1" xfId="19" applyNumberFormat="1" applyFont="1" applyFill="1" applyBorder="1"/>
    <xf numFmtId="166" fontId="11" fillId="0" borderId="0" xfId="19" applyNumberFormat="1" applyFont="1" applyFill="1"/>
    <xf numFmtId="166" fontId="5" fillId="0" borderId="0" xfId="19" applyNumberFormat="1" applyFont="1" applyFill="1"/>
    <xf numFmtId="166" fontId="5" fillId="0" borderId="1" xfId="19" applyNumberFormat="1" applyFont="1" applyFill="1" applyBorder="1"/>
    <xf numFmtId="0" fontId="5" fillId="0" borderId="0" xfId="19" applyFont="1" applyFill="1"/>
    <xf numFmtId="166" fontId="11" fillId="0" borderId="0" xfId="19" applyNumberFormat="1" applyFont="1" applyFill="1" applyBorder="1"/>
    <xf numFmtId="170" fontId="5" fillId="0" borderId="1" xfId="19" applyNumberFormat="1" applyFont="1" applyBorder="1"/>
    <xf numFmtId="170" fontId="5" fillId="0" borderId="2" xfId="19" applyNumberFormat="1" applyFont="1" applyBorder="1"/>
    <xf numFmtId="44" fontId="11" fillId="0" borderId="0" xfId="14" applyNumberFormat="1" applyFont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166" fontId="11" fillId="0" borderId="0" xfId="14" applyNumberFormat="1" applyFont="1" applyFill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quotePrefix="1" applyFont="1" applyBorder="1" applyAlignment="1">
      <alignment horizontal="center" vertical="center" wrapText="1"/>
    </xf>
    <xf numFmtId="0" fontId="5" fillId="0" borderId="11" xfId="21" quotePrefix="1" applyFont="1" applyBorder="1" applyAlignment="1">
      <alignment horizontal="center" vertical="center" wrapText="1"/>
    </xf>
    <xf numFmtId="9" fontId="5" fillId="0" borderId="11" xfId="21" quotePrefix="1" applyNumberFormat="1" applyFont="1" applyBorder="1" applyAlignment="1">
      <alignment horizontal="center" vertical="center" wrapText="1"/>
    </xf>
    <xf numFmtId="9" fontId="5" fillId="0" borderId="11" xfId="0" quotePrefix="1" applyNumberFormat="1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11" fillId="0" borderId="0" xfId="0" applyNumberFormat="1" applyFont="1"/>
    <xf numFmtId="10" fontId="5" fillId="0" borderId="0" xfId="17" applyNumberFormat="1" applyFont="1" applyFill="1" applyBorder="1"/>
    <xf numFmtId="16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5" fillId="0" borderId="5" xfId="0" applyNumberFormat="1" applyFont="1" applyBorder="1" applyAlignment="1">
      <alignment horizontal="center"/>
    </xf>
    <xf numFmtId="16" fontId="5" fillId="0" borderId="0" xfId="0" applyNumberFormat="1" applyFont="1"/>
    <xf numFmtId="10" fontId="5" fillId="0" borderId="0" xfId="0" applyNumberFormat="1" applyFont="1"/>
    <xf numFmtId="172" fontId="5" fillId="0" borderId="5" xfId="0" applyNumberFormat="1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center"/>
    </xf>
    <xf numFmtId="9" fontId="11" fillId="0" borderId="0" xfId="8" applyFont="1" applyFill="1" applyBorder="1"/>
    <xf numFmtId="9" fontId="5" fillId="0" borderId="0" xfId="8" applyFont="1" applyFill="1" applyBorder="1"/>
    <xf numFmtId="0" fontId="5" fillId="0" borderId="5" xfId="0" applyFont="1" applyBorder="1" applyAlignment="1">
      <alignment horizontal="center"/>
    </xf>
    <xf numFmtId="165" fontId="5" fillId="0" borderId="5" xfId="0" applyNumberFormat="1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164" fontId="5" fillId="0" borderId="8" xfId="0" applyNumberFormat="1" applyFont="1" applyBorder="1"/>
    <xf numFmtId="0" fontId="5" fillId="0" borderId="4" xfId="0" applyFont="1" applyBorder="1"/>
    <xf numFmtId="37" fontId="11" fillId="0" borderId="0" xfId="0" applyNumberFormat="1" applyFont="1"/>
    <xf numFmtId="0" fontId="6" fillId="0" borderId="0" xfId="0" applyFont="1"/>
    <xf numFmtId="164" fontId="6" fillId="0" borderId="0" xfId="0" applyNumberFormat="1" applyFont="1"/>
    <xf numFmtId="37" fontId="6" fillId="0" borderId="0" xfId="0" applyNumberFormat="1" applyFont="1"/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21" quotePrefix="1" applyFont="1" applyBorder="1" applyAlignment="1">
      <alignment horizontal="center" wrapText="1"/>
    </xf>
    <xf numFmtId="0" fontId="4" fillId="0" borderId="4" xfId="21" quotePrefix="1" applyFont="1" applyBorder="1" applyAlignment="1">
      <alignment horizontal="center" wrapText="1"/>
    </xf>
    <xf numFmtId="0" fontId="4" fillId="0" borderId="7" xfId="21" quotePrefix="1" applyFont="1" applyBorder="1" applyAlignment="1">
      <alignment horizontal="center" wrapText="1"/>
    </xf>
    <xf numFmtId="166" fontId="16" fillId="0" borderId="1" xfId="19" applyNumberFormat="1" applyFont="1" applyFill="1" applyBorder="1"/>
    <xf numFmtId="166" fontId="16" fillId="0" borderId="0" xfId="19" applyNumberFormat="1" applyFont="1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/>
    </xf>
    <xf numFmtId="0" fontId="5" fillId="0" borderId="0" xfId="9" quotePrefix="1" applyFont="1" applyAlignment="1">
      <alignment horizontal="left"/>
    </xf>
    <xf numFmtId="0" fontId="5" fillId="0" borderId="0" xfId="19" applyFont="1" applyAlignment="1">
      <alignment horizontal="left" vertical="top" wrapText="1"/>
    </xf>
    <xf numFmtId="0" fontId="12" fillId="0" borderId="13" xfId="0" applyFont="1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0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0" fontId="5" fillId="0" borderId="0" xfId="19" applyFont="1" applyAlignment="1">
      <alignment horizontal="left" vertical="center" wrapText="1"/>
    </xf>
    <xf numFmtId="44" fontId="11" fillId="2" borderId="0" xfId="0" applyNumberFormat="1" applyFont="1" applyFill="1"/>
  </cellXfs>
  <cellStyles count="22">
    <cellStyle name="Comma 10" xfId="6" xr:uid="{00000000-0005-0000-0000-000001000000}"/>
    <cellStyle name="Comma 2" xfId="15" xr:uid="{DF052868-00BB-4B44-BE79-BCDD99EBF294}"/>
    <cellStyle name="Currency 2" xfId="2" xr:uid="{00000000-0005-0000-0000-000003000000}"/>
    <cellStyle name="Currency 2 12" xfId="3" xr:uid="{00000000-0005-0000-0000-000004000000}"/>
    <cellStyle name="Currency 3" xfId="13" xr:uid="{340720FF-C0EC-462F-B59A-CAAF2B012E30}"/>
    <cellStyle name="Normal" xfId="0" builtinId="0"/>
    <cellStyle name="Normal - Style1 5 4" xfId="21" xr:uid="{180721B8-B547-4832-97B8-127E161E8EAA}"/>
    <cellStyle name="Normal 2" xfId="1" xr:uid="{00000000-0005-0000-0000-000006000000}"/>
    <cellStyle name="Normal 2 10" xfId="5" xr:uid="{00000000-0005-0000-0000-000007000000}"/>
    <cellStyle name="Normal 2 16 2" xfId="18" xr:uid="{6FB4B884-90F4-4F40-A7BE-A8DEB6544A73}"/>
    <cellStyle name="Normal 2 2" xfId="7" xr:uid="{00000000-0005-0000-0000-000008000000}"/>
    <cellStyle name="Normal 2 3" xfId="9" xr:uid="{00000000-0005-0000-0000-000009000000}"/>
    <cellStyle name="Normal 3" xfId="10" xr:uid="{00000000-0005-0000-0000-00000A000000}"/>
    <cellStyle name="Normal 31" xfId="11" xr:uid="{00000000-0005-0000-0000-00000B000000}"/>
    <cellStyle name="Normal 4" xfId="12" xr:uid="{52AF8F5E-826A-4121-A425-68307179E251}"/>
    <cellStyle name="Normal 4 2" xfId="20" xr:uid="{BBC3E5AC-9FD7-40ED-B7ED-F4908C855F34}"/>
    <cellStyle name="Normal 5" xfId="14" xr:uid="{5B83B9AC-CA75-4BAA-9A2C-B7D9B479643A}"/>
    <cellStyle name="Normal 5 2" xfId="19" xr:uid="{905C17FA-2A62-4C6F-A510-70690C31C9D2}"/>
    <cellStyle name="Normal 510" xfId="4" xr:uid="{00000000-0005-0000-0000-00000C000000}"/>
    <cellStyle name="Normal 513" xfId="16" xr:uid="{E017F922-1CE3-4203-A3E4-CFBB05F124AD}"/>
    <cellStyle name="Percent 10 2 2" xfId="17" xr:uid="{35EE9F34-B0D1-4E6F-9B19-FD23122EE125}"/>
    <cellStyle name="Percent 2" xfId="8" xr:uid="{00000000-0005-0000-0000-00000E000000}"/>
  </cellStyles>
  <dxfs count="0"/>
  <tableStyles count="0" defaultTableStyle="TableStyleMedium2" defaultPivotStyle="PivotStyleLight16"/>
  <colors>
    <mruColors>
      <color rgb="FF0033CC"/>
      <color rgb="FF00808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E367-47EB-4A57-8EAF-0ED48A94CD73}">
  <sheetPr>
    <tabColor theme="6" tint="0.79998168889431442"/>
  </sheetPr>
  <dimension ref="A1:L72"/>
  <sheetViews>
    <sheetView tabSelected="1" zoomScaleNormal="100" workbookViewId="0">
      <pane ySplit="6" topLeftCell="A7" activePane="bottomLeft" state="frozen"/>
      <selection activeCell="L19" sqref="L19"/>
      <selection pane="bottomLeft" activeCell="E25" sqref="E25"/>
    </sheetView>
  </sheetViews>
  <sheetFormatPr defaultColWidth="6.42578125" defaultRowHeight="11.25" x14ac:dyDescent="0.2"/>
  <cols>
    <col min="1" max="1" width="6.140625" style="37" bestFit="1" customWidth="1"/>
    <col min="2" max="2" width="45.7109375" style="37" bestFit="1" customWidth="1"/>
    <col min="3" max="3" width="14.42578125" style="37" bestFit="1" customWidth="1"/>
    <col min="4" max="4" width="13.5703125" style="37" customWidth="1"/>
    <col min="5" max="5" width="14.5703125" style="37" customWidth="1"/>
    <col min="6" max="6" width="17.85546875" style="37" bestFit="1" customWidth="1"/>
    <col min="7" max="16384" width="6.42578125" style="37"/>
  </cols>
  <sheetData>
    <row r="1" spans="1:6" x14ac:dyDescent="0.2">
      <c r="A1" s="81" t="s">
        <v>53</v>
      </c>
      <c r="B1" s="79"/>
      <c r="C1" s="79"/>
      <c r="D1" s="79"/>
      <c r="E1" s="79"/>
    </row>
    <row r="2" spans="1:6" x14ac:dyDescent="0.2">
      <c r="A2" s="80" t="s">
        <v>157</v>
      </c>
      <c r="B2" s="79"/>
      <c r="C2" s="79"/>
      <c r="D2" s="79"/>
      <c r="E2" s="79"/>
    </row>
    <row r="3" spans="1:6" s="77" customFormat="1" x14ac:dyDescent="0.2">
      <c r="A3" s="79" t="str">
        <f>"Effective "&amp;TEXT(Inputs!B1,"mmmm d, yyyy")&amp;" - "&amp;TEXT(Inputs!B4,"mmmm d, yyyy")</f>
        <v>Effective January 1, 2025 - December 31, 2025</v>
      </c>
      <c r="B3" s="79"/>
      <c r="C3" s="78"/>
      <c r="D3" s="78"/>
      <c r="E3" s="78"/>
    </row>
    <row r="4" spans="1:6" x14ac:dyDescent="0.2">
      <c r="A4" s="54"/>
      <c r="B4" s="54"/>
      <c r="C4" s="52"/>
      <c r="D4" s="52"/>
      <c r="E4" s="52"/>
    </row>
    <row r="5" spans="1:6" ht="13.5" customHeight="1" x14ac:dyDescent="0.2">
      <c r="A5" s="54"/>
      <c r="B5" s="54"/>
      <c r="C5" s="52"/>
      <c r="D5" s="52"/>
      <c r="E5" s="52"/>
    </row>
    <row r="6" spans="1:6" s="67" customFormat="1" ht="22.5" x14ac:dyDescent="0.2">
      <c r="A6" s="75" t="s">
        <v>0</v>
      </c>
      <c r="B6" s="75" t="s">
        <v>57</v>
      </c>
      <c r="C6" s="75" t="s">
        <v>116</v>
      </c>
      <c r="D6" s="76" t="s">
        <v>115</v>
      </c>
      <c r="E6" s="76" t="s">
        <v>97</v>
      </c>
      <c r="F6" s="75" t="s">
        <v>158</v>
      </c>
    </row>
    <row r="7" spans="1:6" s="67" customFormat="1" x14ac:dyDescent="0.2">
      <c r="A7" s="74"/>
      <c r="B7" s="74"/>
      <c r="C7" s="74"/>
      <c r="D7" s="73">
        <v>45292</v>
      </c>
      <c r="E7" s="73">
        <f>Inputs!B1</f>
        <v>45658</v>
      </c>
      <c r="F7" s="72"/>
    </row>
    <row r="8" spans="1:6" s="67" customFormat="1" x14ac:dyDescent="0.2">
      <c r="A8" s="71"/>
      <c r="B8" s="70" t="s">
        <v>54</v>
      </c>
      <c r="C8" s="69" t="s">
        <v>58</v>
      </c>
      <c r="D8" s="69" t="s">
        <v>55</v>
      </c>
      <c r="E8" s="69" t="s">
        <v>59</v>
      </c>
      <c r="F8" s="69" t="s">
        <v>114</v>
      </c>
    </row>
    <row r="9" spans="1:6" s="67" customFormat="1" x14ac:dyDescent="0.2">
      <c r="A9" s="52">
        <v>1</v>
      </c>
      <c r="B9" s="58" t="s">
        <v>113</v>
      </c>
      <c r="C9" s="58"/>
      <c r="D9" s="68"/>
      <c r="E9" s="68"/>
    </row>
    <row r="10" spans="1:6" x14ac:dyDescent="0.2">
      <c r="A10" s="39">
        <f t="shared" ref="A10:A41" si="0">+A9+1</f>
        <v>2</v>
      </c>
      <c r="B10" s="263" t="s">
        <v>2</v>
      </c>
      <c r="C10" s="63" t="str">
        <f>'Rate Impacts'!C9</f>
        <v>7 (307) (317) (327)</v>
      </c>
      <c r="D10" s="64">
        <f>'Rate Impacts'!H9</f>
        <v>6.9999999999999999E-6</v>
      </c>
      <c r="E10" s="64">
        <f>'Rate Impacts'!I9</f>
        <v>0</v>
      </c>
      <c r="F10" s="24" t="s">
        <v>159</v>
      </c>
    </row>
    <row r="11" spans="1:6" x14ac:dyDescent="0.2">
      <c r="A11" s="39">
        <f t="shared" si="0"/>
        <v>3</v>
      </c>
      <c r="B11" s="263"/>
      <c r="C11" s="63"/>
      <c r="D11" s="62"/>
      <c r="E11" s="62"/>
    </row>
    <row r="12" spans="1:6" x14ac:dyDescent="0.2">
      <c r="A12" s="39">
        <f t="shared" si="0"/>
        <v>4</v>
      </c>
      <c r="B12" s="263" t="s">
        <v>60</v>
      </c>
      <c r="C12" s="63"/>
      <c r="D12" s="62"/>
      <c r="E12" s="62"/>
    </row>
    <row r="13" spans="1:6" x14ac:dyDescent="0.2">
      <c r="A13" s="39">
        <f t="shared" si="0"/>
        <v>5</v>
      </c>
      <c r="B13" s="264" t="s">
        <v>112</v>
      </c>
      <c r="C13" s="63" t="str">
        <f>'Rate Impacts'!C12</f>
        <v>08 (24) (324)</v>
      </c>
      <c r="D13" s="62">
        <f>'Rate Impacts'!H12</f>
        <v>6.9999999999999999E-6</v>
      </c>
      <c r="E13" s="62">
        <f>'Rate Impacts'!I12</f>
        <v>0</v>
      </c>
      <c r="F13" s="52" t="str">
        <f>$F$10</f>
        <v>Sheet No. 137-A</v>
      </c>
    </row>
    <row r="14" spans="1:6" x14ac:dyDescent="0.2">
      <c r="A14" s="39">
        <f t="shared" si="0"/>
        <v>6</v>
      </c>
      <c r="B14" s="264" t="s">
        <v>111</v>
      </c>
      <c r="C14" s="63" t="str">
        <f>'Rate Impacts'!C13</f>
        <v>7A (11) (25)</v>
      </c>
      <c r="D14" s="62">
        <f>'Rate Impacts'!H13</f>
        <v>6.9999999999999999E-6</v>
      </c>
      <c r="E14" s="62">
        <f>'Rate Impacts'!I13</f>
        <v>0</v>
      </c>
      <c r="F14" s="52" t="str">
        <f t="shared" ref="F14:F16" si="1">$F$10</f>
        <v>Sheet No. 137-A</v>
      </c>
    </row>
    <row r="15" spans="1:6" x14ac:dyDescent="0.2">
      <c r="A15" s="39">
        <f t="shared" si="0"/>
        <v>7</v>
      </c>
      <c r="B15" s="264" t="s">
        <v>110</v>
      </c>
      <c r="C15" s="63" t="str">
        <f>'Rate Impacts'!C14</f>
        <v>12 (26) (26P)</v>
      </c>
      <c r="D15" s="62">
        <f>'Rate Impacts'!H14</f>
        <v>6.0000000000000002E-6</v>
      </c>
      <c r="E15" s="62">
        <f>'Rate Impacts'!I14</f>
        <v>0</v>
      </c>
      <c r="F15" s="52" t="str">
        <f t="shared" si="1"/>
        <v>Sheet No. 137-A</v>
      </c>
    </row>
    <row r="16" spans="1:6" x14ac:dyDescent="0.2">
      <c r="A16" s="39">
        <f t="shared" si="0"/>
        <v>8</v>
      </c>
      <c r="B16" s="264" t="s">
        <v>109</v>
      </c>
      <c r="C16" s="63">
        <f>'Rate Impacts'!C15</f>
        <v>29</v>
      </c>
      <c r="D16" s="62">
        <f>'Rate Impacts'!H15</f>
        <v>6.9999999999999999E-6</v>
      </c>
      <c r="E16" s="62">
        <f>'Rate Impacts'!I15</f>
        <v>0</v>
      </c>
      <c r="F16" s="52" t="str">
        <f t="shared" si="1"/>
        <v>Sheet No. 137-A</v>
      </c>
    </row>
    <row r="17" spans="1:6" x14ac:dyDescent="0.2">
      <c r="A17" s="39">
        <f t="shared" si="0"/>
        <v>9</v>
      </c>
      <c r="B17" s="264"/>
      <c r="C17" s="65"/>
      <c r="D17" s="64"/>
      <c r="E17" s="64"/>
    </row>
    <row r="18" spans="1:6" x14ac:dyDescent="0.2">
      <c r="A18" s="39">
        <f t="shared" si="0"/>
        <v>10</v>
      </c>
      <c r="B18" s="237"/>
      <c r="C18" s="65"/>
      <c r="D18" s="62"/>
      <c r="E18" s="62"/>
    </row>
    <row r="19" spans="1:6" x14ac:dyDescent="0.2">
      <c r="A19" s="39">
        <f t="shared" si="0"/>
        <v>11</v>
      </c>
      <c r="B19" s="237" t="s">
        <v>62</v>
      </c>
      <c r="C19" s="63"/>
      <c r="D19" s="62"/>
      <c r="E19" s="62"/>
    </row>
    <row r="20" spans="1:6" x14ac:dyDescent="0.2">
      <c r="A20" s="39">
        <f t="shared" si="0"/>
        <v>12</v>
      </c>
      <c r="B20" s="264" t="s">
        <v>63</v>
      </c>
      <c r="C20" s="63" t="str">
        <f>'Rate Impacts'!C19</f>
        <v>10 (31)</v>
      </c>
      <c r="D20" s="62">
        <f>'Rate Impacts'!H19</f>
        <v>6.0000000000000002E-6</v>
      </c>
      <c r="E20" s="62">
        <f>'Rate Impacts'!I19</f>
        <v>0</v>
      </c>
      <c r="F20" s="52" t="str">
        <f t="shared" ref="F20:F22" si="2">$F$10</f>
        <v>Sheet No. 137-A</v>
      </c>
    </row>
    <row r="21" spans="1:6" x14ac:dyDescent="0.2">
      <c r="A21" s="39">
        <f t="shared" si="0"/>
        <v>13</v>
      </c>
      <c r="B21" s="264" t="s">
        <v>108</v>
      </c>
      <c r="C21" s="63">
        <f>'Rate Impacts'!C20</f>
        <v>35</v>
      </c>
      <c r="D21" s="62">
        <f>'Rate Impacts'!H20</f>
        <v>3.9999999999999998E-6</v>
      </c>
      <c r="E21" s="62">
        <f>'Rate Impacts'!I20</f>
        <v>0</v>
      </c>
      <c r="F21" s="52" t="str">
        <f t="shared" si="2"/>
        <v>Sheet No. 137-A</v>
      </c>
    </row>
    <row r="22" spans="1:6" x14ac:dyDescent="0.2">
      <c r="A22" s="39">
        <f t="shared" si="0"/>
        <v>14</v>
      </c>
      <c r="B22" s="264" t="s">
        <v>107</v>
      </c>
      <c r="C22" s="63">
        <f>'Rate Impacts'!C21</f>
        <v>43</v>
      </c>
      <c r="D22" s="62">
        <f>'Rate Impacts'!H21</f>
        <v>9.9999999999999995E-7</v>
      </c>
      <c r="E22" s="62">
        <f>'Rate Impacts'!I21</f>
        <v>0</v>
      </c>
      <c r="F22" s="52" t="str">
        <f t="shared" si="2"/>
        <v>Sheet No. 137-A</v>
      </c>
    </row>
    <row r="23" spans="1:6" x14ac:dyDescent="0.2">
      <c r="A23" s="39">
        <f t="shared" si="0"/>
        <v>15</v>
      </c>
      <c r="B23" s="264"/>
      <c r="C23" s="65"/>
      <c r="D23" s="64"/>
      <c r="E23" s="64"/>
    </row>
    <row r="24" spans="1:6" x14ac:dyDescent="0.2">
      <c r="A24" s="39">
        <f t="shared" si="0"/>
        <v>16</v>
      </c>
      <c r="B24" s="237"/>
      <c r="C24" s="65"/>
      <c r="D24" s="62"/>
      <c r="E24" s="62"/>
    </row>
    <row r="25" spans="1:6" x14ac:dyDescent="0.2">
      <c r="A25" s="39">
        <f t="shared" si="0"/>
        <v>17</v>
      </c>
      <c r="B25" s="237" t="s">
        <v>106</v>
      </c>
      <c r="C25" s="63"/>
      <c r="D25" s="62"/>
      <c r="E25" s="62"/>
    </row>
    <row r="26" spans="1:6" x14ac:dyDescent="0.2">
      <c r="A26" s="39">
        <f t="shared" si="0"/>
        <v>18</v>
      </c>
      <c r="B26" s="264" t="s">
        <v>105</v>
      </c>
      <c r="C26" s="63">
        <f>'Rate Impacts'!C25</f>
        <v>46</v>
      </c>
      <c r="D26" s="62">
        <f>'Rate Impacts'!H25</f>
        <v>9.9999999999999995E-7</v>
      </c>
      <c r="E26" s="62">
        <f>'Rate Impacts'!I25</f>
        <v>0</v>
      </c>
      <c r="F26" s="52" t="str">
        <f t="shared" ref="F26:F27" si="3">$F$21</f>
        <v>Sheet No. 137-A</v>
      </c>
    </row>
    <row r="27" spans="1:6" x14ac:dyDescent="0.2">
      <c r="A27" s="39">
        <f t="shared" si="0"/>
        <v>19</v>
      </c>
      <c r="B27" s="264" t="s">
        <v>63</v>
      </c>
      <c r="C27" s="63">
        <f>'Rate Impacts'!C26</f>
        <v>49</v>
      </c>
      <c r="D27" s="62">
        <f>'Rate Impacts'!H26</f>
        <v>5.0000000000000004E-6</v>
      </c>
      <c r="E27" s="62">
        <f>'Rate Impacts'!I26</f>
        <v>0</v>
      </c>
      <c r="F27" s="52" t="str">
        <f t="shared" si="3"/>
        <v>Sheet No. 137-A</v>
      </c>
    </row>
    <row r="28" spans="1:6" x14ac:dyDescent="0.2">
      <c r="A28" s="39">
        <f t="shared" si="0"/>
        <v>20</v>
      </c>
      <c r="B28" s="264"/>
      <c r="C28" s="65"/>
      <c r="D28" s="64"/>
      <c r="E28" s="64"/>
    </row>
    <row r="29" spans="1:6" x14ac:dyDescent="0.2">
      <c r="A29" s="39">
        <f t="shared" si="0"/>
        <v>21</v>
      </c>
      <c r="B29" s="265"/>
      <c r="C29" s="63"/>
      <c r="D29" s="62"/>
      <c r="E29" s="62"/>
    </row>
    <row r="30" spans="1:6" x14ac:dyDescent="0.2">
      <c r="A30" s="39">
        <f t="shared" si="0"/>
        <v>22</v>
      </c>
      <c r="B30" s="263" t="s">
        <v>104</v>
      </c>
      <c r="C30" s="63" t="str">
        <f>'Rate Impacts'!$C$29</f>
        <v>448 - 459</v>
      </c>
      <c r="D30" s="66">
        <f>'Rate Impacts'!H29</f>
        <v>0</v>
      </c>
      <c r="E30" s="66">
        <f>'Rate Impacts'!I29</f>
        <v>0</v>
      </c>
      <c r="F30" s="52"/>
    </row>
    <row r="31" spans="1:6" x14ac:dyDescent="0.2">
      <c r="A31" s="39">
        <f t="shared" si="0"/>
        <v>23</v>
      </c>
      <c r="B31" s="266" t="s">
        <v>103</v>
      </c>
      <c r="C31" s="63" t="str">
        <f>'Rate Impacts'!$C$31</f>
        <v>Special Contract</v>
      </c>
      <c r="D31" s="66">
        <f>'Rate Impacts'!H31</f>
        <v>0</v>
      </c>
      <c r="E31" s="66">
        <f>'Rate Impacts'!I31</f>
        <v>0</v>
      </c>
      <c r="F31" s="52" t="str">
        <f>F27</f>
        <v>Sheet No. 137-A</v>
      </c>
    </row>
    <row r="32" spans="1:6" x14ac:dyDescent="0.2">
      <c r="A32" s="39">
        <f t="shared" si="0"/>
        <v>24</v>
      </c>
      <c r="B32" s="263" t="s">
        <v>65</v>
      </c>
      <c r="C32" s="63" t="str">
        <f>'Rate Impacts'!$C$33</f>
        <v>50 - 59</v>
      </c>
      <c r="D32" s="43">
        <f>'Rate Impacts'!H33</f>
        <v>3.0000000000000001E-6</v>
      </c>
      <c r="E32" s="43">
        <f>'Rate Impacts'!I33</f>
        <v>0</v>
      </c>
      <c r="F32" s="61" t="s">
        <v>156</v>
      </c>
    </row>
    <row r="33" spans="1:5" x14ac:dyDescent="0.2">
      <c r="A33" s="39">
        <f t="shared" si="0"/>
        <v>25</v>
      </c>
      <c r="B33" s="263"/>
      <c r="C33" s="63"/>
      <c r="D33" s="62"/>
      <c r="E33" s="62"/>
    </row>
    <row r="34" spans="1:5" x14ac:dyDescent="0.2">
      <c r="A34" s="39">
        <f t="shared" si="0"/>
        <v>26</v>
      </c>
      <c r="B34" s="263" t="s">
        <v>102</v>
      </c>
      <c r="C34" s="65"/>
      <c r="D34" s="64"/>
      <c r="E34" s="64"/>
    </row>
    <row r="35" spans="1:5" x14ac:dyDescent="0.2">
      <c r="A35" s="39">
        <f t="shared" si="0"/>
        <v>27</v>
      </c>
      <c r="B35" s="265"/>
      <c r="C35" s="63"/>
      <c r="D35" s="62"/>
      <c r="E35" s="62"/>
    </row>
    <row r="36" spans="1:5" x14ac:dyDescent="0.2">
      <c r="A36" s="39">
        <f t="shared" si="0"/>
        <v>28</v>
      </c>
      <c r="B36" s="263" t="s">
        <v>66</v>
      </c>
      <c r="C36" s="61">
        <v>5</v>
      </c>
      <c r="D36" s="43">
        <f>'Rate Impacts'!H35</f>
        <v>6.0000000000000002E-6</v>
      </c>
      <c r="E36" s="43">
        <f>'Rate Impacts'!I35</f>
        <v>0</v>
      </c>
    </row>
    <row r="37" spans="1:5" x14ac:dyDescent="0.2">
      <c r="A37" s="39">
        <f t="shared" si="0"/>
        <v>29</v>
      </c>
      <c r="B37" s="263"/>
      <c r="C37" s="44"/>
      <c r="D37" s="43"/>
      <c r="E37" s="43"/>
    </row>
    <row r="38" spans="1:5" ht="12" thickBot="1" x14ac:dyDescent="0.25">
      <c r="A38" s="39">
        <f t="shared" si="0"/>
        <v>30</v>
      </c>
      <c r="B38" s="60"/>
      <c r="C38" s="41"/>
      <c r="D38" s="40"/>
      <c r="E38" s="40"/>
    </row>
    <row r="39" spans="1:5" ht="12" thickTop="1" x14ac:dyDescent="0.2">
      <c r="A39" s="39">
        <f t="shared" si="0"/>
        <v>31</v>
      </c>
      <c r="B39" s="59"/>
      <c r="C39" s="44"/>
      <c r="D39" s="43"/>
      <c r="E39" s="43"/>
    </row>
    <row r="40" spans="1:5" x14ac:dyDescent="0.2">
      <c r="A40" s="39">
        <f t="shared" si="0"/>
        <v>32</v>
      </c>
      <c r="B40" s="52"/>
      <c r="C40" s="44"/>
      <c r="D40" s="43"/>
      <c r="E40" s="43"/>
    </row>
    <row r="41" spans="1:5" x14ac:dyDescent="0.2">
      <c r="A41" s="39">
        <f t="shared" si="0"/>
        <v>33</v>
      </c>
      <c r="B41" s="58" t="s">
        <v>101</v>
      </c>
      <c r="C41" s="57"/>
      <c r="D41" s="56"/>
      <c r="E41" s="56"/>
    </row>
    <row r="42" spans="1:5" x14ac:dyDescent="0.2">
      <c r="A42" s="39">
        <f t="shared" ref="A42:A70" si="4">+A41+1</f>
        <v>34</v>
      </c>
      <c r="B42" s="45" t="str">
        <f>B10</f>
        <v>Residential</v>
      </c>
      <c r="C42" s="47" t="str">
        <f>C10</f>
        <v>7 (307) (317) (327)</v>
      </c>
      <c r="D42" s="48"/>
      <c r="E42" s="48"/>
    </row>
    <row r="43" spans="1:5" x14ac:dyDescent="0.2">
      <c r="A43" s="39">
        <f t="shared" si="4"/>
        <v>35</v>
      </c>
      <c r="B43" s="45"/>
      <c r="C43" s="47"/>
      <c r="D43" s="46"/>
      <c r="E43" s="46"/>
    </row>
    <row r="44" spans="1:5" x14ac:dyDescent="0.2">
      <c r="A44" s="39">
        <f t="shared" si="4"/>
        <v>36</v>
      </c>
      <c r="B44" s="45" t="str">
        <f>B12</f>
        <v>Secondary Voltage</v>
      </c>
      <c r="C44" s="47"/>
      <c r="D44" s="46"/>
      <c r="E44" s="46"/>
    </row>
    <row r="45" spans="1:5" x14ac:dyDescent="0.2">
      <c r="A45" s="39">
        <f t="shared" si="4"/>
        <v>37</v>
      </c>
      <c r="B45" s="53" t="str">
        <f>B13</f>
        <v>General Service: Demand &lt;= 50 kW</v>
      </c>
      <c r="C45" s="47" t="str">
        <f>C13</f>
        <v>08 (24) (324)</v>
      </c>
      <c r="D45" s="46"/>
      <c r="E45" s="46"/>
    </row>
    <row r="46" spans="1:5" x14ac:dyDescent="0.2">
      <c r="A46" s="39">
        <f t="shared" si="4"/>
        <v>38</v>
      </c>
      <c r="B46" s="53" t="str">
        <f>B14</f>
        <v>Small General Service: Demand &gt; 50 kW but &lt;= 350 kW</v>
      </c>
      <c r="C46" s="52" t="str">
        <f>C14</f>
        <v>7A (11) (25)</v>
      </c>
      <c r="D46" s="51"/>
      <c r="E46" s="51"/>
    </row>
    <row r="47" spans="1:5" x14ac:dyDescent="0.2">
      <c r="A47" s="39">
        <f t="shared" si="4"/>
        <v>39</v>
      </c>
      <c r="B47" s="53" t="str">
        <f>B15</f>
        <v>Large General Service: Demand &gt; 350 kW</v>
      </c>
      <c r="C47" s="52" t="str">
        <f>C15</f>
        <v>12 (26) (26P)</v>
      </c>
      <c r="D47" s="51"/>
      <c r="E47" s="51"/>
    </row>
    <row r="48" spans="1:5" x14ac:dyDescent="0.2">
      <c r="A48" s="39">
        <f t="shared" si="4"/>
        <v>40</v>
      </c>
      <c r="B48" s="53" t="str">
        <f>B16</f>
        <v>Irrigation &amp; Pumping Service: Demand &gt; 50 kW but &lt;= 350 kW</v>
      </c>
      <c r="C48" s="52">
        <f>C16</f>
        <v>29</v>
      </c>
      <c r="D48" s="51"/>
      <c r="E48" s="51"/>
    </row>
    <row r="49" spans="1:5" x14ac:dyDescent="0.2">
      <c r="A49" s="39">
        <f t="shared" si="4"/>
        <v>41</v>
      </c>
      <c r="B49" s="50"/>
      <c r="C49" s="54"/>
      <c r="D49" s="55"/>
      <c r="E49" s="55"/>
    </row>
    <row r="50" spans="1:5" x14ac:dyDescent="0.2">
      <c r="A50" s="39">
        <f t="shared" si="4"/>
        <v>42</v>
      </c>
      <c r="B50" s="50"/>
      <c r="C50" s="54"/>
      <c r="D50" s="51"/>
      <c r="E50" s="51"/>
    </row>
    <row r="51" spans="1:5" x14ac:dyDescent="0.2">
      <c r="A51" s="39">
        <f t="shared" si="4"/>
        <v>43</v>
      </c>
      <c r="B51" s="45" t="str">
        <f>B19</f>
        <v>Primary Voltage</v>
      </c>
      <c r="C51" s="52"/>
      <c r="D51" s="51"/>
      <c r="E51" s="51"/>
    </row>
    <row r="52" spans="1:5" x14ac:dyDescent="0.2">
      <c r="A52" s="39">
        <f t="shared" si="4"/>
        <v>44</v>
      </c>
      <c r="B52" s="53" t="str">
        <f>B20</f>
        <v>General Service</v>
      </c>
      <c r="C52" s="52" t="str">
        <f>C20</f>
        <v>10 (31)</v>
      </c>
      <c r="D52" s="51"/>
      <c r="E52" s="51"/>
    </row>
    <row r="53" spans="1:5" x14ac:dyDescent="0.2">
      <c r="A53" s="39">
        <f t="shared" si="4"/>
        <v>45</v>
      </c>
      <c r="B53" s="53" t="str">
        <f>B21</f>
        <v>Irrigation &amp; Pumping Service</v>
      </c>
      <c r="C53" s="52">
        <f>C21</f>
        <v>35</v>
      </c>
      <c r="D53" s="51"/>
      <c r="E53" s="51"/>
    </row>
    <row r="54" spans="1:5" x14ac:dyDescent="0.2">
      <c r="A54" s="39">
        <f t="shared" si="4"/>
        <v>46</v>
      </c>
      <c r="B54" s="53" t="str">
        <f>B22</f>
        <v>All Electric Schools</v>
      </c>
      <c r="C54" s="52">
        <f>C22</f>
        <v>43</v>
      </c>
      <c r="D54" s="51"/>
      <c r="E54" s="51"/>
    </row>
    <row r="55" spans="1:5" x14ac:dyDescent="0.2">
      <c r="A55" s="39">
        <f t="shared" si="4"/>
        <v>47</v>
      </c>
      <c r="B55" s="50"/>
      <c r="C55" s="54"/>
      <c r="D55" s="55"/>
      <c r="E55" s="55"/>
    </row>
    <row r="56" spans="1:5" x14ac:dyDescent="0.2">
      <c r="A56" s="39">
        <f t="shared" si="4"/>
        <v>48</v>
      </c>
      <c r="B56" s="50"/>
      <c r="C56" s="54"/>
      <c r="D56" s="51"/>
      <c r="E56" s="51"/>
    </row>
    <row r="57" spans="1:5" x14ac:dyDescent="0.2">
      <c r="A57" s="39">
        <f t="shared" si="4"/>
        <v>49</v>
      </c>
      <c r="B57" s="45" t="str">
        <f>B25</f>
        <v>High Voltage</v>
      </c>
      <c r="C57" s="52"/>
      <c r="D57" s="51"/>
      <c r="E57" s="51"/>
    </row>
    <row r="58" spans="1:5" x14ac:dyDescent="0.2">
      <c r="A58" s="39">
        <f t="shared" si="4"/>
        <v>50</v>
      </c>
      <c r="B58" s="53" t="str">
        <f>B26</f>
        <v>Interruptible Service</v>
      </c>
      <c r="C58" s="52">
        <f>C26</f>
        <v>46</v>
      </c>
      <c r="D58" s="51"/>
      <c r="E58" s="51"/>
    </row>
    <row r="59" spans="1:5" x14ac:dyDescent="0.2">
      <c r="A59" s="39">
        <f t="shared" si="4"/>
        <v>51</v>
      </c>
      <c r="B59" s="53" t="str">
        <f>B27</f>
        <v>General Service</v>
      </c>
      <c r="C59" s="52">
        <f>C27</f>
        <v>49</v>
      </c>
      <c r="D59" s="51"/>
      <c r="E59" s="51"/>
    </row>
    <row r="60" spans="1:5" x14ac:dyDescent="0.2">
      <c r="A60" s="39">
        <f t="shared" si="4"/>
        <v>52</v>
      </c>
      <c r="B60" s="42"/>
      <c r="C60" s="49"/>
      <c r="D60" s="48"/>
      <c r="E60" s="48"/>
    </row>
    <row r="61" spans="1:5" x14ac:dyDescent="0.2">
      <c r="A61" s="39">
        <f t="shared" si="4"/>
        <v>53</v>
      </c>
      <c r="B61" s="45"/>
      <c r="C61" s="47"/>
      <c r="D61" s="46"/>
      <c r="E61" s="46"/>
    </row>
    <row r="62" spans="1:5" x14ac:dyDescent="0.2">
      <c r="A62" s="39">
        <f t="shared" si="4"/>
        <v>54</v>
      </c>
      <c r="B62" s="50" t="str">
        <f t="shared" ref="B62:C64" si="5">B30</f>
        <v>Choice / Retail Wheeling</v>
      </c>
      <c r="C62" s="47" t="str">
        <f t="shared" si="5"/>
        <v>448 - 459</v>
      </c>
      <c r="D62" s="46"/>
      <c r="E62" s="46"/>
    </row>
    <row r="63" spans="1:5" x14ac:dyDescent="0.2">
      <c r="A63" s="39">
        <f t="shared" si="4"/>
        <v>55</v>
      </c>
      <c r="B63" s="45" t="str">
        <f t="shared" si="5"/>
        <v>Special Contracts</v>
      </c>
      <c r="C63" s="47" t="str">
        <f t="shared" si="5"/>
        <v>Special Contract</v>
      </c>
      <c r="D63" s="46"/>
      <c r="E63" s="46"/>
    </row>
    <row r="64" spans="1:5" x14ac:dyDescent="0.2">
      <c r="A64" s="39">
        <f t="shared" si="4"/>
        <v>56</v>
      </c>
      <c r="B64" s="45" t="str">
        <f t="shared" si="5"/>
        <v>Lighting</v>
      </c>
      <c r="C64" s="47" t="str">
        <f t="shared" si="5"/>
        <v>50 - 59</v>
      </c>
      <c r="D64" s="46"/>
      <c r="E64" s="46"/>
    </row>
    <row r="65" spans="1:12" x14ac:dyDescent="0.2">
      <c r="A65" s="39">
        <f t="shared" si="4"/>
        <v>57</v>
      </c>
      <c r="B65" s="45"/>
      <c r="C65" s="47"/>
      <c r="D65" s="46"/>
      <c r="E65" s="46"/>
    </row>
    <row r="66" spans="1:12" x14ac:dyDescent="0.2">
      <c r="A66" s="39">
        <f t="shared" si="4"/>
        <v>58</v>
      </c>
      <c r="B66" s="42" t="str">
        <f>B34</f>
        <v>Total Retail Sales</v>
      </c>
      <c r="C66" s="49"/>
      <c r="D66" s="48"/>
      <c r="E66" s="48"/>
    </row>
    <row r="67" spans="1:12" x14ac:dyDescent="0.2">
      <c r="A67" s="39">
        <f t="shared" si="4"/>
        <v>59</v>
      </c>
      <c r="B67" s="45"/>
      <c r="C67" s="47"/>
      <c r="D67" s="46"/>
      <c r="E67" s="46"/>
    </row>
    <row r="68" spans="1:12" x14ac:dyDescent="0.2">
      <c r="A68" s="39">
        <f t="shared" si="4"/>
        <v>60</v>
      </c>
      <c r="B68" s="45" t="str">
        <f>B36</f>
        <v>Firm Resale</v>
      </c>
      <c r="C68" s="47">
        <f>C36</f>
        <v>5</v>
      </c>
      <c r="D68" s="46"/>
      <c r="E68" s="46"/>
    </row>
    <row r="69" spans="1:12" x14ac:dyDescent="0.2">
      <c r="A69" s="39">
        <f t="shared" si="4"/>
        <v>61</v>
      </c>
      <c r="B69" s="45"/>
      <c r="C69" s="44"/>
      <c r="D69" s="43"/>
      <c r="E69" s="43"/>
    </row>
    <row r="70" spans="1:12" ht="12" thickBot="1" x14ac:dyDescent="0.25">
      <c r="A70" s="39">
        <f t="shared" si="4"/>
        <v>62</v>
      </c>
      <c r="B70" s="42"/>
      <c r="C70" s="41"/>
      <c r="D70" s="40"/>
      <c r="E70" s="40"/>
    </row>
    <row r="71" spans="1:12" ht="12" thickTop="1" x14ac:dyDescent="0.2">
      <c r="A71" s="39"/>
    </row>
    <row r="72" spans="1:12" x14ac:dyDescent="0.2">
      <c r="A72" s="39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</row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F49BC-4658-4953-A179-B53C3D30AC2F}">
  <sheetPr>
    <tabColor theme="6" tint="0.79998168889431442"/>
  </sheetPr>
  <dimension ref="A1:M164"/>
  <sheetViews>
    <sheetView zoomScaleNormal="100" workbookViewId="0">
      <pane ySplit="6" topLeftCell="A7" activePane="bottomLeft" state="frozen"/>
      <selection activeCell="L19" sqref="L19"/>
      <selection pane="bottomLeft" activeCell="D28" sqref="D28"/>
    </sheetView>
  </sheetViews>
  <sheetFormatPr defaultColWidth="8.85546875" defaultRowHeight="11.25" x14ac:dyDescent="0.2"/>
  <cols>
    <col min="1" max="1" width="6.7109375" style="3" bestFit="1" customWidth="1"/>
    <col min="2" max="2" width="30.5703125" style="3" customWidth="1"/>
    <col min="3" max="3" width="11.5703125" style="3" bestFit="1" customWidth="1"/>
    <col min="4" max="4" width="12.140625" style="3" customWidth="1"/>
    <col min="5" max="5" width="18.28515625" style="3" bestFit="1" customWidth="1"/>
    <col min="6" max="16384" width="8.85546875" style="3"/>
  </cols>
  <sheetData>
    <row r="1" spans="1:5" x14ac:dyDescent="0.2">
      <c r="A1" s="1" t="str">
        <f>'Sch 137 Rates'!A1</f>
        <v>PUGET SOUND ENERGY</v>
      </c>
      <c r="B1" s="1"/>
      <c r="C1" s="1"/>
      <c r="D1" s="2"/>
      <c r="E1" s="1"/>
    </row>
    <row r="2" spans="1:5" x14ac:dyDescent="0.2">
      <c r="A2" s="1" t="str">
        <f>'Sch 137 Rates'!A2</f>
        <v>Schedule 137 Temporary Charge or Credit</v>
      </c>
      <c r="B2" s="1"/>
      <c r="C2" s="1"/>
      <c r="D2" s="2"/>
      <c r="E2" s="1"/>
    </row>
    <row r="3" spans="1:5" x14ac:dyDescent="0.2">
      <c r="A3" s="1" t="str">
        <f>'Sch 137 Rates'!A3</f>
        <v>Effective January 1, 2025 - December 31, 2025</v>
      </c>
      <c r="B3" s="1"/>
      <c r="C3" s="1"/>
      <c r="D3" s="2"/>
      <c r="E3" s="1"/>
    </row>
    <row r="4" spans="1:5" x14ac:dyDescent="0.2">
      <c r="A4" s="35" t="s">
        <v>100</v>
      </c>
      <c r="B4" s="35"/>
      <c r="C4" s="35"/>
      <c r="D4" s="36"/>
      <c r="E4" s="35"/>
    </row>
    <row r="5" spans="1:5" x14ac:dyDescent="0.2">
      <c r="A5" s="1" t="s">
        <v>96</v>
      </c>
      <c r="B5" s="1"/>
      <c r="C5" s="1"/>
      <c r="D5" s="2"/>
      <c r="E5" s="1"/>
    </row>
    <row r="6" spans="1:5" ht="22.5" x14ac:dyDescent="0.2">
      <c r="A6" s="31" t="s">
        <v>0</v>
      </c>
      <c r="B6" s="34" t="s">
        <v>99</v>
      </c>
      <c r="C6" s="33" t="s">
        <v>98</v>
      </c>
      <c r="D6" s="32" t="s">
        <v>97</v>
      </c>
      <c r="E6" s="31" t="s">
        <v>56</v>
      </c>
    </row>
    <row r="7" spans="1:5" x14ac:dyDescent="0.2">
      <c r="A7" s="20">
        <v>1</v>
      </c>
      <c r="B7" s="1" t="s">
        <v>96</v>
      </c>
      <c r="C7" s="2"/>
      <c r="D7" s="29"/>
      <c r="E7" s="9"/>
    </row>
    <row r="8" spans="1:5" ht="13.5" x14ac:dyDescent="0.35">
      <c r="A8" s="20">
        <f t="shared" ref="A8:A39" si="0">A7+1</f>
        <v>2</v>
      </c>
      <c r="B8" s="27" t="s">
        <v>95</v>
      </c>
      <c r="C8" s="10"/>
      <c r="E8" s="9"/>
    </row>
    <row r="9" spans="1:5" x14ac:dyDescent="0.2">
      <c r="A9" s="20">
        <f t="shared" si="0"/>
        <v>3</v>
      </c>
      <c r="B9" s="4" t="s">
        <v>94</v>
      </c>
      <c r="C9" s="22">
        <v>22</v>
      </c>
      <c r="D9" s="21">
        <f>ROUND('Lighting RD'!F11,2)</f>
        <v>0</v>
      </c>
      <c r="E9" s="24" t="s">
        <v>160</v>
      </c>
    </row>
    <row r="10" spans="1:5" x14ac:dyDescent="0.2">
      <c r="A10" s="20">
        <f t="shared" si="0"/>
        <v>4</v>
      </c>
      <c r="B10" s="4"/>
      <c r="C10" s="30"/>
      <c r="D10" s="21"/>
      <c r="E10" s="25"/>
    </row>
    <row r="11" spans="1:5" x14ac:dyDescent="0.2">
      <c r="A11" s="20">
        <f t="shared" si="0"/>
        <v>5</v>
      </c>
      <c r="B11" s="4" t="s">
        <v>93</v>
      </c>
      <c r="C11" s="22">
        <v>100</v>
      </c>
      <c r="D11" s="21">
        <f>ROUND('Lighting RD'!F13,2)</f>
        <v>0</v>
      </c>
      <c r="E11" s="8" t="str">
        <f>$E$9</f>
        <v>Sheet No. 137-B</v>
      </c>
    </row>
    <row r="12" spans="1:5" x14ac:dyDescent="0.2">
      <c r="A12" s="20">
        <f t="shared" si="0"/>
        <v>6</v>
      </c>
      <c r="B12" s="4" t="s">
        <v>93</v>
      </c>
      <c r="C12" s="22">
        <v>175</v>
      </c>
      <c r="D12" s="21">
        <f>ROUND('Lighting RD'!F14,2)</f>
        <v>0</v>
      </c>
      <c r="E12" s="8" t="str">
        <f>$E$9</f>
        <v>Sheet No. 137-B</v>
      </c>
    </row>
    <row r="13" spans="1:5" x14ac:dyDescent="0.2">
      <c r="A13" s="20">
        <f t="shared" si="0"/>
        <v>7</v>
      </c>
      <c r="B13" s="4" t="s">
        <v>93</v>
      </c>
      <c r="C13" s="22">
        <v>400</v>
      </c>
      <c r="D13" s="21">
        <f>ROUND('Lighting RD'!F15,2)</f>
        <v>0</v>
      </c>
      <c r="E13" s="8" t="str">
        <f>$E$9</f>
        <v>Sheet No. 137-B</v>
      </c>
    </row>
    <row r="14" spans="1:5" x14ac:dyDescent="0.2">
      <c r="A14" s="20">
        <f t="shared" si="0"/>
        <v>8</v>
      </c>
      <c r="B14" s="4" t="s">
        <v>93</v>
      </c>
      <c r="C14" s="22">
        <v>700</v>
      </c>
      <c r="D14" s="21">
        <f>ROUND('Lighting RD'!F16,2)</f>
        <v>0</v>
      </c>
      <c r="E14" s="8" t="str">
        <f>$E$9</f>
        <v>Sheet No. 137-B</v>
      </c>
    </row>
    <row r="15" spans="1:5" x14ac:dyDescent="0.2">
      <c r="A15" s="20">
        <f t="shared" si="0"/>
        <v>9</v>
      </c>
      <c r="B15" s="5"/>
      <c r="C15" s="9"/>
      <c r="D15" s="21"/>
      <c r="E15" s="25"/>
    </row>
    <row r="16" spans="1:5" ht="13.5" x14ac:dyDescent="0.35">
      <c r="A16" s="20">
        <f t="shared" si="0"/>
        <v>10</v>
      </c>
      <c r="B16" s="27" t="s">
        <v>92</v>
      </c>
      <c r="C16" s="9"/>
      <c r="D16" s="21"/>
      <c r="E16" s="25"/>
    </row>
    <row r="17" spans="1:5" x14ac:dyDescent="0.2">
      <c r="A17" s="20">
        <f t="shared" si="0"/>
        <v>11</v>
      </c>
      <c r="B17" s="4" t="s">
        <v>91</v>
      </c>
      <c r="C17" s="9" t="s">
        <v>49</v>
      </c>
      <c r="D17" s="21">
        <f>ROUND('Lighting RD'!F19,2)</f>
        <v>0</v>
      </c>
      <c r="E17" s="24" t="s">
        <v>162</v>
      </c>
    </row>
    <row r="18" spans="1:5" x14ac:dyDescent="0.2">
      <c r="A18" s="20">
        <f t="shared" si="0"/>
        <v>12</v>
      </c>
      <c r="B18" s="4" t="s">
        <v>91</v>
      </c>
      <c r="C18" s="23" t="s">
        <v>50</v>
      </c>
      <c r="D18" s="21">
        <f>ROUND('Lighting RD'!F20,2)</f>
        <v>0</v>
      </c>
      <c r="E18" s="8" t="str">
        <f t="shared" ref="E18:E26" si="1">$E$17</f>
        <v>Sheet No. 137-G</v>
      </c>
    </row>
    <row r="19" spans="1:5" x14ac:dyDescent="0.2">
      <c r="A19" s="20">
        <f t="shared" si="0"/>
        <v>13</v>
      </c>
      <c r="B19" s="4" t="s">
        <v>91</v>
      </c>
      <c r="C19" s="22" t="s">
        <v>15</v>
      </c>
      <c r="D19" s="21">
        <f>ROUND('Lighting RD'!F21,2)</f>
        <v>0</v>
      </c>
      <c r="E19" s="8" t="str">
        <f t="shared" si="1"/>
        <v>Sheet No. 137-G</v>
      </c>
    </row>
    <row r="20" spans="1:5" x14ac:dyDescent="0.2">
      <c r="A20" s="20">
        <f t="shared" si="0"/>
        <v>14</v>
      </c>
      <c r="B20" s="4" t="s">
        <v>91</v>
      </c>
      <c r="C20" s="22" t="s">
        <v>16</v>
      </c>
      <c r="D20" s="21">
        <f>ROUND('Lighting RD'!F22,2)</f>
        <v>0</v>
      </c>
      <c r="E20" s="8" t="str">
        <f t="shared" si="1"/>
        <v>Sheet No. 137-G</v>
      </c>
    </row>
    <row r="21" spans="1:5" x14ac:dyDescent="0.2">
      <c r="A21" s="20">
        <f t="shared" si="0"/>
        <v>15</v>
      </c>
      <c r="B21" s="4" t="s">
        <v>91</v>
      </c>
      <c r="C21" s="22" t="s">
        <v>17</v>
      </c>
      <c r="D21" s="21">
        <f>ROUND('Lighting RD'!F23,2)</f>
        <v>0</v>
      </c>
      <c r="E21" s="8" t="str">
        <f t="shared" si="1"/>
        <v>Sheet No. 137-G</v>
      </c>
    </row>
    <row r="22" spans="1:5" x14ac:dyDescent="0.2">
      <c r="A22" s="20">
        <f t="shared" si="0"/>
        <v>16</v>
      </c>
      <c r="B22" s="4" t="s">
        <v>91</v>
      </c>
      <c r="C22" s="22" t="s">
        <v>18</v>
      </c>
      <c r="D22" s="21">
        <f>ROUND('Lighting RD'!F24,2)</f>
        <v>0</v>
      </c>
      <c r="E22" s="8" t="str">
        <f t="shared" si="1"/>
        <v>Sheet No. 137-G</v>
      </c>
    </row>
    <row r="23" spans="1:5" x14ac:dyDescent="0.2">
      <c r="A23" s="20">
        <f t="shared" si="0"/>
        <v>17</v>
      </c>
      <c r="B23" s="4" t="s">
        <v>91</v>
      </c>
      <c r="C23" s="22" t="s">
        <v>19</v>
      </c>
      <c r="D23" s="21">
        <f>ROUND('Lighting RD'!F25,2)</f>
        <v>0</v>
      </c>
      <c r="E23" s="8" t="str">
        <f t="shared" si="1"/>
        <v>Sheet No. 137-G</v>
      </c>
    </row>
    <row r="24" spans="1:5" x14ac:dyDescent="0.2">
      <c r="A24" s="20">
        <f t="shared" si="0"/>
        <v>18</v>
      </c>
      <c r="B24" s="4" t="s">
        <v>91</v>
      </c>
      <c r="C24" s="22" t="s">
        <v>20</v>
      </c>
      <c r="D24" s="21">
        <f>ROUND('Lighting RD'!F26,2)</f>
        <v>0</v>
      </c>
      <c r="E24" s="8" t="str">
        <f t="shared" si="1"/>
        <v>Sheet No. 137-G</v>
      </c>
    </row>
    <row r="25" spans="1:5" x14ac:dyDescent="0.2">
      <c r="A25" s="20">
        <f t="shared" si="0"/>
        <v>19</v>
      </c>
      <c r="B25" s="4" t="s">
        <v>91</v>
      </c>
      <c r="C25" s="22" t="s">
        <v>21</v>
      </c>
      <c r="D25" s="21">
        <f>ROUND('Lighting RD'!F27,2)</f>
        <v>0</v>
      </c>
      <c r="E25" s="8" t="str">
        <f t="shared" si="1"/>
        <v>Sheet No. 137-G</v>
      </c>
    </row>
    <row r="26" spans="1:5" x14ac:dyDescent="0.2">
      <c r="A26" s="20">
        <f t="shared" si="0"/>
        <v>20</v>
      </c>
      <c r="B26" s="4" t="s">
        <v>91</v>
      </c>
      <c r="C26" s="22" t="s">
        <v>22</v>
      </c>
      <c r="D26" s="21">
        <f>ROUND('Lighting RD'!F28,2)</f>
        <v>0</v>
      </c>
      <c r="E26" s="8" t="str">
        <f t="shared" si="1"/>
        <v>Sheet No. 137-G</v>
      </c>
    </row>
    <row r="27" spans="1:5" x14ac:dyDescent="0.2">
      <c r="A27" s="20">
        <f t="shared" si="0"/>
        <v>21</v>
      </c>
      <c r="B27" s="4"/>
      <c r="C27" s="22"/>
      <c r="D27" s="21"/>
      <c r="E27" s="24"/>
    </row>
    <row r="28" spans="1:5" x14ac:dyDescent="0.2">
      <c r="A28" s="20">
        <f t="shared" si="0"/>
        <v>22</v>
      </c>
      <c r="B28" s="4" t="s">
        <v>90</v>
      </c>
      <c r="C28" s="22" t="s">
        <v>81</v>
      </c>
      <c r="D28" s="29">
        <f>ROUND('Lighting RD'!$F$29,6)</f>
        <v>0</v>
      </c>
      <c r="E28" s="24" t="s">
        <v>166</v>
      </c>
    </row>
    <row r="29" spans="1:5" x14ac:dyDescent="0.2">
      <c r="A29" s="20">
        <f t="shared" si="0"/>
        <v>23</v>
      </c>
      <c r="B29" s="5"/>
      <c r="C29" s="9"/>
      <c r="D29" s="21"/>
      <c r="E29" s="25"/>
    </row>
    <row r="30" spans="1:5" ht="13.5" x14ac:dyDescent="0.35">
      <c r="A30" s="20">
        <f t="shared" si="0"/>
        <v>24</v>
      </c>
      <c r="B30" s="27" t="s">
        <v>89</v>
      </c>
      <c r="C30" s="9"/>
      <c r="D30" s="21"/>
      <c r="E30" s="25"/>
    </row>
    <row r="31" spans="1:5" x14ac:dyDescent="0.2">
      <c r="A31" s="20">
        <f t="shared" si="0"/>
        <v>25</v>
      </c>
      <c r="B31" s="4" t="s">
        <v>88</v>
      </c>
      <c r="C31" s="22">
        <v>50</v>
      </c>
      <c r="D31" s="21">
        <f>ROUND('Lighting RD'!F32,2)</f>
        <v>0</v>
      </c>
      <c r="E31" s="8" t="str">
        <f>$E$9</f>
        <v>Sheet No. 137-B</v>
      </c>
    </row>
    <row r="32" spans="1:5" x14ac:dyDescent="0.2">
      <c r="A32" s="20">
        <f t="shared" si="0"/>
        <v>26</v>
      </c>
      <c r="B32" s="4" t="s">
        <v>88</v>
      </c>
      <c r="C32" s="22">
        <v>70</v>
      </c>
      <c r="D32" s="21">
        <f>ROUND('Lighting RD'!F33,2)</f>
        <v>0</v>
      </c>
      <c r="E32" s="8" t="str">
        <f t="shared" ref="E32:E38" si="2">$E$31</f>
        <v>Sheet No. 137-B</v>
      </c>
    </row>
    <row r="33" spans="1:5" x14ac:dyDescent="0.2">
      <c r="A33" s="20">
        <f t="shared" si="0"/>
        <v>27</v>
      </c>
      <c r="B33" s="4" t="s">
        <v>88</v>
      </c>
      <c r="C33" s="22">
        <v>100</v>
      </c>
      <c r="D33" s="21">
        <f>ROUND('Lighting RD'!F34,2)</f>
        <v>0</v>
      </c>
      <c r="E33" s="8" t="str">
        <f t="shared" si="2"/>
        <v>Sheet No. 137-B</v>
      </c>
    </row>
    <row r="34" spans="1:5" x14ac:dyDescent="0.2">
      <c r="A34" s="20">
        <f t="shared" si="0"/>
        <v>28</v>
      </c>
      <c r="B34" s="4" t="s">
        <v>88</v>
      </c>
      <c r="C34" s="22">
        <v>150</v>
      </c>
      <c r="D34" s="21">
        <f>ROUND('Lighting RD'!F35,2)</f>
        <v>0</v>
      </c>
      <c r="E34" s="8" t="str">
        <f t="shared" si="2"/>
        <v>Sheet No. 137-B</v>
      </c>
    </row>
    <row r="35" spans="1:5" x14ac:dyDescent="0.2">
      <c r="A35" s="20">
        <f t="shared" si="0"/>
        <v>29</v>
      </c>
      <c r="B35" s="4" t="s">
        <v>88</v>
      </c>
      <c r="C35" s="22">
        <v>200</v>
      </c>
      <c r="D35" s="21">
        <f>ROUND('Lighting RD'!F36,2)</f>
        <v>0</v>
      </c>
      <c r="E35" s="8" t="str">
        <f t="shared" si="2"/>
        <v>Sheet No. 137-B</v>
      </c>
    </row>
    <row r="36" spans="1:5" x14ac:dyDescent="0.2">
      <c r="A36" s="20">
        <f t="shared" si="0"/>
        <v>30</v>
      </c>
      <c r="B36" s="4" t="s">
        <v>88</v>
      </c>
      <c r="C36" s="22">
        <v>250</v>
      </c>
      <c r="D36" s="21">
        <f>ROUND('Lighting RD'!F37,2)</f>
        <v>0</v>
      </c>
      <c r="E36" s="8" t="str">
        <f t="shared" si="2"/>
        <v>Sheet No. 137-B</v>
      </c>
    </row>
    <row r="37" spans="1:5" x14ac:dyDescent="0.2">
      <c r="A37" s="20">
        <f t="shared" si="0"/>
        <v>31</v>
      </c>
      <c r="B37" s="4" t="s">
        <v>88</v>
      </c>
      <c r="C37" s="22">
        <v>310</v>
      </c>
      <c r="D37" s="21">
        <f>ROUND('Lighting RD'!F38,2)</f>
        <v>0</v>
      </c>
      <c r="E37" s="8" t="str">
        <f t="shared" si="2"/>
        <v>Sheet No. 137-B</v>
      </c>
    </row>
    <row r="38" spans="1:5" x14ac:dyDescent="0.2">
      <c r="A38" s="20">
        <f t="shared" si="0"/>
        <v>32</v>
      </c>
      <c r="B38" s="4" t="s">
        <v>88</v>
      </c>
      <c r="C38" s="22">
        <v>400</v>
      </c>
      <c r="D38" s="21">
        <f>ROUND('Lighting RD'!F39,2)</f>
        <v>0</v>
      </c>
      <c r="E38" s="8" t="str">
        <f t="shared" si="2"/>
        <v>Sheet No. 137-B</v>
      </c>
    </row>
    <row r="39" spans="1:5" x14ac:dyDescent="0.2">
      <c r="A39" s="20">
        <f t="shared" si="0"/>
        <v>33</v>
      </c>
      <c r="B39" s="26"/>
      <c r="C39" s="22"/>
      <c r="D39" s="21"/>
      <c r="E39" s="25"/>
    </row>
    <row r="40" spans="1:5" x14ac:dyDescent="0.2">
      <c r="A40" s="20">
        <f t="shared" ref="A40:A71" si="3">A39+1</f>
        <v>34</v>
      </c>
      <c r="B40" s="4" t="s">
        <v>87</v>
      </c>
      <c r="C40" s="22">
        <v>70</v>
      </c>
      <c r="D40" s="21">
        <f>ROUND('Lighting RD'!F41,2)</f>
        <v>0</v>
      </c>
      <c r="E40" s="8" t="str">
        <f>$E$9</f>
        <v>Sheet No. 137-B</v>
      </c>
    </row>
    <row r="41" spans="1:5" x14ac:dyDescent="0.2">
      <c r="A41" s="20">
        <f t="shared" si="3"/>
        <v>35</v>
      </c>
      <c r="B41" s="4" t="s">
        <v>87</v>
      </c>
      <c r="C41" s="22">
        <v>100</v>
      </c>
      <c r="D41" s="21">
        <f>ROUND('Lighting RD'!F42,2)</f>
        <v>0</v>
      </c>
      <c r="E41" s="8" t="str">
        <f t="shared" ref="E41:E46" si="4">$E$40</f>
        <v>Sheet No. 137-B</v>
      </c>
    </row>
    <row r="42" spans="1:5" x14ac:dyDescent="0.2">
      <c r="A42" s="20">
        <f t="shared" si="3"/>
        <v>36</v>
      </c>
      <c r="B42" s="4" t="s">
        <v>87</v>
      </c>
      <c r="C42" s="22">
        <v>150</v>
      </c>
      <c r="D42" s="21">
        <f>ROUND('Lighting RD'!F43,2)</f>
        <v>0</v>
      </c>
      <c r="E42" s="8" t="str">
        <f t="shared" si="4"/>
        <v>Sheet No. 137-B</v>
      </c>
    </row>
    <row r="43" spans="1:5" x14ac:dyDescent="0.2">
      <c r="A43" s="20">
        <f t="shared" si="3"/>
        <v>37</v>
      </c>
      <c r="B43" s="4" t="s">
        <v>87</v>
      </c>
      <c r="C43" s="22">
        <v>175</v>
      </c>
      <c r="D43" s="21">
        <f>ROUND('Lighting RD'!F44,2)</f>
        <v>0</v>
      </c>
      <c r="E43" s="8" t="str">
        <f t="shared" si="4"/>
        <v>Sheet No. 137-B</v>
      </c>
    </row>
    <row r="44" spans="1:5" x14ac:dyDescent="0.2">
      <c r="A44" s="20">
        <f t="shared" si="3"/>
        <v>38</v>
      </c>
      <c r="B44" s="4" t="s">
        <v>87</v>
      </c>
      <c r="C44" s="22">
        <v>250</v>
      </c>
      <c r="D44" s="21">
        <f>ROUND('Lighting RD'!F45,2)</f>
        <v>0</v>
      </c>
      <c r="E44" s="8" t="str">
        <f t="shared" si="4"/>
        <v>Sheet No. 137-B</v>
      </c>
    </row>
    <row r="45" spans="1:5" x14ac:dyDescent="0.2">
      <c r="A45" s="20">
        <f t="shared" si="3"/>
        <v>39</v>
      </c>
      <c r="B45" s="4" t="s">
        <v>87</v>
      </c>
      <c r="C45" s="22">
        <v>400</v>
      </c>
      <c r="D45" s="21">
        <f>ROUND('Lighting RD'!F46,2)</f>
        <v>0</v>
      </c>
      <c r="E45" s="8" t="str">
        <f t="shared" si="4"/>
        <v>Sheet No. 137-B</v>
      </c>
    </row>
    <row r="46" spans="1:5" x14ac:dyDescent="0.2">
      <c r="A46" s="20">
        <f t="shared" si="3"/>
        <v>40</v>
      </c>
      <c r="B46" s="4" t="s">
        <v>87</v>
      </c>
      <c r="C46" s="22">
        <v>1000</v>
      </c>
      <c r="D46" s="21">
        <f>ROUND('Lighting RD'!F47,2)</f>
        <v>0</v>
      </c>
      <c r="E46" s="8" t="str">
        <f t="shared" si="4"/>
        <v>Sheet No. 137-B</v>
      </c>
    </row>
    <row r="47" spans="1:5" x14ac:dyDescent="0.2">
      <c r="A47" s="20">
        <f t="shared" si="3"/>
        <v>41</v>
      </c>
      <c r="B47" s="5"/>
      <c r="C47" s="9"/>
      <c r="D47" s="21"/>
      <c r="E47" s="25"/>
    </row>
    <row r="48" spans="1:5" ht="13.5" x14ac:dyDescent="0.35">
      <c r="A48" s="20">
        <f t="shared" si="3"/>
        <v>42</v>
      </c>
      <c r="B48" s="27" t="s">
        <v>86</v>
      </c>
      <c r="C48" s="9"/>
      <c r="D48" s="21"/>
      <c r="E48" s="25"/>
    </row>
    <row r="49" spans="1:5" x14ac:dyDescent="0.2">
      <c r="A49" s="20">
        <f t="shared" si="3"/>
        <v>43</v>
      </c>
      <c r="B49" s="4" t="s">
        <v>85</v>
      </c>
      <c r="C49" s="22">
        <v>50</v>
      </c>
      <c r="D49" s="21">
        <f>ROUND('Lighting RD'!F50,2)</f>
        <v>0</v>
      </c>
      <c r="E49" s="24" t="s">
        <v>161</v>
      </c>
    </row>
    <row r="50" spans="1:5" x14ac:dyDescent="0.2">
      <c r="A50" s="20">
        <f t="shared" si="3"/>
        <v>44</v>
      </c>
      <c r="B50" s="4" t="s">
        <v>85</v>
      </c>
      <c r="C50" s="22">
        <v>70</v>
      </c>
      <c r="D50" s="21">
        <f>ROUND('Lighting RD'!F51,2)</f>
        <v>0</v>
      </c>
      <c r="E50" s="8" t="str">
        <f>$E$49</f>
        <v>Sheet No. 137-C</v>
      </c>
    </row>
    <row r="51" spans="1:5" x14ac:dyDescent="0.2">
      <c r="A51" s="20">
        <f t="shared" si="3"/>
        <v>45</v>
      </c>
      <c r="B51" s="4" t="s">
        <v>85</v>
      </c>
      <c r="C51" s="22">
        <v>100</v>
      </c>
      <c r="D51" s="21">
        <f>ROUND('Lighting RD'!F52,2)</f>
        <v>0</v>
      </c>
      <c r="E51" s="8" t="str">
        <f t="shared" ref="E51:E59" si="5">$E$49</f>
        <v>Sheet No. 137-C</v>
      </c>
    </row>
    <row r="52" spans="1:5" x14ac:dyDescent="0.2">
      <c r="A52" s="20">
        <f t="shared" si="3"/>
        <v>46</v>
      </c>
      <c r="B52" s="4" t="s">
        <v>85</v>
      </c>
      <c r="C52" s="22">
        <v>150</v>
      </c>
      <c r="D52" s="21">
        <f>ROUND('Lighting RD'!F53,2)</f>
        <v>0</v>
      </c>
      <c r="E52" s="8" t="str">
        <f t="shared" si="5"/>
        <v>Sheet No. 137-C</v>
      </c>
    </row>
    <row r="53" spans="1:5" x14ac:dyDescent="0.2">
      <c r="A53" s="20">
        <f t="shared" si="3"/>
        <v>47</v>
      </c>
      <c r="B53" s="4" t="s">
        <v>85</v>
      </c>
      <c r="C53" s="22">
        <v>200</v>
      </c>
      <c r="D53" s="21">
        <f>ROUND('Lighting RD'!F54,2)</f>
        <v>0</v>
      </c>
      <c r="E53" s="8" t="str">
        <f t="shared" si="5"/>
        <v>Sheet No. 137-C</v>
      </c>
    </row>
    <row r="54" spans="1:5" x14ac:dyDescent="0.2">
      <c r="A54" s="20">
        <f t="shared" si="3"/>
        <v>48</v>
      </c>
      <c r="B54" s="4" t="s">
        <v>85</v>
      </c>
      <c r="C54" s="22">
        <v>250</v>
      </c>
      <c r="D54" s="21">
        <f>ROUND('Lighting RD'!F55,2)</f>
        <v>0</v>
      </c>
      <c r="E54" s="8" t="str">
        <f t="shared" si="5"/>
        <v>Sheet No. 137-C</v>
      </c>
    </row>
    <row r="55" spans="1:5" x14ac:dyDescent="0.2">
      <c r="A55" s="20">
        <f t="shared" si="3"/>
        <v>49</v>
      </c>
      <c r="B55" s="4" t="s">
        <v>85</v>
      </c>
      <c r="C55" s="22">
        <v>310</v>
      </c>
      <c r="D55" s="21">
        <f>ROUND('Lighting RD'!F56,2)</f>
        <v>0</v>
      </c>
      <c r="E55" s="8" t="str">
        <f t="shared" si="5"/>
        <v>Sheet No. 137-C</v>
      </c>
    </row>
    <row r="56" spans="1:5" x14ac:dyDescent="0.2">
      <c r="A56" s="20">
        <f t="shared" si="3"/>
        <v>50</v>
      </c>
      <c r="B56" s="4" t="s">
        <v>85</v>
      </c>
      <c r="C56" s="22">
        <v>400</v>
      </c>
      <c r="D56" s="21">
        <f>ROUND('Lighting RD'!F57,2)</f>
        <v>0</v>
      </c>
      <c r="E56" s="8" t="str">
        <f t="shared" si="5"/>
        <v>Sheet No. 137-C</v>
      </c>
    </row>
    <row r="57" spans="1:5" x14ac:dyDescent="0.2">
      <c r="A57" s="20">
        <f t="shared" si="3"/>
        <v>51</v>
      </c>
      <c r="B57" s="4" t="s">
        <v>85</v>
      </c>
      <c r="C57" s="22">
        <v>1000</v>
      </c>
      <c r="D57" s="21">
        <f>ROUND('Lighting RD'!F58,2)</f>
        <v>0</v>
      </c>
      <c r="E57" s="8" t="str">
        <f t="shared" si="5"/>
        <v>Sheet No. 137-C</v>
      </c>
    </row>
    <row r="58" spans="1:5" x14ac:dyDescent="0.2">
      <c r="A58" s="20">
        <f t="shared" si="3"/>
        <v>52</v>
      </c>
      <c r="B58" s="26"/>
      <c r="C58" s="22"/>
      <c r="D58" s="21"/>
      <c r="E58" s="25"/>
    </row>
    <row r="59" spans="1:5" x14ac:dyDescent="0.2">
      <c r="A59" s="20">
        <f t="shared" si="3"/>
        <v>53</v>
      </c>
      <c r="B59" s="4" t="s">
        <v>84</v>
      </c>
      <c r="C59" s="22">
        <v>70</v>
      </c>
      <c r="D59" s="21">
        <f>ROUND('Lighting RD'!F60,2)</f>
        <v>0</v>
      </c>
      <c r="E59" s="8" t="str">
        <f t="shared" si="5"/>
        <v>Sheet No. 137-C</v>
      </c>
    </row>
    <row r="60" spans="1:5" x14ac:dyDescent="0.2">
      <c r="A60" s="20">
        <f t="shared" si="3"/>
        <v>54</v>
      </c>
      <c r="B60" s="4" t="s">
        <v>84</v>
      </c>
      <c r="C60" s="22">
        <v>100</v>
      </c>
      <c r="D60" s="21">
        <f>ROUND('Lighting RD'!F61,2)</f>
        <v>0</v>
      </c>
      <c r="E60" s="8" t="str">
        <f>$E$49</f>
        <v>Sheet No. 137-C</v>
      </c>
    </row>
    <row r="61" spans="1:5" x14ac:dyDescent="0.2">
      <c r="A61" s="20">
        <f t="shared" si="3"/>
        <v>55</v>
      </c>
      <c r="B61" s="4" t="s">
        <v>84</v>
      </c>
      <c r="C61" s="22">
        <v>150</v>
      </c>
      <c r="D61" s="21">
        <f>ROUND('Lighting RD'!F62,2)</f>
        <v>0</v>
      </c>
      <c r="E61" s="8" t="str">
        <f>$E$59</f>
        <v>Sheet No. 137-C</v>
      </c>
    </row>
    <row r="62" spans="1:5" x14ac:dyDescent="0.2">
      <c r="A62" s="20">
        <f t="shared" si="3"/>
        <v>56</v>
      </c>
      <c r="B62" s="4" t="s">
        <v>84</v>
      </c>
      <c r="C62" s="22">
        <v>175</v>
      </c>
      <c r="D62" s="21">
        <f>ROUND('Lighting RD'!F63,2)</f>
        <v>0</v>
      </c>
      <c r="E62" s="8" t="str">
        <f>$E$59</f>
        <v>Sheet No. 137-C</v>
      </c>
    </row>
    <row r="63" spans="1:5" x14ac:dyDescent="0.2">
      <c r="A63" s="20">
        <f t="shared" si="3"/>
        <v>57</v>
      </c>
      <c r="B63" s="4" t="s">
        <v>84</v>
      </c>
      <c r="C63" s="22">
        <v>250</v>
      </c>
      <c r="D63" s="21">
        <f>ROUND('Lighting RD'!F64,2)</f>
        <v>0</v>
      </c>
      <c r="E63" s="8" t="str">
        <f>$E$59</f>
        <v>Sheet No. 137-C</v>
      </c>
    </row>
    <row r="64" spans="1:5" x14ac:dyDescent="0.2">
      <c r="A64" s="20">
        <f t="shared" si="3"/>
        <v>58</v>
      </c>
      <c r="B64" s="4" t="s">
        <v>84</v>
      </c>
      <c r="C64" s="22">
        <v>400</v>
      </c>
      <c r="D64" s="21">
        <f>ROUND('Lighting RD'!F65,2)</f>
        <v>0</v>
      </c>
      <c r="E64" s="8" t="str">
        <f>$E$59</f>
        <v>Sheet No. 137-C</v>
      </c>
    </row>
    <row r="65" spans="1:5" x14ac:dyDescent="0.2">
      <c r="A65" s="20">
        <f t="shared" si="3"/>
        <v>59</v>
      </c>
      <c r="B65" s="26"/>
      <c r="C65" s="22"/>
      <c r="D65" s="21"/>
      <c r="E65" s="25"/>
    </row>
    <row r="66" spans="1:5" x14ac:dyDescent="0.2">
      <c r="A66" s="20">
        <f t="shared" si="3"/>
        <v>60</v>
      </c>
      <c r="B66" s="4" t="s">
        <v>83</v>
      </c>
      <c r="C66" s="9" t="s">
        <v>49</v>
      </c>
      <c r="D66" s="21">
        <f>ROUND('Lighting RD'!F67,2)</f>
        <v>0</v>
      </c>
      <c r="E66" s="8" t="str">
        <f t="shared" ref="E66:E75" si="6">$E$17</f>
        <v>Sheet No. 137-G</v>
      </c>
    </row>
    <row r="67" spans="1:5" x14ac:dyDescent="0.2">
      <c r="A67" s="20">
        <f t="shared" si="3"/>
        <v>61</v>
      </c>
      <c r="B67" s="4" t="s">
        <v>83</v>
      </c>
      <c r="C67" s="23" t="s">
        <v>50</v>
      </c>
      <c r="D67" s="21">
        <f>ROUND('Lighting RD'!F68,2)</f>
        <v>0</v>
      </c>
      <c r="E67" s="8" t="str">
        <f t="shared" si="6"/>
        <v>Sheet No. 137-G</v>
      </c>
    </row>
    <row r="68" spans="1:5" x14ac:dyDescent="0.2">
      <c r="A68" s="20">
        <f t="shared" si="3"/>
        <v>62</v>
      </c>
      <c r="B68" s="4" t="s">
        <v>83</v>
      </c>
      <c r="C68" s="22" t="s">
        <v>15</v>
      </c>
      <c r="D68" s="21">
        <f>ROUND('Lighting RD'!F69,2)</f>
        <v>0</v>
      </c>
      <c r="E68" s="8" t="str">
        <f t="shared" si="6"/>
        <v>Sheet No. 137-G</v>
      </c>
    </row>
    <row r="69" spans="1:5" x14ac:dyDescent="0.2">
      <c r="A69" s="20">
        <f t="shared" si="3"/>
        <v>63</v>
      </c>
      <c r="B69" s="4" t="s">
        <v>83</v>
      </c>
      <c r="C69" s="22" t="s">
        <v>16</v>
      </c>
      <c r="D69" s="21">
        <f>ROUND('Lighting RD'!F70,2)</f>
        <v>0</v>
      </c>
      <c r="E69" s="8" t="str">
        <f t="shared" si="6"/>
        <v>Sheet No. 137-G</v>
      </c>
    </row>
    <row r="70" spans="1:5" x14ac:dyDescent="0.2">
      <c r="A70" s="20">
        <f t="shared" si="3"/>
        <v>64</v>
      </c>
      <c r="B70" s="4" t="s">
        <v>83</v>
      </c>
      <c r="C70" s="22" t="s">
        <v>17</v>
      </c>
      <c r="D70" s="21">
        <f>ROUND('Lighting RD'!F71,2)</f>
        <v>0</v>
      </c>
      <c r="E70" s="8" t="str">
        <f t="shared" si="6"/>
        <v>Sheet No. 137-G</v>
      </c>
    </row>
    <row r="71" spans="1:5" x14ac:dyDescent="0.2">
      <c r="A71" s="20">
        <f t="shared" si="3"/>
        <v>65</v>
      </c>
      <c r="B71" s="4" t="s">
        <v>83</v>
      </c>
      <c r="C71" s="22" t="s">
        <v>18</v>
      </c>
      <c r="D71" s="21">
        <f>ROUND('Lighting RD'!F72,2)</f>
        <v>0</v>
      </c>
      <c r="E71" s="8" t="str">
        <f t="shared" si="6"/>
        <v>Sheet No. 137-G</v>
      </c>
    </row>
    <row r="72" spans="1:5" x14ac:dyDescent="0.2">
      <c r="A72" s="20">
        <f t="shared" ref="A72:A103" si="7">A71+1</f>
        <v>66</v>
      </c>
      <c r="B72" s="4" t="s">
        <v>83</v>
      </c>
      <c r="C72" s="22" t="s">
        <v>19</v>
      </c>
      <c r="D72" s="21">
        <f>ROUND('Lighting RD'!F73,2)</f>
        <v>0</v>
      </c>
      <c r="E72" s="8" t="str">
        <f t="shared" si="6"/>
        <v>Sheet No. 137-G</v>
      </c>
    </row>
    <row r="73" spans="1:5" x14ac:dyDescent="0.2">
      <c r="A73" s="20">
        <f t="shared" si="7"/>
        <v>67</v>
      </c>
      <c r="B73" s="4" t="s">
        <v>83</v>
      </c>
      <c r="C73" s="22" t="s">
        <v>20</v>
      </c>
      <c r="D73" s="21">
        <f>ROUND('Lighting RD'!F74,2)</f>
        <v>0</v>
      </c>
      <c r="E73" s="8" t="str">
        <f t="shared" si="6"/>
        <v>Sheet No. 137-G</v>
      </c>
    </row>
    <row r="74" spans="1:5" x14ac:dyDescent="0.2">
      <c r="A74" s="20">
        <f t="shared" si="7"/>
        <v>68</v>
      </c>
      <c r="B74" s="4" t="s">
        <v>83</v>
      </c>
      <c r="C74" s="22" t="s">
        <v>21</v>
      </c>
      <c r="D74" s="21">
        <f>ROUND('Lighting RD'!F75,2)</f>
        <v>0</v>
      </c>
      <c r="E74" s="8" t="str">
        <f t="shared" si="6"/>
        <v>Sheet No. 137-G</v>
      </c>
    </row>
    <row r="75" spans="1:5" x14ac:dyDescent="0.2">
      <c r="A75" s="20">
        <f t="shared" si="7"/>
        <v>69</v>
      </c>
      <c r="B75" s="4" t="s">
        <v>83</v>
      </c>
      <c r="C75" s="22" t="s">
        <v>22</v>
      </c>
      <c r="D75" s="21">
        <f>ROUND('Lighting RD'!F76,2)</f>
        <v>0</v>
      </c>
      <c r="E75" s="8" t="str">
        <f t="shared" si="6"/>
        <v>Sheet No. 137-G</v>
      </c>
    </row>
    <row r="76" spans="1:5" x14ac:dyDescent="0.2">
      <c r="A76" s="20">
        <f t="shared" si="7"/>
        <v>70</v>
      </c>
      <c r="B76" s="4"/>
      <c r="C76" s="22"/>
      <c r="D76" s="21"/>
      <c r="E76" s="24"/>
    </row>
    <row r="77" spans="1:5" x14ac:dyDescent="0.2">
      <c r="A77" s="20">
        <f t="shared" si="7"/>
        <v>71</v>
      </c>
      <c r="B77" s="4" t="s">
        <v>82</v>
      </c>
      <c r="C77" s="22" t="s">
        <v>81</v>
      </c>
      <c r="D77" s="29">
        <f>ROUND('Lighting RD'!$F$77,6)</f>
        <v>0</v>
      </c>
      <c r="E77" s="24" t="s">
        <v>166</v>
      </c>
    </row>
    <row r="78" spans="1:5" x14ac:dyDescent="0.2">
      <c r="A78" s="20">
        <f t="shared" si="7"/>
        <v>72</v>
      </c>
      <c r="C78" s="22"/>
      <c r="D78" s="21"/>
      <c r="E78" s="25"/>
    </row>
    <row r="79" spans="1:5" ht="13.5" x14ac:dyDescent="0.35">
      <c r="A79" s="20">
        <f t="shared" si="7"/>
        <v>73</v>
      </c>
      <c r="B79" s="27" t="s">
        <v>80</v>
      </c>
      <c r="C79" s="9"/>
      <c r="D79" s="21"/>
      <c r="E79" s="25"/>
    </row>
    <row r="80" spans="1:5" x14ac:dyDescent="0.2">
      <c r="A80" s="20">
        <f t="shared" si="7"/>
        <v>74</v>
      </c>
      <c r="B80" s="4" t="s">
        <v>79</v>
      </c>
      <c r="C80" s="22">
        <v>50</v>
      </c>
      <c r="D80" s="21">
        <f>ROUND('Lighting RD'!F80,2)</f>
        <v>0</v>
      </c>
      <c r="E80" s="24" t="s">
        <v>161</v>
      </c>
    </row>
    <row r="81" spans="1:5" x14ac:dyDescent="0.2">
      <c r="A81" s="20">
        <f t="shared" si="7"/>
        <v>75</v>
      </c>
      <c r="B81" s="4" t="s">
        <v>79</v>
      </c>
      <c r="C81" s="22">
        <v>70</v>
      </c>
      <c r="D81" s="21">
        <f>ROUND('Lighting RD'!F81,2)</f>
        <v>0</v>
      </c>
      <c r="E81" s="8" t="str">
        <f>$E$80</f>
        <v>Sheet No. 137-C</v>
      </c>
    </row>
    <row r="82" spans="1:5" x14ac:dyDescent="0.2">
      <c r="A82" s="20">
        <f t="shared" si="7"/>
        <v>76</v>
      </c>
      <c r="B82" s="4" t="s">
        <v>79</v>
      </c>
      <c r="C82" s="22">
        <v>100</v>
      </c>
      <c r="D82" s="21">
        <f>ROUND('Lighting RD'!F82,2)</f>
        <v>0</v>
      </c>
      <c r="E82" s="8" t="str">
        <f t="shared" ref="E82:E88" si="8">$E$80</f>
        <v>Sheet No. 137-C</v>
      </c>
    </row>
    <row r="83" spans="1:5" x14ac:dyDescent="0.2">
      <c r="A83" s="20">
        <f t="shared" si="7"/>
        <v>77</v>
      </c>
      <c r="B83" s="4" t="s">
        <v>79</v>
      </c>
      <c r="C83" s="22">
        <v>150</v>
      </c>
      <c r="D83" s="21">
        <f>ROUND('Lighting RD'!F83,2)</f>
        <v>0</v>
      </c>
      <c r="E83" s="8" t="str">
        <f t="shared" si="8"/>
        <v>Sheet No. 137-C</v>
      </c>
    </row>
    <row r="84" spans="1:5" x14ac:dyDescent="0.2">
      <c r="A84" s="20">
        <f t="shared" si="7"/>
        <v>78</v>
      </c>
      <c r="B84" s="4" t="s">
        <v>79</v>
      </c>
      <c r="C84" s="22">
        <v>200</v>
      </c>
      <c r="D84" s="21">
        <f>ROUND('Lighting RD'!F84,2)</f>
        <v>0</v>
      </c>
      <c r="E84" s="8" t="str">
        <f t="shared" si="8"/>
        <v>Sheet No. 137-C</v>
      </c>
    </row>
    <row r="85" spans="1:5" x14ac:dyDescent="0.2">
      <c r="A85" s="20">
        <f t="shared" si="7"/>
        <v>79</v>
      </c>
      <c r="B85" s="4" t="s">
        <v>79</v>
      </c>
      <c r="C85" s="22">
        <v>250</v>
      </c>
      <c r="D85" s="21">
        <f>ROUND('Lighting RD'!F85,2)</f>
        <v>0</v>
      </c>
      <c r="E85" s="8" t="str">
        <f t="shared" si="8"/>
        <v>Sheet No. 137-C</v>
      </c>
    </row>
    <row r="86" spans="1:5" x14ac:dyDescent="0.2">
      <c r="A86" s="20">
        <f t="shared" si="7"/>
        <v>80</v>
      </c>
      <c r="B86" s="4" t="s">
        <v>79</v>
      </c>
      <c r="C86" s="22">
        <v>310</v>
      </c>
      <c r="D86" s="21">
        <f>ROUND('Lighting RD'!F86,2)</f>
        <v>0</v>
      </c>
      <c r="E86" s="8" t="str">
        <f t="shared" si="8"/>
        <v>Sheet No. 137-C</v>
      </c>
    </row>
    <row r="87" spans="1:5" x14ac:dyDescent="0.2">
      <c r="A87" s="20">
        <f t="shared" si="7"/>
        <v>81</v>
      </c>
      <c r="B87" s="4" t="s">
        <v>79</v>
      </c>
      <c r="C87" s="22">
        <v>400</v>
      </c>
      <c r="D87" s="21">
        <f>ROUND('Lighting RD'!F87,2)</f>
        <v>0</v>
      </c>
      <c r="E87" s="8" t="str">
        <f t="shared" si="8"/>
        <v>Sheet No. 137-C</v>
      </c>
    </row>
    <row r="88" spans="1:5" x14ac:dyDescent="0.2">
      <c r="A88" s="20">
        <f t="shared" si="7"/>
        <v>82</v>
      </c>
      <c r="B88" s="4" t="s">
        <v>79</v>
      </c>
      <c r="C88" s="22">
        <v>1000</v>
      </c>
      <c r="D88" s="21">
        <f>ROUND('Lighting RD'!F88,2)</f>
        <v>0</v>
      </c>
      <c r="E88" s="8" t="str">
        <f t="shared" si="8"/>
        <v>Sheet No. 137-C</v>
      </c>
    </row>
    <row r="89" spans="1:5" x14ac:dyDescent="0.2">
      <c r="A89" s="20">
        <f t="shared" si="7"/>
        <v>83</v>
      </c>
      <c r="B89" s="26"/>
      <c r="C89" s="22"/>
      <c r="D89" s="21"/>
      <c r="E89" s="25"/>
    </row>
    <row r="90" spans="1:5" x14ac:dyDescent="0.2">
      <c r="A90" s="20">
        <f t="shared" si="7"/>
        <v>84</v>
      </c>
      <c r="B90" s="4" t="s">
        <v>78</v>
      </c>
      <c r="C90" s="23" t="s">
        <v>45</v>
      </c>
      <c r="D90" s="21">
        <f>ROUND('Lighting RD'!F90,2)</f>
        <v>0</v>
      </c>
      <c r="E90" s="8" t="str">
        <f t="shared" ref="E90:E99" si="9">$E$17</f>
        <v>Sheet No. 137-G</v>
      </c>
    </row>
    <row r="91" spans="1:5" x14ac:dyDescent="0.2">
      <c r="A91" s="20">
        <f t="shared" si="7"/>
        <v>85</v>
      </c>
      <c r="B91" s="4" t="s">
        <v>78</v>
      </c>
      <c r="C91" s="23" t="s">
        <v>14</v>
      </c>
      <c r="D91" s="21">
        <f>ROUND('Lighting RD'!F91,2)</f>
        <v>0</v>
      </c>
      <c r="E91" s="8" t="str">
        <f t="shared" si="9"/>
        <v>Sheet No. 137-G</v>
      </c>
    </row>
    <row r="92" spans="1:5" x14ac:dyDescent="0.2">
      <c r="A92" s="20">
        <f t="shared" si="7"/>
        <v>86</v>
      </c>
      <c r="B92" s="4" t="s">
        <v>78</v>
      </c>
      <c r="C92" s="22" t="s">
        <v>15</v>
      </c>
      <c r="D92" s="21">
        <f>ROUND('Lighting RD'!F92,2)</f>
        <v>0</v>
      </c>
      <c r="E92" s="8" t="str">
        <f t="shared" si="9"/>
        <v>Sheet No. 137-G</v>
      </c>
    </row>
    <row r="93" spans="1:5" x14ac:dyDescent="0.2">
      <c r="A93" s="20">
        <f t="shared" si="7"/>
        <v>87</v>
      </c>
      <c r="B93" s="4" t="s">
        <v>78</v>
      </c>
      <c r="C93" s="22" t="s">
        <v>16</v>
      </c>
      <c r="D93" s="21">
        <f>ROUND('Lighting RD'!F93,2)</f>
        <v>0</v>
      </c>
      <c r="E93" s="8" t="str">
        <f t="shared" si="9"/>
        <v>Sheet No. 137-G</v>
      </c>
    </row>
    <row r="94" spans="1:5" x14ac:dyDescent="0.2">
      <c r="A94" s="20">
        <f t="shared" si="7"/>
        <v>88</v>
      </c>
      <c r="B94" s="4" t="s">
        <v>78</v>
      </c>
      <c r="C94" s="22" t="s">
        <v>17</v>
      </c>
      <c r="D94" s="21">
        <f>ROUND('Lighting RD'!F94,2)</f>
        <v>0</v>
      </c>
      <c r="E94" s="8" t="str">
        <f t="shared" si="9"/>
        <v>Sheet No. 137-G</v>
      </c>
    </row>
    <row r="95" spans="1:5" x14ac:dyDescent="0.2">
      <c r="A95" s="20">
        <f t="shared" si="7"/>
        <v>89</v>
      </c>
      <c r="B95" s="4" t="s">
        <v>78</v>
      </c>
      <c r="C95" s="22" t="s">
        <v>18</v>
      </c>
      <c r="D95" s="21">
        <f>ROUND('Lighting RD'!F95,2)</f>
        <v>0</v>
      </c>
      <c r="E95" s="8" t="str">
        <f t="shared" si="9"/>
        <v>Sheet No. 137-G</v>
      </c>
    </row>
    <row r="96" spans="1:5" x14ac:dyDescent="0.2">
      <c r="A96" s="20">
        <f t="shared" si="7"/>
        <v>90</v>
      </c>
      <c r="B96" s="4" t="s">
        <v>78</v>
      </c>
      <c r="C96" s="22" t="s">
        <v>19</v>
      </c>
      <c r="D96" s="21">
        <f>ROUND('Lighting RD'!F96,2)</f>
        <v>0</v>
      </c>
      <c r="E96" s="8" t="str">
        <f t="shared" si="9"/>
        <v>Sheet No. 137-G</v>
      </c>
    </row>
    <row r="97" spans="1:5" x14ac:dyDescent="0.2">
      <c r="A97" s="20">
        <f t="shared" si="7"/>
        <v>91</v>
      </c>
      <c r="B97" s="4" t="s">
        <v>78</v>
      </c>
      <c r="C97" s="22" t="s">
        <v>20</v>
      </c>
      <c r="D97" s="21">
        <f>ROUND('Lighting RD'!F97,2)</f>
        <v>0</v>
      </c>
      <c r="E97" s="8" t="str">
        <f t="shared" si="9"/>
        <v>Sheet No. 137-G</v>
      </c>
    </row>
    <row r="98" spans="1:5" x14ac:dyDescent="0.2">
      <c r="A98" s="20">
        <f t="shared" si="7"/>
        <v>92</v>
      </c>
      <c r="B98" s="4" t="s">
        <v>78</v>
      </c>
      <c r="C98" s="22" t="s">
        <v>21</v>
      </c>
      <c r="D98" s="21">
        <f>ROUND('Lighting RD'!F98,2)</f>
        <v>0</v>
      </c>
      <c r="E98" s="8" t="str">
        <f t="shared" si="9"/>
        <v>Sheet No. 137-G</v>
      </c>
    </row>
    <row r="99" spans="1:5" x14ac:dyDescent="0.2">
      <c r="A99" s="20">
        <f t="shared" si="7"/>
        <v>93</v>
      </c>
      <c r="B99" s="4" t="s">
        <v>78</v>
      </c>
      <c r="C99" s="22" t="s">
        <v>22</v>
      </c>
      <c r="D99" s="21">
        <f>ROUND('Lighting RD'!F99,2)</f>
        <v>0</v>
      </c>
      <c r="E99" s="8" t="str">
        <f t="shared" si="9"/>
        <v>Sheet No. 137-G</v>
      </c>
    </row>
    <row r="100" spans="1:5" x14ac:dyDescent="0.2">
      <c r="A100" s="20">
        <f t="shared" si="7"/>
        <v>94</v>
      </c>
      <c r="B100" s="26"/>
      <c r="C100" s="22"/>
      <c r="D100" s="21"/>
      <c r="E100" s="25"/>
    </row>
    <row r="101" spans="1:5" ht="13.5" x14ac:dyDescent="0.35">
      <c r="A101" s="20">
        <f t="shared" si="7"/>
        <v>95</v>
      </c>
      <c r="B101" s="27" t="s">
        <v>77</v>
      </c>
      <c r="C101" s="22"/>
      <c r="D101" s="21"/>
      <c r="E101" s="25"/>
    </row>
    <row r="102" spans="1:5" x14ac:dyDescent="0.2">
      <c r="A102" s="20">
        <f t="shared" si="7"/>
        <v>96</v>
      </c>
      <c r="B102" s="4" t="s">
        <v>76</v>
      </c>
      <c r="C102" s="22">
        <v>70</v>
      </c>
      <c r="D102" s="21">
        <f>ROUND('Lighting RD'!F102,2)</f>
        <v>0</v>
      </c>
      <c r="E102" s="24" t="s">
        <v>163</v>
      </c>
    </row>
    <row r="103" spans="1:5" x14ac:dyDescent="0.2">
      <c r="A103" s="20">
        <f t="shared" si="7"/>
        <v>97</v>
      </c>
      <c r="B103" s="4" t="s">
        <v>76</v>
      </c>
      <c r="C103" s="22">
        <v>100</v>
      </c>
      <c r="D103" s="21">
        <f>ROUND('Lighting RD'!F103,2)</f>
        <v>0</v>
      </c>
      <c r="E103" s="8" t="str">
        <f>$E$102</f>
        <v>Sheet No. 137-D</v>
      </c>
    </row>
    <row r="104" spans="1:5" x14ac:dyDescent="0.2">
      <c r="A104" s="20">
        <f t="shared" ref="A104:A135" si="10">A103+1</f>
        <v>98</v>
      </c>
      <c r="B104" s="4" t="s">
        <v>76</v>
      </c>
      <c r="C104" s="22">
        <v>150</v>
      </c>
      <c r="D104" s="21">
        <f>ROUND('Lighting RD'!F104,2)</f>
        <v>0</v>
      </c>
      <c r="E104" s="8" t="str">
        <f>$E$102</f>
        <v>Sheet No. 137-D</v>
      </c>
    </row>
    <row r="105" spans="1:5" x14ac:dyDescent="0.2">
      <c r="A105" s="20">
        <f t="shared" si="10"/>
        <v>99</v>
      </c>
      <c r="B105" s="4" t="s">
        <v>76</v>
      </c>
      <c r="C105" s="22">
        <v>200</v>
      </c>
      <c r="D105" s="21">
        <f>ROUND('Lighting RD'!F105,2)</f>
        <v>0</v>
      </c>
      <c r="E105" s="8" t="str">
        <f>$E$102</f>
        <v>Sheet No. 137-D</v>
      </c>
    </row>
    <row r="106" spans="1:5" x14ac:dyDescent="0.2">
      <c r="A106" s="20">
        <f t="shared" si="10"/>
        <v>100</v>
      </c>
      <c r="B106" s="4" t="s">
        <v>76</v>
      </c>
      <c r="C106" s="22">
        <v>250</v>
      </c>
      <c r="D106" s="21">
        <f>ROUND('Lighting RD'!F106,2)</f>
        <v>0</v>
      </c>
      <c r="E106" s="8" t="str">
        <f>$E$102</f>
        <v>Sheet No. 137-D</v>
      </c>
    </row>
    <row r="107" spans="1:5" x14ac:dyDescent="0.2">
      <c r="A107" s="20">
        <f t="shared" si="10"/>
        <v>101</v>
      </c>
      <c r="B107" s="4" t="s">
        <v>76</v>
      </c>
      <c r="C107" s="22">
        <v>400</v>
      </c>
      <c r="D107" s="21">
        <f>ROUND('Lighting RD'!F107,2)</f>
        <v>0</v>
      </c>
      <c r="E107" s="8" t="str">
        <f>$E$102</f>
        <v>Sheet No. 137-D</v>
      </c>
    </row>
    <row r="108" spans="1:5" x14ac:dyDescent="0.2">
      <c r="A108" s="20">
        <f t="shared" si="10"/>
        <v>102</v>
      </c>
      <c r="B108" s="26"/>
      <c r="C108" s="22"/>
      <c r="D108" s="21"/>
      <c r="E108" s="25"/>
    </row>
    <row r="109" spans="1:5" x14ac:dyDescent="0.2">
      <c r="A109" s="20">
        <f t="shared" si="10"/>
        <v>103</v>
      </c>
      <c r="B109" s="4" t="s">
        <v>75</v>
      </c>
      <c r="C109" s="22">
        <v>250</v>
      </c>
      <c r="D109" s="21">
        <f>ROUND('Lighting RD'!F109,2)</f>
        <v>0</v>
      </c>
      <c r="E109" s="8" t="str">
        <f>$E$102</f>
        <v>Sheet No. 137-D</v>
      </c>
    </row>
    <row r="110" spans="1:5" x14ac:dyDescent="0.2">
      <c r="A110" s="20">
        <f t="shared" si="10"/>
        <v>104</v>
      </c>
      <c r="B110" s="26"/>
      <c r="C110" s="22"/>
      <c r="D110" s="21"/>
      <c r="E110" s="25"/>
    </row>
    <row r="111" spans="1:5" x14ac:dyDescent="0.2">
      <c r="A111" s="20">
        <f t="shared" si="10"/>
        <v>105</v>
      </c>
      <c r="B111" s="4" t="s">
        <v>74</v>
      </c>
      <c r="C111" s="9" t="s">
        <v>49</v>
      </c>
      <c r="D111" s="21">
        <f>ROUND('Lighting RD'!F111,2)</f>
        <v>0</v>
      </c>
      <c r="E111" s="8" t="str">
        <f t="shared" ref="E111" si="11">$E$17</f>
        <v>Sheet No. 137-G</v>
      </c>
    </row>
    <row r="112" spans="1:5" x14ac:dyDescent="0.2">
      <c r="A112" s="20">
        <f t="shared" si="10"/>
        <v>106</v>
      </c>
      <c r="B112" s="4" t="s">
        <v>74</v>
      </c>
      <c r="C112" s="23" t="s">
        <v>14</v>
      </c>
      <c r="D112" s="21">
        <f>ROUND('Lighting RD'!F112,2)</f>
        <v>0</v>
      </c>
      <c r="E112" s="8" t="str">
        <f>$E$111</f>
        <v>Sheet No. 137-G</v>
      </c>
    </row>
    <row r="113" spans="1:5" x14ac:dyDescent="0.2">
      <c r="A113" s="20">
        <f t="shared" si="10"/>
        <v>107</v>
      </c>
      <c r="B113" s="4" t="s">
        <v>74</v>
      </c>
      <c r="C113" s="22" t="s">
        <v>15</v>
      </c>
      <c r="D113" s="21">
        <f>ROUND('Lighting RD'!F113,2)</f>
        <v>0</v>
      </c>
      <c r="E113" s="8" t="str">
        <f t="shared" ref="E113:E120" si="12">$E$111</f>
        <v>Sheet No. 137-G</v>
      </c>
    </row>
    <row r="114" spans="1:5" x14ac:dyDescent="0.2">
      <c r="A114" s="20">
        <f t="shared" si="10"/>
        <v>108</v>
      </c>
      <c r="B114" s="4" t="s">
        <v>74</v>
      </c>
      <c r="C114" s="22" t="s">
        <v>16</v>
      </c>
      <c r="D114" s="21">
        <f>ROUND('Lighting RD'!F114,2)</f>
        <v>0</v>
      </c>
      <c r="E114" s="8" t="str">
        <f t="shared" si="12"/>
        <v>Sheet No. 137-G</v>
      </c>
    </row>
    <row r="115" spans="1:5" x14ac:dyDescent="0.2">
      <c r="A115" s="20">
        <f t="shared" si="10"/>
        <v>109</v>
      </c>
      <c r="B115" s="4" t="s">
        <v>74</v>
      </c>
      <c r="C115" s="22" t="s">
        <v>17</v>
      </c>
      <c r="D115" s="21">
        <f>ROUND('Lighting RD'!F115,2)</f>
        <v>0</v>
      </c>
      <c r="E115" s="8" t="str">
        <f t="shared" si="12"/>
        <v>Sheet No. 137-G</v>
      </c>
    </row>
    <row r="116" spans="1:5" x14ac:dyDescent="0.2">
      <c r="A116" s="20">
        <f t="shared" si="10"/>
        <v>110</v>
      </c>
      <c r="B116" s="4" t="s">
        <v>74</v>
      </c>
      <c r="C116" s="22" t="s">
        <v>18</v>
      </c>
      <c r="D116" s="21">
        <f>ROUND('Lighting RD'!F116,2)</f>
        <v>0</v>
      </c>
      <c r="E116" s="8" t="str">
        <f t="shared" si="12"/>
        <v>Sheet No. 137-G</v>
      </c>
    </row>
    <row r="117" spans="1:5" x14ac:dyDescent="0.2">
      <c r="A117" s="20">
        <f t="shared" si="10"/>
        <v>111</v>
      </c>
      <c r="B117" s="4" t="s">
        <v>74</v>
      </c>
      <c r="C117" s="22" t="s">
        <v>19</v>
      </c>
      <c r="D117" s="21">
        <f>ROUND('Lighting RD'!F117,2)</f>
        <v>0</v>
      </c>
      <c r="E117" s="8" t="str">
        <f t="shared" si="12"/>
        <v>Sheet No. 137-G</v>
      </c>
    </row>
    <row r="118" spans="1:5" x14ac:dyDescent="0.2">
      <c r="A118" s="20">
        <f t="shared" si="10"/>
        <v>112</v>
      </c>
      <c r="B118" s="4" t="s">
        <v>74</v>
      </c>
      <c r="C118" s="22" t="s">
        <v>20</v>
      </c>
      <c r="D118" s="21">
        <f>ROUND('Lighting RD'!F118,2)</f>
        <v>0</v>
      </c>
      <c r="E118" s="8" t="str">
        <f t="shared" si="12"/>
        <v>Sheet No. 137-G</v>
      </c>
    </row>
    <row r="119" spans="1:5" x14ac:dyDescent="0.2">
      <c r="A119" s="20">
        <f t="shared" si="10"/>
        <v>113</v>
      </c>
      <c r="B119" s="4" t="s">
        <v>74</v>
      </c>
      <c r="C119" s="22" t="s">
        <v>21</v>
      </c>
      <c r="D119" s="21">
        <f>ROUND('Lighting RD'!F119,2)</f>
        <v>0</v>
      </c>
      <c r="E119" s="8" t="str">
        <f t="shared" si="12"/>
        <v>Sheet No. 137-G</v>
      </c>
    </row>
    <row r="120" spans="1:5" x14ac:dyDescent="0.2">
      <c r="A120" s="20">
        <f t="shared" si="10"/>
        <v>114</v>
      </c>
      <c r="B120" s="4" t="s">
        <v>74</v>
      </c>
      <c r="C120" s="22" t="s">
        <v>22</v>
      </c>
      <c r="D120" s="21">
        <f>ROUND('Lighting RD'!F120,2)</f>
        <v>0</v>
      </c>
      <c r="E120" s="8" t="str">
        <f t="shared" si="12"/>
        <v>Sheet No. 137-G</v>
      </c>
    </row>
    <row r="121" spans="1:5" x14ac:dyDescent="0.2">
      <c r="A121" s="20">
        <f t="shared" si="10"/>
        <v>115</v>
      </c>
      <c r="B121" s="26"/>
      <c r="C121" s="22"/>
      <c r="D121" s="21"/>
      <c r="E121" s="25"/>
    </row>
    <row r="122" spans="1:5" ht="13.5" x14ac:dyDescent="0.35">
      <c r="A122" s="20">
        <f t="shared" si="10"/>
        <v>116</v>
      </c>
      <c r="B122" s="27" t="s">
        <v>38</v>
      </c>
      <c r="C122" s="22"/>
      <c r="D122" s="21"/>
      <c r="E122" s="25"/>
    </row>
    <row r="123" spans="1:5" x14ac:dyDescent="0.2">
      <c r="A123" s="20">
        <f t="shared" si="10"/>
        <v>117</v>
      </c>
      <c r="B123" s="4" t="s">
        <v>39</v>
      </c>
      <c r="C123" s="22" t="s">
        <v>73</v>
      </c>
      <c r="D123" s="28">
        <f>ROUND('Lighting RD'!$F$123,5)</f>
        <v>0</v>
      </c>
      <c r="E123" s="8" t="str">
        <f>$E$102</f>
        <v>Sheet No. 137-D</v>
      </c>
    </row>
    <row r="124" spans="1:5" x14ac:dyDescent="0.2">
      <c r="A124" s="20">
        <f t="shared" si="10"/>
        <v>118</v>
      </c>
      <c r="B124" s="26"/>
      <c r="C124" s="22"/>
      <c r="D124" s="21"/>
      <c r="E124" s="25"/>
    </row>
    <row r="125" spans="1:5" ht="13.5" x14ac:dyDescent="0.35">
      <c r="A125" s="20">
        <f t="shared" si="10"/>
        <v>119</v>
      </c>
      <c r="B125" s="27" t="s">
        <v>28</v>
      </c>
      <c r="C125" s="22"/>
      <c r="D125" s="21"/>
      <c r="E125" s="25"/>
    </row>
    <row r="126" spans="1:5" x14ac:dyDescent="0.2">
      <c r="A126" s="20">
        <f t="shared" si="10"/>
        <v>120</v>
      </c>
      <c r="B126" s="4" t="s">
        <v>72</v>
      </c>
      <c r="C126" s="22">
        <v>70</v>
      </c>
      <c r="D126" s="21">
        <f>ROUND('Lighting RD'!F126,2)</f>
        <v>0</v>
      </c>
      <c r="E126" s="24" t="s">
        <v>164</v>
      </c>
    </row>
    <row r="127" spans="1:5" x14ac:dyDescent="0.2">
      <c r="A127" s="20">
        <f t="shared" si="10"/>
        <v>121</v>
      </c>
      <c r="B127" s="4" t="s">
        <v>72</v>
      </c>
      <c r="C127" s="22">
        <v>100</v>
      </c>
      <c r="D127" s="21">
        <f>ROUND('Lighting RD'!F127,2)</f>
        <v>0</v>
      </c>
      <c r="E127" s="8" t="str">
        <f>$E$126</f>
        <v>Sheet No. 137-E</v>
      </c>
    </row>
    <row r="128" spans="1:5" x14ac:dyDescent="0.2">
      <c r="A128" s="20">
        <f t="shared" si="10"/>
        <v>122</v>
      </c>
      <c r="B128" s="4" t="s">
        <v>72</v>
      </c>
      <c r="C128" s="22">
        <v>150</v>
      </c>
      <c r="D128" s="21">
        <f>ROUND('Lighting RD'!F128,2)</f>
        <v>0</v>
      </c>
      <c r="E128" s="8" t="str">
        <f>$E$126</f>
        <v>Sheet No. 137-E</v>
      </c>
    </row>
    <row r="129" spans="1:5" x14ac:dyDescent="0.2">
      <c r="A129" s="20">
        <f t="shared" si="10"/>
        <v>123</v>
      </c>
      <c r="B129" s="4" t="s">
        <v>72</v>
      </c>
      <c r="C129" s="22">
        <v>200</v>
      </c>
      <c r="D129" s="21">
        <f>ROUND('Lighting RD'!F129,2)</f>
        <v>0</v>
      </c>
      <c r="E129" s="8" t="str">
        <f>$E$126</f>
        <v>Sheet No. 137-E</v>
      </c>
    </row>
    <row r="130" spans="1:5" x14ac:dyDescent="0.2">
      <c r="A130" s="20">
        <f t="shared" si="10"/>
        <v>124</v>
      </c>
      <c r="B130" s="4" t="s">
        <v>72</v>
      </c>
      <c r="C130" s="22">
        <v>250</v>
      </c>
      <c r="D130" s="21">
        <f>ROUND('Lighting RD'!F130,2)</f>
        <v>0</v>
      </c>
      <c r="E130" s="8" t="str">
        <f>$E$126</f>
        <v>Sheet No. 137-E</v>
      </c>
    </row>
    <row r="131" spans="1:5" x14ac:dyDescent="0.2">
      <c r="A131" s="20">
        <f t="shared" si="10"/>
        <v>125</v>
      </c>
      <c r="B131" s="4" t="s">
        <v>72</v>
      </c>
      <c r="C131" s="22">
        <v>400</v>
      </c>
      <c r="D131" s="21">
        <f>ROUND('Lighting RD'!F131,2)</f>
        <v>0</v>
      </c>
      <c r="E131" s="8" t="str">
        <f>$E$126</f>
        <v>Sheet No. 137-E</v>
      </c>
    </row>
    <row r="132" spans="1:5" x14ac:dyDescent="0.2">
      <c r="A132" s="20">
        <f t="shared" si="10"/>
        <v>126</v>
      </c>
      <c r="B132" s="26"/>
      <c r="C132" s="22"/>
      <c r="D132" s="21"/>
      <c r="E132" s="25"/>
    </row>
    <row r="133" spans="1:5" x14ac:dyDescent="0.2">
      <c r="A133" s="20">
        <f t="shared" si="10"/>
        <v>127</v>
      </c>
      <c r="B133" s="4" t="s">
        <v>71</v>
      </c>
      <c r="C133" s="22">
        <v>100</v>
      </c>
      <c r="D133" s="21">
        <f>ROUND('Lighting RD'!F133,2)</f>
        <v>0</v>
      </c>
      <c r="E133" s="8" t="str">
        <f>$E$126</f>
        <v>Sheet No. 137-E</v>
      </c>
    </row>
    <row r="134" spans="1:5" x14ac:dyDescent="0.2">
      <c r="A134" s="20">
        <f t="shared" si="10"/>
        <v>128</v>
      </c>
      <c r="B134" s="4" t="s">
        <v>71</v>
      </c>
      <c r="C134" s="22">
        <v>150</v>
      </c>
      <c r="D134" s="21">
        <f>ROUND('Lighting RD'!F134,2)</f>
        <v>0</v>
      </c>
      <c r="E134" s="8" t="str">
        <f>$E$126</f>
        <v>Sheet No. 137-E</v>
      </c>
    </row>
    <row r="135" spans="1:5" x14ac:dyDescent="0.2">
      <c r="A135" s="20">
        <f t="shared" si="10"/>
        <v>129</v>
      </c>
      <c r="B135" s="4" t="s">
        <v>71</v>
      </c>
      <c r="C135" s="22">
        <v>200</v>
      </c>
      <c r="D135" s="21">
        <f>ROUND('Lighting RD'!F135,2)</f>
        <v>0</v>
      </c>
      <c r="E135" s="8" t="str">
        <f>$E$126</f>
        <v>Sheet No. 137-E</v>
      </c>
    </row>
    <row r="136" spans="1:5" x14ac:dyDescent="0.2">
      <c r="A136" s="20">
        <f t="shared" ref="A136:A162" si="13">A135+1</f>
        <v>130</v>
      </c>
      <c r="B136" s="4" t="s">
        <v>71</v>
      </c>
      <c r="C136" s="22">
        <v>250</v>
      </c>
      <c r="D136" s="21">
        <f>ROUND('Lighting RD'!F136,2)</f>
        <v>0</v>
      </c>
      <c r="E136" s="8" t="str">
        <f>$E$126</f>
        <v>Sheet No. 137-E</v>
      </c>
    </row>
    <row r="137" spans="1:5" x14ac:dyDescent="0.2">
      <c r="A137" s="20">
        <f t="shared" si="13"/>
        <v>131</v>
      </c>
      <c r="B137" s="4" t="s">
        <v>71</v>
      </c>
      <c r="C137" s="22">
        <v>400</v>
      </c>
      <c r="D137" s="21">
        <f>ROUND('Lighting RD'!F137,2)</f>
        <v>0</v>
      </c>
      <c r="E137" s="8" t="str">
        <f>$E$126</f>
        <v>Sheet No. 137-E</v>
      </c>
    </row>
    <row r="138" spans="1:5" x14ac:dyDescent="0.2">
      <c r="A138" s="20">
        <f t="shared" si="13"/>
        <v>132</v>
      </c>
      <c r="B138" s="26"/>
      <c r="C138" s="22"/>
      <c r="D138" s="21"/>
      <c r="E138" s="25"/>
    </row>
    <row r="139" spans="1:5" x14ac:dyDescent="0.2">
      <c r="A139" s="20">
        <f t="shared" si="13"/>
        <v>133</v>
      </c>
      <c r="B139" s="4" t="s">
        <v>70</v>
      </c>
      <c r="C139" s="22">
        <v>175</v>
      </c>
      <c r="D139" s="21">
        <f>ROUND('Lighting RD'!F139,2)</f>
        <v>0</v>
      </c>
      <c r="E139" s="8" t="str">
        <f>$E$126</f>
        <v>Sheet No. 137-E</v>
      </c>
    </row>
    <row r="140" spans="1:5" x14ac:dyDescent="0.2">
      <c r="A140" s="20">
        <f t="shared" si="13"/>
        <v>134</v>
      </c>
      <c r="B140" s="4" t="s">
        <v>70</v>
      </c>
      <c r="C140" s="22">
        <v>250</v>
      </c>
      <c r="D140" s="21">
        <f>ROUND('Lighting RD'!F140,2)</f>
        <v>0</v>
      </c>
      <c r="E140" s="8" t="str">
        <f>$E$126</f>
        <v>Sheet No. 137-E</v>
      </c>
    </row>
    <row r="141" spans="1:5" x14ac:dyDescent="0.2">
      <c r="A141" s="20">
        <f t="shared" si="13"/>
        <v>135</v>
      </c>
      <c r="B141" s="4" t="s">
        <v>70</v>
      </c>
      <c r="C141" s="22">
        <v>400</v>
      </c>
      <c r="D141" s="21">
        <f>ROUND('Lighting RD'!F141,2)</f>
        <v>0</v>
      </c>
      <c r="E141" s="8" t="str">
        <f>$E$126</f>
        <v>Sheet No. 137-E</v>
      </c>
    </row>
    <row r="142" spans="1:5" x14ac:dyDescent="0.2">
      <c r="A142" s="20">
        <f t="shared" si="13"/>
        <v>136</v>
      </c>
      <c r="B142" s="4" t="s">
        <v>70</v>
      </c>
      <c r="C142" s="22">
        <v>1000</v>
      </c>
      <c r="D142" s="21">
        <f>ROUND('Lighting RD'!F142,2)</f>
        <v>0</v>
      </c>
      <c r="E142" s="8" t="str">
        <f>$E$126</f>
        <v>Sheet No. 137-E</v>
      </c>
    </row>
    <row r="143" spans="1:5" x14ac:dyDescent="0.2">
      <c r="A143" s="20">
        <f t="shared" si="13"/>
        <v>137</v>
      </c>
      <c r="B143" s="26"/>
      <c r="C143" s="22"/>
      <c r="D143" s="21"/>
      <c r="E143" s="25"/>
    </row>
    <row r="144" spans="1:5" x14ac:dyDescent="0.2">
      <c r="A144" s="20">
        <f t="shared" si="13"/>
        <v>138</v>
      </c>
      <c r="B144" s="4" t="s">
        <v>69</v>
      </c>
      <c r="C144" s="22">
        <v>250</v>
      </c>
      <c r="D144" s="21">
        <f>ROUND('Lighting RD'!F144,2)</f>
        <v>0</v>
      </c>
      <c r="E144" s="8" t="str">
        <f>$E$126</f>
        <v>Sheet No. 137-E</v>
      </c>
    </row>
    <row r="145" spans="1:5" x14ac:dyDescent="0.2">
      <c r="A145" s="20">
        <f t="shared" si="13"/>
        <v>139</v>
      </c>
      <c r="B145" s="4" t="s">
        <v>69</v>
      </c>
      <c r="C145" s="22">
        <v>400</v>
      </c>
      <c r="D145" s="21">
        <f>ROUND('Lighting RD'!F145,2)</f>
        <v>0</v>
      </c>
      <c r="E145" s="8" t="str">
        <f>$E$126</f>
        <v>Sheet No. 137-E</v>
      </c>
    </row>
    <row r="146" spans="1:5" x14ac:dyDescent="0.2">
      <c r="A146" s="20">
        <f t="shared" si="13"/>
        <v>140</v>
      </c>
      <c r="B146" s="26"/>
      <c r="C146" s="22"/>
      <c r="D146" s="21"/>
      <c r="E146" s="25"/>
    </row>
    <row r="147" spans="1:5" x14ac:dyDescent="0.2">
      <c r="A147" s="20">
        <f t="shared" si="13"/>
        <v>141</v>
      </c>
      <c r="B147" s="4" t="s">
        <v>68</v>
      </c>
      <c r="C147" s="9" t="s">
        <v>49</v>
      </c>
      <c r="D147" s="21">
        <f>ROUND('Lighting RD'!F147,2)</f>
        <v>0</v>
      </c>
      <c r="E147" s="24" t="s">
        <v>165</v>
      </c>
    </row>
    <row r="148" spans="1:5" x14ac:dyDescent="0.2">
      <c r="A148" s="20">
        <f t="shared" si="13"/>
        <v>142</v>
      </c>
      <c r="B148" s="4" t="s">
        <v>68</v>
      </c>
      <c r="C148" s="23" t="s">
        <v>50</v>
      </c>
      <c r="D148" s="21">
        <f>ROUND('Lighting RD'!F148,2)</f>
        <v>0</v>
      </c>
      <c r="E148" s="8" t="str">
        <f t="shared" ref="E148:E162" si="14">$E$147</f>
        <v>Sheet No. 137-F</v>
      </c>
    </row>
    <row r="149" spans="1:5" x14ac:dyDescent="0.2">
      <c r="A149" s="20">
        <f t="shared" si="13"/>
        <v>143</v>
      </c>
      <c r="B149" s="4" t="s">
        <v>68</v>
      </c>
      <c r="C149" s="22" t="s">
        <v>15</v>
      </c>
      <c r="D149" s="21">
        <f>ROUND('Lighting RD'!F149,2)</f>
        <v>0</v>
      </c>
      <c r="E149" s="8" t="str">
        <f t="shared" si="14"/>
        <v>Sheet No. 137-F</v>
      </c>
    </row>
    <row r="150" spans="1:5" x14ac:dyDescent="0.2">
      <c r="A150" s="20">
        <f t="shared" si="13"/>
        <v>144</v>
      </c>
      <c r="B150" s="4" t="s">
        <v>68</v>
      </c>
      <c r="C150" s="22" t="s">
        <v>16</v>
      </c>
      <c r="D150" s="21">
        <f>ROUND('Lighting RD'!F150,2)</f>
        <v>0</v>
      </c>
      <c r="E150" s="8" t="str">
        <f t="shared" si="14"/>
        <v>Sheet No. 137-F</v>
      </c>
    </row>
    <row r="151" spans="1:5" x14ac:dyDescent="0.2">
      <c r="A151" s="20">
        <f t="shared" si="13"/>
        <v>145</v>
      </c>
      <c r="B151" s="4" t="s">
        <v>68</v>
      </c>
      <c r="C151" s="22" t="s">
        <v>17</v>
      </c>
      <c r="D151" s="21">
        <f>ROUND('Lighting RD'!F151,2)</f>
        <v>0</v>
      </c>
      <c r="E151" s="8" t="str">
        <f t="shared" si="14"/>
        <v>Sheet No. 137-F</v>
      </c>
    </row>
    <row r="152" spans="1:5" x14ac:dyDescent="0.2">
      <c r="A152" s="20">
        <f t="shared" si="13"/>
        <v>146</v>
      </c>
      <c r="B152" s="4" t="s">
        <v>68</v>
      </c>
      <c r="C152" s="22" t="s">
        <v>18</v>
      </c>
      <c r="D152" s="21">
        <f>ROUND('Lighting RD'!F152,2)</f>
        <v>0</v>
      </c>
      <c r="E152" s="8" t="str">
        <f t="shared" si="14"/>
        <v>Sheet No. 137-F</v>
      </c>
    </row>
    <row r="153" spans="1:5" x14ac:dyDescent="0.2">
      <c r="A153" s="20">
        <f t="shared" si="13"/>
        <v>147</v>
      </c>
      <c r="B153" s="4" t="s">
        <v>68</v>
      </c>
      <c r="C153" s="22" t="s">
        <v>19</v>
      </c>
      <c r="D153" s="21">
        <f>ROUND('Lighting RD'!F153,2)</f>
        <v>0</v>
      </c>
      <c r="E153" s="8" t="str">
        <f t="shared" si="14"/>
        <v>Sheet No. 137-F</v>
      </c>
    </row>
    <row r="154" spans="1:5" x14ac:dyDescent="0.2">
      <c r="A154" s="20">
        <f t="shared" si="13"/>
        <v>148</v>
      </c>
      <c r="B154" s="4" t="s">
        <v>68</v>
      </c>
      <c r="C154" s="22" t="s">
        <v>20</v>
      </c>
      <c r="D154" s="21">
        <f>ROUND('Lighting RD'!F154,2)</f>
        <v>0</v>
      </c>
      <c r="E154" s="8" t="str">
        <f t="shared" si="14"/>
        <v>Sheet No. 137-F</v>
      </c>
    </row>
    <row r="155" spans="1:5" x14ac:dyDescent="0.2">
      <c r="A155" s="20">
        <f t="shared" si="13"/>
        <v>149</v>
      </c>
      <c r="B155" s="4" t="s">
        <v>68</v>
      </c>
      <c r="C155" s="22" t="s">
        <v>21</v>
      </c>
      <c r="D155" s="21">
        <f>ROUND('Lighting RD'!F155,2)</f>
        <v>0</v>
      </c>
      <c r="E155" s="8" t="str">
        <f t="shared" si="14"/>
        <v>Sheet No. 137-F</v>
      </c>
    </row>
    <row r="156" spans="1:5" x14ac:dyDescent="0.2">
      <c r="A156" s="20">
        <f t="shared" si="13"/>
        <v>150</v>
      </c>
      <c r="B156" s="4" t="s">
        <v>68</v>
      </c>
      <c r="C156" s="22" t="s">
        <v>22</v>
      </c>
      <c r="D156" s="21">
        <f>ROUND('Lighting RD'!F156,2)</f>
        <v>0</v>
      </c>
      <c r="E156" s="8" t="str">
        <f t="shared" si="14"/>
        <v>Sheet No. 137-F</v>
      </c>
    </row>
    <row r="157" spans="1:5" x14ac:dyDescent="0.2">
      <c r="A157" s="20">
        <f t="shared" si="13"/>
        <v>151</v>
      </c>
      <c r="B157" s="4" t="s">
        <v>68</v>
      </c>
      <c r="C157" s="22" t="s">
        <v>32</v>
      </c>
      <c r="D157" s="21">
        <f>ROUND('Lighting RD'!F157,2)</f>
        <v>0</v>
      </c>
      <c r="E157" s="8" t="str">
        <f t="shared" si="14"/>
        <v>Sheet No. 137-F</v>
      </c>
    </row>
    <row r="158" spans="1:5" x14ac:dyDescent="0.2">
      <c r="A158" s="20">
        <f t="shared" si="13"/>
        <v>152</v>
      </c>
      <c r="B158" s="4" t="s">
        <v>68</v>
      </c>
      <c r="C158" s="22" t="s">
        <v>33</v>
      </c>
      <c r="D158" s="21">
        <f>ROUND('Lighting RD'!F158,2)</f>
        <v>0</v>
      </c>
      <c r="E158" s="8" t="str">
        <f t="shared" si="14"/>
        <v>Sheet No. 137-F</v>
      </c>
    </row>
    <row r="159" spans="1:5" x14ac:dyDescent="0.2">
      <c r="A159" s="20">
        <f t="shared" si="13"/>
        <v>153</v>
      </c>
      <c r="B159" s="4" t="s">
        <v>68</v>
      </c>
      <c r="C159" s="22" t="s">
        <v>34</v>
      </c>
      <c r="D159" s="21">
        <f>ROUND('Lighting RD'!F159,2)</f>
        <v>0</v>
      </c>
      <c r="E159" s="8" t="str">
        <f t="shared" si="14"/>
        <v>Sheet No. 137-F</v>
      </c>
    </row>
    <row r="160" spans="1:5" x14ac:dyDescent="0.2">
      <c r="A160" s="20">
        <f t="shared" si="13"/>
        <v>154</v>
      </c>
      <c r="B160" s="4" t="s">
        <v>68</v>
      </c>
      <c r="C160" s="22" t="s">
        <v>35</v>
      </c>
      <c r="D160" s="21">
        <f>ROUND('Lighting RD'!F160,2)</f>
        <v>0</v>
      </c>
      <c r="E160" s="8" t="str">
        <f t="shared" si="14"/>
        <v>Sheet No. 137-F</v>
      </c>
    </row>
    <row r="161" spans="1:13" x14ac:dyDescent="0.2">
      <c r="A161" s="20">
        <f t="shared" si="13"/>
        <v>155</v>
      </c>
      <c r="B161" s="4" t="s">
        <v>68</v>
      </c>
      <c r="C161" s="22" t="s">
        <v>36</v>
      </c>
      <c r="D161" s="21">
        <f>ROUND('Lighting RD'!F161,2)</f>
        <v>0</v>
      </c>
      <c r="E161" s="8" t="str">
        <f t="shared" si="14"/>
        <v>Sheet No. 137-F</v>
      </c>
    </row>
    <row r="162" spans="1:13" x14ac:dyDescent="0.2">
      <c r="A162" s="20">
        <f t="shared" si="13"/>
        <v>156</v>
      </c>
      <c r="B162" s="4" t="s">
        <v>68</v>
      </c>
      <c r="C162" s="22" t="s">
        <v>37</v>
      </c>
      <c r="D162" s="21">
        <f>ROUND('Lighting RD'!F162,2)</f>
        <v>0</v>
      </c>
      <c r="E162" s="8" t="str">
        <f t="shared" si="14"/>
        <v>Sheet No. 137-F</v>
      </c>
    </row>
    <row r="163" spans="1:13" x14ac:dyDescent="0.2">
      <c r="A163" s="20"/>
    </row>
    <row r="164" spans="1:13" x14ac:dyDescent="0.2">
      <c r="A164" s="20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</sheetData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C83A-BE4B-45B0-9037-A5AEEF32402A}">
  <sheetPr>
    <tabColor theme="6" tint="0.79998168889431442"/>
    <pageSetUpPr fitToPage="1"/>
  </sheetPr>
  <dimension ref="A1:O198"/>
  <sheetViews>
    <sheetView zoomScaleNormal="100" zoomScaleSheetLayoutView="100" workbookViewId="0">
      <pane ySplit="6" topLeftCell="A7" activePane="bottomLeft" state="frozen"/>
      <selection activeCell="L19" sqref="L19"/>
      <selection pane="bottomLeft" activeCell="H12" sqref="H12"/>
    </sheetView>
  </sheetViews>
  <sheetFormatPr defaultColWidth="9.140625" defaultRowHeight="11.25" x14ac:dyDescent="0.2"/>
  <cols>
    <col min="1" max="1" width="6.7109375" style="37" bestFit="1" customWidth="1"/>
    <col min="2" max="2" width="44" style="37" bestFit="1" customWidth="1"/>
    <col min="3" max="3" width="7.28515625" style="37" customWidth="1"/>
    <col min="4" max="4" width="7.7109375" style="52" customWidth="1"/>
    <col min="5" max="5" width="7.7109375" style="83" customWidth="1"/>
    <col min="6" max="6" width="8.28515625" style="83" customWidth="1"/>
    <col min="7" max="7" width="17" style="83" customWidth="1"/>
    <col min="8" max="8" width="9.42578125" style="83" bestFit="1" customWidth="1"/>
    <col min="9" max="9" width="10" style="37" bestFit="1" customWidth="1"/>
    <col min="10" max="10" width="12.85546875" style="83" bestFit="1" customWidth="1"/>
    <col min="11" max="11" width="13.42578125" style="83" customWidth="1"/>
    <col min="12" max="12" width="11.28515625" style="37" bestFit="1" customWidth="1"/>
    <col min="13" max="13" width="7.7109375" style="37" bestFit="1" customWidth="1"/>
    <col min="14" max="14" width="10" style="82" bestFit="1" customWidth="1"/>
    <col min="15" max="15" width="12.28515625" style="37" bestFit="1" customWidth="1"/>
    <col min="16" max="16384" width="9.140625" style="37"/>
  </cols>
  <sheetData>
    <row r="1" spans="1:15" s="156" customFormat="1" x14ac:dyDescent="0.2">
      <c r="A1" s="129" t="str">
        <f>'Sch 137 Rates'!A1</f>
        <v>PUGET SOUND ENERGY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92"/>
    </row>
    <row r="2" spans="1:15" s="156" customFormat="1" x14ac:dyDescent="0.2">
      <c r="A2" s="129" t="str">
        <f>'Sch 137 Rates'!A2</f>
        <v>Schedule 137 Temporary Charge or Credit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92"/>
    </row>
    <row r="3" spans="1:15" s="156" customFormat="1" x14ac:dyDescent="0.2">
      <c r="A3" s="129" t="str">
        <f>"Effective "&amp;TEXT(Inputs!B1,"mmmm d, yyyy")&amp;" - "&amp;TEXT(Inputs!B4,"mmmm d, yyyy")</f>
        <v>Effective January 1, 2025 - December 31, 2025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92"/>
    </row>
    <row r="4" spans="1:15" s="67" customFormat="1" x14ac:dyDescent="0.2">
      <c r="A4" s="155" t="s">
        <v>133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92"/>
    </row>
    <row r="5" spans="1:15" s="67" customFormat="1" x14ac:dyDescent="0.2">
      <c r="A5" s="129" t="s">
        <v>96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82"/>
    </row>
    <row r="6" spans="1:15" s="148" customFormat="1" ht="56.25" x14ac:dyDescent="0.2">
      <c r="A6" s="75" t="s">
        <v>0</v>
      </c>
      <c r="B6" s="75" t="s">
        <v>132</v>
      </c>
      <c r="C6" s="154" t="s">
        <v>1</v>
      </c>
      <c r="D6" s="153"/>
      <c r="E6" s="153"/>
      <c r="F6" s="153"/>
      <c r="G6" s="151" t="str">
        <f>'Rate Spread and Design'!Q8</f>
        <v>F2024
Forecast
kWh
1/25 to 12/25</v>
      </c>
      <c r="H6" s="150" t="s">
        <v>131</v>
      </c>
      <c r="I6" s="76" t="s">
        <v>130</v>
      </c>
      <c r="J6" s="152" t="s">
        <v>129</v>
      </c>
      <c r="K6" s="151" t="s">
        <v>128</v>
      </c>
      <c r="L6" s="150" t="s">
        <v>127</v>
      </c>
      <c r="M6" s="150"/>
      <c r="N6" s="149" t="s">
        <v>67</v>
      </c>
    </row>
    <row r="7" spans="1:15" s="142" customFormat="1" x14ac:dyDescent="0.2">
      <c r="A7" s="70"/>
      <c r="B7" s="70"/>
      <c r="C7" s="147" t="s">
        <v>96</v>
      </c>
      <c r="D7" s="147"/>
      <c r="E7" s="147"/>
      <c r="F7" s="147"/>
      <c r="G7" s="145" t="s">
        <v>54</v>
      </c>
      <c r="H7" s="147" t="s">
        <v>58</v>
      </c>
      <c r="I7" s="70" t="s">
        <v>55</v>
      </c>
      <c r="J7" s="146" t="s">
        <v>59</v>
      </c>
      <c r="K7" s="145" t="s">
        <v>126</v>
      </c>
      <c r="L7" s="70" t="s">
        <v>125</v>
      </c>
      <c r="M7" s="70" t="s">
        <v>124</v>
      </c>
      <c r="N7" s="82"/>
    </row>
    <row r="8" spans="1:15" x14ac:dyDescent="0.2">
      <c r="A8" s="84">
        <v>1</v>
      </c>
      <c r="C8" s="121" t="s">
        <v>96</v>
      </c>
      <c r="D8" s="122"/>
      <c r="E8" s="121"/>
      <c r="F8" s="121"/>
      <c r="H8" s="105" t="s">
        <v>96</v>
      </c>
      <c r="J8" s="104"/>
      <c r="O8" s="142"/>
    </row>
    <row r="9" spans="1:15" x14ac:dyDescent="0.2">
      <c r="A9" s="84">
        <f>A8+1</f>
        <v>2</v>
      </c>
      <c r="B9" s="67" t="s">
        <v>2</v>
      </c>
      <c r="C9" s="130" t="s">
        <v>211</v>
      </c>
      <c r="D9" s="144"/>
      <c r="E9" s="130"/>
      <c r="F9" s="130"/>
      <c r="G9" s="128">
        <v>11319130621.398149</v>
      </c>
      <c r="H9" s="127">
        <v>6.9999999999999999E-6</v>
      </c>
      <c r="I9" s="206">
        <f>ROUND('Rate Spread and Design'!R10,6)</f>
        <v>0</v>
      </c>
      <c r="J9" s="126">
        <v>1642575640.1241922</v>
      </c>
      <c r="K9" s="125">
        <f>J9+G9*(I9-H9)</f>
        <v>1642496406.2098424</v>
      </c>
      <c r="L9" s="125">
        <f>+K9-J9</f>
        <v>-79233.914349794388</v>
      </c>
      <c r="M9" s="124">
        <f>IF(J9=0,"n/a",+L9/J9)</f>
        <v>-4.8237604658378867E-5</v>
      </c>
      <c r="N9" s="123">
        <f>I9-ROUND('Rate Spread and Design'!R10,6)</f>
        <v>0</v>
      </c>
      <c r="O9" s="142"/>
    </row>
    <row r="10" spans="1:15" x14ac:dyDescent="0.2">
      <c r="A10" s="84">
        <f>A9+1</f>
        <v>3</v>
      </c>
      <c r="B10" s="42"/>
      <c r="C10" s="121" t="s">
        <v>96</v>
      </c>
      <c r="D10" s="122"/>
      <c r="E10" s="121"/>
      <c r="F10" s="121"/>
      <c r="G10" s="133"/>
      <c r="H10" s="132" t="s">
        <v>96</v>
      </c>
      <c r="I10" s="207"/>
      <c r="J10" s="104"/>
      <c r="K10" s="106"/>
      <c r="L10" s="106"/>
      <c r="M10" s="117"/>
      <c r="N10" s="123"/>
      <c r="O10" s="142"/>
    </row>
    <row r="11" spans="1:15" x14ac:dyDescent="0.2">
      <c r="A11" s="84">
        <f>A10+1</f>
        <v>4</v>
      </c>
      <c r="B11" s="194" t="s">
        <v>60</v>
      </c>
      <c r="C11" s="121" t="s">
        <v>96</v>
      </c>
      <c r="D11" s="122"/>
      <c r="E11" s="121"/>
      <c r="F11" s="121"/>
      <c r="G11" s="133" t="s">
        <v>96</v>
      </c>
      <c r="H11" s="132" t="s">
        <v>96</v>
      </c>
      <c r="I11" s="207"/>
      <c r="J11" s="104" t="s">
        <v>96</v>
      </c>
      <c r="K11" s="106"/>
      <c r="L11" s="106"/>
      <c r="M11" s="117"/>
      <c r="N11" s="123"/>
      <c r="O11" s="142"/>
    </row>
    <row r="12" spans="1:15" x14ac:dyDescent="0.2">
      <c r="A12" s="84">
        <f>A11+1</f>
        <v>5</v>
      </c>
      <c r="B12" s="195" t="str">
        <f>'Sch 137 Rates'!B13</f>
        <v>General Service: Demand &lt;= 50 kW</v>
      </c>
      <c r="C12" s="130" t="s">
        <v>212</v>
      </c>
      <c r="D12" s="144"/>
      <c r="E12" s="130"/>
      <c r="F12" s="130"/>
      <c r="G12" s="139">
        <v>2693210047.3914232</v>
      </c>
      <c r="H12" s="132">
        <v>6.9999999999999999E-6</v>
      </c>
      <c r="I12" s="207">
        <f>ROUND('Rate Spread and Design'!R12,6)</f>
        <v>0</v>
      </c>
      <c r="J12" s="143">
        <v>383411809.18099695</v>
      </c>
      <c r="K12" s="106">
        <f>J12+G12*(I12-H12)</f>
        <v>383392956.71066523</v>
      </c>
      <c r="L12" s="106">
        <f>+K12-J12</f>
        <v>-18852.470331728458</v>
      </c>
      <c r="M12" s="87">
        <f>IF(J12=0,"n/a",+L12/J12)</f>
        <v>-4.9170291264630258E-5</v>
      </c>
      <c r="N12" s="123">
        <f>I12-ROUND('Rate Spread and Design'!R12,6)</f>
        <v>0</v>
      </c>
      <c r="O12" s="142"/>
    </row>
    <row r="13" spans="1:15" x14ac:dyDescent="0.2">
      <c r="A13" s="84">
        <f t="shared" ref="A13:A49" si="0">A12+1</f>
        <v>6</v>
      </c>
      <c r="B13" s="195" t="str">
        <f>'Sch 137 Rates'!B14</f>
        <v>Small General Service: Demand &gt; 50 kW but &lt;= 350 kW</v>
      </c>
      <c r="C13" s="130" t="s">
        <v>213</v>
      </c>
      <c r="D13" s="130"/>
      <c r="E13" s="130"/>
      <c r="F13" s="130"/>
      <c r="G13" s="139">
        <v>2971751015.5674863</v>
      </c>
      <c r="H13" s="132">
        <v>6.9999999999999999E-6</v>
      </c>
      <c r="I13" s="207">
        <f>ROUND('Rate Spread and Design'!R13,6)</f>
        <v>0</v>
      </c>
      <c r="J13" s="189">
        <v>396039264.11994725</v>
      </c>
      <c r="K13" s="190">
        <f>J13+G13*(I13-H13)</f>
        <v>396018461.86283827</v>
      </c>
      <c r="L13" s="190">
        <f>+K13-J13</f>
        <v>-20802.257108986378</v>
      </c>
      <c r="M13" s="191">
        <f>IF(J13=0,"n/a",+L13/J13)</f>
        <v>-5.2525744272381182E-5</v>
      </c>
      <c r="N13" s="123">
        <f>I13-ROUND('Rate Spread and Design'!R13,6)</f>
        <v>0</v>
      </c>
      <c r="O13" s="142"/>
    </row>
    <row r="14" spans="1:15" x14ac:dyDescent="0.2">
      <c r="A14" s="84">
        <f t="shared" si="0"/>
        <v>7</v>
      </c>
      <c r="B14" s="195" t="str">
        <f>'Sch 137 Rates'!B15</f>
        <v>Large General Service: Demand &gt; 350 kW</v>
      </c>
      <c r="C14" s="130" t="s">
        <v>214</v>
      </c>
      <c r="D14" s="130"/>
      <c r="E14" s="130"/>
      <c r="F14" s="130"/>
      <c r="G14" s="139">
        <v>2037371160.2613628</v>
      </c>
      <c r="H14" s="132">
        <v>6.0000000000000002E-6</v>
      </c>
      <c r="I14" s="207">
        <f>ROUND('Rate Spread and Design'!R14,6)</f>
        <v>0</v>
      </c>
      <c r="J14" s="189">
        <v>248391681.73746395</v>
      </c>
      <c r="K14" s="190">
        <f>J14+G14*(I14-H14)</f>
        <v>248379457.51050237</v>
      </c>
      <c r="L14" s="190">
        <f>+K14-J14</f>
        <v>-12224.226961582899</v>
      </c>
      <c r="M14" s="191">
        <f>IF(J14=0,"n/a",+L14/J14)</f>
        <v>-4.9213511805533085E-5</v>
      </c>
      <c r="N14" s="123">
        <f>I14-ROUND('Rate Spread and Design'!R14,6)</f>
        <v>0</v>
      </c>
      <c r="O14" s="142"/>
    </row>
    <row r="15" spans="1:15" ht="12" customHeight="1" x14ac:dyDescent="0.2">
      <c r="A15" s="84">
        <f t="shared" si="0"/>
        <v>8</v>
      </c>
      <c r="B15" s="195" t="str">
        <f>'Sch 137 Rates'!B16</f>
        <v>Irrigation &amp; Pumping Service: Demand &gt; 50 kW but &lt;= 350 kW</v>
      </c>
      <c r="C15" s="130">
        <v>29</v>
      </c>
      <c r="D15" s="130"/>
      <c r="E15" s="130"/>
      <c r="F15" s="130"/>
      <c r="G15" s="139">
        <v>14436685.877551533</v>
      </c>
      <c r="H15" s="132">
        <v>6.9999999999999999E-6</v>
      </c>
      <c r="I15" s="207">
        <f>ROUND('Rate Spread and Design'!R15,6)</f>
        <v>0</v>
      </c>
      <c r="J15" s="192">
        <v>1754980.8617207329</v>
      </c>
      <c r="K15" s="190">
        <f>J15+G15*(I15-H15)</f>
        <v>1754879.80491959</v>
      </c>
      <c r="L15" s="190">
        <f>+K15-J15</f>
        <v>-101.05680114286952</v>
      </c>
      <c r="M15" s="191">
        <f>IF(J15=0,"n/a",+L15/J15)</f>
        <v>-5.7582850814558067E-5</v>
      </c>
      <c r="N15" s="123">
        <f>I15-ROUND('Rate Spread and Design'!R15,6)</f>
        <v>0</v>
      </c>
    </row>
    <row r="16" spans="1:15" x14ac:dyDescent="0.2">
      <c r="A16" s="84">
        <f t="shared" si="0"/>
        <v>9</v>
      </c>
      <c r="B16" s="134" t="s">
        <v>61</v>
      </c>
      <c r="C16" s="130" t="s">
        <v>96</v>
      </c>
      <c r="D16" s="130"/>
      <c r="E16" s="130"/>
      <c r="F16" s="130"/>
      <c r="G16" s="212">
        <f>SUM(G12:G15)</f>
        <v>7716768909.0978241</v>
      </c>
      <c r="H16" s="127"/>
      <c r="I16" s="206"/>
      <c r="J16" s="141">
        <f>SUM(J12:J15)</f>
        <v>1029597735.9001288</v>
      </c>
      <c r="K16" s="125">
        <f>SUM(K12:K15)</f>
        <v>1029545755.8889254</v>
      </c>
      <c r="L16" s="125">
        <f>SUM(L12:L15)</f>
        <v>-51980.011203440605</v>
      </c>
      <c r="M16" s="124">
        <f>IF(J16=0,"n/a",+L16/J16)</f>
        <v>-5.0485747385600967E-5</v>
      </c>
      <c r="N16" s="123"/>
    </row>
    <row r="17" spans="1:15" x14ac:dyDescent="0.2">
      <c r="A17" s="84">
        <f t="shared" si="0"/>
        <v>10</v>
      </c>
      <c r="B17" s="42"/>
      <c r="C17" s="130" t="s">
        <v>96</v>
      </c>
      <c r="D17" s="130"/>
      <c r="E17" s="130"/>
      <c r="F17" s="130"/>
      <c r="G17" s="83" t="s">
        <v>96</v>
      </c>
      <c r="H17" s="120" t="s">
        <v>96</v>
      </c>
      <c r="I17" s="208"/>
      <c r="J17" s="104" t="s">
        <v>96</v>
      </c>
      <c r="K17" s="106"/>
      <c r="L17" s="106"/>
      <c r="M17" s="117"/>
      <c r="N17" s="123"/>
    </row>
    <row r="18" spans="1:15" x14ac:dyDescent="0.2">
      <c r="A18" s="84">
        <f t="shared" si="0"/>
        <v>11</v>
      </c>
      <c r="B18" s="67" t="s">
        <v>62</v>
      </c>
      <c r="C18" s="130" t="s">
        <v>96</v>
      </c>
      <c r="D18" s="130"/>
      <c r="E18" s="130"/>
      <c r="F18" s="130"/>
      <c r="G18" s="83" t="s">
        <v>96</v>
      </c>
      <c r="H18" s="120" t="s">
        <v>96</v>
      </c>
      <c r="I18" s="208"/>
      <c r="J18" s="104" t="s">
        <v>96</v>
      </c>
      <c r="K18" s="106"/>
      <c r="L18" s="106"/>
      <c r="M18" s="117"/>
      <c r="N18" s="123"/>
    </row>
    <row r="19" spans="1:15" x14ac:dyDescent="0.2">
      <c r="A19" s="84">
        <f t="shared" si="0"/>
        <v>12</v>
      </c>
      <c r="B19" s="195" t="str">
        <f>'Sch 137 Rates'!B20</f>
        <v>General Service</v>
      </c>
      <c r="C19" s="130" t="s">
        <v>215</v>
      </c>
      <c r="D19" s="130"/>
      <c r="E19" s="130"/>
      <c r="F19" s="130"/>
      <c r="G19" s="139">
        <v>1378502364.5436404</v>
      </c>
      <c r="H19" s="132">
        <v>6.0000000000000002E-6</v>
      </c>
      <c r="I19" s="207">
        <f>ROUND('Rate Spread and Design'!R17,6)</f>
        <v>0</v>
      </c>
      <c r="J19" s="189">
        <v>162575865.43602517</v>
      </c>
      <c r="K19" s="190">
        <f>J19+G19*(I19-H19)</f>
        <v>162567594.4218379</v>
      </c>
      <c r="L19" s="190">
        <f>+K19-J19</f>
        <v>-8271.0141872763634</v>
      </c>
      <c r="M19" s="193">
        <f>IF(J19=0,"n/a",+L19/J19)</f>
        <v>-5.0874797222168686E-5</v>
      </c>
      <c r="N19" s="123">
        <f>I19-ROUND('Rate Spread and Design'!R17,6)</f>
        <v>0</v>
      </c>
    </row>
    <row r="20" spans="1:15" x14ac:dyDescent="0.2">
      <c r="A20" s="84">
        <f t="shared" si="0"/>
        <v>13</v>
      </c>
      <c r="B20" s="195" t="str">
        <f>'Sch 137 Rates'!B21</f>
        <v>Irrigation &amp; Pumping Service</v>
      </c>
      <c r="C20" s="130">
        <v>35</v>
      </c>
      <c r="D20" s="130"/>
      <c r="E20" s="130"/>
      <c r="F20" s="130"/>
      <c r="G20" s="139">
        <v>5934926.6636967957</v>
      </c>
      <c r="H20" s="132">
        <v>3.9999999999999998E-6</v>
      </c>
      <c r="I20" s="207">
        <f>ROUND('Rate Spread and Design'!R18,6)</f>
        <v>0</v>
      </c>
      <c r="J20" s="189">
        <v>568549.99044456286</v>
      </c>
      <c r="K20" s="190">
        <f>J20+G20*(I20-H20)</f>
        <v>568526.25073790806</v>
      </c>
      <c r="L20" s="190">
        <f>+K20-J20</f>
        <v>-23.739706654800102</v>
      </c>
      <c r="M20" s="193">
        <f>IF(J20=0,"n/a",+L20/J20)</f>
        <v>-4.1754827286581179E-5</v>
      </c>
      <c r="N20" s="123">
        <f>I20-ROUND('Rate Spread and Design'!R18,6)</f>
        <v>0</v>
      </c>
    </row>
    <row r="21" spans="1:15" ht="12" customHeight="1" x14ac:dyDescent="0.2">
      <c r="A21" s="84">
        <f t="shared" si="0"/>
        <v>14</v>
      </c>
      <c r="B21" s="195" t="str">
        <f>'Sch 137 Rates'!B22</f>
        <v>All Electric Schools</v>
      </c>
      <c r="C21" s="130">
        <v>43</v>
      </c>
      <c r="D21" s="130"/>
      <c r="E21" s="130"/>
      <c r="F21" s="130"/>
      <c r="G21" s="139">
        <v>109828264.79087074</v>
      </c>
      <c r="H21" s="132">
        <v>9.9999999999999995E-7</v>
      </c>
      <c r="I21" s="207">
        <f>ROUND('Rate Spread and Design'!R19,6)</f>
        <v>0</v>
      </c>
      <c r="J21" s="189">
        <v>13034472.310765376</v>
      </c>
      <c r="K21" s="190">
        <f>J21+G21*(I21-H21)</f>
        <v>13034362.482500585</v>
      </c>
      <c r="L21" s="190">
        <f>+K21-J21</f>
        <v>-109.82826479151845</v>
      </c>
      <c r="M21" s="193">
        <f>IF(J21=0,"n/a",+L21/J21)</f>
        <v>-8.4259847405413985E-6</v>
      </c>
      <c r="N21" s="123">
        <f>I21-ROUND('Rate Spread and Design'!R19,6)</f>
        <v>0</v>
      </c>
    </row>
    <row r="22" spans="1:15" x14ac:dyDescent="0.2">
      <c r="A22" s="84">
        <f t="shared" si="0"/>
        <v>15</v>
      </c>
      <c r="B22" s="135" t="s">
        <v>64</v>
      </c>
      <c r="C22" s="130" t="s">
        <v>96</v>
      </c>
      <c r="D22" s="130"/>
      <c r="E22" s="130"/>
      <c r="F22" s="130"/>
      <c r="G22" s="212">
        <f>SUM(G19:G21)</f>
        <v>1494265555.9982078</v>
      </c>
      <c r="H22" s="140"/>
      <c r="I22" s="209"/>
      <c r="J22" s="125">
        <f>SUM(J19:J21)</f>
        <v>176178887.73723513</v>
      </c>
      <c r="K22" s="125">
        <f>SUM(K19:K21)</f>
        <v>176170483.15507638</v>
      </c>
      <c r="L22" s="125">
        <f>SUM(L19:L21)</f>
        <v>-8404.5821587226819</v>
      </c>
      <c r="M22" s="124">
        <f>IF(J22=0,"n/a",+L22/J22)</f>
        <v>-4.7704820178328251E-5</v>
      </c>
      <c r="N22" s="123"/>
    </row>
    <row r="23" spans="1:15" x14ac:dyDescent="0.2">
      <c r="A23" s="84">
        <f t="shared" si="0"/>
        <v>16</v>
      </c>
      <c r="C23" s="130" t="s">
        <v>96</v>
      </c>
      <c r="D23" s="130"/>
      <c r="E23" s="130"/>
      <c r="F23" s="130"/>
      <c r="G23" s="37" t="s">
        <v>96</v>
      </c>
      <c r="H23" s="105" t="s">
        <v>96</v>
      </c>
      <c r="I23" s="210"/>
      <c r="J23" s="104" t="s">
        <v>96</v>
      </c>
      <c r="K23" s="37"/>
      <c r="N23" s="123"/>
    </row>
    <row r="24" spans="1:15" x14ac:dyDescent="0.2">
      <c r="A24" s="84">
        <f t="shared" si="0"/>
        <v>17</v>
      </c>
      <c r="B24" s="67" t="s">
        <v>106</v>
      </c>
      <c r="C24" s="130" t="s">
        <v>96</v>
      </c>
      <c r="D24" s="130"/>
      <c r="E24" s="130"/>
      <c r="F24" s="130"/>
      <c r="G24" s="83" t="s">
        <v>96</v>
      </c>
      <c r="H24" s="120" t="s">
        <v>96</v>
      </c>
      <c r="I24" s="208"/>
      <c r="J24" s="104" t="s">
        <v>96</v>
      </c>
      <c r="K24" s="106"/>
      <c r="L24" s="106"/>
      <c r="M24" s="117"/>
      <c r="N24" s="123"/>
    </row>
    <row r="25" spans="1:15" x14ac:dyDescent="0.2">
      <c r="A25" s="84">
        <f t="shared" si="0"/>
        <v>18</v>
      </c>
      <c r="B25" s="195" t="str">
        <f>'Sch 137 Rates'!B26</f>
        <v>Interruptible Service</v>
      </c>
      <c r="C25" s="130">
        <v>46</v>
      </c>
      <c r="D25" s="130"/>
      <c r="E25" s="130"/>
      <c r="F25" s="130"/>
      <c r="G25" s="139">
        <v>93576444.299349248</v>
      </c>
      <c r="H25" s="132">
        <v>9.9999999999999995E-7</v>
      </c>
      <c r="I25" s="207">
        <f>ROUND('Rate Spread and Design'!R21,6)</f>
        <v>0</v>
      </c>
      <c r="J25" s="189">
        <v>8632954.8083425947</v>
      </c>
      <c r="K25" s="190">
        <f>J25+G25*(I25-H25)</f>
        <v>8632861.2318982948</v>
      </c>
      <c r="L25" s="190">
        <f>+K25-J25</f>
        <v>-93.576444299891591</v>
      </c>
      <c r="M25" s="193">
        <f>IF(J25=0,"n/a",+L25/J25)</f>
        <v>-1.083944563331462E-5</v>
      </c>
      <c r="N25" s="123">
        <f>I25-ROUND('Rate Spread and Design'!R21,6)</f>
        <v>0</v>
      </c>
    </row>
    <row r="26" spans="1:15" ht="12" customHeight="1" x14ac:dyDescent="0.2">
      <c r="A26" s="84">
        <f t="shared" si="0"/>
        <v>19</v>
      </c>
      <c r="B26" s="195" t="str">
        <f>'Sch 137 Rates'!B27</f>
        <v>General Service</v>
      </c>
      <c r="C26" s="130">
        <v>49</v>
      </c>
      <c r="D26" s="130"/>
      <c r="E26" s="130"/>
      <c r="F26" s="130"/>
      <c r="G26" s="139">
        <v>530780105.2278645</v>
      </c>
      <c r="H26" s="132">
        <v>5.0000000000000004E-6</v>
      </c>
      <c r="I26" s="207">
        <f>ROUND('Rate Spread and Design'!R22,6)</f>
        <v>0</v>
      </c>
      <c r="J26" s="189">
        <v>51266328.677455448</v>
      </c>
      <c r="K26" s="190">
        <f>J26+G26*(I26-H26)</f>
        <v>51263674.776929311</v>
      </c>
      <c r="L26" s="190">
        <f>+K26-J26</f>
        <v>-2653.9005261361599</v>
      </c>
      <c r="M26" s="193">
        <f>IF(J26=0,"n/a",+L26/J26)</f>
        <v>-5.1766931524067225E-5</v>
      </c>
      <c r="N26" s="123">
        <f>I26-ROUND('Rate Spread and Design'!R22,6)</f>
        <v>0</v>
      </c>
    </row>
    <row r="27" spans="1:15" x14ac:dyDescent="0.2">
      <c r="A27" s="84">
        <f t="shared" si="0"/>
        <v>20</v>
      </c>
      <c r="B27" s="134" t="s">
        <v>3</v>
      </c>
      <c r="C27" s="130" t="s">
        <v>96</v>
      </c>
      <c r="D27" s="130"/>
      <c r="E27" s="130"/>
      <c r="F27" s="130"/>
      <c r="G27" s="212">
        <f>SUM(G25:G26)</f>
        <v>624356549.52721381</v>
      </c>
      <c r="H27" s="138"/>
      <c r="I27" s="209"/>
      <c r="J27" s="137">
        <f>SUM(J25:J26)</f>
        <v>59899283.485798046</v>
      </c>
      <c r="K27" s="136">
        <f>SUM(K25:K26)</f>
        <v>59896536.008827604</v>
      </c>
      <c r="L27" s="125">
        <f>SUM(L25:L26)</f>
        <v>-2747.4769704360515</v>
      </c>
      <c r="M27" s="124">
        <f>IF(J27=0,"n/a",+L27/J27)</f>
        <v>-4.5868277724682141E-5</v>
      </c>
      <c r="N27" s="123"/>
    </row>
    <row r="28" spans="1:15" x14ac:dyDescent="0.2">
      <c r="A28" s="84">
        <f t="shared" si="0"/>
        <v>21</v>
      </c>
      <c r="B28" s="42"/>
      <c r="C28" s="130" t="s">
        <v>96</v>
      </c>
      <c r="D28" s="130"/>
      <c r="E28" s="130"/>
      <c r="F28" s="130"/>
      <c r="G28" s="37" t="s">
        <v>96</v>
      </c>
      <c r="H28" s="105" t="s">
        <v>96</v>
      </c>
      <c r="I28" s="210"/>
      <c r="J28" s="104" t="s">
        <v>96</v>
      </c>
      <c r="K28" s="37"/>
      <c r="N28" s="123"/>
      <c r="O28" s="85"/>
    </row>
    <row r="29" spans="1:15" x14ac:dyDescent="0.2">
      <c r="A29" s="84">
        <f t="shared" si="0"/>
        <v>22</v>
      </c>
      <c r="B29" s="135" t="s">
        <v>104</v>
      </c>
      <c r="C29" s="130" t="s">
        <v>216</v>
      </c>
      <c r="D29" s="130"/>
      <c r="E29" s="130"/>
      <c r="F29" s="130"/>
      <c r="G29" s="128">
        <v>1954312680.3583896</v>
      </c>
      <c r="H29" s="127">
        <v>0</v>
      </c>
      <c r="I29" s="261">
        <v>0</v>
      </c>
      <c r="J29" s="126">
        <v>12709106.378682548</v>
      </c>
      <c r="K29" s="125">
        <f>J29+G29*(I29-H29)</f>
        <v>12709106.378682548</v>
      </c>
      <c r="L29" s="125">
        <f>+K29-J29</f>
        <v>0</v>
      </c>
      <c r="M29" s="124">
        <f>IF(J29=0,"n/a",+L29/J29)</f>
        <v>0</v>
      </c>
      <c r="N29" s="123"/>
      <c r="O29" s="106"/>
    </row>
    <row r="30" spans="1:15" x14ac:dyDescent="0.2">
      <c r="A30" s="84">
        <f t="shared" si="0"/>
        <v>23</v>
      </c>
      <c r="B30" s="42"/>
      <c r="C30" s="130" t="s">
        <v>96</v>
      </c>
      <c r="D30" s="130"/>
      <c r="E30" s="130"/>
      <c r="F30" s="130"/>
      <c r="G30" s="133" t="s">
        <v>96</v>
      </c>
      <c r="H30" s="132"/>
      <c r="I30" s="262"/>
      <c r="J30" s="118" t="s">
        <v>96</v>
      </c>
      <c r="K30" s="106"/>
      <c r="L30" s="106"/>
      <c r="M30" s="117"/>
      <c r="N30" s="123"/>
    </row>
    <row r="31" spans="1:15" x14ac:dyDescent="0.2">
      <c r="A31" s="84">
        <f>A30+1</f>
        <v>24</v>
      </c>
      <c r="B31" s="134" t="s">
        <v>103</v>
      </c>
      <c r="C31" s="130" t="s">
        <v>217</v>
      </c>
      <c r="D31" s="130"/>
      <c r="E31" s="130"/>
      <c r="F31" s="130"/>
      <c r="G31" s="128">
        <v>319873933.30400002</v>
      </c>
      <c r="H31" s="127">
        <v>0</v>
      </c>
      <c r="I31" s="261">
        <v>0</v>
      </c>
      <c r="J31" s="126">
        <v>6474248.41007296</v>
      </c>
      <c r="K31" s="125">
        <f>J31+G31*(I31-H31)</f>
        <v>6474248.41007296</v>
      </c>
      <c r="L31" s="125">
        <f>+K31-J31</f>
        <v>0</v>
      </c>
      <c r="M31" s="124">
        <f>IF(J31=0,"n/a",+L31/J31)</f>
        <v>0</v>
      </c>
      <c r="N31" s="123"/>
    </row>
    <row r="32" spans="1:15" x14ac:dyDescent="0.2">
      <c r="A32" s="84">
        <f t="shared" si="0"/>
        <v>25</v>
      </c>
      <c r="C32" s="130" t="s">
        <v>96</v>
      </c>
      <c r="D32" s="130"/>
      <c r="E32" s="130"/>
      <c r="F32" s="130"/>
      <c r="G32" s="133" t="s">
        <v>96</v>
      </c>
      <c r="H32" s="132" t="s">
        <v>96</v>
      </c>
      <c r="I32" s="262"/>
      <c r="J32" s="118" t="s">
        <v>96</v>
      </c>
      <c r="K32" s="106"/>
      <c r="L32" s="106"/>
      <c r="M32" s="117"/>
      <c r="N32" s="123"/>
    </row>
    <row r="33" spans="1:14" x14ac:dyDescent="0.2">
      <c r="A33" s="84">
        <f>A32+1</f>
        <v>26</v>
      </c>
      <c r="B33" s="67" t="s">
        <v>155</v>
      </c>
      <c r="C33" s="130" t="s">
        <v>218</v>
      </c>
      <c r="D33" s="130"/>
      <c r="E33" s="130"/>
      <c r="F33" s="130"/>
      <c r="G33" s="128">
        <v>64491873.674880393</v>
      </c>
      <c r="H33" s="127">
        <v>3.0000000000000001E-6</v>
      </c>
      <c r="I33" s="206">
        <f>ROUND('Rate Spread and Design'!R24,6)</f>
        <v>0</v>
      </c>
      <c r="J33" s="126">
        <v>22561829.701769948</v>
      </c>
      <c r="K33" s="125">
        <f>J33+G33*(I33-H33)</f>
        <v>22561636.226148922</v>
      </c>
      <c r="L33" s="125">
        <f>+K33-J33</f>
        <v>-193.47562102600932</v>
      </c>
      <c r="M33" s="124">
        <f>IF(J33=0,"n/a",+L33/J33)</f>
        <v>-8.5753515376827525E-6</v>
      </c>
      <c r="N33" s="123">
        <f>I33-ROUND('Rate Spread and Design'!R24,6)</f>
        <v>0</v>
      </c>
    </row>
    <row r="34" spans="1:14" x14ac:dyDescent="0.2">
      <c r="A34" s="84">
        <f t="shared" si="0"/>
        <v>27</v>
      </c>
      <c r="B34" s="131"/>
      <c r="C34" s="130"/>
      <c r="D34" s="130"/>
      <c r="E34" s="130"/>
      <c r="F34" s="130"/>
      <c r="G34" s="196"/>
      <c r="H34" s="197"/>
      <c r="I34" s="211"/>
      <c r="J34" s="198"/>
      <c r="K34" s="199"/>
      <c r="L34" s="199"/>
      <c r="M34" s="200"/>
      <c r="N34" s="123"/>
    </row>
    <row r="35" spans="1:14" x14ac:dyDescent="0.2">
      <c r="A35" s="84">
        <f t="shared" si="0"/>
        <v>28</v>
      </c>
      <c r="B35" s="134" t="s">
        <v>66</v>
      </c>
      <c r="C35" s="130">
        <v>5</v>
      </c>
      <c r="D35" s="130"/>
      <c r="E35" s="130"/>
      <c r="F35" s="130"/>
      <c r="G35" s="128">
        <v>7578921.5862422688</v>
      </c>
      <c r="H35" s="127">
        <v>6.0000000000000002E-6</v>
      </c>
      <c r="I35" s="206">
        <f>ROUND('Rate Spread and Design'!R26,6)</f>
        <v>0</v>
      </c>
      <c r="J35" s="126">
        <v>816401.87017098127</v>
      </c>
      <c r="K35" s="125">
        <f>J35+G35*(I35-H35)</f>
        <v>816356.39664146386</v>
      </c>
      <c r="L35" s="125">
        <f>+K35-J35</f>
        <v>-45.473529517417774</v>
      </c>
      <c r="M35" s="124">
        <f>IF(J35=0,"n/a",+L35/J35)</f>
        <v>-5.5699933058573381E-5</v>
      </c>
      <c r="N35" s="123">
        <f>I35-ROUND('Rate Spread and Design'!R26,6)</f>
        <v>0</v>
      </c>
    </row>
    <row r="36" spans="1:14" x14ac:dyDescent="0.2">
      <c r="A36" s="84">
        <f t="shared" si="0"/>
        <v>29</v>
      </c>
      <c r="C36" s="121" t="s">
        <v>96</v>
      </c>
      <c r="D36" s="122"/>
      <c r="E36" s="121"/>
      <c r="F36" s="121"/>
      <c r="H36" s="120" t="s">
        <v>96</v>
      </c>
      <c r="I36" s="119"/>
      <c r="J36" s="118"/>
      <c r="K36" s="106"/>
      <c r="L36" s="106"/>
      <c r="M36" s="117"/>
    </row>
    <row r="37" spans="1:14" ht="12" thickBot="1" x14ac:dyDescent="0.25">
      <c r="A37" s="84">
        <f t="shared" si="0"/>
        <v>30</v>
      </c>
      <c r="B37" s="116" t="s">
        <v>5</v>
      </c>
      <c r="C37" s="114" t="s">
        <v>96</v>
      </c>
      <c r="D37" s="115"/>
      <c r="E37" s="114"/>
      <c r="F37" s="114"/>
      <c r="G37" s="213">
        <f>SUM(G9,G16,G22,G27,G29,G33,G31,G35)</f>
        <v>23500779044.944908</v>
      </c>
      <c r="H37" s="113"/>
      <c r="I37" s="112"/>
      <c r="J37" s="111">
        <f>SUM(J9,J16,J22,J27,J29,J33,J31,J35)</f>
        <v>2950813133.6080503</v>
      </c>
      <c r="K37" s="110">
        <f>SUM(K9,K16,K22,K27,K29,K33,K31,K35)</f>
        <v>2950670528.6742177</v>
      </c>
      <c r="L37" s="110">
        <f>SUM(L9,L16,L22,L27,L29,L33,L31,L35)</f>
        <v>-142604.93383293715</v>
      </c>
      <c r="M37" s="109">
        <f>IF(J37=0,"n/a",+L37/J37)</f>
        <v>-4.8327334662012193E-5</v>
      </c>
    </row>
    <row r="38" spans="1:14" ht="12" thickTop="1" x14ac:dyDescent="0.2">
      <c r="A38" s="84">
        <f t="shared" si="0"/>
        <v>31</v>
      </c>
      <c r="C38" s="105" t="s">
        <v>96</v>
      </c>
      <c r="D38" s="105"/>
      <c r="E38" s="104"/>
      <c r="F38" s="108" t="s">
        <v>67</v>
      </c>
      <c r="G38" s="107">
        <v>0</v>
      </c>
      <c r="H38" s="107" t="s">
        <v>96</v>
      </c>
      <c r="J38" s="107">
        <v>0</v>
      </c>
      <c r="L38" s="106"/>
    </row>
    <row r="39" spans="1:14" x14ac:dyDescent="0.2">
      <c r="A39" s="84">
        <f t="shared" si="0"/>
        <v>32</v>
      </c>
      <c r="C39" s="105" t="s">
        <v>96</v>
      </c>
      <c r="D39" s="105"/>
      <c r="E39" s="104"/>
      <c r="F39" s="104"/>
      <c r="H39" s="104" t="s">
        <v>96</v>
      </c>
      <c r="J39" s="104"/>
    </row>
    <row r="40" spans="1:14" ht="13.5" x14ac:dyDescent="0.2">
      <c r="A40" s="84">
        <f t="shared" si="0"/>
        <v>33</v>
      </c>
      <c r="B40" s="103" t="s">
        <v>123</v>
      </c>
      <c r="C40" s="102"/>
      <c r="D40" s="99"/>
      <c r="E40" s="100"/>
      <c r="F40" s="100"/>
      <c r="G40" s="101"/>
      <c r="H40" s="101"/>
      <c r="I40" s="99"/>
      <c r="J40" s="100"/>
      <c r="K40" s="100"/>
      <c r="L40" s="99"/>
      <c r="M40" s="99"/>
    </row>
    <row r="41" spans="1:14" s="67" customFormat="1" ht="13.5" x14ac:dyDescent="0.35">
      <c r="A41" s="84">
        <f t="shared" si="0"/>
        <v>34</v>
      </c>
      <c r="B41" s="98"/>
      <c r="C41" s="98" t="s">
        <v>122</v>
      </c>
      <c r="D41" s="98"/>
      <c r="E41" s="98"/>
      <c r="F41" s="98"/>
      <c r="G41" s="98"/>
      <c r="H41" s="97"/>
      <c r="I41" s="96"/>
      <c r="J41" s="96"/>
      <c r="K41" s="96"/>
      <c r="L41" s="95"/>
      <c r="M41" s="95"/>
      <c r="N41" s="92"/>
    </row>
    <row r="42" spans="1:14" s="67" customFormat="1" ht="40.5" x14ac:dyDescent="0.35">
      <c r="A42" s="84">
        <f t="shared" si="0"/>
        <v>35</v>
      </c>
      <c r="C42" s="94" t="s">
        <v>41</v>
      </c>
      <c r="D42" s="94" t="s">
        <v>42</v>
      </c>
      <c r="E42" s="94" t="s">
        <v>43</v>
      </c>
      <c r="F42" s="94" t="s">
        <v>121</v>
      </c>
      <c r="G42" s="94" t="s">
        <v>120</v>
      </c>
      <c r="H42" s="94"/>
      <c r="I42" s="94"/>
      <c r="J42" s="94"/>
      <c r="K42" s="93"/>
      <c r="L42" s="93"/>
      <c r="M42" s="93"/>
      <c r="N42" s="92"/>
    </row>
    <row r="43" spans="1:14" x14ac:dyDescent="0.2">
      <c r="A43" s="84">
        <f t="shared" si="0"/>
        <v>36</v>
      </c>
      <c r="B43" s="91" t="s">
        <v>119</v>
      </c>
      <c r="C43" s="214">
        <v>7.49</v>
      </c>
      <c r="D43" s="214">
        <v>53.66</v>
      </c>
      <c r="E43" s="214">
        <v>21.77</v>
      </c>
      <c r="F43" s="214">
        <v>31.03</v>
      </c>
      <c r="G43" s="89">
        <f>SUM(C43:F43)</f>
        <v>113.95</v>
      </c>
      <c r="H43" s="89"/>
      <c r="I43" s="51"/>
      <c r="J43" s="51"/>
      <c r="K43" s="89"/>
      <c r="L43" s="88"/>
      <c r="M43" s="87"/>
    </row>
    <row r="44" spans="1:14" x14ac:dyDescent="0.2">
      <c r="A44" s="84">
        <f t="shared" si="0"/>
        <v>37</v>
      </c>
      <c r="B44" s="91" t="s">
        <v>118</v>
      </c>
      <c r="C44" s="214">
        <f>C43</f>
        <v>7.49</v>
      </c>
      <c r="D44" s="214">
        <f>D43</f>
        <v>53.66</v>
      </c>
      <c r="E44" s="214">
        <f>E43</f>
        <v>21.77</v>
      </c>
      <c r="F44" s="214">
        <f>F43+(800*(I9-H9))</f>
        <v>31.0244</v>
      </c>
      <c r="G44" s="89">
        <f>SUM(C44:F44)</f>
        <v>113.9444</v>
      </c>
      <c r="H44" s="89"/>
      <c r="I44" s="51"/>
      <c r="J44" s="51"/>
      <c r="K44" s="89"/>
      <c r="L44" s="88"/>
      <c r="M44" s="87"/>
    </row>
    <row r="45" spans="1:14" x14ac:dyDescent="0.2">
      <c r="A45" s="84">
        <f t="shared" si="0"/>
        <v>38</v>
      </c>
      <c r="B45" s="91"/>
      <c r="C45" s="90"/>
      <c r="D45" s="90"/>
      <c r="E45" s="90"/>
      <c r="F45" s="90"/>
      <c r="G45" s="89">
        <f>G44-G43</f>
        <v>-5.6000000000011596E-3</v>
      </c>
      <c r="H45" s="89"/>
      <c r="I45" s="51"/>
      <c r="J45" s="51"/>
      <c r="K45" s="89"/>
      <c r="L45" s="88"/>
      <c r="M45" s="87"/>
    </row>
    <row r="46" spans="1:14" x14ac:dyDescent="0.2">
      <c r="A46" s="84">
        <f t="shared" si="0"/>
        <v>39</v>
      </c>
      <c r="E46" s="85"/>
      <c r="F46" s="85"/>
      <c r="G46" s="86">
        <f>G45/G43</f>
        <v>-4.9144361562098812E-5</v>
      </c>
      <c r="H46" s="85"/>
      <c r="I46" s="85"/>
      <c r="K46" s="85"/>
      <c r="L46" s="85"/>
      <c r="M46" s="85"/>
    </row>
    <row r="47" spans="1:14" x14ac:dyDescent="0.2">
      <c r="A47" s="84">
        <f t="shared" si="0"/>
        <v>40</v>
      </c>
      <c r="E47" s="85"/>
      <c r="F47" s="85"/>
      <c r="G47" s="86"/>
      <c r="H47" s="85"/>
      <c r="I47" s="85"/>
      <c r="K47" s="85"/>
      <c r="L47" s="85"/>
      <c r="M47" s="85"/>
    </row>
    <row r="48" spans="1:14" ht="11.25" customHeight="1" x14ac:dyDescent="0.2">
      <c r="A48" s="84">
        <f t="shared" si="0"/>
        <v>41</v>
      </c>
      <c r="B48" s="267" t="s">
        <v>117</v>
      </c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</row>
    <row r="49" spans="1:14" x14ac:dyDescent="0.2">
      <c r="A49" s="84">
        <f t="shared" si="0"/>
        <v>42</v>
      </c>
      <c r="B49" s="267" t="s">
        <v>208</v>
      </c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</row>
    <row r="50" spans="1:14" x14ac:dyDescent="0.2">
      <c r="A50" s="84"/>
      <c r="D50" s="37"/>
      <c r="E50" s="37"/>
      <c r="F50" s="37"/>
      <c r="G50" s="37"/>
      <c r="H50" s="37"/>
      <c r="J50" s="37"/>
      <c r="K50" s="37"/>
    </row>
    <row r="51" spans="1:14" x14ac:dyDescent="0.2">
      <c r="A51" s="84"/>
      <c r="D51" s="37"/>
      <c r="E51" s="37"/>
      <c r="F51" s="37"/>
      <c r="G51" s="37"/>
      <c r="H51" s="37"/>
      <c r="J51" s="37"/>
      <c r="K51" s="37"/>
      <c r="N51" s="37"/>
    </row>
    <row r="52" spans="1:14" x14ac:dyDescent="0.2">
      <c r="A52" s="84"/>
      <c r="D52" s="37"/>
      <c r="E52" s="37"/>
      <c r="F52" s="37"/>
      <c r="G52" s="37"/>
      <c r="H52" s="37"/>
      <c r="J52" s="37"/>
      <c r="K52" s="37"/>
      <c r="N52" s="37"/>
    </row>
    <row r="53" spans="1:14" x14ac:dyDescent="0.2">
      <c r="A53" s="84"/>
      <c r="D53" s="37"/>
      <c r="E53" s="37"/>
      <c r="F53" s="37"/>
      <c r="G53" s="37"/>
      <c r="H53" s="37"/>
      <c r="J53" s="37"/>
      <c r="K53" s="37"/>
      <c r="N53" s="37"/>
    </row>
    <row r="54" spans="1:14" x14ac:dyDescent="0.2">
      <c r="A54" s="84"/>
      <c r="D54" s="37"/>
      <c r="E54" s="37"/>
      <c r="F54" s="37"/>
      <c r="G54" s="37"/>
      <c r="H54" s="37"/>
      <c r="J54" s="37"/>
      <c r="K54" s="37"/>
      <c r="N54" s="37"/>
    </row>
    <row r="55" spans="1:14" x14ac:dyDescent="0.2">
      <c r="A55" s="84"/>
      <c r="D55" s="37"/>
      <c r="E55" s="37"/>
      <c r="F55" s="37"/>
      <c r="G55" s="37"/>
      <c r="H55" s="37"/>
      <c r="J55" s="37"/>
      <c r="K55" s="37"/>
      <c r="N55" s="37"/>
    </row>
    <row r="56" spans="1:14" x14ac:dyDescent="0.2">
      <c r="A56" s="84"/>
      <c r="D56" s="37"/>
      <c r="E56" s="37"/>
      <c r="F56" s="37"/>
      <c r="G56" s="37"/>
      <c r="H56" s="37"/>
      <c r="J56" s="37"/>
      <c r="K56" s="37"/>
      <c r="N56" s="37"/>
    </row>
    <row r="57" spans="1:14" x14ac:dyDescent="0.2">
      <c r="A57" s="84"/>
      <c r="D57" s="37"/>
      <c r="E57" s="37"/>
      <c r="F57" s="37"/>
      <c r="G57" s="37"/>
      <c r="H57" s="37"/>
      <c r="J57" s="37"/>
      <c r="K57" s="37"/>
      <c r="N57" s="37"/>
    </row>
    <row r="58" spans="1:14" x14ac:dyDescent="0.2">
      <c r="A58" s="84"/>
      <c r="D58" s="37"/>
      <c r="E58" s="37"/>
      <c r="F58" s="37"/>
      <c r="G58" s="37"/>
      <c r="H58" s="37"/>
      <c r="J58" s="37"/>
      <c r="K58" s="37"/>
      <c r="N58" s="37"/>
    </row>
    <row r="59" spans="1:14" x14ac:dyDescent="0.2">
      <c r="A59" s="84"/>
      <c r="D59" s="37"/>
      <c r="E59" s="37"/>
      <c r="F59" s="37"/>
      <c r="G59" s="37"/>
      <c r="H59" s="37"/>
      <c r="J59" s="37"/>
      <c r="K59" s="37"/>
      <c r="N59" s="37"/>
    </row>
    <row r="60" spans="1:14" x14ac:dyDescent="0.2">
      <c r="A60" s="84"/>
      <c r="D60" s="37"/>
      <c r="E60" s="37"/>
      <c r="F60" s="37"/>
      <c r="G60" s="37"/>
      <c r="H60" s="37"/>
      <c r="J60" s="37"/>
      <c r="K60" s="37"/>
      <c r="N60" s="37"/>
    </row>
    <row r="61" spans="1:14" x14ac:dyDescent="0.2">
      <c r="A61" s="84"/>
      <c r="D61" s="37"/>
      <c r="E61" s="37"/>
      <c r="F61" s="37"/>
      <c r="G61" s="37"/>
      <c r="H61" s="37"/>
      <c r="J61" s="37"/>
      <c r="K61" s="37"/>
      <c r="N61" s="37"/>
    </row>
    <row r="62" spans="1:14" x14ac:dyDescent="0.2">
      <c r="A62" s="84"/>
      <c r="D62" s="37"/>
      <c r="E62" s="37"/>
      <c r="F62" s="37"/>
      <c r="G62" s="37"/>
      <c r="H62" s="37"/>
      <c r="J62" s="37"/>
      <c r="K62" s="37"/>
      <c r="N62" s="37"/>
    </row>
    <row r="63" spans="1:14" x14ac:dyDescent="0.2">
      <c r="A63" s="84"/>
      <c r="D63" s="37"/>
      <c r="E63" s="37"/>
      <c r="F63" s="37"/>
      <c r="G63" s="37"/>
      <c r="H63" s="37"/>
      <c r="J63" s="37"/>
      <c r="K63" s="37"/>
      <c r="N63" s="37"/>
    </row>
    <row r="64" spans="1:14" x14ac:dyDescent="0.2">
      <c r="A64" s="84"/>
      <c r="D64" s="37"/>
      <c r="E64" s="37"/>
      <c r="F64" s="37"/>
      <c r="G64" s="37"/>
      <c r="H64" s="37"/>
      <c r="J64" s="37"/>
      <c r="K64" s="37"/>
      <c r="N64" s="37"/>
    </row>
    <row r="65" spans="1:14" x14ac:dyDescent="0.2">
      <c r="A65" s="84"/>
      <c r="D65" s="37"/>
      <c r="E65" s="37"/>
      <c r="F65" s="37"/>
      <c r="G65" s="37"/>
      <c r="H65" s="37"/>
      <c r="J65" s="37"/>
      <c r="K65" s="37"/>
      <c r="N65" s="37"/>
    </row>
    <row r="66" spans="1:14" x14ac:dyDescent="0.2">
      <c r="A66" s="84"/>
      <c r="D66" s="37"/>
      <c r="E66" s="37"/>
      <c r="F66" s="37"/>
      <c r="G66" s="37"/>
      <c r="H66" s="37"/>
      <c r="J66" s="37"/>
      <c r="K66" s="37"/>
      <c r="N66" s="37"/>
    </row>
    <row r="67" spans="1:14" x14ac:dyDescent="0.2">
      <c r="A67" s="84"/>
      <c r="D67" s="37"/>
      <c r="E67" s="37"/>
      <c r="F67" s="37"/>
      <c r="G67" s="37"/>
      <c r="H67" s="37"/>
      <c r="J67" s="37"/>
      <c r="K67" s="37"/>
      <c r="N67" s="37"/>
    </row>
    <row r="68" spans="1:14" x14ac:dyDescent="0.2">
      <c r="A68" s="84"/>
      <c r="D68" s="37"/>
      <c r="E68" s="37"/>
      <c r="F68" s="37"/>
      <c r="G68" s="37"/>
      <c r="H68" s="37"/>
      <c r="J68" s="37"/>
      <c r="K68" s="37"/>
      <c r="N68" s="37"/>
    </row>
    <row r="69" spans="1:14" x14ac:dyDescent="0.2">
      <c r="A69" s="84"/>
      <c r="D69" s="37"/>
      <c r="E69" s="37"/>
      <c r="F69" s="37"/>
      <c r="G69" s="37"/>
      <c r="H69" s="37"/>
      <c r="J69" s="37"/>
      <c r="K69" s="37"/>
      <c r="N69" s="37"/>
    </row>
    <row r="70" spans="1:14" x14ac:dyDescent="0.2">
      <c r="A70" s="84"/>
      <c r="D70" s="37"/>
      <c r="E70" s="37"/>
      <c r="F70" s="37"/>
      <c r="G70" s="37"/>
      <c r="H70" s="37"/>
      <c r="J70" s="37"/>
      <c r="K70" s="37"/>
      <c r="N70" s="37"/>
    </row>
    <row r="71" spans="1:14" x14ac:dyDescent="0.2">
      <c r="A71" s="84"/>
      <c r="D71" s="37"/>
      <c r="E71" s="37"/>
      <c r="F71" s="37"/>
      <c r="G71" s="37"/>
      <c r="H71" s="37"/>
      <c r="J71" s="37"/>
      <c r="K71" s="37"/>
      <c r="N71" s="37"/>
    </row>
    <row r="72" spans="1:14" x14ac:dyDescent="0.2">
      <c r="A72" s="84"/>
      <c r="D72" s="37"/>
      <c r="E72" s="37"/>
      <c r="F72" s="37"/>
      <c r="G72" s="37"/>
      <c r="H72" s="37"/>
      <c r="J72" s="37"/>
      <c r="K72" s="37"/>
      <c r="N72" s="37"/>
    </row>
    <row r="73" spans="1:14" x14ac:dyDescent="0.2">
      <c r="A73" s="84"/>
      <c r="D73" s="37"/>
      <c r="E73" s="37"/>
      <c r="F73" s="37"/>
      <c r="G73" s="37"/>
      <c r="H73" s="37"/>
      <c r="J73" s="37"/>
      <c r="K73" s="37"/>
      <c r="N73" s="37"/>
    </row>
    <row r="74" spans="1:14" x14ac:dyDescent="0.2">
      <c r="A74" s="84"/>
      <c r="D74" s="37"/>
      <c r="E74" s="37"/>
      <c r="F74" s="37"/>
      <c r="G74" s="37"/>
      <c r="H74" s="37"/>
      <c r="J74" s="37"/>
      <c r="K74" s="37"/>
      <c r="N74" s="37"/>
    </row>
    <row r="75" spans="1:14" x14ac:dyDescent="0.2">
      <c r="A75" s="84"/>
      <c r="D75" s="37"/>
      <c r="E75" s="37"/>
      <c r="F75" s="37"/>
      <c r="G75" s="37"/>
      <c r="H75" s="37"/>
      <c r="J75" s="37"/>
      <c r="K75" s="37"/>
      <c r="N75" s="37"/>
    </row>
    <row r="76" spans="1:14" x14ac:dyDescent="0.2">
      <c r="A76" s="84"/>
      <c r="D76" s="37"/>
      <c r="E76" s="37"/>
      <c r="F76" s="37"/>
      <c r="G76" s="37"/>
      <c r="H76" s="37"/>
      <c r="J76" s="37"/>
      <c r="K76" s="37"/>
      <c r="N76" s="37"/>
    </row>
    <row r="77" spans="1:14" x14ac:dyDescent="0.2">
      <c r="A77" s="84"/>
      <c r="D77" s="37"/>
      <c r="E77" s="37"/>
      <c r="F77" s="37"/>
      <c r="G77" s="37"/>
      <c r="H77" s="37"/>
      <c r="J77" s="37"/>
      <c r="K77" s="37"/>
      <c r="N77" s="37"/>
    </row>
    <row r="78" spans="1:14" x14ac:dyDescent="0.2">
      <c r="A78" s="84"/>
      <c r="D78" s="37"/>
      <c r="E78" s="37"/>
      <c r="F78" s="37"/>
      <c r="G78" s="37"/>
      <c r="H78" s="37"/>
      <c r="J78" s="37"/>
      <c r="K78" s="37"/>
      <c r="N78" s="37"/>
    </row>
    <row r="79" spans="1:14" x14ac:dyDescent="0.2">
      <c r="A79" s="84"/>
      <c r="D79" s="37"/>
      <c r="E79" s="37"/>
      <c r="F79" s="37"/>
      <c r="G79" s="37"/>
      <c r="H79" s="37"/>
      <c r="J79" s="37"/>
      <c r="K79" s="37"/>
      <c r="N79" s="37"/>
    </row>
    <row r="80" spans="1:14" x14ac:dyDescent="0.2">
      <c r="A80" s="84"/>
      <c r="D80" s="37"/>
      <c r="E80" s="37"/>
      <c r="F80" s="37"/>
      <c r="G80" s="37"/>
      <c r="H80" s="37"/>
      <c r="J80" s="37"/>
      <c r="K80" s="37"/>
      <c r="N80" s="37"/>
    </row>
    <row r="81" spans="1:14" x14ac:dyDescent="0.2">
      <c r="A81" s="84"/>
      <c r="D81" s="37"/>
      <c r="E81" s="37"/>
      <c r="F81" s="37"/>
      <c r="G81" s="37"/>
      <c r="H81" s="37"/>
      <c r="J81" s="37"/>
      <c r="K81" s="37"/>
      <c r="N81" s="37"/>
    </row>
    <row r="82" spans="1:14" x14ac:dyDescent="0.2">
      <c r="A82" s="84"/>
      <c r="D82" s="37"/>
      <c r="E82" s="37"/>
      <c r="F82" s="37"/>
      <c r="G82" s="37"/>
      <c r="H82" s="37"/>
      <c r="J82" s="37"/>
      <c r="K82" s="37"/>
      <c r="N82" s="37"/>
    </row>
    <row r="83" spans="1:14" x14ac:dyDescent="0.2">
      <c r="A83" s="84"/>
      <c r="D83" s="37"/>
      <c r="E83" s="37"/>
      <c r="F83" s="37"/>
      <c r="G83" s="37"/>
      <c r="H83" s="37"/>
      <c r="J83" s="37"/>
      <c r="K83" s="37"/>
      <c r="N83" s="37"/>
    </row>
    <row r="84" spans="1:14" x14ac:dyDescent="0.2">
      <c r="A84" s="84"/>
      <c r="D84" s="37"/>
      <c r="E84" s="37"/>
      <c r="F84" s="37"/>
      <c r="G84" s="37"/>
      <c r="H84" s="37"/>
      <c r="J84" s="37"/>
      <c r="K84" s="37"/>
      <c r="N84" s="37"/>
    </row>
    <row r="85" spans="1:14" x14ac:dyDescent="0.2">
      <c r="A85" s="84"/>
      <c r="D85" s="37"/>
      <c r="E85" s="37"/>
      <c r="F85" s="37"/>
      <c r="G85" s="37"/>
      <c r="H85" s="37"/>
      <c r="J85" s="37"/>
      <c r="K85" s="37"/>
      <c r="N85" s="37"/>
    </row>
    <row r="86" spans="1:14" x14ac:dyDescent="0.2">
      <c r="A86" s="84"/>
      <c r="D86" s="37"/>
      <c r="E86" s="37"/>
      <c r="F86" s="37"/>
      <c r="G86" s="37"/>
      <c r="H86" s="37"/>
      <c r="J86" s="37"/>
      <c r="K86" s="37"/>
      <c r="N86" s="37"/>
    </row>
    <row r="87" spans="1:14" x14ac:dyDescent="0.2">
      <c r="A87" s="84"/>
      <c r="D87" s="37"/>
      <c r="E87" s="37"/>
      <c r="F87" s="37"/>
      <c r="G87" s="37"/>
      <c r="H87" s="37"/>
      <c r="J87" s="37"/>
      <c r="K87" s="37"/>
      <c r="N87" s="37"/>
    </row>
    <row r="88" spans="1:14" x14ac:dyDescent="0.2">
      <c r="A88" s="84"/>
      <c r="D88" s="37"/>
      <c r="E88" s="37"/>
      <c r="F88" s="37"/>
      <c r="G88" s="37"/>
      <c r="H88" s="37"/>
      <c r="J88" s="37"/>
      <c r="K88" s="37"/>
      <c r="N88" s="37"/>
    </row>
    <row r="89" spans="1:14" x14ac:dyDescent="0.2">
      <c r="A89" s="84"/>
      <c r="D89" s="37"/>
      <c r="E89" s="37"/>
      <c r="F89" s="37"/>
      <c r="G89" s="37"/>
      <c r="H89" s="37"/>
      <c r="J89" s="37"/>
      <c r="K89" s="37"/>
      <c r="N89" s="37"/>
    </row>
    <row r="90" spans="1:14" x14ac:dyDescent="0.2">
      <c r="A90" s="84"/>
      <c r="D90" s="37"/>
      <c r="E90" s="37"/>
      <c r="F90" s="37"/>
      <c r="G90" s="37"/>
      <c r="H90" s="37"/>
      <c r="J90" s="37"/>
      <c r="K90" s="37"/>
      <c r="N90" s="37"/>
    </row>
    <row r="91" spans="1:14" x14ac:dyDescent="0.2">
      <c r="A91" s="84"/>
      <c r="D91" s="37"/>
      <c r="E91" s="37"/>
      <c r="F91" s="37"/>
      <c r="G91" s="37"/>
      <c r="H91" s="37"/>
      <c r="J91" s="37"/>
      <c r="K91" s="37"/>
      <c r="N91" s="37"/>
    </row>
    <row r="92" spans="1:14" x14ac:dyDescent="0.2">
      <c r="A92" s="84"/>
      <c r="D92" s="37"/>
      <c r="E92" s="37"/>
      <c r="F92" s="37"/>
      <c r="G92" s="37"/>
      <c r="H92" s="37"/>
      <c r="J92" s="37"/>
      <c r="K92" s="37"/>
      <c r="N92" s="37"/>
    </row>
    <row r="93" spans="1:14" x14ac:dyDescent="0.2">
      <c r="A93" s="84"/>
      <c r="D93" s="37"/>
      <c r="E93" s="37"/>
      <c r="F93" s="37"/>
      <c r="G93" s="37"/>
      <c r="H93" s="37"/>
      <c r="J93" s="37"/>
      <c r="K93" s="37"/>
      <c r="N93" s="37"/>
    </row>
    <row r="94" spans="1:14" x14ac:dyDescent="0.2">
      <c r="A94" s="84"/>
      <c r="D94" s="37"/>
      <c r="E94" s="37"/>
      <c r="F94" s="37"/>
      <c r="G94" s="37"/>
      <c r="H94" s="37"/>
      <c r="J94" s="37"/>
      <c r="K94" s="37"/>
      <c r="N94" s="37"/>
    </row>
    <row r="95" spans="1:14" x14ac:dyDescent="0.2">
      <c r="A95" s="84"/>
      <c r="D95" s="37"/>
      <c r="E95" s="37"/>
      <c r="F95" s="37"/>
      <c r="G95" s="37"/>
      <c r="H95" s="37"/>
      <c r="J95" s="37"/>
      <c r="K95" s="37"/>
      <c r="N95" s="37"/>
    </row>
    <row r="96" spans="1:14" x14ac:dyDescent="0.2">
      <c r="A96" s="84"/>
      <c r="D96" s="37"/>
      <c r="E96" s="37"/>
      <c r="F96" s="37"/>
      <c r="G96" s="37"/>
      <c r="H96" s="37"/>
      <c r="J96" s="37"/>
      <c r="K96" s="37"/>
      <c r="N96" s="37"/>
    </row>
    <row r="97" spans="1:14" x14ac:dyDescent="0.2">
      <c r="A97" s="84"/>
      <c r="D97" s="37"/>
      <c r="E97" s="37"/>
      <c r="F97" s="37"/>
      <c r="G97" s="37"/>
      <c r="H97" s="37"/>
      <c r="J97" s="37"/>
      <c r="K97" s="37"/>
      <c r="N97" s="37"/>
    </row>
    <row r="98" spans="1:14" x14ac:dyDescent="0.2">
      <c r="A98" s="84"/>
      <c r="D98" s="37"/>
      <c r="E98" s="37"/>
      <c r="F98" s="37"/>
      <c r="G98" s="37"/>
      <c r="H98" s="37"/>
      <c r="J98" s="37"/>
      <c r="K98" s="37"/>
      <c r="N98" s="37"/>
    </row>
    <row r="99" spans="1:14" x14ac:dyDescent="0.2">
      <c r="A99" s="84"/>
      <c r="D99" s="37"/>
      <c r="E99" s="37"/>
      <c r="F99" s="37"/>
      <c r="G99" s="37"/>
      <c r="H99" s="37"/>
      <c r="J99" s="37"/>
      <c r="K99" s="37"/>
      <c r="N99" s="37"/>
    </row>
    <row r="100" spans="1:14" x14ac:dyDescent="0.2">
      <c r="A100" s="84"/>
      <c r="D100" s="37"/>
      <c r="E100" s="37"/>
      <c r="F100" s="37"/>
      <c r="G100" s="37"/>
      <c r="H100" s="37"/>
      <c r="J100" s="37"/>
      <c r="K100" s="37"/>
      <c r="N100" s="37"/>
    </row>
    <row r="101" spans="1:14" x14ac:dyDescent="0.2">
      <c r="A101" s="84"/>
      <c r="D101" s="37"/>
      <c r="E101" s="37"/>
      <c r="F101" s="37"/>
      <c r="G101" s="37"/>
      <c r="H101" s="37"/>
      <c r="J101" s="37"/>
      <c r="K101" s="37"/>
      <c r="N101" s="37"/>
    </row>
    <row r="102" spans="1:14" x14ac:dyDescent="0.2">
      <c r="A102" s="84"/>
      <c r="D102" s="37"/>
      <c r="E102" s="37"/>
      <c r="F102" s="37"/>
      <c r="G102" s="37"/>
      <c r="H102" s="37"/>
      <c r="J102" s="37"/>
      <c r="K102" s="37"/>
      <c r="N102" s="37"/>
    </row>
    <row r="103" spans="1:14" x14ac:dyDescent="0.2">
      <c r="A103" s="84"/>
      <c r="D103" s="37"/>
      <c r="E103" s="37"/>
      <c r="F103" s="37"/>
      <c r="G103" s="37"/>
      <c r="H103" s="37"/>
      <c r="J103" s="37"/>
      <c r="K103" s="37"/>
      <c r="N103" s="37"/>
    </row>
    <row r="104" spans="1:14" x14ac:dyDescent="0.2">
      <c r="A104" s="84"/>
      <c r="D104" s="37"/>
      <c r="E104" s="37"/>
      <c r="F104" s="37"/>
      <c r="G104" s="37"/>
      <c r="H104" s="37"/>
      <c r="J104" s="37"/>
      <c r="K104" s="37"/>
      <c r="N104" s="37"/>
    </row>
    <row r="105" spans="1:14" x14ac:dyDescent="0.2">
      <c r="A105" s="84"/>
      <c r="D105" s="37"/>
      <c r="E105" s="37"/>
      <c r="F105" s="37"/>
      <c r="G105" s="37"/>
      <c r="H105" s="37"/>
      <c r="J105" s="37"/>
      <c r="K105" s="37"/>
      <c r="N105" s="37"/>
    </row>
    <row r="106" spans="1:14" x14ac:dyDescent="0.2">
      <c r="A106" s="84"/>
      <c r="D106" s="37"/>
      <c r="E106" s="37"/>
      <c r="F106" s="37"/>
      <c r="G106" s="37"/>
      <c r="H106" s="37"/>
      <c r="J106" s="37"/>
      <c r="K106" s="37"/>
      <c r="N106" s="37"/>
    </row>
    <row r="107" spans="1:14" x14ac:dyDescent="0.2">
      <c r="A107" s="84"/>
      <c r="D107" s="37"/>
      <c r="E107" s="37"/>
      <c r="F107" s="37"/>
      <c r="G107" s="37"/>
      <c r="H107" s="37"/>
      <c r="J107" s="37"/>
      <c r="K107" s="37"/>
      <c r="N107" s="37"/>
    </row>
    <row r="108" spans="1:14" x14ac:dyDescent="0.2">
      <c r="A108" s="84"/>
      <c r="D108" s="37"/>
      <c r="E108" s="37"/>
      <c r="F108" s="37"/>
      <c r="G108" s="37"/>
      <c r="H108" s="37"/>
      <c r="J108" s="37"/>
      <c r="K108" s="37"/>
      <c r="N108" s="37"/>
    </row>
    <row r="109" spans="1:14" x14ac:dyDescent="0.2">
      <c r="A109" s="84"/>
      <c r="D109" s="37"/>
      <c r="E109" s="37"/>
      <c r="F109" s="37"/>
      <c r="G109" s="37"/>
      <c r="H109" s="37"/>
      <c r="J109" s="37"/>
      <c r="K109" s="37"/>
      <c r="N109" s="37"/>
    </row>
    <row r="110" spans="1:14" x14ac:dyDescent="0.2">
      <c r="A110" s="84"/>
      <c r="D110" s="37"/>
      <c r="E110" s="37"/>
      <c r="F110" s="37"/>
      <c r="G110" s="37"/>
      <c r="H110" s="37"/>
      <c r="J110" s="37"/>
      <c r="K110" s="37"/>
      <c r="N110" s="37"/>
    </row>
    <row r="111" spans="1:14" x14ac:dyDescent="0.2">
      <c r="A111" s="84"/>
      <c r="D111" s="37"/>
      <c r="E111" s="37"/>
      <c r="F111" s="37"/>
      <c r="G111" s="37"/>
      <c r="H111" s="37"/>
      <c r="J111" s="37"/>
      <c r="K111" s="37"/>
      <c r="N111" s="37"/>
    </row>
    <row r="112" spans="1:14" x14ac:dyDescent="0.2">
      <c r="A112" s="84"/>
      <c r="D112" s="37"/>
      <c r="E112" s="37"/>
      <c r="F112" s="37"/>
      <c r="G112" s="37"/>
      <c r="H112" s="37"/>
      <c r="J112" s="37"/>
      <c r="K112" s="37"/>
      <c r="N112" s="37"/>
    </row>
    <row r="113" spans="1:14" x14ac:dyDescent="0.2">
      <c r="A113" s="84"/>
      <c r="D113" s="37"/>
      <c r="E113" s="37"/>
      <c r="F113" s="37"/>
      <c r="G113" s="37"/>
      <c r="H113" s="37"/>
      <c r="J113" s="37"/>
      <c r="K113" s="37"/>
      <c r="N113" s="37"/>
    </row>
    <row r="114" spans="1:14" x14ac:dyDescent="0.2">
      <c r="A114" s="84"/>
      <c r="D114" s="37"/>
      <c r="E114" s="37"/>
      <c r="F114" s="37"/>
      <c r="G114" s="37"/>
      <c r="H114" s="37"/>
      <c r="J114" s="37"/>
      <c r="K114" s="37"/>
      <c r="N114" s="37"/>
    </row>
    <row r="115" spans="1:14" x14ac:dyDescent="0.2">
      <c r="A115" s="84"/>
      <c r="D115" s="37"/>
      <c r="E115" s="37"/>
      <c r="F115" s="37"/>
      <c r="G115" s="37"/>
      <c r="H115" s="37"/>
      <c r="J115" s="37"/>
      <c r="K115" s="37"/>
      <c r="N115" s="37"/>
    </row>
    <row r="116" spans="1:14" x14ac:dyDescent="0.2">
      <c r="A116" s="84"/>
      <c r="D116" s="37"/>
      <c r="E116" s="37"/>
      <c r="F116" s="37"/>
      <c r="G116" s="37"/>
      <c r="H116" s="37"/>
      <c r="J116" s="37"/>
      <c r="K116" s="37"/>
      <c r="N116" s="37"/>
    </row>
    <row r="117" spans="1:14" x14ac:dyDescent="0.2">
      <c r="A117" s="84"/>
      <c r="D117" s="37"/>
      <c r="E117" s="37"/>
      <c r="F117" s="37"/>
      <c r="G117" s="37"/>
      <c r="H117" s="37"/>
      <c r="J117" s="37"/>
      <c r="K117" s="37"/>
      <c r="N117" s="37"/>
    </row>
    <row r="118" spans="1:14" x14ac:dyDescent="0.2">
      <c r="A118" s="84"/>
      <c r="D118" s="37"/>
      <c r="E118" s="37"/>
      <c r="F118" s="37"/>
      <c r="G118" s="37"/>
      <c r="H118" s="37"/>
      <c r="J118" s="37"/>
      <c r="K118" s="37"/>
      <c r="N118" s="37"/>
    </row>
    <row r="119" spans="1:14" x14ac:dyDescent="0.2">
      <c r="A119" s="84"/>
      <c r="D119" s="37"/>
      <c r="E119" s="37"/>
      <c r="F119" s="37"/>
      <c r="G119" s="37"/>
      <c r="H119" s="37"/>
      <c r="J119" s="37"/>
      <c r="K119" s="37"/>
      <c r="N119" s="37"/>
    </row>
    <row r="120" spans="1:14" x14ac:dyDescent="0.2">
      <c r="A120" s="84"/>
      <c r="D120" s="37"/>
      <c r="E120" s="37"/>
      <c r="F120" s="37"/>
      <c r="G120" s="37"/>
      <c r="H120" s="37"/>
      <c r="J120" s="37"/>
      <c r="K120" s="37"/>
      <c r="N120" s="37"/>
    </row>
    <row r="121" spans="1:14" x14ac:dyDescent="0.2">
      <c r="A121" s="84"/>
      <c r="D121" s="37"/>
      <c r="E121" s="37"/>
      <c r="F121" s="37"/>
      <c r="G121" s="37"/>
      <c r="H121" s="37"/>
      <c r="J121" s="37"/>
      <c r="K121" s="37"/>
      <c r="N121" s="37"/>
    </row>
    <row r="122" spans="1:14" x14ac:dyDescent="0.2">
      <c r="A122" s="84"/>
      <c r="D122" s="37"/>
      <c r="E122" s="37"/>
      <c r="F122" s="37"/>
      <c r="G122" s="37"/>
      <c r="H122" s="37"/>
      <c r="J122" s="37"/>
      <c r="K122" s="37"/>
      <c r="N122" s="37"/>
    </row>
    <row r="123" spans="1:14" x14ac:dyDescent="0.2">
      <c r="A123" s="84"/>
      <c r="D123" s="37"/>
      <c r="E123" s="37"/>
      <c r="F123" s="37"/>
      <c r="G123" s="37"/>
      <c r="H123" s="37"/>
      <c r="J123" s="37"/>
      <c r="K123" s="37"/>
      <c r="N123" s="37"/>
    </row>
    <row r="124" spans="1:14" x14ac:dyDescent="0.2">
      <c r="A124" s="84"/>
      <c r="D124" s="37"/>
      <c r="E124" s="37"/>
      <c r="F124" s="37"/>
      <c r="G124" s="37"/>
      <c r="H124" s="37"/>
      <c r="J124" s="37"/>
      <c r="K124" s="37"/>
      <c r="N124" s="37"/>
    </row>
    <row r="125" spans="1:14" x14ac:dyDescent="0.2">
      <c r="A125" s="84"/>
      <c r="D125" s="37"/>
      <c r="E125" s="37"/>
      <c r="F125" s="37"/>
      <c r="G125" s="37"/>
      <c r="H125" s="37"/>
      <c r="J125" s="37"/>
      <c r="K125" s="37"/>
      <c r="N125" s="37"/>
    </row>
    <row r="126" spans="1:14" x14ac:dyDescent="0.2">
      <c r="A126" s="84"/>
      <c r="D126" s="37"/>
      <c r="E126" s="37"/>
      <c r="F126" s="37"/>
      <c r="G126" s="37"/>
      <c r="H126" s="37"/>
      <c r="J126" s="37"/>
      <c r="K126" s="37"/>
      <c r="N126" s="37"/>
    </row>
    <row r="127" spans="1:14" x14ac:dyDescent="0.2">
      <c r="A127" s="84"/>
      <c r="D127" s="37"/>
      <c r="E127" s="37"/>
      <c r="F127" s="37"/>
      <c r="G127" s="37"/>
      <c r="H127" s="37"/>
      <c r="J127" s="37"/>
      <c r="K127" s="37"/>
      <c r="N127" s="37"/>
    </row>
    <row r="128" spans="1:14" x14ac:dyDescent="0.2">
      <c r="A128" s="84"/>
      <c r="D128" s="37"/>
      <c r="E128" s="37"/>
      <c r="F128" s="37"/>
      <c r="G128" s="37"/>
      <c r="H128" s="37"/>
      <c r="J128" s="37"/>
      <c r="K128" s="37"/>
      <c r="N128" s="37"/>
    </row>
    <row r="129" spans="1:14" x14ac:dyDescent="0.2">
      <c r="A129" s="84"/>
      <c r="D129" s="37"/>
      <c r="E129" s="37"/>
      <c r="F129" s="37"/>
      <c r="G129" s="37"/>
      <c r="H129" s="37"/>
      <c r="J129" s="37"/>
      <c r="K129" s="37"/>
      <c r="N129" s="37"/>
    </row>
    <row r="130" spans="1:14" x14ac:dyDescent="0.2">
      <c r="A130" s="84"/>
      <c r="D130" s="37"/>
      <c r="E130" s="37"/>
      <c r="F130" s="37"/>
      <c r="G130" s="37"/>
      <c r="H130" s="37"/>
      <c r="J130" s="37"/>
      <c r="K130" s="37"/>
      <c r="N130" s="37"/>
    </row>
    <row r="131" spans="1:14" x14ac:dyDescent="0.2">
      <c r="A131" s="84"/>
      <c r="D131" s="37"/>
      <c r="E131" s="37"/>
      <c r="F131" s="37"/>
      <c r="G131" s="37"/>
      <c r="H131" s="37"/>
      <c r="J131" s="37"/>
      <c r="K131" s="37"/>
      <c r="N131" s="37"/>
    </row>
    <row r="132" spans="1:14" x14ac:dyDescent="0.2">
      <c r="A132" s="84"/>
      <c r="D132" s="37"/>
      <c r="E132" s="37"/>
      <c r="F132" s="37"/>
      <c r="G132" s="37"/>
      <c r="H132" s="37"/>
      <c r="J132" s="37"/>
      <c r="K132" s="37"/>
      <c r="N132" s="37"/>
    </row>
    <row r="133" spans="1:14" x14ac:dyDescent="0.2">
      <c r="A133" s="84"/>
      <c r="D133" s="37"/>
      <c r="E133" s="37"/>
      <c r="F133" s="37"/>
      <c r="G133" s="37"/>
      <c r="H133" s="37"/>
      <c r="J133" s="37"/>
      <c r="K133" s="37"/>
      <c r="N133" s="37"/>
    </row>
    <row r="134" spans="1:14" x14ac:dyDescent="0.2">
      <c r="A134" s="84"/>
      <c r="D134" s="37"/>
      <c r="E134" s="37"/>
      <c r="F134" s="37"/>
      <c r="G134" s="37"/>
      <c r="H134" s="37"/>
      <c r="J134" s="37"/>
      <c r="K134" s="37"/>
      <c r="N134" s="37"/>
    </row>
    <row r="135" spans="1:14" x14ac:dyDescent="0.2">
      <c r="A135" s="84"/>
      <c r="D135" s="37"/>
      <c r="E135" s="37"/>
      <c r="F135" s="37"/>
      <c r="G135" s="37"/>
      <c r="H135" s="37"/>
      <c r="J135" s="37"/>
      <c r="K135" s="37"/>
      <c r="N135" s="37"/>
    </row>
    <row r="136" spans="1:14" x14ac:dyDescent="0.2">
      <c r="A136" s="84"/>
      <c r="D136" s="37"/>
      <c r="E136" s="37"/>
      <c r="F136" s="37"/>
      <c r="G136" s="37"/>
      <c r="H136" s="37"/>
      <c r="J136" s="37"/>
      <c r="K136" s="37"/>
      <c r="N136" s="37"/>
    </row>
    <row r="137" spans="1:14" x14ac:dyDescent="0.2">
      <c r="A137" s="84"/>
      <c r="D137" s="37"/>
      <c r="E137" s="37"/>
      <c r="F137" s="37"/>
      <c r="G137" s="37"/>
      <c r="H137" s="37"/>
      <c r="J137" s="37"/>
      <c r="K137" s="37"/>
      <c r="N137" s="37"/>
    </row>
    <row r="138" spans="1:14" x14ac:dyDescent="0.2">
      <c r="A138" s="84"/>
      <c r="D138" s="37"/>
      <c r="E138" s="37"/>
      <c r="F138" s="37"/>
      <c r="G138" s="37"/>
      <c r="H138" s="37"/>
      <c r="J138" s="37"/>
      <c r="K138" s="37"/>
      <c r="N138" s="37"/>
    </row>
    <row r="139" spans="1:14" x14ac:dyDescent="0.2">
      <c r="A139" s="84"/>
      <c r="D139" s="37"/>
      <c r="E139" s="37"/>
      <c r="F139" s="37"/>
      <c r="G139" s="37"/>
      <c r="H139" s="37"/>
      <c r="J139" s="37"/>
      <c r="K139" s="37"/>
      <c r="N139" s="37"/>
    </row>
    <row r="140" spans="1:14" x14ac:dyDescent="0.2">
      <c r="A140" s="84"/>
      <c r="D140" s="37"/>
      <c r="E140" s="37"/>
      <c r="F140" s="37"/>
      <c r="G140" s="37"/>
      <c r="H140" s="37"/>
      <c r="J140" s="37"/>
      <c r="K140" s="37"/>
      <c r="N140" s="37"/>
    </row>
    <row r="141" spans="1:14" x14ac:dyDescent="0.2">
      <c r="A141" s="84"/>
      <c r="D141" s="37"/>
      <c r="E141" s="37"/>
      <c r="F141" s="37"/>
      <c r="G141" s="37"/>
      <c r="H141" s="37"/>
      <c r="J141" s="37"/>
      <c r="K141" s="37"/>
      <c r="N141" s="37"/>
    </row>
    <row r="142" spans="1:14" x14ac:dyDescent="0.2">
      <c r="A142" s="84"/>
      <c r="D142" s="37"/>
      <c r="E142" s="37"/>
      <c r="F142" s="37"/>
      <c r="G142" s="37"/>
      <c r="H142" s="37"/>
      <c r="J142" s="37"/>
      <c r="K142" s="37"/>
      <c r="N142" s="37"/>
    </row>
    <row r="143" spans="1:14" x14ac:dyDescent="0.2">
      <c r="A143" s="84"/>
      <c r="D143" s="37"/>
      <c r="E143" s="37"/>
      <c r="F143" s="37"/>
      <c r="G143" s="37"/>
      <c r="H143" s="37"/>
      <c r="J143" s="37"/>
      <c r="K143" s="37"/>
      <c r="N143" s="37"/>
    </row>
    <row r="144" spans="1:14" x14ac:dyDescent="0.2">
      <c r="A144" s="84"/>
      <c r="D144" s="37"/>
      <c r="E144" s="37"/>
      <c r="F144" s="37"/>
      <c r="G144" s="37"/>
      <c r="H144" s="37"/>
      <c r="J144" s="37"/>
      <c r="K144" s="37"/>
      <c r="N144" s="37"/>
    </row>
    <row r="145" spans="1:14" x14ac:dyDescent="0.2">
      <c r="A145" s="84"/>
      <c r="D145" s="37"/>
      <c r="E145" s="37"/>
      <c r="F145" s="37"/>
      <c r="G145" s="37"/>
      <c r="H145" s="37"/>
      <c r="J145" s="37"/>
      <c r="K145" s="37"/>
      <c r="N145" s="37"/>
    </row>
    <row r="146" spans="1:14" x14ac:dyDescent="0.2">
      <c r="A146" s="84"/>
      <c r="D146" s="37"/>
      <c r="E146" s="37"/>
      <c r="F146" s="37"/>
      <c r="G146" s="37"/>
      <c r="H146" s="37"/>
      <c r="J146" s="37"/>
      <c r="K146" s="37"/>
      <c r="N146" s="37"/>
    </row>
    <row r="147" spans="1:14" x14ac:dyDescent="0.2">
      <c r="A147" s="84"/>
      <c r="D147" s="37"/>
      <c r="E147" s="37"/>
      <c r="F147" s="37"/>
      <c r="G147" s="37"/>
      <c r="H147" s="37"/>
      <c r="J147" s="37"/>
      <c r="K147" s="37"/>
      <c r="N147" s="37"/>
    </row>
    <row r="148" spans="1:14" x14ac:dyDescent="0.2">
      <c r="A148" s="84"/>
      <c r="D148" s="37"/>
      <c r="E148" s="37"/>
      <c r="F148" s="37"/>
      <c r="G148" s="37"/>
      <c r="H148" s="37"/>
      <c r="J148" s="37"/>
      <c r="K148" s="37"/>
      <c r="N148" s="37"/>
    </row>
    <row r="149" spans="1:14" x14ac:dyDescent="0.2">
      <c r="A149" s="84"/>
      <c r="D149" s="37"/>
      <c r="E149" s="37"/>
      <c r="F149" s="37"/>
      <c r="G149" s="37"/>
      <c r="H149" s="37"/>
      <c r="J149" s="37"/>
      <c r="K149" s="37"/>
      <c r="N149" s="37"/>
    </row>
    <row r="150" spans="1:14" x14ac:dyDescent="0.2">
      <c r="A150" s="84"/>
      <c r="D150" s="37"/>
      <c r="E150" s="37"/>
      <c r="F150" s="37"/>
      <c r="G150" s="37"/>
      <c r="H150" s="37"/>
      <c r="J150" s="37"/>
      <c r="K150" s="37"/>
      <c r="N150" s="37"/>
    </row>
    <row r="151" spans="1:14" x14ac:dyDescent="0.2">
      <c r="A151" s="84"/>
      <c r="D151" s="37"/>
      <c r="E151" s="37"/>
      <c r="F151" s="37"/>
      <c r="G151" s="37"/>
      <c r="H151" s="37"/>
      <c r="J151" s="37"/>
      <c r="K151" s="37"/>
      <c r="N151" s="37"/>
    </row>
    <row r="152" spans="1:14" x14ac:dyDescent="0.2">
      <c r="A152" s="84"/>
      <c r="D152" s="37"/>
      <c r="E152" s="37"/>
      <c r="F152" s="37"/>
      <c r="G152" s="37"/>
      <c r="H152" s="37"/>
      <c r="J152" s="37"/>
      <c r="K152" s="37"/>
      <c r="N152" s="37"/>
    </row>
    <row r="153" spans="1:14" x14ac:dyDescent="0.2">
      <c r="A153" s="84"/>
      <c r="D153" s="37"/>
      <c r="E153" s="37"/>
      <c r="F153" s="37"/>
      <c r="G153" s="37"/>
      <c r="H153" s="37"/>
      <c r="J153" s="37"/>
      <c r="K153" s="37"/>
      <c r="N153" s="37"/>
    </row>
    <row r="154" spans="1:14" x14ac:dyDescent="0.2">
      <c r="A154" s="84"/>
      <c r="D154" s="37"/>
      <c r="E154" s="37"/>
      <c r="F154" s="37"/>
      <c r="G154" s="37"/>
      <c r="H154" s="37"/>
      <c r="J154" s="37"/>
      <c r="K154" s="37"/>
      <c r="N154" s="37"/>
    </row>
    <row r="155" spans="1:14" x14ac:dyDescent="0.2">
      <c r="A155" s="84"/>
      <c r="D155" s="37"/>
      <c r="E155" s="37"/>
      <c r="F155" s="37"/>
      <c r="G155" s="37"/>
      <c r="H155" s="37"/>
      <c r="J155" s="37"/>
      <c r="K155" s="37"/>
      <c r="N155" s="37"/>
    </row>
    <row r="156" spans="1:14" x14ac:dyDescent="0.2">
      <c r="A156" s="84"/>
      <c r="D156" s="37"/>
      <c r="E156" s="37"/>
      <c r="F156" s="37"/>
      <c r="G156" s="37"/>
      <c r="H156" s="37"/>
      <c r="J156" s="37"/>
      <c r="K156" s="37"/>
      <c r="N156" s="37"/>
    </row>
    <row r="157" spans="1:14" x14ac:dyDescent="0.2">
      <c r="A157" s="84"/>
      <c r="D157" s="37"/>
      <c r="E157" s="37"/>
      <c r="F157" s="37"/>
      <c r="G157" s="37"/>
      <c r="H157" s="37"/>
      <c r="J157" s="37"/>
      <c r="K157" s="37"/>
      <c r="N157" s="37"/>
    </row>
    <row r="158" spans="1:14" x14ac:dyDescent="0.2">
      <c r="A158" s="84"/>
      <c r="D158" s="37"/>
      <c r="E158" s="37"/>
      <c r="F158" s="37"/>
      <c r="G158" s="37"/>
      <c r="H158" s="37"/>
      <c r="J158" s="37"/>
      <c r="K158" s="37"/>
      <c r="N158" s="37"/>
    </row>
    <row r="159" spans="1:14" x14ac:dyDescent="0.2">
      <c r="A159" s="84"/>
      <c r="D159" s="37"/>
      <c r="E159" s="37"/>
      <c r="F159" s="37"/>
      <c r="G159" s="37"/>
      <c r="H159" s="37"/>
      <c r="J159" s="37"/>
      <c r="K159" s="37"/>
      <c r="N159" s="37"/>
    </row>
    <row r="160" spans="1:14" x14ac:dyDescent="0.2">
      <c r="A160" s="84"/>
      <c r="D160" s="37"/>
      <c r="E160" s="37"/>
      <c r="F160" s="37"/>
      <c r="G160" s="37"/>
      <c r="H160" s="37"/>
      <c r="J160" s="37"/>
      <c r="K160" s="37"/>
      <c r="N160" s="37"/>
    </row>
    <row r="161" spans="1:14" x14ac:dyDescent="0.2">
      <c r="A161" s="84"/>
      <c r="D161" s="37"/>
      <c r="E161" s="37"/>
      <c r="F161" s="37"/>
      <c r="G161" s="37"/>
      <c r="H161" s="37"/>
      <c r="J161" s="37"/>
      <c r="K161" s="37"/>
      <c r="N161" s="37"/>
    </row>
    <row r="162" spans="1:14" x14ac:dyDescent="0.2">
      <c r="A162" s="84"/>
      <c r="D162" s="37"/>
      <c r="E162" s="37"/>
      <c r="F162" s="37"/>
      <c r="G162" s="37"/>
      <c r="H162" s="37"/>
      <c r="J162" s="37"/>
      <c r="K162" s="37"/>
      <c r="N162" s="37"/>
    </row>
    <row r="163" spans="1:14" x14ac:dyDescent="0.2">
      <c r="A163" s="84"/>
      <c r="D163" s="37"/>
      <c r="E163" s="37"/>
      <c r="F163" s="37"/>
      <c r="G163" s="37"/>
      <c r="H163" s="37"/>
      <c r="J163" s="37"/>
      <c r="K163" s="37"/>
      <c r="N163" s="37"/>
    </row>
    <row r="164" spans="1:14" x14ac:dyDescent="0.2">
      <c r="A164" s="84"/>
      <c r="D164" s="37"/>
      <c r="E164" s="37"/>
      <c r="F164" s="37"/>
      <c r="G164" s="37"/>
      <c r="H164" s="37"/>
      <c r="J164" s="37"/>
      <c r="K164" s="37"/>
      <c r="N164" s="37"/>
    </row>
    <row r="165" spans="1:14" x14ac:dyDescent="0.2">
      <c r="A165" s="84"/>
      <c r="D165" s="37"/>
      <c r="E165" s="37"/>
      <c r="F165" s="37"/>
      <c r="G165" s="37"/>
      <c r="H165" s="37"/>
      <c r="J165" s="37"/>
      <c r="K165" s="37"/>
      <c r="N165" s="37"/>
    </row>
    <row r="166" spans="1:14" x14ac:dyDescent="0.2">
      <c r="A166" s="84"/>
      <c r="D166" s="37"/>
      <c r="E166" s="37"/>
      <c r="F166" s="37"/>
      <c r="G166" s="37"/>
      <c r="H166" s="37"/>
      <c r="J166" s="37"/>
      <c r="K166" s="37"/>
      <c r="N166" s="37"/>
    </row>
    <row r="167" spans="1:14" x14ac:dyDescent="0.2">
      <c r="A167" s="84"/>
      <c r="D167" s="37"/>
      <c r="E167" s="37"/>
      <c r="F167" s="37"/>
      <c r="G167" s="37"/>
      <c r="H167" s="37"/>
      <c r="J167" s="37"/>
      <c r="K167" s="37"/>
      <c r="N167" s="37"/>
    </row>
    <row r="168" spans="1:14" x14ac:dyDescent="0.2">
      <c r="A168" s="84"/>
      <c r="D168" s="37"/>
      <c r="E168" s="37"/>
      <c r="F168" s="37"/>
      <c r="G168" s="37"/>
      <c r="H168" s="37"/>
      <c r="J168" s="37"/>
      <c r="K168" s="37"/>
      <c r="N168" s="37"/>
    </row>
    <row r="169" spans="1:14" x14ac:dyDescent="0.2">
      <c r="A169" s="84"/>
      <c r="D169" s="37"/>
      <c r="E169" s="37"/>
      <c r="F169" s="37"/>
      <c r="G169" s="37"/>
      <c r="H169" s="37"/>
      <c r="J169" s="37"/>
      <c r="K169" s="37"/>
      <c r="N169" s="37"/>
    </row>
    <row r="170" spans="1:14" x14ac:dyDescent="0.2">
      <c r="A170" s="84"/>
      <c r="D170" s="37"/>
      <c r="E170" s="37"/>
      <c r="F170" s="37"/>
      <c r="G170" s="37"/>
      <c r="H170" s="37"/>
      <c r="J170" s="37"/>
      <c r="K170" s="37"/>
      <c r="N170" s="37"/>
    </row>
    <row r="171" spans="1:14" x14ac:dyDescent="0.2">
      <c r="A171" s="84"/>
      <c r="D171" s="37"/>
      <c r="E171" s="37"/>
      <c r="F171" s="37"/>
      <c r="G171" s="37"/>
      <c r="H171" s="37"/>
      <c r="J171" s="37"/>
      <c r="K171" s="37"/>
      <c r="N171" s="37"/>
    </row>
    <row r="172" spans="1:14" x14ac:dyDescent="0.2">
      <c r="A172" s="84"/>
      <c r="D172" s="37"/>
      <c r="E172" s="37"/>
      <c r="F172" s="37"/>
      <c r="G172" s="37"/>
      <c r="H172" s="37"/>
      <c r="J172" s="37"/>
      <c r="K172" s="37"/>
      <c r="N172" s="37"/>
    </row>
    <row r="173" spans="1:14" x14ac:dyDescent="0.2">
      <c r="A173" s="84"/>
      <c r="D173" s="37"/>
      <c r="E173" s="37"/>
      <c r="F173" s="37"/>
      <c r="G173" s="37"/>
      <c r="H173" s="37"/>
      <c r="J173" s="37"/>
      <c r="K173" s="37"/>
      <c r="N173" s="37"/>
    </row>
    <row r="174" spans="1:14" x14ac:dyDescent="0.2">
      <c r="A174" s="84"/>
      <c r="D174" s="37"/>
      <c r="E174" s="37"/>
      <c r="F174" s="37"/>
      <c r="G174" s="37"/>
      <c r="H174" s="37"/>
      <c r="J174" s="37"/>
      <c r="K174" s="37"/>
      <c r="N174" s="37"/>
    </row>
    <row r="175" spans="1:14" x14ac:dyDescent="0.2">
      <c r="A175" s="84"/>
      <c r="D175" s="37"/>
      <c r="E175" s="37"/>
      <c r="F175" s="37"/>
      <c r="G175" s="37"/>
      <c r="H175" s="37"/>
      <c r="J175" s="37"/>
      <c r="K175" s="37"/>
      <c r="N175" s="37"/>
    </row>
    <row r="176" spans="1:14" x14ac:dyDescent="0.2">
      <c r="A176" s="84"/>
      <c r="D176" s="37"/>
      <c r="E176" s="37"/>
      <c r="F176" s="37"/>
      <c r="G176" s="37"/>
      <c r="H176" s="37"/>
      <c r="J176" s="37"/>
      <c r="K176" s="37"/>
      <c r="N176" s="37"/>
    </row>
    <row r="177" spans="1:14" x14ac:dyDescent="0.2">
      <c r="A177" s="84"/>
      <c r="D177" s="37"/>
      <c r="E177" s="37"/>
      <c r="F177" s="37"/>
      <c r="G177" s="37"/>
      <c r="H177" s="37"/>
      <c r="J177" s="37"/>
      <c r="K177" s="37"/>
      <c r="N177" s="37"/>
    </row>
    <row r="178" spans="1:14" x14ac:dyDescent="0.2">
      <c r="A178" s="84"/>
      <c r="D178" s="37"/>
      <c r="E178" s="37"/>
      <c r="F178" s="37"/>
      <c r="G178" s="37"/>
      <c r="H178" s="37"/>
      <c r="J178" s="37"/>
      <c r="K178" s="37"/>
      <c r="N178" s="37"/>
    </row>
    <row r="179" spans="1:14" x14ac:dyDescent="0.2">
      <c r="A179" s="84"/>
      <c r="D179" s="37"/>
      <c r="E179" s="37"/>
      <c r="F179" s="37"/>
      <c r="G179" s="37"/>
      <c r="H179" s="37"/>
      <c r="J179" s="37"/>
      <c r="K179" s="37"/>
      <c r="N179" s="37"/>
    </row>
    <row r="180" spans="1:14" x14ac:dyDescent="0.2">
      <c r="A180" s="84"/>
      <c r="D180" s="37"/>
      <c r="E180" s="37"/>
      <c r="F180" s="37"/>
      <c r="G180" s="37"/>
      <c r="H180" s="37"/>
      <c r="J180" s="37"/>
      <c r="K180" s="37"/>
      <c r="N180" s="37"/>
    </row>
    <row r="181" spans="1:14" x14ac:dyDescent="0.2">
      <c r="A181" s="84"/>
      <c r="D181" s="37"/>
      <c r="E181" s="37"/>
      <c r="F181" s="37"/>
      <c r="G181" s="37"/>
      <c r="H181" s="37"/>
      <c r="J181" s="37"/>
      <c r="K181" s="37"/>
      <c r="N181" s="37"/>
    </row>
    <row r="182" spans="1:14" x14ac:dyDescent="0.2">
      <c r="A182" s="84"/>
      <c r="D182" s="37"/>
      <c r="E182" s="37"/>
      <c r="F182" s="37"/>
      <c r="G182" s="37"/>
      <c r="H182" s="37"/>
      <c r="J182" s="37"/>
      <c r="K182" s="37"/>
      <c r="N182" s="37"/>
    </row>
    <row r="183" spans="1:14" x14ac:dyDescent="0.2">
      <c r="A183" s="84"/>
      <c r="D183" s="37"/>
      <c r="E183" s="37"/>
      <c r="F183" s="37"/>
      <c r="G183" s="37"/>
      <c r="H183" s="37"/>
      <c r="J183" s="37"/>
      <c r="K183" s="37"/>
      <c r="N183" s="37"/>
    </row>
    <row r="184" spans="1:14" x14ac:dyDescent="0.2">
      <c r="A184" s="84"/>
      <c r="D184" s="37"/>
      <c r="E184" s="37"/>
      <c r="F184" s="37"/>
      <c r="G184" s="37"/>
      <c r="H184" s="37"/>
      <c r="J184" s="37"/>
      <c r="K184" s="37"/>
      <c r="N184" s="37"/>
    </row>
    <row r="185" spans="1:14" x14ac:dyDescent="0.2">
      <c r="A185" s="84"/>
      <c r="D185" s="37"/>
      <c r="E185" s="37"/>
      <c r="F185" s="37"/>
      <c r="G185" s="37"/>
      <c r="H185" s="37"/>
      <c r="J185" s="37"/>
      <c r="K185" s="37"/>
      <c r="N185" s="37"/>
    </row>
    <row r="186" spans="1:14" x14ac:dyDescent="0.2">
      <c r="A186" s="84"/>
      <c r="D186" s="37"/>
      <c r="E186" s="37"/>
      <c r="F186" s="37"/>
      <c r="G186" s="37"/>
      <c r="H186" s="37"/>
      <c r="J186" s="37"/>
      <c r="K186" s="37"/>
      <c r="N186" s="37"/>
    </row>
    <row r="187" spans="1:14" x14ac:dyDescent="0.2">
      <c r="A187" s="84"/>
      <c r="D187" s="37"/>
      <c r="E187" s="37"/>
      <c r="F187" s="37"/>
      <c r="G187" s="37"/>
      <c r="H187" s="37"/>
      <c r="J187" s="37"/>
      <c r="K187" s="37"/>
      <c r="N187" s="37"/>
    </row>
    <row r="188" spans="1:14" x14ac:dyDescent="0.2">
      <c r="A188" s="84"/>
      <c r="D188" s="37"/>
      <c r="E188" s="37"/>
      <c r="F188" s="37"/>
      <c r="G188" s="37"/>
      <c r="H188" s="37"/>
      <c r="J188" s="37"/>
      <c r="K188" s="37"/>
      <c r="N188" s="37"/>
    </row>
    <row r="189" spans="1:14" x14ac:dyDescent="0.2">
      <c r="A189" s="84"/>
      <c r="D189" s="37"/>
      <c r="E189" s="37"/>
      <c r="F189" s="37"/>
      <c r="G189" s="37"/>
      <c r="H189" s="37"/>
      <c r="J189" s="37"/>
      <c r="K189" s="37"/>
      <c r="N189" s="37"/>
    </row>
    <row r="190" spans="1:14" x14ac:dyDescent="0.2">
      <c r="A190" s="84"/>
      <c r="D190" s="37"/>
      <c r="E190" s="37"/>
      <c r="F190" s="37"/>
      <c r="G190" s="37"/>
      <c r="H190" s="37"/>
      <c r="J190" s="37"/>
      <c r="K190" s="37"/>
      <c r="N190" s="37"/>
    </row>
    <row r="191" spans="1:14" x14ac:dyDescent="0.2">
      <c r="A191" s="84"/>
      <c r="D191" s="37"/>
      <c r="E191" s="37"/>
      <c r="F191" s="37"/>
      <c r="G191" s="37"/>
      <c r="H191" s="37"/>
      <c r="J191" s="37"/>
      <c r="K191" s="37"/>
      <c r="N191" s="37"/>
    </row>
    <row r="192" spans="1:14" x14ac:dyDescent="0.2">
      <c r="A192" s="84"/>
      <c r="D192" s="37"/>
      <c r="E192" s="37"/>
      <c r="F192" s="37"/>
      <c r="G192" s="37"/>
      <c r="H192" s="37"/>
      <c r="J192" s="37"/>
      <c r="K192" s="37"/>
      <c r="N192" s="37"/>
    </row>
    <row r="193" spans="1:14" x14ac:dyDescent="0.2">
      <c r="A193" s="84"/>
      <c r="D193" s="37"/>
      <c r="E193" s="37"/>
      <c r="F193" s="37"/>
      <c r="G193" s="37"/>
      <c r="H193" s="37"/>
      <c r="J193" s="37"/>
      <c r="K193" s="37"/>
      <c r="N193" s="37"/>
    </row>
    <row r="194" spans="1:14" x14ac:dyDescent="0.2">
      <c r="A194" s="84"/>
      <c r="D194" s="37"/>
      <c r="E194" s="37"/>
      <c r="F194" s="37"/>
      <c r="G194" s="37"/>
      <c r="H194" s="37"/>
      <c r="J194" s="37"/>
      <c r="K194" s="37"/>
      <c r="N194" s="37"/>
    </row>
    <row r="195" spans="1:14" x14ac:dyDescent="0.2">
      <c r="A195" s="84"/>
      <c r="D195" s="37"/>
      <c r="E195" s="37"/>
      <c r="F195" s="37"/>
      <c r="G195" s="37"/>
      <c r="H195" s="37"/>
      <c r="J195" s="37"/>
      <c r="K195" s="37"/>
      <c r="N195" s="37"/>
    </row>
    <row r="196" spans="1:14" x14ac:dyDescent="0.2">
      <c r="A196" s="84"/>
      <c r="D196" s="37"/>
      <c r="E196" s="37"/>
      <c r="F196" s="37"/>
      <c r="G196" s="37"/>
      <c r="H196" s="37"/>
      <c r="J196" s="37"/>
      <c r="K196" s="37"/>
      <c r="N196" s="37"/>
    </row>
    <row r="197" spans="1:14" x14ac:dyDescent="0.2">
      <c r="A197" s="84"/>
      <c r="D197" s="37"/>
      <c r="E197" s="37"/>
      <c r="F197" s="37"/>
      <c r="G197" s="37"/>
      <c r="H197" s="37"/>
      <c r="J197" s="37"/>
      <c r="K197" s="37"/>
      <c r="N197" s="37"/>
    </row>
    <row r="198" spans="1:14" x14ac:dyDescent="0.2">
      <c r="D198" s="37"/>
      <c r="E198" s="37"/>
      <c r="F198" s="37"/>
      <c r="G198" s="37"/>
      <c r="H198" s="37"/>
      <c r="J198" s="37"/>
      <c r="K198" s="37"/>
      <c r="N198" s="37"/>
    </row>
  </sheetData>
  <mergeCells count="2">
    <mergeCell ref="B48:M48"/>
    <mergeCell ref="B49:M49"/>
  </mergeCells>
  <printOptions horizontalCentered="1"/>
  <pageMargins left="0.7" right="0.7" top="0.75" bottom="0.75" header="0.3" footer="0.3"/>
  <pageSetup scale="71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22895-C96D-4331-BF33-96087D3FC8AB}">
  <sheetPr>
    <tabColor theme="6" tint="0.79998168889431442"/>
    <pageSetUpPr fitToPage="1"/>
  </sheetPr>
  <dimension ref="A1:R42"/>
  <sheetViews>
    <sheetView zoomScaleNormal="100" workbookViewId="0">
      <pane ySplit="9" topLeftCell="A10" activePane="bottomLeft" state="frozen"/>
      <selection pane="bottomLeft" activeCell="O28" sqref="O28"/>
    </sheetView>
  </sheetViews>
  <sheetFormatPr defaultColWidth="9.140625" defaultRowHeight="11.25" x14ac:dyDescent="0.2"/>
  <cols>
    <col min="1" max="1" width="4.42578125" style="6" bestFit="1" customWidth="1"/>
    <col min="2" max="2" width="18.42578125" style="6" customWidth="1"/>
    <col min="3" max="3" width="9.28515625" style="11" bestFit="1" customWidth="1"/>
    <col min="4" max="4" width="15.140625" style="6" customWidth="1"/>
    <col min="5" max="5" width="14" style="6" bestFit="1" customWidth="1"/>
    <col min="6" max="7" width="10.42578125" style="6" customWidth="1"/>
    <col min="8" max="8" width="1.42578125" style="6" customWidth="1"/>
    <col min="9" max="9" width="9" style="6" bestFit="1" customWidth="1"/>
    <col min="10" max="10" width="8.42578125" style="6" bestFit="1" customWidth="1"/>
    <col min="11" max="11" width="10.7109375" style="6" customWidth="1"/>
    <col min="12" max="12" width="10.42578125" style="6" customWidth="1"/>
    <col min="13" max="13" width="1" style="6" customWidth="1"/>
    <col min="14" max="14" width="10.28515625" style="6" customWidth="1"/>
    <col min="15" max="15" width="10.7109375" style="6" customWidth="1"/>
    <col min="16" max="16" width="13" style="6" customWidth="1"/>
    <col min="17" max="17" width="12.85546875" style="6" bestFit="1" customWidth="1"/>
    <col min="18" max="18" width="10.7109375" style="6" customWidth="1"/>
    <col min="19" max="16384" width="9.140625" style="6"/>
  </cols>
  <sheetData>
    <row r="1" spans="1:18" s="7" customFormat="1" ht="12" customHeight="1" x14ac:dyDescent="0.25">
      <c r="A1" s="271" t="str">
        <f>'Sch 137 Rates'!A1</f>
        <v>PUGET SOUND ENERGY</v>
      </c>
      <c r="B1" s="272"/>
      <c r="C1" s="272"/>
      <c r="D1" s="272"/>
      <c r="E1" s="272"/>
      <c r="F1" s="272"/>
    </row>
    <row r="2" spans="1:18" s="7" customFormat="1" ht="12" customHeight="1" x14ac:dyDescent="0.25">
      <c r="A2" s="271" t="str">
        <f>'Sch 137 Rates'!A2</f>
        <v>Schedule 137 Temporary Charge or Credit</v>
      </c>
      <c r="B2" s="272"/>
      <c r="C2" s="272"/>
      <c r="D2" s="272"/>
      <c r="E2" s="272"/>
      <c r="F2" s="272"/>
    </row>
    <row r="3" spans="1:18" s="7" customFormat="1" ht="12" customHeight="1" x14ac:dyDescent="0.25">
      <c r="A3" s="271" t="str">
        <f>'Sch 137 Rates'!A3</f>
        <v>Effective January 1, 2025 - December 31, 2025</v>
      </c>
      <c r="B3" s="272"/>
      <c r="C3" s="272"/>
      <c r="D3" s="272"/>
      <c r="E3" s="272"/>
      <c r="F3" s="272"/>
    </row>
    <row r="4" spans="1:18" s="7" customFormat="1" ht="15" x14ac:dyDescent="0.25">
      <c r="A4" s="273" t="s">
        <v>205</v>
      </c>
      <c r="B4" s="274"/>
      <c r="C4" s="274"/>
      <c r="D4" s="274"/>
      <c r="E4" s="274"/>
      <c r="F4" s="275"/>
    </row>
    <row r="5" spans="1:18" s="7" customFormat="1" ht="15" x14ac:dyDescent="0.25">
      <c r="A5" s="215"/>
      <c r="B5" s="215"/>
      <c r="C5" s="215"/>
      <c r="D5" s="215"/>
      <c r="E5" s="215"/>
      <c r="F5" s="216"/>
    </row>
    <row r="6" spans="1:18" s="7" customFormat="1" ht="15.75" thickBot="1" x14ac:dyDescent="0.3">
      <c r="A6" s="215"/>
      <c r="B6" s="215"/>
      <c r="C6" s="215"/>
      <c r="D6" s="215"/>
      <c r="E6" s="215"/>
      <c r="F6" s="216"/>
    </row>
    <row r="7" spans="1:18" s="7" customFormat="1" ht="15.75" thickBot="1" x14ac:dyDescent="0.3">
      <c r="A7" s="252"/>
      <c r="B7" s="253"/>
      <c r="C7" s="253"/>
      <c r="D7" s="268" t="s">
        <v>154</v>
      </c>
      <c r="E7" s="269"/>
      <c r="F7" s="269"/>
      <c r="G7" s="269"/>
      <c r="H7" s="269"/>
      <c r="I7" s="269"/>
      <c r="J7" s="269"/>
      <c r="K7" s="269"/>
      <c r="L7" s="270"/>
      <c r="M7" s="254"/>
      <c r="N7" s="254"/>
      <c r="O7" s="254"/>
      <c r="P7" s="254"/>
      <c r="Q7" s="254"/>
      <c r="R7" s="255"/>
    </row>
    <row r="8" spans="1:18" s="7" customFormat="1" ht="68.25" thickBot="1" x14ac:dyDescent="0.25">
      <c r="A8" s="256" t="s">
        <v>0</v>
      </c>
      <c r="B8" s="257" t="s">
        <v>132</v>
      </c>
      <c r="C8" s="257" t="s">
        <v>167</v>
      </c>
      <c r="D8" s="260" t="s">
        <v>204</v>
      </c>
      <c r="E8" s="258" t="s">
        <v>168</v>
      </c>
      <c r="F8" s="258" t="s">
        <v>169</v>
      </c>
      <c r="G8" s="258" t="s">
        <v>170</v>
      </c>
      <c r="H8" s="258"/>
      <c r="I8" s="258" t="s">
        <v>171</v>
      </c>
      <c r="J8" s="258" t="s">
        <v>172</v>
      </c>
      <c r="K8" s="258" t="s">
        <v>173</v>
      </c>
      <c r="L8" s="259" t="s">
        <v>174</v>
      </c>
      <c r="M8" s="258"/>
      <c r="N8" s="258" t="s">
        <v>175</v>
      </c>
      <c r="O8" s="258" t="s">
        <v>176</v>
      </c>
      <c r="P8" s="258" t="s">
        <v>177</v>
      </c>
      <c r="Q8" s="258" t="s">
        <v>207</v>
      </c>
      <c r="R8" s="259" t="s">
        <v>206</v>
      </c>
    </row>
    <row r="9" spans="1:18" s="7" customFormat="1" ht="23.25" customHeight="1" x14ac:dyDescent="0.2">
      <c r="A9" s="218"/>
      <c r="B9" s="219"/>
      <c r="C9" s="219"/>
      <c r="D9" s="220" t="s">
        <v>54</v>
      </c>
      <c r="E9" s="221" t="s">
        <v>178</v>
      </c>
      <c r="F9" s="222" t="s">
        <v>209</v>
      </c>
      <c r="G9" s="223" t="s">
        <v>179</v>
      </c>
      <c r="H9" s="223"/>
      <c r="I9" s="220" t="s">
        <v>143</v>
      </c>
      <c r="J9" s="220" t="s">
        <v>180</v>
      </c>
      <c r="K9" s="222" t="s">
        <v>210</v>
      </c>
      <c r="L9" s="223" t="s">
        <v>181</v>
      </c>
      <c r="M9" s="223"/>
      <c r="N9" s="220" t="s">
        <v>182</v>
      </c>
      <c r="O9" s="220" t="s">
        <v>183</v>
      </c>
      <c r="P9" s="220" t="s">
        <v>184</v>
      </c>
      <c r="Q9" s="220" t="s">
        <v>185</v>
      </c>
      <c r="R9" s="224" t="s">
        <v>186</v>
      </c>
    </row>
    <row r="10" spans="1:18" s="7" customFormat="1" x14ac:dyDescent="0.2">
      <c r="A10" s="225">
        <v>1</v>
      </c>
      <c r="B10" s="226" t="s">
        <v>2</v>
      </c>
      <c r="C10" s="227">
        <v>7</v>
      </c>
      <c r="D10" s="228">
        <v>11289690774.498602</v>
      </c>
      <c r="E10" s="229">
        <f>+D10/D$28</f>
        <v>0.54885870827852368</v>
      </c>
      <c r="F10" s="230"/>
      <c r="G10" s="229">
        <f>E10*$F$28</f>
        <v>0.11192064426113921</v>
      </c>
      <c r="H10" s="229"/>
      <c r="I10" s="228">
        <v>2086045.382522709</v>
      </c>
      <c r="J10" s="229">
        <f>+I10/I$28</f>
        <v>0.59053377390556261</v>
      </c>
      <c r="K10" s="230"/>
      <c r="L10" s="229">
        <f>J10*$K$28</f>
        <v>0.47011494946753807</v>
      </c>
      <c r="M10" s="229"/>
      <c r="N10" s="229">
        <f t="shared" ref="N10:N15" si="0">+L10+G10</f>
        <v>0.5820355937286773</v>
      </c>
      <c r="O10" s="230"/>
      <c r="P10" s="231">
        <f>+N10*($O$28)</f>
        <v>0</v>
      </c>
      <c r="Q10" s="228">
        <f>'Rate Impacts'!G9</f>
        <v>11319130621.398149</v>
      </c>
      <c r="R10" s="233">
        <f>(+P10/Q10)</f>
        <v>0</v>
      </c>
    </row>
    <row r="11" spans="1:18" s="7" customFormat="1" x14ac:dyDescent="0.2">
      <c r="A11" s="225">
        <f t="shared" ref="A11:A32" si="1">+A10+1</f>
        <v>2</v>
      </c>
      <c r="B11" s="226"/>
      <c r="C11" s="234"/>
      <c r="D11" s="228"/>
      <c r="E11" s="235"/>
      <c r="F11" s="230"/>
      <c r="G11" s="230"/>
      <c r="H11" s="230"/>
      <c r="I11" s="228"/>
      <c r="J11" s="230"/>
      <c r="K11" s="230"/>
      <c r="L11" s="230"/>
      <c r="M11" s="230"/>
      <c r="N11" s="230"/>
      <c r="O11" s="230"/>
      <c r="P11" s="231"/>
      <c r="Q11" s="232"/>
      <c r="R11" s="236"/>
    </row>
    <row r="12" spans="1:18" s="7" customFormat="1" x14ac:dyDescent="0.2">
      <c r="A12" s="225">
        <f t="shared" si="1"/>
        <v>3</v>
      </c>
      <c r="B12" s="237" t="s">
        <v>187</v>
      </c>
      <c r="C12" s="238" t="s">
        <v>188</v>
      </c>
      <c r="D12" s="228">
        <v>2650509853.8373485</v>
      </c>
      <c r="E12" s="229">
        <f>+D12/D$28</f>
        <v>0.1288569761310645</v>
      </c>
      <c r="F12" s="230"/>
      <c r="G12" s="229">
        <f>E12*$F$28</f>
        <v>2.6275898639495605E-2</v>
      </c>
      <c r="H12" s="229"/>
      <c r="I12" s="228">
        <v>442111.68919237336</v>
      </c>
      <c r="J12" s="229">
        <f>+I12/I$28</f>
        <v>0.12515637794552784</v>
      </c>
      <c r="K12" s="230"/>
      <c r="L12" s="229">
        <f>J12*$K$28</f>
        <v>9.9635087599259292E-2</v>
      </c>
      <c r="M12" s="229"/>
      <c r="N12" s="229">
        <f t="shared" si="0"/>
        <v>0.12591098623875491</v>
      </c>
      <c r="O12" s="230"/>
      <c r="P12" s="231">
        <f>+N12*($O$28)</f>
        <v>0</v>
      </c>
      <c r="Q12" s="228">
        <f>'Rate Impacts'!G12</f>
        <v>2693210047.3914232</v>
      </c>
      <c r="R12" s="233">
        <f>(+P12/Q12)</f>
        <v>0</v>
      </c>
    </row>
    <row r="13" spans="1:18" s="7" customFormat="1" x14ac:dyDescent="0.2">
      <c r="A13" s="225">
        <f t="shared" si="1"/>
        <v>4</v>
      </c>
      <c r="B13" s="226" t="s">
        <v>189</v>
      </c>
      <c r="C13" s="238" t="s">
        <v>190</v>
      </c>
      <c r="D13" s="228">
        <v>2848339505.8642573</v>
      </c>
      <c r="E13" s="229">
        <f>+D13/D$28</f>
        <v>0.13847464675105556</v>
      </c>
      <c r="F13" s="230"/>
      <c r="G13" s="229">
        <f>E13*$F$28</f>
        <v>2.8237088060097074E-2</v>
      </c>
      <c r="H13" s="229"/>
      <c r="I13" s="228">
        <v>475105.97917348595</v>
      </c>
      <c r="J13" s="229">
        <f>+I13/I$28</f>
        <v>0.13449665536380631</v>
      </c>
      <c r="K13" s="230"/>
      <c r="L13" s="229">
        <f>J13*$K$28</f>
        <v>0.10707074029269691</v>
      </c>
      <c r="M13" s="229"/>
      <c r="N13" s="229">
        <f t="shared" si="0"/>
        <v>0.13530782835279398</v>
      </c>
      <c r="O13" s="230"/>
      <c r="P13" s="231">
        <f>+N13*($O$28)</f>
        <v>0</v>
      </c>
      <c r="Q13" s="228">
        <f>'Rate Impacts'!G13</f>
        <v>2971751015.5674863</v>
      </c>
      <c r="R13" s="233">
        <f>(+P13/Q13)</f>
        <v>0</v>
      </c>
    </row>
    <row r="14" spans="1:18" s="7" customFormat="1" x14ac:dyDescent="0.2">
      <c r="A14" s="225">
        <f t="shared" si="1"/>
        <v>5</v>
      </c>
      <c r="B14" s="226" t="s">
        <v>191</v>
      </c>
      <c r="C14" s="238" t="s">
        <v>192</v>
      </c>
      <c r="D14" s="228">
        <v>1761654196.4658761</v>
      </c>
      <c r="E14" s="229">
        <f>+D14/D$28</f>
        <v>8.564444022592313E-2</v>
      </c>
      <c r="F14" s="230"/>
      <c r="G14" s="229">
        <f>E14*$F$28</f>
        <v>1.7464204872569406E-2</v>
      </c>
      <c r="H14" s="229"/>
      <c r="I14" s="228">
        <v>269383.53922299074</v>
      </c>
      <c r="J14" s="229">
        <f>+I14/I$28</f>
        <v>7.6259164531219448E-2</v>
      </c>
      <c r="K14" s="230"/>
      <c r="L14" s="229">
        <f>J14*$K$28</f>
        <v>6.0708760216928892E-2</v>
      </c>
      <c r="M14" s="229"/>
      <c r="N14" s="229">
        <f t="shared" si="0"/>
        <v>7.8172965089498295E-2</v>
      </c>
      <c r="O14" s="230"/>
      <c r="P14" s="231">
        <f>+N14*($O$28)</f>
        <v>0</v>
      </c>
      <c r="Q14" s="228">
        <f>'Rate Impacts'!G14</f>
        <v>2037371160.2613628</v>
      </c>
      <c r="R14" s="233">
        <f>(+P14/Q14)</f>
        <v>0</v>
      </c>
    </row>
    <row r="15" spans="1:18" s="7" customFormat="1" x14ac:dyDescent="0.2">
      <c r="A15" s="225">
        <f t="shared" si="1"/>
        <v>6</v>
      </c>
      <c r="B15" s="226" t="s">
        <v>193</v>
      </c>
      <c r="C15" s="238">
        <v>29</v>
      </c>
      <c r="D15" s="228">
        <v>15210528.869569011</v>
      </c>
      <c r="E15" s="229">
        <f>+D15/D$28</f>
        <v>7.3947386109480141E-4</v>
      </c>
      <c r="F15" s="230"/>
      <c r="G15" s="229">
        <f>E15*$F$28</f>
        <v>1.5078997508773015E-4</v>
      </c>
      <c r="H15" s="229"/>
      <c r="I15" s="228">
        <v>2552.0114037401072</v>
      </c>
      <c r="J15" s="229">
        <f>+I15/I$28</f>
        <v>7.224430196615207E-4</v>
      </c>
      <c r="K15" s="230"/>
      <c r="L15" s="229">
        <f>J15*$K$28</f>
        <v>5.7512589235186537E-4</v>
      </c>
      <c r="M15" s="229"/>
      <c r="N15" s="229">
        <f t="shared" si="0"/>
        <v>7.2591586743959557E-4</v>
      </c>
      <c r="O15" s="230"/>
      <c r="P15" s="231">
        <f>+N15*($O$28)</f>
        <v>0</v>
      </c>
      <c r="Q15" s="228">
        <f>'Rate Impacts'!G15</f>
        <v>14436685.877551533</v>
      </c>
      <c r="R15" s="233">
        <f>(+P15/Q15)</f>
        <v>0</v>
      </c>
    </row>
    <row r="16" spans="1:18" s="7" customFormat="1" x14ac:dyDescent="0.2">
      <c r="A16" s="225">
        <f t="shared" si="1"/>
        <v>7</v>
      </c>
      <c r="B16" s="226"/>
      <c r="C16" s="238"/>
      <c r="D16" s="228"/>
      <c r="E16" s="235"/>
      <c r="F16" s="230"/>
      <c r="G16" s="230"/>
      <c r="H16" s="230"/>
      <c r="I16" s="228"/>
      <c r="J16" s="230"/>
      <c r="K16" s="230"/>
      <c r="L16" s="230"/>
      <c r="M16" s="230"/>
      <c r="N16" s="230"/>
      <c r="O16" s="230"/>
      <c r="P16" s="231"/>
      <c r="Q16" s="232"/>
      <c r="R16" s="236"/>
    </row>
    <row r="17" spans="1:18" s="7" customFormat="1" x14ac:dyDescent="0.2">
      <c r="A17" s="225">
        <f t="shared" si="1"/>
        <v>8</v>
      </c>
      <c r="B17" s="226" t="s">
        <v>194</v>
      </c>
      <c r="C17" s="238" t="s">
        <v>195</v>
      </c>
      <c r="D17" s="228">
        <v>1244960837.6746433</v>
      </c>
      <c r="E17" s="229">
        <f>+D17/D$28</f>
        <v>6.0524917012512287E-2</v>
      </c>
      <c r="F17" s="230"/>
      <c r="G17" s="229">
        <f>E17*$F$28</f>
        <v>1.2341951769588822E-2</v>
      </c>
      <c r="H17" s="229"/>
      <c r="I17" s="228">
        <v>187488.2773004591</v>
      </c>
      <c r="J17" s="229">
        <f>+I17/I$28</f>
        <v>5.3075623802296371E-2</v>
      </c>
      <c r="K17" s="230"/>
      <c r="L17" s="229">
        <f t="shared" ref="L17:L19" si="2">J17*$K$28</f>
        <v>4.2252696296697929E-2</v>
      </c>
      <c r="M17" s="229"/>
      <c r="N17" s="229">
        <f t="shared" ref="N17:N19" si="3">+L17+G17</f>
        <v>5.4594648066286749E-2</v>
      </c>
      <c r="O17" s="230"/>
      <c r="P17" s="231">
        <f>+N17*($O$28)</f>
        <v>0</v>
      </c>
      <c r="Q17" s="228">
        <f>'Rate Impacts'!G19</f>
        <v>1378502364.5436404</v>
      </c>
      <c r="R17" s="233">
        <f>(+P17/Q17)</f>
        <v>0</v>
      </c>
    </row>
    <row r="18" spans="1:18" s="7" customFormat="1" x14ac:dyDescent="0.2">
      <c r="A18" s="225">
        <f t="shared" si="1"/>
        <v>9</v>
      </c>
      <c r="B18" s="226" t="s">
        <v>196</v>
      </c>
      <c r="C18" s="238">
        <v>35</v>
      </c>
      <c r="D18" s="228">
        <v>4166514.0850937385</v>
      </c>
      <c r="E18" s="229">
        <f>+D18/D$28</f>
        <v>2.025589171967721E-4</v>
      </c>
      <c r="F18" s="230"/>
      <c r="G18" s="229">
        <f>E18*$F$28</f>
        <v>4.1304846168163745E-5</v>
      </c>
      <c r="H18" s="229"/>
      <c r="I18" s="228">
        <v>401.34137092455575</v>
      </c>
      <c r="J18" s="229">
        <f>+I18/I$28</f>
        <v>1.1361480262231545E-4</v>
      </c>
      <c r="K18" s="230"/>
      <c r="L18" s="229">
        <f t="shared" si="2"/>
        <v>9.0447015147512486E-5</v>
      </c>
      <c r="M18" s="229"/>
      <c r="N18" s="229">
        <f t="shared" si="3"/>
        <v>1.3175186131567622E-4</v>
      </c>
      <c r="O18" s="230"/>
      <c r="P18" s="231">
        <f>+N18*($O$28)</f>
        <v>0</v>
      </c>
      <c r="Q18" s="228">
        <f>'Rate Impacts'!G20</f>
        <v>5934926.6636967957</v>
      </c>
      <c r="R18" s="233">
        <f>(+P18/Q18)</f>
        <v>0</v>
      </c>
    </row>
    <row r="19" spans="1:18" s="7" customFormat="1" x14ac:dyDescent="0.2">
      <c r="A19" s="225">
        <f t="shared" si="1"/>
        <v>10</v>
      </c>
      <c r="B19" s="226" t="s">
        <v>197</v>
      </c>
      <c r="C19" s="238">
        <v>43</v>
      </c>
      <c r="D19" s="228">
        <v>106553558.62246363</v>
      </c>
      <c r="E19" s="229">
        <f>+D19/D$28</f>
        <v>5.1801993266376847E-3</v>
      </c>
      <c r="F19" s="230"/>
      <c r="G19" s="229">
        <f>E19*$F$28</f>
        <v>1.0563214854636114E-3</v>
      </c>
      <c r="H19" s="229"/>
      <c r="I19" s="228">
        <v>0</v>
      </c>
      <c r="J19" s="229">
        <f>+I19/I$28</f>
        <v>0</v>
      </c>
      <c r="K19" s="230"/>
      <c r="L19" s="229">
        <f t="shared" si="2"/>
        <v>0</v>
      </c>
      <c r="M19" s="229"/>
      <c r="N19" s="229">
        <f t="shared" si="3"/>
        <v>1.0563214854636114E-3</v>
      </c>
      <c r="O19" s="230"/>
      <c r="P19" s="231">
        <f>+N19*($O$28)</f>
        <v>0</v>
      </c>
      <c r="Q19" s="228">
        <f>'Rate Impacts'!G21</f>
        <v>109828264.79087074</v>
      </c>
      <c r="R19" s="233">
        <f>(+P19/Q19)</f>
        <v>0</v>
      </c>
    </row>
    <row r="20" spans="1:18" s="7" customFormat="1" x14ac:dyDescent="0.2">
      <c r="A20" s="225">
        <f t="shared" si="1"/>
        <v>11</v>
      </c>
      <c r="B20" s="226"/>
      <c r="C20" s="238"/>
      <c r="D20" s="228"/>
      <c r="E20" s="235"/>
      <c r="F20" s="230"/>
      <c r="G20" s="230"/>
      <c r="H20" s="230"/>
      <c r="I20" s="228"/>
      <c r="J20" s="230"/>
      <c r="K20" s="230"/>
      <c r="L20" s="230"/>
      <c r="M20" s="230"/>
      <c r="N20" s="230"/>
      <c r="O20" s="230"/>
      <c r="P20" s="231"/>
      <c r="Q20" s="232"/>
      <c r="R20" s="236"/>
    </row>
    <row r="21" spans="1:18" s="7" customFormat="1" x14ac:dyDescent="0.2">
      <c r="A21" s="225">
        <f t="shared" si="1"/>
        <v>12</v>
      </c>
      <c r="B21" s="237" t="s">
        <v>198</v>
      </c>
      <c r="C21" s="238">
        <v>46</v>
      </c>
      <c r="D21" s="228">
        <v>93811148.646427751</v>
      </c>
      <c r="E21" s="229">
        <f>+D21/D$28</f>
        <v>4.5607153372621617E-3</v>
      </c>
      <c r="F21" s="230"/>
      <c r="G21" s="229">
        <f>E21*$F$28</f>
        <v>9.2999927146826479E-4</v>
      </c>
      <c r="H21" s="229"/>
      <c r="I21" s="228">
        <v>0</v>
      </c>
      <c r="J21" s="229">
        <f>+I21/I$28</f>
        <v>0</v>
      </c>
      <c r="K21" s="230"/>
      <c r="L21" s="229">
        <f t="shared" ref="L21:L22" si="4">J21*$K$28</f>
        <v>0</v>
      </c>
      <c r="M21" s="229"/>
      <c r="N21" s="229">
        <f t="shared" ref="N21:N22" si="5">+L21+G21</f>
        <v>9.2999927146826479E-4</v>
      </c>
      <c r="O21" s="230"/>
      <c r="P21" s="231">
        <f>+N21*($O$28)</f>
        <v>0</v>
      </c>
      <c r="Q21" s="228">
        <f>'Rate Impacts'!G25</f>
        <v>93576444.299349248</v>
      </c>
      <c r="R21" s="233">
        <f>(+P21/Q21)</f>
        <v>0</v>
      </c>
    </row>
    <row r="22" spans="1:18" s="7" customFormat="1" x14ac:dyDescent="0.2">
      <c r="A22" s="225">
        <f t="shared" si="1"/>
        <v>13</v>
      </c>
      <c r="B22" s="237" t="s">
        <v>199</v>
      </c>
      <c r="C22" s="238">
        <v>49</v>
      </c>
      <c r="D22" s="228">
        <v>477634882.60558343</v>
      </c>
      <c r="E22" s="229">
        <f>+D22/D$28</f>
        <v>2.3220659443376791E-2</v>
      </c>
      <c r="F22" s="230"/>
      <c r="G22" s="229">
        <f>E22*$F$28</f>
        <v>4.7350458795169812E-3</v>
      </c>
      <c r="H22" s="229"/>
      <c r="I22" s="228">
        <v>64691.696510950045</v>
      </c>
      <c r="J22" s="229">
        <f>+I22/I$28</f>
        <v>1.8313423092821312E-2</v>
      </c>
      <c r="K22" s="230"/>
      <c r="L22" s="229">
        <f t="shared" si="4"/>
        <v>1.4579037393441517E-2</v>
      </c>
      <c r="M22" s="229"/>
      <c r="N22" s="229">
        <f t="shared" si="5"/>
        <v>1.9314083272958499E-2</v>
      </c>
      <c r="O22" s="230"/>
      <c r="P22" s="231">
        <f>+N22*($O$28)</f>
        <v>0</v>
      </c>
      <c r="Q22" s="228">
        <f>'Rate Impacts'!G26</f>
        <v>530780105.2278645</v>
      </c>
      <c r="R22" s="233">
        <f>(+P22/Q22)</f>
        <v>0</v>
      </c>
    </row>
    <row r="23" spans="1:18" s="7" customFormat="1" x14ac:dyDescent="0.2">
      <c r="A23" s="225">
        <f t="shared" si="1"/>
        <v>14</v>
      </c>
      <c r="B23" s="237"/>
      <c r="C23" s="238"/>
      <c r="D23" s="228"/>
      <c r="E23" s="235"/>
      <c r="F23" s="230"/>
      <c r="G23" s="230"/>
      <c r="H23" s="230"/>
      <c r="I23" s="228"/>
      <c r="J23" s="230"/>
      <c r="K23" s="230"/>
      <c r="L23" s="230"/>
      <c r="M23" s="230"/>
      <c r="N23" s="230"/>
      <c r="O23" s="230"/>
      <c r="P23" s="231"/>
      <c r="Q23" s="228"/>
      <c r="R23" s="236"/>
    </row>
    <row r="24" spans="1:18" s="7" customFormat="1" x14ac:dyDescent="0.2">
      <c r="A24" s="225">
        <f t="shared" si="1"/>
        <v>15</v>
      </c>
      <c r="B24" s="226" t="s">
        <v>200</v>
      </c>
      <c r="C24" s="238" t="s">
        <v>4</v>
      </c>
      <c r="D24" s="228">
        <v>69921349.876824558</v>
      </c>
      <c r="E24" s="229">
        <f>+D24/D$28</f>
        <v>3.3992907813889203E-3</v>
      </c>
      <c r="F24" s="230"/>
      <c r="G24" s="229">
        <f>E24*$F$28</f>
        <v>6.9316712761517446E-4</v>
      </c>
      <c r="H24" s="229"/>
      <c r="I24" s="228">
        <v>3735.7457131588171</v>
      </c>
      <c r="J24" s="229">
        <f>+I24/I$28</f>
        <v>1.057543633914296E-3</v>
      </c>
      <c r="K24" s="230"/>
      <c r="L24" s="229">
        <f>J24*$K$28</f>
        <v>8.4189439111884254E-4</v>
      </c>
      <c r="M24" s="229"/>
      <c r="N24" s="229">
        <f>+L24+G24</f>
        <v>1.535061518734017E-3</v>
      </c>
      <c r="O24" s="230"/>
      <c r="P24" s="231">
        <f>+N24*($O$28)</f>
        <v>0</v>
      </c>
      <c r="Q24" s="228">
        <f>'Rate Impacts'!G33</f>
        <v>64491873.674880393</v>
      </c>
      <c r="R24" s="233">
        <f>(+P24/Q24)</f>
        <v>0</v>
      </c>
    </row>
    <row r="25" spans="1:18" s="7" customFormat="1" x14ac:dyDescent="0.2">
      <c r="A25" s="225">
        <f t="shared" si="1"/>
        <v>16</v>
      </c>
      <c r="B25" s="226"/>
      <c r="C25" s="238"/>
      <c r="D25" s="228"/>
      <c r="E25" s="235"/>
      <c r="F25" s="230"/>
      <c r="G25" s="230"/>
      <c r="H25" s="230"/>
      <c r="I25" s="228"/>
      <c r="J25" s="226"/>
      <c r="K25" s="226"/>
      <c r="L25" s="226"/>
      <c r="M25" s="226"/>
      <c r="N25" s="226"/>
      <c r="O25" s="226"/>
      <c r="P25" s="231"/>
      <c r="Q25" s="228"/>
      <c r="R25" s="236"/>
    </row>
    <row r="26" spans="1:18" s="7" customFormat="1" x14ac:dyDescent="0.2">
      <c r="A26" s="225">
        <f t="shared" si="1"/>
        <v>17</v>
      </c>
      <c r="B26" s="237" t="s">
        <v>201</v>
      </c>
      <c r="C26" s="238">
        <v>5</v>
      </c>
      <c r="D26" s="228">
        <v>6940399.9973075157</v>
      </c>
      <c r="E26" s="229">
        <f>+D26/D$28</f>
        <v>3.3741393396380696E-4</v>
      </c>
      <c r="F26" s="230"/>
      <c r="G26" s="229">
        <f>E26*$F$28</f>
        <v>6.8803836583660905E-5</v>
      </c>
      <c r="H26" s="229"/>
      <c r="I26" s="228">
        <v>958.64253269964763</v>
      </c>
      <c r="J26" s="229">
        <f>+I26/I$28</f>
        <v>2.713799025680338E-4</v>
      </c>
      <c r="K26" s="230"/>
      <c r="L26" s="229">
        <f>J26*$K$28</f>
        <v>2.1604141002556611E-4</v>
      </c>
      <c r="M26" s="229"/>
      <c r="N26" s="229">
        <f>+L26+G26</f>
        <v>2.84845246609227E-4</v>
      </c>
      <c r="O26" s="230"/>
      <c r="P26" s="231">
        <f>+N26*($O$28)</f>
        <v>0</v>
      </c>
      <c r="Q26" s="228">
        <f>'Rate Impacts'!G35</f>
        <v>7578921.5862422688</v>
      </c>
      <c r="R26" s="233">
        <f>(+P26/Q26)</f>
        <v>0</v>
      </c>
    </row>
    <row r="27" spans="1:18" s="7" customFormat="1" x14ac:dyDescent="0.2">
      <c r="A27" s="225">
        <f t="shared" si="1"/>
        <v>18</v>
      </c>
      <c r="B27" s="226"/>
      <c r="C27" s="238"/>
      <c r="D27" s="232"/>
      <c r="E27" s="230"/>
      <c r="F27" s="230"/>
      <c r="G27" s="230"/>
      <c r="H27" s="230"/>
      <c r="I27" s="232"/>
      <c r="J27" s="226"/>
      <c r="K27" s="226"/>
      <c r="L27" s="226"/>
      <c r="M27" s="226"/>
      <c r="N27" s="226"/>
      <c r="O27" s="226"/>
      <c r="P27" s="231"/>
      <c r="Q27" s="228"/>
      <c r="R27" s="236"/>
    </row>
    <row r="28" spans="1:18" s="7" customFormat="1" x14ac:dyDescent="0.2">
      <c r="A28" s="225">
        <f t="shared" si="1"/>
        <v>19</v>
      </c>
      <c r="B28" s="226" t="s">
        <v>46</v>
      </c>
      <c r="C28" s="238"/>
      <c r="D28" s="232">
        <f>SUM(D10:D26)</f>
        <v>20569393551.043995</v>
      </c>
      <c r="E28" s="229">
        <f>SUM(E10:E26)</f>
        <v>1.0000000000000002</v>
      </c>
      <c r="F28" s="239">
        <v>0.20391522002479368</v>
      </c>
      <c r="G28" s="240">
        <f>E28*$F$28</f>
        <v>0.20391522002479373</v>
      </c>
      <c r="H28" s="229"/>
      <c r="I28" s="232">
        <f>SUM(I10:I26)</f>
        <v>3532474.3049434912</v>
      </c>
      <c r="J28" s="229">
        <f>+I28/I$28</f>
        <v>1</v>
      </c>
      <c r="K28" s="239">
        <v>0.79608477997520632</v>
      </c>
      <c r="L28" s="240">
        <f>J28*$K$28</f>
        <v>0.79608477997520632</v>
      </c>
      <c r="M28" s="229"/>
      <c r="N28" s="229">
        <f>+L28+G28</f>
        <v>1</v>
      </c>
      <c r="O28" s="277">
        <v>0</v>
      </c>
      <c r="P28" s="231">
        <f>+N28*($O$28)</f>
        <v>0</v>
      </c>
      <c r="Q28" s="232">
        <f>SUM(Q10:Q26)</f>
        <v>21226592431.28252</v>
      </c>
      <c r="R28" s="233">
        <f>(+P28/Q28)</f>
        <v>0</v>
      </c>
    </row>
    <row r="29" spans="1:18" s="7" customFormat="1" x14ac:dyDescent="0.2">
      <c r="A29" s="225">
        <f t="shared" si="1"/>
        <v>20</v>
      </c>
      <c r="B29" s="226"/>
      <c r="C29" s="238"/>
      <c r="D29" s="232"/>
      <c r="E29" s="226"/>
      <c r="F29" s="226"/>
      <c r="G29" s="226"/>
      <c r="H29" s="226"/>
      <c r="I29" s="232"/>
      <c r="J29" s="226"/>
      <c r="K29" s="226"/>
      <c r="L29" s="226"/>
      <c r="M29" s="226"/>
      <c r="N29" s="226"/>
      <c r="O29" s="226"/>
      <c r="P29" s="231"/>
      <c r="Q29" s="226"/>
      <c r="R29" s="241"/>
    </row>
    <row r="30" spans="1:18" s="7" customFormat="1" x14ac:dyDescent="0.2">
      <c r="A30" s="225">
        <f t="shared" si="1"/>
        <v>21</v>
      </c>
      <c r="B30" s="226" t="s">
        <v>202</v>
      </c>
      <c r="C30" s="238" t="s">
        <v>203</v>
      </c>
      <c r="D30" s="232"/>
      <c r="E30" s="226"/>
      <c r="F30" s="226"/>
      <c r="G30" s="226"/>
      <c r="H30" s="226"/>
      <c r="I30" s="232"/>
      <c r="J30" s="226"/>
      <c r="K30" s="226"/>
      <c r="L30" s="226"/>
      <c r="M30" s="226"/>
      <c r="N30" s="232"/>
      <c r="O30" s="232"/>
      <c r="P30" s="231"/>
      <c r="Q30" s="228">
        <f>SUM('Rate Impacts'!G29,'Rate Impacts'!G31)</f>
        <v>2274186613.6623898</v>
      </c>
      <c r="R30" s="242"/>
    </row>
    <row r="31" spans="1:18" s="7" customFormat="1" x14ac:dyDescent="0.2">
      <c r="A31" s="225">
        <f t="shared" si="1"/>
        <v>22</v>
      </c>
      <c r="B31" s="226"/>
      <c r="C31" s="226"/>
      <c r="D31" s="232"/>
      <c r="E31" s="226"/>
      <c r="F31" s="226"/>
      <c r="G31" s="226"/>
      <c r="H31" s="226"/>
      <c r="I31" s="232"/>
      <c r="J31" s="226"/>
      <c r="K31" s="226"/>
      <c r="L31" s="226"/>
      <c r="M31" s="226"/>
      <c r="N31" s="226"/>
      <c r="O31" s="226"/>
      <c r="P31" s="226"/>
      <c r="Q31" s="226"/>
      <c r="R31" s="243"/>
    </row>
    <row r="32" spans="1:18" s="7" customFormat="1" x14ac:dyDescent="0.2">
      <c r="A32" s="225">
        <f t="shared" si="1"/>
        <v>23</v>
      </c>
      <c r="B32" s="226" t="s">
        <v>5</v>
      </c>
      <c r="C32" s="226"/>
      <c r="D32" s="232"/>
      <c r="E32" s="226"/>
      <c r="F32" s="226"/>
      <c r="G32" s="226"/>
      <c r="H32" s="226"/>
      <c r="I32" s="232"/>
      <c r="J32" s="226"/>
      <c r="K32" s="226"/>
      <c r="L32" s="226"/>
      <c r="M32" s="226"/>
      <c r="N32" s="226"/>
      <c r="O32" s="226"/>
      <c r="P32" s="231"/>
      <c r="Q32" s="232">
        <f>+Q30+Q28</f>
        <v>23500779044.944908</v>
      </c>
      <c r="R32" s="236"/>
    </row>
    <row r="33" spans="1:18" s="7" customFormat="1" x14ac:dyDescent="0.2">
      <c r="A33" s="225"/>
      <c r="B33" s="226"/>
      <c r="C33" s="226"/>
      <c r="D33" s="232"/>
      <c r="E33" s="226"/>
      <c r="F33" s="226"/>
      <c r="G33" s="226"/>
      <c r="H33" s="226"/>
      <c r="I33" s="232"/>
      <c r="J33" s="226"/>
      <c r="K33" s="226"/>
      <c r="L33" s="226"/>
      <c r="M33" s="226"/>
      <c r="N33" s="226"/>
      <c r="O33" s="226"/>
      <c r="P33" s="231"/>
      <c r="Q33" s="232"/>
      <c r="R33" s="243"/>
    </row>
    <row r="34" spans="1:18" s="7" customFormat="1" ht="12" thickBot="1" x14ac:dyDescent="0.25">
      <c r="A34" s="244"/>
      <c r="B34" s="245"/>
      <c r="C34" s="245"/>
      <c r="D34" s="246"/>
      <c r="E34" s="245"/>
      <c r="F34" s="245"/>
      <c r="G34" s="245"/>
      <c r="H34" s="245"/>
      <c r="I34" s="246"/>
      <c r="J34" s="245"/>
      <c r="K34" s="245"/>
      <c r="L34" s="245"/>
      <c r="M34" s="245"/>
      <c r="N34" s="245"/>
      <c r="O34" s="245"/>
      <c r="P34" s="245"/>
      <c r="Q34" s="245"/>
      <c r="R34" s="247"/>
    </row>
    <row r="35" spans="1:18" s="7" customFormat="1" x14ac:dyDescent="0.2">
      <c r="A35" s="227"/>
      <c r="B35" s="226"/>
      <c r="C35" s="226"/>
      <c r="D35" s="232"/>
      <c r="E35" s="226"/>
      <c r="F35" s="226"/>
      <c r="G35" s="226"/>
      <c r="H35" s="226"/>
      <c r="I35" s="232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1:18" s="7" customFormat="1" x14ac:dyDescent="0.2">
      <c r="A36" s="227"/>
      <c r="B36" s="226"/>
      <c r="C36" s="226"/>
      <c r="D36" s="228">
        <v>20569393551.043995</v>
      </c>
      <c r="E36" s="226"/>
      <c r="F36" s="226"/>
      <c r="G36" s="226"/>
      <c r="H36" s="226"/>
      <c r="I36" s="228">
        <v>3532474.3049434912</v>
      </c>
      <c r="J36" s="226"/>
      <c r="K36" s="226"/>
      <c r="L36" s="226"/>
      <c r="M36" s="226"/>
      <c r="N36" s="226"/>
      <c r="O36" s="226"/>
      <c r="P36" s="226"/>
      <c r="Q36" s="248">
        <f>'Rate Impacts'!G37</f>
        <v>23500779044.944908</v>
      </c>
      <c r="R36" s="226"/>
    </row>
    <row r="37" spans="1:18" s="7" customFormat="1" x14ac:dyDescent="0.2">
      <c r="A37" s="227"/>
      <c r="B37" s="226"/>
      <c r="C37" s="249" t="s">
        <v>67</v>
      </c>
      <c r="D37" s="250">
        <f>+D36-D28</f>
        <v>0</v>
      </c>
      <c r="E37" s="249"/>
      <c r="F37" s="249"/>
      <c r="G37" s="249" t="s">
        <v>67</v>
      </c>
      <c r="H37" s="249"/>
      <c r="I37" s="250">
        <f>+I36-I28</f>
        <v>0</v>
      </c>
      <c r="J37" s="249"/>
      <c r="K37" s="249"/>
      <c r="L37" s="249"/>
      <c r="M37" s="249"/>
      <c r="N37" s="249"/>
      <c r="O37" s="249"/>
      <c r="P37" s="249" t="s">
        <v>67</v>
      </c>
      <c r="Q37" s="251">
        <f>+Q32-Q36</f>
        <v>0</v>
      </c>
      <c r="R37" s="226"/>
    </row>
    <row r="38" spans="1:18" x14ac:dyDescent="0.2">
      <c r="F38" s="15"/>
      <c r="G38" s="11"/>
      <c r="H38" s="11"/>
      <c r="I38" s="11"/>
      <c r="J38" s="11"/>
      <c r="K38" s="11"/>
      <c r="L38" s="11"/>
    </row>
    <row r="39" spans="1:18" x14ac:dyDescent="0.2">
      <c r="B39" s="201"/>
      <c r="F39" s="11"/>
      <c r="G39" s="11"/>
      <c r="H39" s="11"/>
      <c r="I39" s="11"/>
      <c r="J39" s="11"/>
      <c r="K39" s="11"/>
      <c r="L39" s="11"/>
    </row>
    <row r="40" spans="1:18" x14ac:dyDescent="0.2">
      <c r="B40" s="201"/>
      <c r="F40" s="15"/>
      <c r="G40" s="11"/>
      <c r="H40" s="11"/>
      <c r="I40" s="11"/>
      <c r="J40" s="11"/>
      <c r="K40" s="11"/>
      <c r="L40" s="11"/>
    </row>
    <row r="41" spans="1:18" x14ac:dyDescent="0.2">
      <c r="F41" s="17"/>
      <c r="G41" s="11"/>
      <c r="H41" s="11"/>
      <c r="I41" s="11"/>
      <c r="J41" s="11"/>
      <c r="K41" s="11"/>
      <c r="L41" s="11"/>
    </row>
    <row r="42" spans="1:18" x14ac:dyDescent="0.2">
      <c r="F42" s="18"/>
      <c r="G42" s="11"/>
      <c r="H42" s="11"/>
      <c r="I42" s="11"/>
      <c r="J42" s="11"/>
      <c r="K42" s="11"/>
      <c r="L42" s="11"/>
    </row>
  </sheetData>
  <mergeCells count="5">
    <mergeCell ref="D7:L7"/>
    <mergeCell ref="A2:F2"/>
    <mergeCell ref="A1:F1"/>
    <mergeCell ref="A4:F4"/>
    <mergeCell ref="A3:F3"/>
  </mergeCells>
  <printOptions horizontalCentered="1"/>
  <pageMargins left="0.7" right="0.7" top="0.75" bottom="0.75" header="0.3" footer="0.3"/>
  <pageSetup scale="64" fitToHeight="0" orientation="landscape" r:id="rId1"/>
  <headerFooter alignWithMargins="0">
    <oddFooter xml:space="preserve">&amp;L&amp;F
&amp;A&amp;RPage &amp;P of &amp;N
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56C1-A1AE-4A09-BB45-3F02E6CE8285}">
  <sheetPr>
    <tabColor theme="6" tint="0.79998168889431442"/>
  </sheetPr>
  <dimension ref="A1:K171"/>
  <sheetViews>
    <sheetView zoomScaleNormal="100" workbookViewId="0">
      <pane ySplit="8" topLeftCell="A147" activePane="bottomLeft" state="frozen"/>
      <selection activeCell="L19" sqref="L19"/>
      <selection pane="bottomLeft" activeCell="H167" sqref="H167"/>
    </sheetView>
  </sheetViews>
  <sheetFormatPr defaultColWidth="8.85546875" defaultRowHeight="11.25" x14ac:dyDescent="0.2"/>
  <cols>
    <col min="1" max="1" width="6.7109375" style="37" bestFit="1" customWidth="1"/>
    <col min="2" max="2" width="20.140625" style="37" customWidth="1"/>
    <col min="3" max="3" width="16.42578125" style="37" customWidth="1"/>
    <col min="4" max="4" width="16.7109375" style="37" customWidth="1"/>
    <col min="5" max="5" width="15.85546875" style="37" bestFit="1" customWidth="1"/>
    <col min="6" max="6" width="11.42578125" style="37" customWidth="1"/>
    <col min="7" max="7" width="11.5703125" style="37" customWidth="1"/>
    <col min="8" max="8" width="12.28515625" style="37" customWidth="1"/>
    <col min="9" max="9" width="1.28515625" style="37" customWidth="1"/>
    <col min="10" max="16384" width="8.85546875" style="37"/>
  </cols>
  <sheetData>
    <row r="1" spans="1:11" s="67" customFormat="1" x14ac:dyDescent="0.2">
      <c r="A1" s="129" t="str">
        <f>'Sch 137 Rates'!A1</f>
        <v>PUGET SOUND ENERGY</v>
      </c>
      <c r="B1" s="129"/>
      <c r="C1" s="129"/>
      <c r="D1" s="129"/>
      <c r="E1" s="129"/>
      <c r="F1" s="129"/>
      <c r="G1" s="129"/>
      <c r="H1" s="129"/>
    </row>
    <row r="2" spans="1:11" s="67" customFormat="1" x14ac:dyDescent="0.2">
      <c r="A2" s="129" t="str">
        <f>'Sch 137 Rates'!A2</f>
        <v>Schedule 137 Temporary Charge or Credit</v>
      </c>
      <c r="B2" s="129"/>
      <c r="C2" s="129"/>
      <c r="D2" s="129"/>
      <c r="E2" s="129"/>
      <c r="F2" s="129"/>
      <c r="G2" s="129"/>
      <c r="H2" s="129"/>
    </row>
    <row r="3" spans="1:11" s="67" customFormat="1" x14ac:dyDescent="0.2">
      <c r="A3" s="129" t="str">
        <f>Inputs!B2&amp;" Forecasted Rate-Year Ended "&amp;TEXT(Inputs!B4,"mmmm d, yyyy")</f>
        <v>F2024 Forecasted Rate-Year Ended December 31, 2025</v>
      </c>
      <c r="B3" s="129"/>
      <c r="C3" s="129"/>
      <c r="D3" s="129"/>
      <c r="E3" s="129"/>
      <c r="F3" s="129"/>
      <c r="G3" s="129"/>
      <c r="H3" s="129"/>
    </row>
    <row r="4" spans="1:11" s="67" customFormat="1" x14ac:dyDescent="0.2">
      <c r="A4" s="129" t="str">
        <f>"Proposed Rate Effective "&amp;TEXT(Inputs!B1,"mmmm d, yyyy")</f>
        <v>Proposed Rate Effective January 1, 2025</v>
      </c>
      <c r="B4" s="129"/>
      <c r="C4" s="129"/>
      <c r="D4" s="129"/>
      <c r="E4" s="129"/>
      <c r="F4" s="129"/>
      <c r="G4" s="129"/>
      <c r="H4" s="129"/>
    </row>
    <row r="5" spans="1:11" s="67" customFormat="1" x14ac:dyDescent="0.2">
      <c r="A5" s="183" t="s">
        <v>148</v>
      </c>
      <c r="B5" s="129"/>
      <c r="C5" s="129"/>
      <c r="D5" s="129"/>
      <c r="E5" s="129"/>
      <c r="F5" s="129"/>
      <c r="G5" s="129"/>
      <c r="H5" s="129"/>
    </row>
    <row r="6" spans="1:11" s="67" customFormat="1" x14ac:dyDescent="0.2">
      <c r="A6" s="182"/>
    </row>
    <row r="7" spans="1:11" s="182" customFormat="1" ht="45" x14ac:dyDescent="0.2">
      <c r="A7" s="75" t="s">
        <v>0</v>
      </c>
      <c r="B7" s="75" t="s">
        <v>1</v>
      </c>
      <c r="C7" s="75" t="s">
        <v>6</v>
      </c>
      <c r="D7" s="75" t="s">
        <v>9</v>
      </c>
      <c r="E7" s="76" t="s">
        <v>147</v>
      </c>
      <c r="F7" s="76" t="s">
        <v>146</v>
      </c>
      <c r="G7" s="76" t="s">
        <v>145</v>
      </c>
      <c r="H7" s="76" t="s">
        <v>144</v>
      </c>
    </row>
    <row r="8" spans="1:11" s="39" customFormat="1" x14ac:dyDescent="0.2">
      <c r="A8" s="181"/>
      <c r="B8" s="180" t="s">
        <v>54</v>
      </c>
      <c r="C8" s="180" t="s">
        <v>58</v>
      </c>
      <c r="D8" s="179" t="s">
        <v>55</v>
      </c>
      <c r="E8" s="179" t="s">
        <v>59</v>
      </c>
      <c r="F8" s="179" t="s">
        <v>143</v>
      </c>
      <c r="G8" s="179" t="s">
        <v>114</v>
      </c>
      <c r="H8" s="179" t="s">
        <v>142</v>
      </c>
    </row>
    <row r="9" spans="1:11" x14ac:dyDescent="0.2">
      <c r="A9" s="52">
        <v>1</v>
      </c>
      <c r="B9" s="52"/>
      <c r="C9" s="52"/>
      <c r="D9" s="54"/>
      <c r="F9" s="177"/>
      <c r="G9" s="178"/>
      <c r="H9" s="177"/>
    </row>
    <row r="10" spans="1:11" ht="13.5" x14ac:dyDescent="0.35">
      <c r="A10" s="52">
        <f t="shared" ref="A10:A41" si="0">+A9+1</f>
        <v>2</v>
      </c>
      <c r="B10" s="173" t="s">
        <v>95</v>
      </c>
    </row>
    <row r="11" spans="1:11" x14ac:dyDescent="0.2">
      <c r="A11" s="52">
        <f t="shared" si="0"/>
        <v>3</v>
      </c>
      <c r="B11" s="172" t="s">
        <v>10</v>
      </c>
      <c r="C11" s="50" t="s">
        <v>47</v>
      </c>
      <c r="D11" s="176">
        <v>22</v>
      </c>
      <c r="E11" s="202">
        <v>0.5</v>
      </c>
      <c r="F11" s="14">
        <f>E11*$H$168</f>
        <v>-8.4703294725430034E-22</v>
      </c>
      <c r="G11" s="16">
        <v>649</v>
      </c>
      <c r="H11" s="13">
        <f>F11*G11</f>
        <v>-5.4972438276804092E-19</v>
      </c>
      <c r="J11" s="168"/>
      <c r="K11" s="167"/>
    </row>
    <row r="12" spans="1:11" x14ac:dyDescent="0.2">
      <c r="A12" s="52">
        <f t="shared" si="0"/>
        <v>4</v>
      </c>
      <c r="B12" s="142"/>
      <c r="C12" s="54"/>
      <c r="D12" s="176"/>
      <c r="E12" s="202"/>
      <c r="F12" s="14"/>
      <c r="G12" s="16"/>
      <c r="H12" s="12"/>
      <c r="J12" s="168"/>
      <c r="K12" s="167"/>
    </row>
    <row r="13" spans="1:11" x14ac:dyDescent="0.2">
      <c r="A13" s="52">
        <f t="shared" si="0"/>
        <v>5</v>
      </c>
      <c r="B13" s="172" t="s">
        <v>48</v>
      </c>
      <c r="C13" s="83" t="s">
        <v>7</v>
      </c>
      <c r="D13" s="169">
        <v>100</v>
      </c>
      <c r="E13" s="202">
        <v>2.2799999999999998</v>
      </c>
      <c r="F13" s="14">
        <f>E13*$H$168</f>
        <v>-3.8624702394796092E-21</v>
      </c>
      <c r="G13" s="16">
        <v>33</v>
      </c>
      <c r="H13" s="13">
        <f>F13*G13</f>
        <v>-1.2746151790282711E-19</v>
      </c>
      <c r="J13" s="168"/>
      <c r="K13" s="167"/>
    </row>
    <row r="14" spans="1:11" x14ac:dyDescent="0.2">
      <c r="A14" s="52">
        <f t="shared" si="0"/>
        <v>6</v>
      </c>
      <c r="B14" s="172" t="str">
        <f>+B13</f>
        <v>50E</v>
      </c>
      <c r="C14" s="83" t="s">
        <v>7</v>
      </c>
      <c r="D14" s="169">
        <v>175</v>
      </c>
      <c r="E14" s="202">
        <v>3.98</v>
      </c>
      <c r="F14" s="14">
        <f>E14*$H$168</f>
        <v>-6.7423822601442307E-21</v>
      </c>
      <c r="G14" s="16">
        <v>240</v>
      </c>
      <c r="H14" s="13">
        <f>F14*G14</f>
        <v>-1.6181717424346154E-18</v>
      </c>
      <c r="J14" s="168"/>
      <c r="K14" s="167"/>
    </row>
    <row r="15" spans="1:11" x14ac:dyDescent="0.2">
      <c r="A15" s="52">
        <f t="shared" si="0"/>
        <v>7</v>
      </c>
      <c r="B15" s="172" t="str">
        <f>+B14</f>
        <v>50E</v>
      </c>
      <c r="C15" s="83" t="s">
        <v>7</v>
      </c>
      <c r="D15" s="169">
        <v>400</v>
      </c>
      <c r="E15" s="202">
        <v>9.1</v>
      </c>
      <c r="F15" s="14">
        <f>E15*$H$168</f>
        <v>-1.5415999640028266E-20</v>
      </c>
      <c r="G15" s="16">
        <v>229</v>
      </c>
      <c r="H15" s="13">
        <f>F15*G15</f>
        <v>-3.5302639175664731E-18</v>
      </c>
      <c r="J15" s="168"/>
      <c r="K15" s="167"/>
    </row>
    <row r="16" spans="1:11" x14ac:dyDescent="0.2">
      <c r="A16" s="52">
        <f t="shared" si="0"/>
        <v>8</v>
      </c>
      <c r="B16" s="172" t="str">
        <f>+B15</f>
        <v>50E</v>
      </c>
      <c r="C16" s="83" t="s">
        <v>7</v>
      </c>
      <c r="D16" s="169">
        <v>700</v>
      </c>
      <c r="E16" s="202">
        <v>15.93</v>
      </c>
      <c r="F16" s="14">
        <f>E16*$H$168</f>
        <v>-2.6986469699522008E-20</v>
      </c>
      <c r="G16" s="203">
        <v>0</v>
      </c>
      <c r="H16" s="13">
        <f>F16*G16</f>
        <v>0</v>
      </c>
      <c r="J16" s="168"/>
      <c r="K16" s="167"/>
    </row>
    <row r="17" spans="1:11" x14ac:dyDescent="0.2">
      <c r="A17" s="52">
        <f t="shared" si="0"/>
        <v>9</v>
      </c>
      <c r="D17" s="91"/>
      <c r="E17" s="202"/>
      <c r="F17" s="14"/>
      <c r="G17" s="16"/>
      <c r="H17" s="12"/>
      <c r="J17" s="168"/>
      <c r="K17" s="167"/>
    </row>
    <row r="18" spans="1:11" ht="13.5" x14ac:dyDescent="0.35">
      <c r="A18" s="52">
        <f t="shared" si="0"/>
        <v>10</v>
      </c>
      <c r="B18" s="173" t="s">
        <v>11</v>
      </c>
      <c r="D18" s="91"/>
      <c r="E18" s="202"/>
      <c r="F18" s="14"/>
      <c r="G18" s="16"/>
      <c r="H18" s="12"/>
      <c r="J18" s="168"/>
      <c r="K18" s="167"/>
    </row>
    <row r="19" spans="1:11" x14ac:dyDescent="0.2">
      <c r="A19" s="52">
        <f t="shared" si="0"/>
        <v>11</v>
      </c>
      <c r="B19" s="172" t="s">
        <v>12</v>
      </c>
      <c r="C19" s="83" t="s">
        <v>13</v>
      </c>
      <c r="D19" s="91" t="s">
        <v>49</v>
      </c>
      <c r="E19" s="202">
        <v>0.33999999999999997</v>
      </c>
      <c r="F19" s="14">
        <f t="shared" ref="F19:F28" si="1">E19*$H$168</f>
        <v>-5.7598240413292418E-22</v>
      </c>
      <c r="G19" s="16">
        <v>408</v>
      </c>
      <c r="H19" s="13">
        <f t="shared" ref="H19:H29" si="2">F19*G19</f>
        <v>-2.3500082088623308E-19</v>
      </c>
      <c r="J19" s="168"/>
      <c r="K19" s="167"/>
    </row>
    <row r="20" spans="1:11" x14ac:dyDescent="0.2">
      <c r="A20" s="52">
        <f t="shared" si="0"/>
        <v>12</v>
      </c>
      <c r="B20" s="172" t="s">
        <v>12</v>
      </c>
      <c r="C20" s="83" t="s">
        <v>13</v>
      </c>
      <c r="D20" s="171" t="s">
        <v>50</v>
      </c>
      <c r="E20" s="202">
        <v>1.02</v>
      </c>
      <c r="F20" s="14">
        <f t="shared" si="1"/>
        <v>-1.7279472123987727E-21</v>
      </c>
      <c r="G20" s="16">
        <v>62884</v>
      </c>
      <c r="H20" s="13">
        <f t="shared" si="2"/>
        <v>-1.0866023250448442E-16</v>
      </c>
      <c r="J20" s="168"/>
      <c r="K20" s="167"/>
    </row>
    <row r="21" spans="1:11" x14ac:dyDescent="0.2">
      <c r="A21" s="52">
        <f t="shared" si="0"/>
        <v>13</v>
      </c>
      <c r="B21" s="172" t="s">
        <v>12</v>
      </c>
      <c r="C21" s="83" t="s">
        <v>13</v>
      </c>
      <c r="D21" s="169" t="s">
        <v>15</v>
      </c>
      <c r="E21" s="202">
        <v>1.7</v>
      </c>
      <c r="F21" s="14">
        <f t="shared" si="1"/>
        <v>-2.8799120206646211E-21</v>
      </c>
      <c r="G21" s="16">
        <v>35897</v>
      </c>
      <c r="H21" s="13">
        <f t="shared" si="2"/>
        <v>-1.0338020180579791E-16</v>
      </c>
      <c r="J21" s="168"/>
      <c r="K21" s="167"/>
    </row>
    <row r="22" spans="1:11" x14ac:dyDescent="0.2">
      <c r="A22" s="52">
        <f t="shared" si="0"/>
        <v>14</v>
      </c>
      <c r="B22" s="172" t="s">
        <v>12</v>
      </c>
      <c r="C22" s="83" t="s">
        <v>13</v>
      </c>
      <c r="D22" s="169" t="s">
        <v>16</v>
      </c>
      <c r="E22" s="202">
        <v>2.38</v>
      </c>
      <c r="F22" s="14">
        <f t="shared" si="1"/>
        <v>-4.0318768289304694E-21</v>
      </c>
      <c r="G22" s="16">
        <v>15040</v>
      </c>
      <c r="H22" s="13">
        <f t="shared" si="2"/>
        <v>-6.0639427507114258E-17</v>
      </c>
      <c r="J22" s="168"/>
      <c r="K22" s="167"/>
    </row>
    <row r="23" spans="1:11" x14ac:dyDescent="0.2">
      <c r="A23" s="52">
        <f t="shared" si="0"/>
        <v>15</v>
      </c>
      <c r="B23" s="172" t="s">
        <v>12</v>
      </c>
      <c r="C23" s="83" t="s">
        <v>13</v>
      </c>
      <c r="D23" s="169" t="s">
        <v>17</v>
      </c>
      <c r="E23" s="202">
        <v>3.0700000000000003</v>
      </c>
      <c r="F23" s="14">
        <f t="shared" si="1"/>
        <v>-5.2007822961414046E-21</v>
      </c>
      <c r="G23" s="16">
        <v>7113</v>
      </c>
      <c r="H23" s="13">
        <f t="shared" si="2"/>
        <v>-3.6993164472453813E-17</v>
      </c>
      <c r="J23" s="168"/>
      <c r="K23" s="167"/>
    </row>
    <row r="24" spans="1:11" x14ac:dyDescent="0.2">
      <c r="A24" s="52">
        <f t="shared" si="0"/>
        <v>16</v>
      </c>
      <c r="B24" s="172" t="s">
        <v>12</v>
      </c>
      <c r="C24" s="83" t="s">
        <v>13</v>
      </c>
      <c r="D24" s="169" t="s">
        <v>18</v>
      </c>
      <c r="E24" s="202">
        <v>3.75</v>
      </c>
      <c r="F24" s="14">
        <f t="shared" si="1"/>
        <v>-6.3527471044072525E-21</v>
      </c>
      <c r="G24" s="16">
        <v>905</v>
      </c>
      <c r="H24" s="13">
        <f t="shared" si="2"/>
        <v>-5.7492361294885636E-18</v>
      </c>
      <c r="J24" s="168"/>
      <c r="K24" s="167"/>
    </row>
    <row r="25" spans="1:11" x14ac:dyDescent="0.2">
      <c r="A25" s="52">
        <f t="shared" si="0"/>
        <v>17</v>
      </c>
      <c r="B25" s="172" t="s">
        <v>12</v>
      </c>
      <c r="C25" s="83" t="s">
        <v>13</v>
      </c>
      <c r="D25" s="169" t="s">
        <v>19</v>
      </c>
      <c r="E25" s="202">
        <v>4.43</v>
      </c>
      <c r="F25" s="14">
        <f t="shared" si="1"/>
        <v>-7.5047119126731005E-21</v>
      </c>
      <c r="G25" s="16">
        <v>2319</v>
      </c>
      <c r="H25" s="13">
        <f t="shared" si="2"/>
        <v>-1.7403426925488921E-17</v>
      </c>
      <c r="J25" s="168"/>
      <c r="K25" s="167"/>
    </row>
    <row r="26" spans="1:11" x14ac:dyDescent="0.2">
      <c r="A26" s="52">
        <f t="shared" si="0"/>
        <v>18</v>
      </c>
      <c r="B26" s="172" t="s">
        <v>12</v>
      </c>
      <c r="C26" s="83" t="s">
        <v>13</v>
      </c>
      <c r="D26" s="169" t="s">
        <v>20</v>
      </c>
      <c r="E26" s="202">
        <v>5.12</v>
      </c>
      <c r="F26" s="14">
        <f t="shared" si="1"/>
        <v>-8.6736173798840357E-21</v>
      </c>
      <c r="G26" s="16">
        <v>959</v>
      </c>
      <c r="H26" s="13">
        <f t="shared" si="2"/>
        <v>-8.3179990673087899E-18</v>
      </c>
      <c r="J26" s="168"/>
      <c r="K26" s="167"/>
    </row>
    <row r="27" spans="1:11" x14ac:dyDescent="0.2">
      <c r="A27" s="52">
        <f t="shared" si="0"/>
        <v>19</v>
      </c>
      <c r="B27" s="172" t="s">
        <v>12</v>
      </c>
      <c r="C27" s="83" t="s">
        <v>13</v>
      </c>
      <c r="D27" s="169" t="s">
        <v>21</v>
      </c>
      <c r="E27" s="202">
        <v>5.8</v>
      </c>
      <c r="F27" s="14">
        <f t="shared" si="1"/>
        <v>-9.8255821881498836E-21</v>
      </c>
      <c r="G27" s="16">
        <v>74</v>
      </c>
      <c r="H27" s="13">
        <f t="shared" si="2"/>
        <v>-7.2709308192309139E-19</v>
      </c>
      <c r="J27" s="168"/>
      <c r="K27" s="167"/>
    </row>
    <row r="28" spans="1:11" x14ac:dyDescent="0.2">
      <c r="A28" s="52">
        <f t="shared" si="0"/>
        <v>20</v>
      </c>
      <c r="B28" s="172" t="s">
        <v>12</v>
      </c>
      <c r="C28" s="83" t="s">
        <v>13</v>
      </c>
      <c r="D28" s="169" t="s">
        <v>22</v>
      </c>
      <c r="E28" s="202">
        <v>6.48</v>
      </c>
      <c r="F28" s="14">
        <f t="shared" si="1"/>
        <v>-1.0977546996415733E-20</v>
      </c>
      <c r="G28" s="16">
        <v>947</v>
      </c>
      <c r="H28" s="13">
        <f t="shared" si="2"/>
        <v>-1.0395737005605699E-17</v>
      </c>
      <c r="J28" s="168"/>
      <c r="K28" s="167"/>
    </row>
    <row r="29" spans="1:11" x14ac:dyDescent="0.2">
      <c r="A29" s="52">
        <f t="shared" si="0"/>
        <v>21</v>
      </c>
      <c r="B29" s="172" t="s">
        <v>141</v>
      </c>
      <c r="C29" s="83" t="s">
        <v>44</v>
      </c>
      <c r="D29" s="175" t="s">
        <v>51</v>
      </c>
      <c r="E29" s="217">
        <v>6.4988000000000004E-2</v>
      </c>
      <c r="F29" s="217">
        <f>'Rate Impacts'!I33</f>
        <v>0</v>
      </c>
      <c r="G29" s="16">
        <v>152499</v>
      </c>
      <c r="H29" s="13">
        <f t="shared" si="2"/>
        <v>0</v>
      </c>
      <c r="J29" s="168"/>
      <c r="K29" s="167"/>
    </row>
    <row r="30" spans="1:11" x14ac:dyDescent="0.2">
      <c r="A30" s="52">
        <f t="shared" si="0"/>
        <v>22</v>
      </c>
      <c r="D30" s="91"/>
      <c r="E30" s="202"/>
      <c r="F30" s="14"/>
      <c r="G30" s="16"/>
      <c r="H30" s="12"/>
      <c r="J30" s="168"/>
      <c r="K30" s="167"/>
    </row>
    <row r="31" spans="1:11" ht="13.5" x14ac:dyDescent="0.35">
      <c r="A31" s="52">
        <f t="shared" si="0"/>
        <v>23</v>
      </c>
      <c r="B31" s="173" t="s">
        <v>89</v>
      </c>
      <c r="D31" s="91"/>
      <c r="E31" s="202"/>
      <c r="F31" s="14"/>
      <c r="G31" s="16"/>
      <c r="H31" s="12"/>
      <c r="J31" s="168"/>
      <c r="K31" s="167"/>
    </row>
    <row r="32" spans="1:11" x14ac:dyDescent="0.2">
      <c r="A32" s="52">
        <f t="shared" si="0"/>
        <v>24</v>
      </c>
      <c r="B32" s="172" t="s">
        <v>23</v>
      </c>
      <c r="C32" s="83" t="s">
        <v>8</v>
      </c>
      <c r="D32" s="169">
        <v>50</v>
      </c>
      <c r="E32" s="202">
        <v>1.1299999999999999</v>
      </c>
      <c r="F32" s="14">
        <f t="shared" ref="F32:F39" si="3">E32*$H$168</f>
        <v>-1.9142944607947186E-21</v>
      </c>
      <c r="G32" s="203">
        <v>0</v>
      </c>
      <c r="H32" s="13">
        <f t="shared" ref="H32:H39" si="4">F32*G32</f>
        <v>0</v>
      </c>
      <c r="J32" s="168"/>
      <c r="K32" s="167"/>
    </row>
    <row r="33" spans="1:11" x14ac:dyDescent="0.2">
      <c r="A33" s="52">
        <f t="shared" si="0"/>
        <v>25</v>
      </c>
      <c r="B33" s="172" t="str">
        <f t="shared" ref="B33:B39" si="5">+B32</f>
        <v xml:space="preserve">52E </v>
      </c>
      <c r="C33" s="83" t="s">
        <v>8</v>
      </c>
      <c r="D33" s="169">
        <v>70</v>
      </c>
      <c r="E33" s="202">
        <v>1.6</v>
      </c>
      <c r="F33" s="14">
        <f t="shared" si="3"/>
        <v>-2.7105054312137612E-21</v>
      </c>
      <c r="G33" s="16">
        <v>7987</v>
      </c>
      <c r="H33" s="13">
        <f t="shared" si="4"/>
        <v>-2.1648806879104311E-17</v>
      </c>
      <c r="J33" s="168"/>
      <c r="K33" s="167"/>
    </row>
    <row r="34" spans="1:11" x14ac:dyDescent="0.2">
      <c r="A34" s="52">
        <f t="shared" si="0"/>
        <v>26</v>
      </c>
      <c r="B34" s="172" t="str">
        <f t="shared" si="5"/>
        <v xml:space="preserve">52E </v>
      </c>
      <c r="C34" s="83" t="s">
        <v>8</v>
      </c>
      <c r="D34" s="169">
        <v>100</v>
      </c>
      <c r="E34" s="202">
        <v>2.2799999999999998</v>
      </c>
      <c r="F34" s="14">
        <f t="shared" si="3"/>
        <v>-3.8624702394796092E-21</v>
      </c>
      <c r="G34" s="16">
        <v>112813</v>
      </c>
      <c r="H34" s="13">
        <f t="shared" si="4"/>
        <v>-4.3573685512641317E-16</v>
      </c>
      <c r="J34" s="168"/>
      <c r="K34" s="167"/>
    </row>
    <row r="35" spans="1:11" x14ac:dyDescent="0.2">
      <c r="A35" s="52">
        <f t="shared" si="0"/>
        <v>27</v>
      </c>
      <c r="B35" s="172" t="str">
        <f t="shared" si="5"/>
        <v xml:space="preserve">52E </v>
      </c>
      <c r="C35" s="83" t="s">
        <v>8</v>
      </c>
      <c r="D35" s="169">
        <v>150</v>
      </c>
      <c r="E35" s="202">
        <v>3.41</v>
      </c>
      <c r="F35" s="14">
        <f t="shared" si="3"/>
        <v>-5.7767647002743286E-21</v>
      </c>
      <c r="G35" s="16">
        <v>52631</v>
      </c>
      <c r="H35" s="13">
        <f t="shared" si="4"/>
        <v>-3.0403690294013821E-16</v>
      </c>
      <c r="J35" s="168"/>
      <c r="K35" s="167"/>
    </row>
    <row r="36" spans="1:11" x14ac:dyDescent="0.2">
      <c r="A36" s="52">
        <f t="shared" si="0"/>
        <v>28</v>
      </c>
      <c r="B36" s="172" t="str">
        <f t="shared" si="5"/>
        <v xml:space="preserve">52E </v>
      </c>
      <c r="C36" s="83" t="s">
        <v>8</v>
      </c>
      <c r="D36" s="169">
        <v>200</v>
      </c>
      <c r="E36" s="202">
        <v>4.55</v>
      </c>
      <c r="F36" s="14">
        <f t="shared" si="3"/>
        <v>-7.7079998200141328E-21</v>
      </c>
      <c r="G36" s="16">
        <v>10988</v>
      </c>
      <c r="H36" s="13">
        <f t="shared" si="4"/>
        <v>-8.4695502022315297E-17</v>
      </c>
      <c r="J36" s="168"/>
      <c r="K36" s="167"/>
    </row>
    <row r="37" spans="1:11" x14ac:dyDescent="0.2">
      <c r="A37" s="52">
        <f t="shared" si="0"/>
        <v>29</v>
      </c>
      <c r="B37" s="172" t="str">
        <f t="shared" si="5"/>
        <v xml:space="preserve">52E </v>
      </c>
      <c r="C37" s="83" t="s">
        <v>8</v>
      </c>
      <c r="D37" s="169">
        <v>250</v>
      </c>
      <c r="E37" s="202">
        <v>5.68</v>
      </c>
      <c r="F37" s="14">
        <f t="shared" si="3"/>
        <v>-9.6222942808088514E-21</v>
      </c>
      <c r="G37" s="16">
        <v>16314</v>
      </c>
      <c r="H37" s="13">
        <f t="shared" si="4"/>
        <v>-1.5697810889711559E-16</v>
      </c>
      <c r="J37" s="168"/>
      <c r="K37" s="167"/>
    </row>
    <row r="38" spans="1:11" x14ac:dyDescent="0.2">
      <c r="A38" s="52">
        <f t="shared" si="0"/>
        <v>30</v>
      </c>
      <c r="B38" s="172" t="str">
        <f t="shared" si="5"/>
        <v xml:space="preserve">52E </v>
      </c>
      <c r="C38" s="83" t="s">
        <v>8</v>
      </c>
      <c r="D38" s="169">
        <v>310</v>
      </c>
      <c r="E38" s="202">
        <v>7.05</v>
      </c>
      <c r="F38" s="14">
        <f t="shared" si="3"/>
        <v>-1.1943164556285634E-20</v>
      </c>
      <c r="G38" s="16">
        <v>1679</v>
      </c>
      <c r="H38" s="13">
        <f t="shared" si="4"/>
        <v>-2.0052573290003579E-17</v>
      </c>
      <c r="J38" s="168"/>
      <c r="K38" s="167"/>
    </row>
    <row r="39" spans="1:11" x14ac:dyDescent="0.2">
      <c r="A39" s="52">
        <f t="shared" si="0"/>
        <v>31</v>
      </c>
      <c r="B39" s="172" t="str">
        <f t="shared" si="5"/>
        <v xml:space="preserve">52E </v>
      </c>
      <c r="C39" s="83" t="s">
        <v>8</v>
      </c>
      <c r="D39" s="169">
        <v>400</v>
      </c>
      <c r="E39" s="202">
        <v>9.1</v>
      </c>
      <c r="F39" s="14">
        <f t="shared" si="3"/>
        <v>-1.5415999640028266E-20</v>
      </c>
      <c r="G39" s="16">
        <v>6867</v>
      </c>
      <c r="H39" s="13">
        <f t="shared" si="4"/>
        <v>-1.058616695280741E-16</v>
      </c>
      <c r="J39" s="168"/>
      <c r="K39" s="167"/>
    </row>
    <row r="40" spans="1:11" x14ac:dyDescent="0.2">
      <c r="A40" s="52">
        <f t="shared" si="0"/>
        <v>32</v>
      </c>
      <c r="B40" s="42"/>
      <c r="C40" s="83"/>
      <c r="D40" s="169"/>
      <c r="E40" s="202"/>
      <c r="F40" s="14"/>
      <c r="G40" s="16"/>
      <c r="H40" s="12"/>
      <c r="J40" s="168"/>
      <c r="K40" s="167"/>
    </row>
    <row r="41" spans="1:11" x14ac:dyDescent="0.2">
      <c r="A41" s="52">
        <f t="shared" si="0"/>
        <v>33</v>
      </c>
      <c r="B41" s="172" t="str">
        <f>+B36</f>
        <v xml:space="preserve">52E </v>
      </c>
      <c r="C41" s="83" t="s">
        <v>24</v>
      </c>
      <c r="D41" s="169">
        <v>70</v>
      </c>
      <c r="E41" s="202">
        <v>1.6</v>
      </c>
      <c r="F41" s="14">
        <f t="shared" ref="F41:F47" si="6">E41*$H$168</f>
        <v>-2.7105054312137612E-21</v>
      </c>
      <c r="G41" s="16">
        <v>838</v>
      </c>
      <c r="H41" s="13">
        <f t="shared" ref="H41:H47" si="7">F41*G41</f>
        <v>-2.2714035513571321E-18</v>
      </c>
      <c r="J41" s="168"/>
      <c r="K41" s="167"/>
    </row>
    <row r="42" spans="1:11" x14ac:dyDescent="0.2">
      <c r="A42" s="52">
        <f t="shared" ref="A42:A73" si="8">+A41+1</f>
        <v>34</v>
      </c>
      <c r="B42" s="172" t="str">
        <f>+B37</f>
        <v xml:space="preserve">52E </v>
      </c>
      <c r="C42" s="83" t="s">
        <v>24</v>
      </c>
      <c r="D42" s="169">
        <v>100</v>
      </c>
      <c r="E42" s="202">
        <v>2.2799999999999998</v>
      </c>
      <c r="F42" s="14">
        <f t="shared" si="6"/>
        <v>-3.8624702394796092E-21</v>
      </c>
      <c r="G42" s="16">
        <v>50</v>
      </c>
      <c r="H42" s="13">
        <f t="shared" si="7"/>
        <v>-1.9312351197398045E-19</v>
      </c>
      <c r="J42" s="168"/>
      <c r="K42" s="167"/>
    </row>
    <row r="43" spans="1:11" x14ac:dyDescent="0.2">
      <c r="A43" s="52">
        <f t="shared" si="8"/>
        <v>35</v>
      </c>
      <c r="B43" s="172" t="str">
        <f>+B38</f>
        <v xml:space="preserve">52E </v>
      </c>
      <c r="C43" s="83" t="s">
        <v>24</v>
      </c>
      <c r="D43" s="169">
        <v>150</v>
      </c>
      <c r="E43" s="202">
        <v>3.41</v>
      </c>
      <c r="F43" s="14">
        <f t="shared" si="6"/>
        <v>-5.7767647002743286E-21</v>
      </c>
      <c r="G43" s="16">
        <v>2364</v>
      </c>
      <c r="H43" s="13">
        <f t="shared" si="7"/>
        <v>-1.3656271751448513E-17</v>
      </c>
      <c r="J43" s="168"/>
      <c r="K43" s="167"/>
    </row>
    <row r="44" spans="1:11" x14ac:dyDescent="0.2">
      <c r="A44" s="52">
        <f t="shared" si="8"/>
        <v>36</v>
      </c>
      <c r="B44" s="172" t="str">
        <f>+B39</f>
        <v xml:space="preserve">52E </v>
      </c>
      <c r="C44" s="83" t="s">
        <v>24</v>
      </c>
      <c r="D44" s="169">
        <v>175</v>
      </c>
      <c r="E44" s="202">
        <v>3.98</v>
      </c>
      <c r="F44" s="14">
        <f t="shared" si="6"/>
        <v>-6.7423822601442307E-21</v>
      </c>
      <c r="G44" s="16">
        <v>2450</v>
      </c>
      <c r="H44" s="13">
        <f t="shared" si="7"/>
        <v>-1.6518836537353365E-17</v>
      </c>
      <c r="J44" s="168"/>
      <c r="K44" s="167"/>
    </row>
    <row r="45" spans="1:11" x14ac:dyDescent="0.2">
      <c r="A45" s="52">
        <f t="shared" si="8"/>
        <v>37</v>
      </c>
      <c r="B45" s="172" t="str">
        <f t="shared" ref="B45:C47" si="9">+B44</f>
        <v xml:space="preserve">52E </v>
      </c>
      <c r="C45" s="83" t="str">
        <f t="shared" si="9"/>
        <v>Metal Halide</v>
      </c>
      <c r="D45" s="169">
        <v>250</v>
      </c>
      <c r="E45" s="202">
        <v>5.68</v>
      </c>
      <c r="F45" s="14">
        <f t="shared" si="6"/>
        <v>-9.6222942808088514E-21</v>
      </c>
      <c r="G45" s="16">
        <v>404</v>
      </c>
      <c r="H45" s="13">
        <f t="shared" si="7"/>
        <v>-3.8874068894467758E-18</v>
      </c>
      <c r="J45" s="168"/>
      <c r="K45" s="167"/>
    </row>
    <row r="46" spans="1:11" x14ac:dyDescent="0.2">
      <c r="A46" s="52">
        <f t="shared" si="8"/>
        <v>38</v>
      </c>
      <c r="B46" s="172" t="str">
        <f t="shared" si="9"/>
        <v xml:space="preserve">52E </v>
      </c>
      <c r="C46" s="83" t="str">
        <f t="shared" si="9"/>
        <v>Metal Halide</v>
      </c>
      <c r="D46" s="169">
        <v>400</v>
      </c>
      <c r="E46" s="202">
        <v>9.1</v>
      </c>
      <c r="F46" s="14">
        <f t="shared" si="6"/>
        <v>-1.5415999640028266E-20</v>
      </c>
      <c r="G46" s="16">
        <v>684</v>
      </c>
      <c r="H46" s="13">
        <f t="shared" si="7"/>
        <v>-1.0544543753779333E-17</v>
      </c>
      <c r="J46" s="168"/>
      <c r="K46" s="167"/>
    </row>
    <row r="47" spans="1:11" x14ac:dyDescent="0.2">
      <c r="A47" s="52">
        <f t="shared" si="8"/>
        <v>39</v>
      </c>
      <c r="B47" s="172" t="str">
        <f t="shared" si="9"/>
        <v xml:space="preserve">52E </v>
      </c>
      <c r="C47" s="83" t="str">
        <f t="shared" si="9"/>
        <v>Metal Halide</v>
      </c>
      <c r="D47" s="169">
        <v>1000</v>
      </c>
      <c r="E47" s="202">
        <v>22.74</v>
      </c>
      <c r="F47" s="14">
        <f t="shared" si="6"/>
        <v>-3.8523058441125577E-20</v>
      </c>
      <c r="G47" s="16">
        <v>216</v>
      </c>
      <c r="H47" s="13">
        <f t="shared" si="7"/>
        <v>-8.3209806232831239E-18</v>
      </c>
      <c r="J47" s="168"/>
      <c r="K47" s="167"/>
    </row>
    <row r="48" spans="1:11" x14ac:dyDescent="0.2">
      <c r="A48" s="52">
        <f t="shared" si="8"/>
        <v>40</v>
      </c>
      <c r="D48" s="91"/>
      <c r="E48" s="202"/>
      <c r="F48" s="14"/>
      <c r="G48" s="16"/>
      <c r="H48" s="12"/>
      <c r="J48" s="168"/>
      <c r="K48" s="167"/>
    </row>
    <row r="49" spans="1:11" ht="13.5" x14ac:dyDescent="0.35">
      <c r="A49" s="52">
        <f t="shared" si="8"/>
        <v>41</v>
      </c>
      <c r="B49" s="173" t="s">
        <v>86</v>
      </c>
      <c r="D49" s="91"/>
      <c r="E49" s="202"/>
      <c r="F49" s="14"/>
      <c r="G49" s="16"/>
      <c r="H49" s="12"/>
      <c r="J49" s="168"/>
      <c r="K49" s="167"/>
    </row>
    <row r="50" spans="1:11" x14ac:dyDescent="0.2">
      <c r="A50" s="52">
        <f t="shared" si="8"/>
        <v>42</v>
      </c>
      <c r="B50" s="172" t="s">
        <v>52</v>
      </c>
      <c r="C50" s="83" t="s">
        <v>8</v>
      </c>
      <c r="D50" s="169">
        <v>50</v>
      </c>
      <c r="E50" s="202">
        <v>1.1299999999999999</v>
      </c>
      <c r="F50" s="14">
        <f t="shared" ref="F50:F58" si="10">E50*$H$168</f>
        <v>-1.9142944607947186E-21</v>
      </c>
      <c r="G50" s="16">
        <v>0</v>
      </c>
      <c r="H50" s="13">
        <f t="shared" ref="H50:H58" si="11">F50*G50</f>
        <v>0</v>
      </c>
      <c r="J50" s="168"/>
      <c r="K50" s="167"/>
    </row>
    <row r="51" spans="1:11" x14ac:dyDescent="0.2">
      <c r="A51" s="52">
        <f t="shared" si="8"/>
        <v>43</v>
      </c>
      <c r="B51" s="172" t="str">
        <f t="shared" ref="B51:B58" si="12">+B50</f>
        <v>53E</v>
      </c>
      <c r="C51" s="83" t="s">
        <v>8</v>
      </c>
      <c r="D51" s="169">
        <v>70</v>
      </c>
      <c r="E51" s="202">
        <v>1.6</v>
      </c>
      <c r="F51" s="14">
        <f t="shared" si="10"/>
        <v>-2.7105054312137612E-21</v>
      </c>
      <c r="G51" s="16">
        <v>42559</v>
      </c>
      <c r="H51" s="13">
        <f t="shared" si="11"/>
        <v>-1.1535640064702647E-16</v>
      </c>
      <c r="J51" s="168"/>
      <c r="K51" s="167"/>
    </row>
    <row r="52" spans="1:11" x14ac:dyDescent="0.2">
      <c r="A52" s="52">
        <f t="shared" si="8"/>
        <v>44</v>
      </c>
      <c r="B52" s="172" t="str">
        <f t="shared" si="12"/>
        <v>53E</v>
      </c>
      <c r="C52" s="83" t="s">
        <v>8</v>
      </c>
      <c r="D52" s="169">
        <v>100</v>
      </c>
      <c r="E52" s="202">
        <v>2.2799999999999998</v>
      </c>
      <c r="F52" s="14">
        <f t="shared" si="10"/>
        <v>-3.8624702394796092E-21</v>
      </c>
      <c r="G52" s="16">
        <v>325021</v>
      </c>
      <c r="H52" s="13">
        <f t="shared" si="11"/>
        <v>-1.255383939705902E-15</v>
      </c>
      <c r="J52" s="168"/>
      <c r="K52" s="167"/>
    </row>
    <row r="53" spans="1:11" x14ac:dyDescent="0.2">
      <c r="A53" s="52">
        <f t="shared" si="8"/>
        <v>45</v>
      </c>
      <c r="B53" s="172" t="str">
        <f t="shared" si="12"/>
        <v>53E</v>
      </c>
      <c r="C53" s="83" t="s">
        <v>8</v>
      </c>
      <c r="D53" s="169">
        <v>150</v>
      </c>
      <c r="E53" s="202">
        <v>3.41</v>
      </c>
      <c r="F53" s="14">
        <f t="shared" si="10"/>
        <v>-5.7767647002743286E-21</v>
      </c>
      <c r="G53" s="16">
        <v>39168</v>
      </c>
      <c r="H53" s="13">
        <f t="shared" si="11"/>
        <v>-2.262643197803449E-16</v>
      </c>
      <c r="J53" s="168"/>
      <c r="K53" s="167"/>
    </row>
    <row r="54" spans="1:11" x14ac:dyDescent="0.2">
      <c r="A54" s="52">
        <f t="shared" si="8"/>
        <v>46</v>
      </c>
      <c r="B54" s="172" t="str">
        <f t="shared" si="12"/>
        <v>53E</v>
      </c>
      <c r="C54" s="83" t="s">
        <v>8</v>
      </c>
      <c r="D54" s="169">
        <v>200</v>
      </c>
      <c r="E54" s="202">
        <v>4.55</v>
      </c>
      <c r="F54" s="14">
        <f t="shared" si="10"/>
        <v>-7.7079998200141328E-21</v>
      </c>
      <c r="G54" s="16">
        <v>52444</v>
      </c>
      <c r="H54" s="13">
        <f t="shared" si="11"/>
        <v>-4.0423834256082117E-16</v>
      </c>
      <c r="J54" s="168"/>
      <c r="K54" s="167"/>
    </row>
    <row r="55" spans="1:11" x14ac:dyDescent="0.2">
      <c r="A55" s="52">
        <f t="shared" si="8"/>
        <v>47</v>
      </c>
      <c r="B55" s="172" t="str">
        <f t="shared" si="12"/>
        <v>53E</v>
      </c>
      <c r="C55" s="83" t="s">
        <v>8</v>
      </c>
      <c r="D55" s="169">
        <v>250</v>
      </c>
      <c r="E55" s="202">
        <v>5.68</v>
      </c>
      <c r="F55" s="14">
        <f t="shared" si="10"/>
        <v>-9.6222942808088514E-21</v>
      </c>
      <c r="G55" s="16">
        <v>20979</v>
      </c>
      <c r="H55" s="13">
        <f t="shared" si="11"/>
        <v>-2.018661117170889E-16</v>
      </c>
      <c r="J55" s="168"/>
      <c r="K55" s="167"/>
    </row>
    <row r="56" spans="1:11" x14ac:dyDescent="0.2">
      <c r="A56" s="52">
        <f t="shared" si="8"/>
        <v>48</v>
      </c>
      <c r="B56" s="172" t="str">
        <f t="shared" si="12"/>
        <v>53E</v>
      </c>
      <c r="C56" s="83" t="s">
        <v>8</v>
      </c>
      <c r="D56" s="169">
        <v>310</v>
      </c>
      <c r="E56" s="202">
        <v>7.05</v>
      </c>
      <c r="F56" s="14">
        <f t="shared" si="10"/>
        <v>-1.1943164556285634E-20</v>
      </c>
      <c r="G56" s="16">
        <v>235</v>
      </c>
      <c r="H56" s="13">
        <f t="shared" si="11"/>
        <v>-2.8066436707271242E-18</v>
      </c>
      <c r="J56" s="168"/>
      <c r="K56" s="167"/>
    </row>
    <row r="57" spans="1:11" x14ac:dyDescent="0.2">
      <c r="A57" s="52">
        <f t="shared" si="8"/>
        <v>49</v>
      </c>
      <c r="B57" s="172" t="str">
        <f t="shared" si="12"/>
        <v>53E</v>
      </c>
      <c r="C57" s="83" t="s">
        <v>8</v>
      </c>
      <c r="D57" s="169">
        <v>400</v>
      </c>
      <c r="E57" s="202">
        <v>9.1</v>
      </c>
      <c r="F57" s="14">
        <f t="shared" si="10"/>
        <v>-1.5415999640028266E-20</v>
      </c>
      <c r="G57" s="16">
        <v>14431</v>
      </c>
      <c r="H57" s="13">
        <f t="shared" si="11"/>
        <v>-2.2246829080524792E-16</v>
      </c>
      <c r="J57" s="168"/>
      <c r="K57" s="167"/>
    </row>
    <row r="58" spans="1:11" x14ac:dyDescent="0.2">
      <c r="A58" s="52">
        <f t="shared" si="8"/>
        <v>50</v>
      </c>
      <c r="B58" s="172" t="str">
        <f t="shared" si="12"/>
        <v>53E</v>
      </c>
      <c r="C58" s="83" t="s">
        <v>8</v>
      </c>
      <c r="D58" s="169">
        <v>1000</v>
      </c>
      <c r="E58" s="202">
        <v>22.74</v>
      </c>
      <c r="F58" s="14">
        <f t="shared" si="10"/>
        <v>-3.8523058441125577E-20</v>
      </c>
      <c r="G58" s="16">
        <v>0</v>
      </c>
      <c r="H58" s="13">
        <f t="shared" si="11"/>
        <v>0</v>
      </c>
      <c r="J58" s="168"/>
      <c r="K58" s="167"/>
    </row>
    <row r="59" spans="1:11" x14ac:dyDescent="0.2">
      <c r="A59" s="52">
        <f t="shared" si="8"/>
        <v>51</v>
      </c>
      <c r="B59" s="172"/>
      <c r="C59" s="83"/>
      <c r="D59" s="169"/>
      <c r="E59" s="202"/>
      <c r="F59" s="14"/>
      <c r="G59" s="16"/>
      <c r="H59" s="12"/>
      <c r="J59" s="168"/>
      <c r="K59" s="167"/>
    </row>
    <row r="60" spans="1:11" x14ac:dyDescent="0.2">
      <c r="A60" s="52">
        <f t="shared" si="8"/>
        <v>52</v>
      </c>
      <c r="B60" s="172" t="str">
        <f>+B58</f>
        <v>53E</v>
      </c>
      <c r="C60" s="83" t="s">
        <v>24</v>
      </c>
      <c r="D60" s="169">
        <v>70</v>
      </c>
      <c r="E60" s="202">
        <v>1.6</v>
      </c>
      <c r="F60" s="14">
        <f t="shared" ref="F60:F65" si="13">E60*$H$168</f>
        <v>-2.7105054312137612E-21</v>
      </c>
      <c r="G60" s="203">
        <v>0</v>
      </c>
      <c r="H60" s="13">
        <f t="shared" ref="H60:H65" si="14">F60*G60</f>
        <v>0</v>
      </c>
      <c r="J60" s="168"/>
      <c r="K60" s="167"/>
    </row>
    <row r="61" spans="1:11" x14ac:dyDescent="0.2">
      <c r="A61" s="52">
        <f t="shared" si="8"/>
        <v>53</v>
      </c>
      <c r="B61" s="172" t="str">
        <f>+B60</f>
        <v>53E</v>
      </c>
      <c r="C61" s="83" t="s">
        <v>24</v>
      </c>
      <c r="D61" s="169">
        <v>100</v>
      </c>
      <c r="E61" s="202">
        <v>2.2799999999999998</v>
      </c>
      <c r="F61" s="14">
        <f t="shared" si="13"/>
        <v>-3.8624702394796092E-21</v>
      </c>
      <c r="G61" s="203">
        <v>0</v>
      </c>
      <c r="H61" s="13">
        <f t="shared" si="14"/>
        <v>0</v>
      </c>
      <c r="J61" s="168"/>
      <c r="K61" s="167"/>
    </row>
    <row r="62" spans="1:11" x14ac:dyDescent="0.2">
      <c r="A62" s="52">
        <f t="shared" si="8"/>
        <v>54</v>
      </c>
      <c r="B62" s="172" t="str">
        <f>+B61</f>
        <v>53E</v>
      </c>
      <c r="C62" s="83" t="s">
        <v>24</v>
      </c>
      <c r="D62" s="169">
        <v>150</v>
      </c>
      <c r="E62" s="202">
        <v>3.41</v>
      </c>
      <c r="F62" s="14">
        <f t="shared" si="13"/>
        <v>-5.7767647002743286E-21</v>
      </c>
      <c r="G62" s="203">
        <v>0</v>
      </c>
      <c r="H62" s="13">
        <f t="shared" si="14"/>
        <v>0</v>
      </c>
      <c r="J62" s="168"/>
      <c r="K62" s="167"/>
    </row>
    <row r="63" spans="1:11" x14ac:dyDescent="0.2">
      <c r="A63" s="52">
        <f t="shared" si="8"/>
        <v>55</v>
      </c>
      <c r="B63" s="172" t="str">
        <f>+B62</f>
        <v>53E</v>
      </c>
      <c r="C63" s="83" t="s">
        <v>24</v>
      </c>
      <c r="D63" s="169">
        <v>175</v>
      </c>
      <c r="E63" s="202">
        <v>3.98</v>
      </c>
      <c r="F63" s="14">
        <f t="shared" si="13"/>
        <v>-6.7423822601442307E-21</v>
      </c>
      <c r="G63" s="16">
        <v>48</v>
      </c>
      <c r="H63" s="13">
        <f t="shared" si="14"/>
        <v>-3.2363434848692306E-19</v>
      </c>
      <c r="J63" s="168"/>
      <c r="K63" s="167"/>
    </row>
    <row r="64" spans="1:11" x14ac:dyDescent="0.2">
      <c r="A64" s="52">
        <f t="shared" si="8"/>
        <v>56</v>
      </c>
      <c r="B64" s="172" t="str">
        <f>+B63</f>
        <v>53E</v>
      </c>
      <c r="C64" s="83" t="s">
        <v>24</v>
      </c>
      <c r="D64" s="169">
        <v>250</v>
      </c>
      <c r="E64" s="202">
        <v>5.68</v>
      </c>
      <c r="F64" s="14">
        <f t="shared" si="13"/>
        <v>-9.6222942808088514E-21</v>
      </c>
      <c r="G64" s="203">
        <v>0</v>
      </c>
      <c r="H64" s="13">
        <f t="shared" si="14"/>
        <v>0</v>
      </c>
      <c r="J64" s="168"/>
      <c r="K64" s="167"/>
    </row>
    <row r="65" spans="1:11" x14ac:dyDescent="0.2">
      <c r="A65" s="52">
        <f t="shared" si="8"/>
        <v>57</v>
      </c>
      <c r="B65" s="172" t="str">
        <f>+B64</f>
        <v>53E</v>
      </c>
      <c r="C65" s="83" t="s">
        <v>24</v>
      </c>
      <c r="D65" s="169">
        <v>400</v>
      </c>
      <c r="E65" s="202">
        <v>9.1</v>
      </c>
      <c r="F65" s="14">
        <f t="shared" si="13"/>
        <v>-1.5415999640028266E-20</v>
      </c>
      <c r="G65" s="203">
        <v>0</v>
      </c>
      <c r="H65" s="13">
        <f t="shared" si="14"/>
        <v>0</v>
      </c>
      <c r="J65" s="168"/>
      <c r="K65" s="167"/>
    </row>
    <row r="66" spans="1:11" x14ac:dyDescent="0.2">
      <c r="A66" s="52">
        <f t="shared" si="8"/>
        <v>58</v>
      </c>
      <c r="B66" s="172"/>
      <c r="C66" s="83"/>
      <c r="D66" s="169"/>
      <c r="E66" s="202"/>
      <c r="F66" s="14"/>
      <c r="G66" s="16"/>
      <c r="H66" s="12"/>
      <c r="J66" s="168"/>
      <c r="K66" s="167"/>
    </row>
    <row r="67" spans="1:11" x14ac:dyDescent="0.2">
      <c r="A67" s="52">
        <f t="shared" si="8"/>
        <v>59</v>
      </c>
      <c r="B67" s="172" t="str">
        <f>+B64</f>
        <v>53E</v>
      </c>
      <c r="C67" s="83" t="s">
        <v>13</v>
      </c>
      <c r="D67" s="91" t="s">
        <v>49</v>
      </c>
      <c r="E67" s="202">
        <v>0.33999999999999997</v>
      </c>
      <c r="F67" s="14">
        <f t="shared" ref="F67:F76" si="15">E67*$H$168</f>
        <v>-5.7598240413292418E-22</v>
      </c>
      <c r="G67" s="16">
        <v>1595</v>
      </c>
      <c r="H67" s="13">
        <f t="shared" ref="H67:H77" si="16">F67*G67</f>
        <v>-9.1869193459201407E-19</v>
      </c>
      <c r="J67" s="168"/>
      <c r="K67" s="167"/>
    </row>
    <row r="68" spans="1:11" x14ac:dyDescent="0.2">
      <c r="A68" s="52">
        <f t="shared" si="8"/>
        <v>60</v>
      </c>
      <c r="B68" s="172" t="str">
        <f>+B65</f>
        <v>53E</v>
      </c>
      <c r="C68" s="83" t="s">
        <v>13</v>
      </c>
      <c r="D68" s="171" t="s">
        <v>50</v>
      </c>
      <c r="E68" s="202">
        <v>1.02</v>
      </c>
      <c r="F68" s="14">
        <f t="shared" si="15"/>
        <v>-1.7279472123987727E-21</v>
      </c>
      <c r="G68" s="16">
        <v>230234</v>
      </c>
      <c r="H68" s="13">
        <f t="shared" si="16"/>
        <v>-3.9783219849941902E-16</v>
      </c>
      <c r="J68" s="168"/>
      <c r="K68" s="167"/>
    </row>
    <row r="69" spans="1:11" x14ac:dyDescent="0.2">
      <c r="A69" s="52">
        <f t="shared" si="8"/>
        <v>61</v>
      </c>
      <c r="B69" s="172" t="str">
        <f t="shared" ref="B69:B76" si="17">B68</f>
        <v>53E</v>
      </c>
      <c r="C69" s="83" t="s">
        <v>13</v>
      </c>
      <c r="D69" s="169" t="s">
        <v>15</v>
      </c>
      <c r="E69" s="202">
        <v>1.7</v>
      </c>
      <c r="F69" s="14">
        <f t="shared" si="15"/>
        <v>-2.8799120206646211E-21</v>
      </c>
      <c r="G69" s="16">
        <v>14998</v>
      </c>
      <c r="H69" s="13">
        <f t="shared" si="16"/>
        <v>-4.3192920485927986E-17</v>
      </c>
      <c r="J69" s="168"/>
      <c r="K69" s="167"/>
    </row>
    <row r="70" spans="1:11" x14ac:dyDescent="0.2">
      <c r="A70" s="52">
        <f t="shared" si="8"/>
        <v>62</v>
      </c>
      <c r="B70" s="172" t="str">
        <f t="shared" si="17"/>
        <v>53E</v>
      </c>
      <c r="C70" s="83" t="s">
        <v>13</v>
      </c>
      <c r="D70" s="169" t="s">
        <v>16</v>
      </c>
      <c r="E70" s="202">
        <v>2.38</v>
      </c>
      <c r="F70" s="14">
        <f t="shared" si="15"/>
        <v>-4.0318768289304694E-21</v>
      </c>
      <c r="G70" s="16">
        <v>34477</v>
      </c>
      <c r="H70" s="13">
        <f t="shared" si="16"/>
        <v>-1.3900701743103579E-16</v>
      </c>
      <c r="J70" s="168"/>
      <c r="K70" s="167"/>
    </row>
    <row r="71" spans="1:11" x14ac:dyDescent="0.2">
      <c r="A71" s="52">
        <f t="shared" si="8"/>
        <v>63</v>
      </c>
      <c r="B71" s="172" t="str">
        <f t="shared" si="17"/>
        <v>53E</v>
      </c>
      <c r="C71" s="83" t="s">
        <v>13</v>
      </c>
      <c r="D71" s="169" t="s">
        <v>17</v>
      </c>
      <c r="E71" s="202">
        <v>3.0700000000000003</v>
      </c>
      <c r="F71" s="14">
        <f t="shared" si="15"/>
        <v>-5.2007822961414046E-21</v>
      </c>
      <c r="G71" s="16">
        <v>21256</v>
      </c>
      <c r="H71" s="13">
        <f t="shared" si="16"/>
        <v>-1.1054782848678169E-16</v>
      </c>
      <c r="J71" s="168"/>
      <c r="K71" s="167"/>
    </row>
    <row r="72" spans="1:11" x14ac:dyDescent="0.2">
      <c r="A72" s="52">
        <f t="shared" si="8"/>
        <v>64</v>
      </c>
      <c r="B72" s="172" t="str">
        <f t="shared" si="17"/>
        <v>53E</v>
      </c>
      <c r="C72" s="83" t="s">
        <v>13</v>
      </c>
      <c r="D72" s="169" t="s">
        <v>18</v>
      </c>
      <c r="E72" s="202">
        <v>3.75</v>
      </c>
      <c r="F72" s="14">
        <f t="shared" si="15"/>
        <v>-6.3527471044072525E-21</v>
      </c>
      <c r="G72" s="16">
        <v>17354</v>
      </c>
      <c r="H72" s="13">
        <f t="shared" si="16"/>
        <v>-1.1024557324988346E-16</v>
      </c>
      <c r="J72" s="168"/>
      <c r="K72" s="167"/>
    </row>
    <row r="73" spans="1:11" x14ac:dyDescent="0.2">
      <c r="A73" s="52">
        <f t="shared" si="8"/>
        <v>65</v>
      </c>
      <c r="B73" s="172" t="str">
        <f t="shared" si="17"/>
        <v>53E</v>
      </c>
      <c r="C73" s="83" t="s">
        <v>13</v>
      </c>
      <c r="D73" s="169" t="s">
        <v>19</v>
      </c>
      <c r="E73" s="202">
        <v>4.43</v>
      </c>
      <c r="F73" s="14">
        <f t="shared" si="15"/>
        <v>-7.5047119126731005E-21</v>
      </c>
      <c r="G73" s="16">
        <v>5552</v>
      </c>
      <c r="H73" s="13">
        <f t="shared" si="16"/>
        <v>-4.1666160539161052E-17</v>
      </c>
      <c r="J73" s="168"/>
      <c r="K73" s="167"/>
    </row>
    <row r="74" spans="1:11" x14ac:dyDescent="0.2">
      <c r="A74" s="52">
        <f t="shared" ref="A74:A105" si="18">+A73+1</f>
        <v>66</v>
      </c>
      <c r="B74" s="172" t="str">
        <f t="shared" si="17"/>
        <v>53E</v>
      </c>
      <c r="C74" s="83" t="s">
        <v>13</v>
      </c>
      <c r="D74" s="169" t="s">
        <v>20</v>
      </c>
      <c r="E74" s="202">
        <v>5.12</v>
      </c>
      <c r="F74" s="14">
        <f t="shared" si="15"/>
        <v>-8.6736173798840357E-21</v>
      </c>
      <c r="G74" s="16">
        <v>778</v>
      </c>
      <c r="H74" s="13">
        <f t="shared" si="16"/>
        <v>-6.7480743215497798E-18</v>
      </c>
      <c r="J74" s="168"/>
      <c r="K74" s="167"/>
    </row>
    <row r="75" spans="1:11" x14ac:dyDescent="0.2">
      <c r="A75" s="52">
        <f t="shared" si="18"/>
        <v>67</v>
      </c>
      <c r="B75" s="172" t="str">
        <f t="shared" si="17"/>
        <v>53E</v>
      </c>
      <c r="C75" s="83" t="s">
        <v>13</v>
      </c>
      <c r="D75" s="169" t="s">
        <v>21</v>
      </c>
      <c r="E75" s="202">
        <v>5.8</v>
      </c>
      <c r="F75" s="14">
        <f t="shared" si="15"/>
        <v>-9.8255821881498836E-21</v>
      </c>
      <c r="G75" s="16">
        <v>290</v>
      </c>
      <c r="H75" s="13">
        <f t="shared" si="16"/>
        <v>-2.8494188345634663E-18</v>
      </c>
      <c r="J75" s="168"/>
      <c r="K75" s="167"/>
    </row>
    <row r="76" spans="1:11" x14ac:dyDescent="0.2">
      <c r="A76" s="52">
        <f t="shared" si="18"/>
        <v>68</v>
      </c>
      <c r="B76" s="172" t="str">
        <f t="shared" si="17"/>
        <v>53E</v>
      </c>
      <c r="C76" s="83" t="s">
        <v>13</v>
      </c>
      <c r="D76" s="169" t="s">
        <v>22</v>
      </c>
      <c r="E76" s="202">
        <v>6.48</v>
      </c>
      <c r="F76" s="14">
        <f t="shared" si="15"/>
        <v>-1.0977546996415733E-20</v>
      </c>
      <c r="G76" s="16">
        <v>1790</v>
      </c>
      <c r="H76" s="13">
        <f t="shared" si="16"/>
        <v>-1.9649809123584162E-17</v>
      </c>
      <c r="J76" s="168"/>
      <c r="K76" s="167"/>
    </row>
    <row r="77" spans="1:11" x14ac:dyDescent="0.2">
      <c r="A77" s="52">
        <f t="shared" si="18"/>
        <v>69</v>
      </c>
      <c r="B77" s="172" t="s">
        <v>140</v>
      </c>
      <c r="C77" s="83" t="s">
        <v>44</v>
      </c>
      <c r="D77" s="175" t="s">
        <v>51</v>
      </c>
      <c r="E77" s="217">
        <v>6.4988000000000004E-2</v>
      </c>
      <c r="F77" s="217">
        <f>'Rate Impacts'!I33</f>
        <v>0</v>
      </c>
      <c r="G77" s="16">
        <v>2016760</v>
      </c>
      <c r="H77" s="13">
        <f t="shared" si="16"/>
        <v>0</v>
      </c>
      <c r="J77" s="168"/>
      <c r="K77" s="167"/>
    </row>
    <row r="78" spans="1:11" x14ac:dyDescent="0.2">
      <c r="A78" s="52">
        <f t="shared" si="18"/>
        <v>70</v>
      </c>
      <c r="B78" s="170"/>
      <c r="C78" s="83"/>
      <c r="D78" s="169"/>
      <c r="E78" s="202"/>
      <c r="F78" s="14"/>
      <c r="G78" s="16"/>
      <c r="H78" s="12"/>
      <c r="J78" s="168"/>
      <c r="K78" s="167"/>
    </row>
    <row r="79" spans="1:11" ht="13.5" x14ac:dyDescent="0.35">
      <c r="A79" s="52">
        <f t="shared" si="18"/>
        <v>71</v>
      </c>
      <c r="B79" s="173" t="s">
        <v>80</v>
      </c>
      <c r="D79" s="91"/>
      <c r="E79" s="202"/>
      <c r="F79" s="14"/>
      <c r="G79" s="16"/>
      <c r="H79" s="12"/>
      <c r="J79" s="168"/>
      <c r="K79" s="167"/>
    </row>
    <row r="80" spans="1:11" x14ac:dyDescent="0.2">
      <c r="A80" s="52">
        <f t="shared" si="18"/>
        <v>72</v>
      </c>
      <c r="B80" s="172" t="s">
        <v>25</v>
      </c>
      <c r="C80" s="83" t="s">
        <v>8</v>
      </c>
      <c r="D80" s="169">
        <v>50</v>
      </c>
      <c r="E80" s="202">
        <v>1.1299999999999999</v>
      </c>
      <c r="F80" s="14">
        <f t="shared" ref="F80:F88" si="19">E80*$H$168</f>
        <v>-1.9142944607947186E-21</v>
      </c>
      <c r="G80" s="16">
        <v>422</v>
      </c>
      <c r="H80" s="13">
        <f t="shared" ref="H80:H88" si="20">F80*G80</f>
        <v>-8.0783226245537125E-19</v>
      </c>
      <c r="J80" s="168"/>
      <c r="K80" s="167"/>
    </row>
    <row r="81" spans="1:11" x14ac:dyDescent="0.2">
      <c r="A81" s="52">
        <f t="shared" si="18"/>
        <v>73</v>
      </c>
      <c r="B81" s="172" t="str">
        <f t="shared" ref="B81:B88" si="21">+B80</f>
        <v>54E</v>
      </c>
      <c r="C81" s="83" t="s">
        <v>8</v>
      </c>
      <c r="D81" s="169">
        <v>70</v>
      </c>
      <c r="E81" s="202">
        <v>1.6</v>
      </c>
      <c r="F81" s="14">
        <f t="shared" si="19"/>
        <v>-2.7105054312137612E-21</v>
      </c>
      <c r="G81" s="16">
        <v>1778</v>
      </c>
      <c r="H81" s="13">
        <f t="shared" si="20"/>
        <v>-4.8192786566980675E-18</v>
      </c>
      <c r="J81" s="168"/>
      <c r="K81" s="167"/>
    </row>
    <row r="82" spans="1:11" x14ac:dyDescent="0.2">
      <c r="A82" s="52">
        <f t="shared" si="18"/>
        <v>74</v>
      </c>
      <c r="B82" s="172" t="str">
        <f t="shared" si="21"/>
        <v>54E</v>
      </c>
      <c r="C82" s="83" t="s">
        <v>8</v>
      </c>
      <c r="D82" s="169">
        <v>100</v>
      </c>
      <c r="E82" s="202">
        <v>2.2799999999999998</v>
      </c>
      <c r="F82" s="14">
        <f t="shared" si="19"/>
        <v>-3.8624702394796092E-21</v>
      </c>
      <c r="G82" s="16">
        <v>9944</v>
      </c>
      <c r="H82" s="13">
        <f t="shared" si="20"/>
        <v>-3.8408404061385237E-17</v>
      </c>
      <c r="J82" s="168"/>
      <c r="K82" s="167"/>
    </row>
    <row r="83" spans="1:11" x14ac:dyDescent="0.2">
      <c r="A83" s="52">
        <f t="shared" si="18"/>
        <v>75</v>
      </c>
      <c r="B83" s="172" t="str">
        <f t="shared" si="21"/>
        <v>54E</v>
      </c>
      <c r="C83" s="83" t="s">
        <v>8</v>
      </c>
      <c r="D83" s="169">
        <v>150</v>
      </c>
      <c r="E83" s="202">
        <v>3.41</v>
      </c>
      <c r="F83" s="14">
        <f t="shared" si="19"/>
        <v>-5.7767647002743286E-21</v>
      </c>
      <c r="G83" s="16">
        <v>3449</v>
      </c>
      <c r="H83" s="13">
        <f t="shared" si="20"/>
        <v>-1.9924061451246159E-17</v>
      </c>
      <c r="J83" s="168"/>
      <c r="K83" s="167"/>
    </row>
    <row r="84" spans="1:11" x14ac:dyDescent="0.2">
      <c r="A84" s="52">
        <f t="shared" si="18"/>
        <v>76</v>
      </c>
      <c r="B84" s="172" t="str">
        <f t="shared" si="21"/>
        <v>54E</v>
      </c>
      <c r="C84" s="83" t="s">
        <v>8</v>
      </c>
      <c r="D84" s="169">
        <v>200</v>
      </c>
      <c r="E84" s="202">
        <v>4.55</v>
      </c>
      <c r="F84" s="14">
        <f t="shared" si="19"/>
        <v>-7.7079998200141328E-21</v>
      </c>
      <c r="G84" s="16">
        <v>3300</v>
      </c>
      <c r="H84" s="13">
        <f t="shared" si="20"/>
        <v>-2.5436399406046639E-17</v>
      </c>
      <c r="J84" s="168"/>
      <c r="K84" s="167"/>
    </row>
    <row r="85" spans="1:11" x14ac:dyDescent="0.2">
      <c r="A85" s="52">
        <f t="shared" si="18"/>
        <v>77</v>
      </c>
      <c r="B85" s="172" t="str">
        <f t="shared" si="21"/>
        <v>54E</v>
      </c>
      <c r="C85" s="83" t="s">
        <v>8</v>
      </c>
      <c r="D85" s="169">
        <v>250</v>
      </c>
      <c r="E85" s="202">
        <v>5.68</v>
      </c>
      <c r="F85" s="14">
        <f t="shared" si="19"/>
        <v>-9.6222942808088514E-21</v>
      </c>
      <c r="G85" s="16">
        <v>3581</v>
      </c>
      <c r="H85" s="13">
        <f t="shared" si="20"/>
        <v>-3.4457435819576495E-17</v>
      </c>
      <c r="J85" s="168"/>
      <c r="K85" s="167"/>
    </row>
    <row r="86" spans="1:11" x14ac:dyDescent="0.2">
      <c r="A86" s="52">
        <f t="shared" si="18"/>
        <v>78</v>
      </c>
      <c r="B86" s="172" t="str">
        <f t="shared" si="21"/>
        <v>54E</v>
      </c>
      <c r="C86" s="83" t="s">
        <v>8</v>
      </c>
      <c r="D86" s="169">
        <v>310</v>
      </c>
      <c r="E86" s="202">
        <v>7.05</v>
      </c>
      <c r="F86" s="14">
        <f t="shared" si="19"/>
        <v>-1.1943164556285634E-20</v>
      </c>
      <c r="G86" s="16">
        <v>670</v>
      </c>
      <c r="H86" s="13">
        <f t="shared" si="20"/>
        <v>-8.0019202527113753E-18</v>
      </c>
      <c r="J86" s="168"/>
      <c r="K86" s="167"/>
    </row>
    <row r="87" spans="1:11" x14ac:dyDescent="0.2">
      <c r="A87" s="52">
        <f t="shared" si="18"/>
        <v>79</v>
      </c>
      <c r="B87" s="172" t="str">
        <f t="shared" si="21"/>
        <v>54E</v>
      </c>
      <c r="C87" s="83" t="s">
        <v>8</v>
      </c>
      <c r="D87" s="169">
        <v>400</v>
      </c>
      <c r="E87" s="202">
        <v>9.1</v>
      </c>
      <c r="F87" s="14">
        <f t="shared" si="19"/>
        <v>-1.5415999640028266E-20</v>
      </c>
      <c r="G87" s="16">
        <v>6770</v>
      </c>
      <c r="H87" s="13">
        <f t="shared" si="20"/>
        <v>-1.0436631756299136E-16</v>
      </c>
      <c r="J87" s="168"/>
      <c r="K87" s="167"/>
    </row>
    <row r="88" spans="1:11" x14ac:dyDescent="0.2">
      <c r="A88" s="52">
        <f t="shared" si="18"/>
        <v>80</v>
      </c>
      <c r="B88" s="172" t="str">
        <f t="shared" si="21"/>
        <v>54E</v>
      </c>
      <c r="C88" s="83" t="s">
        <v>8</v>
      </c>
      <c r="D88" s="169">
        <v>1000</v>
      </c>
      <c r="E88" s="202">
        <v>22.74</v>
      </c>
      <c r="F88" s="14">
        <f t="shared" si="19"/>
        <v>-3.8523058441125577E-20</v>
      </c>
      <c r="G88" s="16">
        <v>0</v>
      </c>
      <c r="H88" s="13">
        <f t="shared" si="20"/>
        <v>0</v>
      </c>
      <c r="J88" s="168"/>
      <c r="K88" s="167"/>
    </row>
    <row r="89" spans="1:11" x14ac:dyDescent="0.2">
      <c r="A89" s="52">
        <f t="shared" si="18"/>
        <v>81</v>
      </c>
      <c r="B89" s="170"/>
      <c r="C89" s="83"/>
      <c r="D89" s="169"/>
      <c r="E89" s="202"/>
      <c r="F89" s="14"/>
      <c r="G89" s="16"/>
      <c r="H89" s="12"/>
      <c r="J89" s="168"/>
      <c r="K89" s="167"/>
    </row>
    <row r="90" spans="1:11" x14ac:dyDescent="0.2">
      <c r="A90" s="52">
        <f t="shared" si="18"/>
        <v>82</v>
      </c>
      <c r="B90" s="172" t="str">
        <f>+B87</f>
        <v>54E</v>
      </c>
      <c r="C90" s="83" t="s">
        <v>13</v>
      </c>
      <c r="D90" s="171" t="s">
        <v>45</v>
      </c>
      <c r="E90" s="202">
        <v>0.33999999999999997</v>
      </c>
      <c r="F90" s="14">
        <f t="shared" ref="F90:F99" si="22">E90*$H$168</f>
        <v>-5.7598240413292418E-22</v>
      </c>
      <c r="G90" s="16">
        <v>2764</v>
      </c>
      <c r="H90" s="13">
        <f t="shared" ref="H90:H99" si="23">F90*G90</f>
        <v>-1.5920153650234024E-18</v>
      </c>
      <c r="J90" s="168"/>
      <c r="K90" s="167"/>
    </row>
    <row r="91" spans="1:11" x14ac:dyDescent="0.2">
      <c r="A91" s="52">
        <f t="shared" si="18"/>
        <v>83</v>
      </c>
      <c r="B91" s="172" t="str">
        <f>+B88</f>
        <v>54E</v>
      </c>
      <c r="C91" s="83" t="s">
        <v>13</v>
      </c>
      <c r="D91" s="171" t="s">
        <v>14</v>
      </c>
      <c r="E91" s="202">
        <v>1.02</v>
      </c>
      <c r="F91" s="14">
        <f t="shared" si="22"/>
        <v>-1.7279472123987727E-21</v>
      </c>
      <c r="G91" s="16">
        <v>31614</v>
      </c>
      <c r="H91" s="13">
        <f t="shared" si="23"/>
        <v>-5.4627323172774798E-17</v>
      </c>
      <c r="J91" s="168"/>
      <c r="K91" s="167"/>
    </row>
    <row r="92" spans="1:11" x14ac:dyDescent="0.2">
      <c r="A92" s="52">
        <f t="shared" si="18"/>
        <v>84</v>
      </c>
      <c r="B92" s="172" t="str">
        <f t="shared" ref="B92:B99" si="24">+B91</f>
        <v>54E</v>
      </c>
      <c r="C92" s="83" t="s">
        <v>13</v>
      </c>
      <c r="D92" s="169" t="s">
        <v>15</v>
      </c>
      <c r="E92" s="202">
        <v>1.7</v>
      </c>
      <c r="F92" s="14">
        <f t="shared" si="22"/>
        <v>-2.8799120206646211E-21</v>
      </c>
      <c r="G92" s="16">
        <v>2651</v>
      </c>
      <c r="H92" s="13">
        <f t="shared" si="23"/>
        <v>-7.6346467667819104E-18</v>
      </c>
      <c r="J92" s="168"/>
      <c r="K92" s="167"/>
    </row>
    <row r="93" spans="1:11" x14ac:dyDescent="0.2">
      <c r="A93" s="52">
        <f t="shared" si="18"/>
        <v>85</v>
      </c>
      <c r="B93" s="172" t="str">
        <f t="shared" si="24"/>
        <v>54E</v>
      </c>
      <c r="C93" s="83" t="s">
        <v>13</v>
      </c>
      <c r="D93" s="169" t="s">
        <v>16</v>
      </c>
      <c r="E93" s="202">
        <v>2.38</v>
      </c>
      <c r="F93" s="14">
        <f t="shared" si="22"/>
        <v>-4.0318768289304694E-21</v>
      </c>
      <c r="G93" s="16">
        <v>35407</v>
      </c>
      <c r="H93" s="13">
        <f t="shared" si="23"/>
        <v>-1.4275666288194114E-16</v>
      </c>
      <c r="J93" s="168"/>
      <c r="K93" s="167"/>
    </row>
    <row r="94" spans="1:11" x14ac:dyDescent="0.2">
      <c r="A94" s="52">
        <f t="shared" si="18"/>
        <v>86</v>
      </c>
      <c r="B94" s="172" t="str">
        <f t="shared" si="24"/>
        <v>54E</v>
      </c>
      <c r="C94" s="83" t="s">
        <v>13</v>
      </c>
      <c r="D94" s="169" t="s">
        <v>17</v>
      </c>
      <c r="E94" s="202">
        <v>3.0700000000000003</v>
      </c>
      <c r="F94" s="14">
        <f t="shared" si="22"/>
        <v>-5.2007822961414046E-21</v>
      </c>
      <c r="G94" s="16">
        <v>12747</v>
      </c>
      <c r="H94" s="13">
        <f t="shared" si="23"/>
        <v>-6.6294371928914479E-17</v>
      </c>
      <c r="J94" s="168"/>
      <c r="K94" s="167"/>
    </row>
    <row r="95" spans="1:11" x14ac:dyDescent="0.2">
      <c r="A95" s="52">
        <f t="shared" si="18"/>
        <v>87</v>
      </c>
      <c r="B95" s="172" t="str">
        <f t="shared" si="24"/>
        <v>54E</v>
      </c>
      <c r="C95" s="83" t="s">
        <v>13</v>
      </c>
      <c r="D95" s="169" t="s">
        <v>18</v>
      </c>
      <c r="E95" s="202">
        <v>3.75</v>
      </c>
      <c r="F95" s="14">
        <f t="shared" si="22"/>
        <v>-6.3527471044072525E-21</v>
      </c>
      <c r="G95" s="16">
        <v>5352</v>
      </c>
      <c r="H95" s="13">
        <f t="shared" si="23"/>
        <v>-3.3999902502787616E-17</v>
      </c>
      <c r="J95" s="168"/>
      <c r="K95" s="167"/>
    </row>
    <row r="96" spans="1:11" x14ac:dyDescent="0.2">
      <c r="A96" s="52">
        <f t="shared" si="18"/>
        <v>88</v>
      </c>
      <c r="B96" s="172" t="str">
        <f t="shared" si="24"/>
        <v>54E</v>
      </c>
      <c r="C96" s="83" t="s">
        <v>13</v>
      </c>
      <c r="D96" s="169" t="s">
        <v>19</v>
      </c>
      <c r="E96" s="202">
        <v>4.43</v>
      </c>
      <c r="F96" s="14">
        <f t="shared" si="22"/>
        <v>-7.5047119126731005E-21</v>
      </c>
      <c r="G96" s="16">
        <v>1866</v>
      </c>
      <c r="H96" s="13">
        <f t="shared" si="23"/>
        <v>-1.4003792429048005E-17</v>
      </c>
      <c r="J96" s="168"/>
      <c r="K96" s="167"/>
    </row>
    <row r="97" spans="1:11" x14ac:dyDescent="0.2">
      <c r="A97" s="52">
        <f t="shared" si="18"/>
        <v>89</v>
      </c>
      <c r="B97" s="172" t="str">
        <f t="shared" si="24"/>
        <v>54E</v>
      </c>
      <c r="C97" s="83" t="s">
        <v>13</v>
      </c>
      <c r="D97" s="169" t="s">
        <v>20</v>
      </c>
      <c r="E97" s="202">
        <v>5.12</v>
      </c>
      <c r="F97" s="14">
        <f t="shared" si="22"/>
        <v>-8.6736173798840357E-21</v>
      </c>
      <c r="G97" s="16">
        <v>468</v>
      </c>
      <c r="H97" s="13">
        <f t="shared" si="23"/>
        <v>-4.0592529337857284E-18</v>
      </c>
      <c r="J97" s="168"/>
      <c r="K97" s="167"/>
    </row>
    <row r="98" spans="1:11" x14ac:dyDescent="0.2">
      <c r="A98" s="52">
        <f t="shared" si="18"/>
        <v>90</v>
      </c>
      <c r="B98" s="172" t="str">
        <f t="shared" si="24"/>
        <v>54E</v>
      </c>
      <c r="C98" s="83" t="s">
        <v>13</v>
      </c>
      <c r="D98" s="169" t="s">
        <v>21</v>
      </c>
      <c r="E98" s="202">
        <v>5.8</v>
      </c>
      <c r="F98" s="14">
        <f t="shared" si="22"/>
        <v>-9.8255821881498836E-21</v>
      </c>
      <c r="G98" s="16">
        <v>47</v>
      </c>
      <c r="H98" s="13">
        <f t="shared" si="23"/>
        <v>-4.6180236284304449E-19</v>
      </c>
      <c r="J98" s="168"/>
      <c r="K98" s="167"/>
    </row>
    <row r="99" spans="1:11" x14ac:dyDescent="0.2">
      <c r="A99" s="52">
        <f t="shared" si="18"/>
        <v>91</v>
      </c>
      <c r="B99" s="172" t="str">
        <f t="shared" si="24"/>
        <v>54E</v>
      </c>
      <c r="C99" s="83" t="s">
        <v>13</v>
      </c>
      <c r="D99" s="169" t="s">
        <v>22</v>
      </c>
      <c r="E99" s="202">
        <v>6.48</v>
      </c>
      <c r="F99" s="14">
        <f t="shared" si="22"/>
        <v>-1.0977546996415733E-20</v>
      </c>
      <c r="G99" s="203">
        <v>0</v>
      </c>
      <c r="H99" s="13">
        <f t="shared" si="23"/>
        <v>0</v>
      </c>
      <c r="J99" s="168"/>
      <c r="K99" s="167"/>
    </row>
    <row r="100" spans="1:11" x14ac:dyDescent="0.2">
      <c r="A100" s="52">
        <f t="shared" si="18"/>
        <v>92</v>
      </c>
      <c r="B100" s="170"/>
      <c r="C100" s="83"/>
      <c r="D100" s="169"/>
      <c r="E100" s="202"/>
      <c r="F100" s="14"/>
      <c r="G100" s="16"/>
      <c r="H100" s="12"/>
      <c r="J100" s="168"/>
      <c r="K100" s="167"/>
    </row>
    <row r="101" spans="1:11" ht="13.5" x14ac:dyDescent="0.35">
      <c r="A101" s="52">
        <f t="shared" si="18"/>
        <v>93</v>
      </c>
      <c r="B101" s="173" t="s">
        <v>26</v>
      </c>
      <c r="C101" s="83"/>
      <c r="D101" s="169"/>
      <c r="E101" s="202"/>
      <c r="F101" s="14"/>
      <c r="G101" s="16"/>
      <c r="H101" s="12"/>
      <c r="J101" s="168"/>
      <c r="K101" s="167"/>
    </row>
    <row r="102" spans="1:11" x14ac:dyDescent="0.2">
      <c r="A102" s="52">
        <f t="shared" si="18"/>
        <v>94</v>
      </c>
      <c r="B102" s="172" t="s">
        <v>27</v>
      </c>
      <c r="C102" s="83" t="s">
        <v>8</v>
      </c>
      <c r="D102" s="169">
        <v>70</v>
      </c>
      <c r="E102" s="202">
        <v>1.6</v>
      </c>
      <c r="F102" s="14">
        <f t="shared" ref="F102:F107" si="25">E102*$H$168</f>
        <v>-2.7105054312137612E-21</v>
      </c>
      <c r="G102" s="16">
        <v>163</v>
      </c>
      <c r="H102" s="13">
        <f t="shared" ref="H102:H107" si="26">F102*G102</f>
        <v>-4.4181238528784308E-19</v>
      </c>
      <c r="J102" s="168"/>
      <c r="K102" s="167"/>
    </row>
    <row r="103" spans="1:11" x14ac:dyDescent="0.2">
      <c r="A103" s="52">
        <f t="shared" si="18"/>
        <v>95</v>
      </c>
      <c r="B103" s="170" t="str">
        <f>+B102</f>
        <v>55E &amp; 56E</v>
      </c>
      <c r="C103" s="83" t="s">
        <v>8</v>
      </c>
      <c r="D103" s="169">
        <v>100</v>
      </c>
      <c r="E103" s="202">
        <v>2.2799999999999998</v>
      </c>
      <c r="F103" s="14">
        <f t="shared" si="25"/>
        <v>-3.8624702394796092E-21</v>
      </c>
      <c r="G103" s="16">
        <v>40180</v>
      </c>
      <c r="H103" s="13">
        <f t="shared" si="26"/>
        <v>-1.551940542222907E-16</v>
      </c>
      <c r="J103" s="168"/>
      <c r="K103" s="167"/>
    </row>
    <row r="104" spans="1:11" x14ac:dyDescent="0.2">
      <c r="A104" s="52">
        <f t="shared" si="18"/>
        <v>96</v>
      </c>
      <c r="B104" s="170" t="str">
        <f>+B103</f>
        <v>55E &amp; 56E</v>
      </c>
      <c r="C104" s="83" t="s">
        <v>8</v>
      </c>
      <c r="D104" s="169">
        <v>150</v>
      </c>
      <c r="E104" s="202">
        <v>3.42</v>
      </c>
      <c r="F104" s="14">
        <f t="shared" si="25"/>
        <v>-5.7937053592194142E-21</v>
      </c>
      <c r="G104" s="16">
        <v>5432</v>
      </c>
      <c r="H104" s="13">
        <f t="shared" si="26"/>
        <v>-3.1471407511279856E-17</v>
      </c>
      <c r="J104" s="168"/>
      <c r="K104" s="167"/>
    </row>
    <row r="105" spans="1:11" x14ac:dyDescent="0.2">
      <c r="A105" s="52">
        <f t="shared" si="18"/>
        <v>97</v>
      </c>
      <c r="B105" s="170" t="str">
        <f>+B104</f>
        <v>55E &amp; 56E</v>
      </c>
      <c r="C105" s="83" t="s">
        <v>8</v>
      </c>
      <c r="D105" s="169">
        <v>200</v>
      </c>
      <c r="E105" s="202">
        <v>4.5599999999999996</v>
      </c>
      <c r="F105" s="14">
        <f t="shared" si="25"/>
        <v>-7.7249404789592184E-21</v>
      </c>
      <c r="G105" s="16">
        <v>11220</v>
      </c>
      <c r="H105" s="13">
        <f t="shared" si="26"/>
        <v>-8.6673832173922433E-17</v>
      </c>
      <c r="J105" s="168"/>
      <c r="K105" s="167"/>
    </row>
    <row r="106" spans="1:11" x14ac:dyDescent="0.2">
      <c r="A106" s="52">
        <f t="shared" ref="A106:A137" si="27">+A105+1</f>
        <v>98</v>
      </c>
      <c r="B106" s="170" t="str">
        <f>+B105</f>
        <v>55E &amp; 56E</v>
      </c>
      <c r="C106" s="83" t="s">
        <v>8</v>
      </c>
      <c r="D106" s="169">
        <v>250</v>
      </c>
      <c r="E106" s="202">
        <v>5.6999999999999993</v>
      </c>
      <c r="F106" s="14">
        <f t="shared" si="25"/>
        <v>-9.6561755986990227E-21</v>
      </c>
      <c r="G106" s="16">
        <v>1183</v>
      </c>
      <c r="H106" s="13">
        <f t="shared" si="26"/>
        <v>-1.1423255733260944E-17</v>
      </c>
      <c r="J106" s="168"/>
      <c r="K106" s="167"/>
    </row>
    <row r="107" spans="1:11" x14ac:dyDescent="0.2">
      <c r="A107" s="52">
        <f t="shared" si="27"/>
        <v>99</v>
      </c>
      <c r="B107" s="170" t="str">
        <f>+B106</f>
        <v>55E &amp; 56E</v>
      </c>
      <c r="C107" s="83" t="s">
        <v>8</v>
      </c>
      <c r="D107" s="169">
        <v>400</v>
      </c>
      <c r="E107" s="202">
        <v>9.1199999999999992</v>
      </c>
      <c r="F107" s="14">
        <f t="shared" si="25"/>
        <v>-1.5449880957918437E-20</v>
      </c>
      <c r="G107" s="16">
        <v>414</v>
      </c>
      <c r="H107" s="13">
        <f t="shared" si="26"/>
        <v>-6.3962507165782331E-18</v>
      </c>
      <c r="J107" s="168"/>
      <c r="K107" s="167"/>
    </row>
    <row r="108" spans="1:11" x14ac:dyDescent="0.2">
      <c r="A108" s="52">
        <f t="shared" si="27"/>
        <v>100</v>
      </c>
      <c r="B108" s="170"/>
      <c r="C108" s="83"/>
      <c r="D108" s="169"/>
      <c r="E108" s="202"/>
      <c r="F108" s="14"/>
      <c r="G108" s="16"/>
      <c r="H108" s="12"/>
      <c r="J108" s="168"/>
      <c r="K108" s="167"/>
    </row>
    <row r="109" spans="1:11" x14ac:dyDescent="0.2">
      <c r="A109" s="52">
        <f t="shared" si="27"/>
        <v>101</v>
      </c>
      <c r="B109" s="170" t="str">
        <f>+B107</f>
        <v>55E &amp; 56E</v>
      </c>
      <c r="C109" s="83" t="s">
        <v>24</v>
      </c>
      <c r="D109" s="169">
        <v>250</v>
      </c>
      <c r="E109" s="202">
        <v>5.6999999999999993</v>
      </c>
      <c r="F109" s="14">
        <f>E109*$H$168</f>
        <v>-9.6561755986990227E-21</v>
      </c>
      <c r="G109" s="16">
        <v>80</v>
      </c>
      <c r="H109" s="13">
        <f>F109*G109</f>
        <v>-7.7249404789592181E-19</v>
      </c>
      <c r="J109" s="168"/>
      <c r="K109" s="167"/>
    </row>
    <row r="110" spans="1:11" x14ac:dyDescent="0.2">
      <c r="A110" s="52">
        <f t="shared" si="27"/>
        <v>102</v>
      </c>
      <c r="B110" s="170"/>
      <c r="C110" s="83"/>
      <c r="D110" s="169"/>
      <c r="E110" s="202"/>
      <c r="F110" s="14"/>
      <c r="G110" s="16"/>
      <c r="H110" s="12"/>
      <c r="J110" s="168"/>
      <c r="K110" s="167"/>
    </row>
    <row r="111" spans="1:11" x14ac:dyDescent="0.2">
      <c r="A111" s="52">
        <f t="shared" si="27"/>
        <v>103</v>
      </c>
      <c r="B111" s="170" t="s">
        <v>27</v>
      </c>
      <c r="C111" s="83" t="s">
        <v>13</v>
      </c>
      <c r="D111" s="91" t="s">
        <v>49</v>
      </c>
      <c r="E111" s="202">
        <v>0.35</v>
      </c>
      <c r="F111" s="14">
        <f t="shared" ref="F111:F120" si="28">E111*$H$168</f>
        <v>-5.929230630780102E-22</v>
      </c>
      <c r="G111" s="16">
        <v>41</v>
      </c>
      <c r="H111" s="13">
        <f t="shared" ref="H111:H120" si="29">F111*G111</f>
        <v>-2.4309845586198419E-20</v>
      </c>
      <c r="J111" s="168"/>
      <c r="K111" s="167"/>
    </row>
    <row r="112" spans="1:11" x14ac:dyDescent="0.2">
      <c r="A112" s="52">
        <f t="shared" si="27"/>
        <v>104</v>
      </c>
      <c r="B112" s="170" t="s">
        <v>27</v>
      </c>
      <c r="C112" s="83" t="s">
        <v>13</v>
      </c>
      <c r="D112" s="171" t="s">
        <v>14</v>
      </c>
      <c r="E112" s="202">
        <v>1.03</v>
      </c>
      <c r="F112" s="14">
        <f t="shared" si="28"/>
        <v>-1.7448878713438587E-21</v>
      </c>
      <c r="G112" s="16">
        <v>9512</v>
      </c>
      <c r="H112" s="13">
        <f t="shared" si="29"/>
        <v>-1.6597373432222785E-17</v>
      </c>
      <c r="J112" s="168"/>
      <c r="K112" s="167"/>
    </row>
    <row r="113" spans="1:11" x14ac:dyDescent="0.2">
      <c r="A113" s="52">
        <f t="shared" si="27"/>
        <v>105</v>
      </c>
      <c r="B113" s="170" t="s">
        <v>27</v>
      </c>
      <c r="C113" s="83" t="s">
        <v>13</v>
      </c>
      <c r="D113" s="169" t="s">
        <v>15</v>
      </c>
      <c r="E113" s="202">
        <v>1.71</v>
      </c>
      <c r="F113" s="14">
        <f t="shared" si="28"/>
        <v>-2.8968526796097071E-21</v>
      </c>
      <c r="G113" s="16">
        <v>404</v>
      </c>
      <c r="H113" s="13">
        <f t="shared" si="29"/>
        <v>-1.1703284825623217E-18</v>
      </c>
      <c r="J113" s="168"/>
      <c r="K113" s="167"/>
    </row>
    <row r="114" spans="1:11" x14ac:dyDescent="0.2">
      <c r="A114" s="52">
        <f t="shared" si="27"/>
        <v>106</v>
      </c>
      <c r="B114" s="170" t="s">
        <v>27</v>
      </c>
      <c r="C114" s="83" t="s">
        <v>13</v>
      </c>
      <c r="D114" s="169" t="s">
        <v>16</v>
      </c>
      <c r="E114" s="202">
        <v>2.39</v>
      </c>
      <c r="F114" s="14">
        <f t="shared" si="28"/>
        <v>-4.0488174878755558E-21</v>
      </c>
      <c r="G114" s="16">
        <v>2079</v>
      </c>
      <c r="H114" s="13">
        <f t="shared" si="29"/>
        <v>-8.4174915572932808E-18</v>
      </c>
      <c r="J114" s="168"/>
      <c r="K114" s="167"/>
    </row>
    <row r="115" spans="1:11" x14ac:dyDescent="0.2">
      <c r="A115" s="52">
        <f t="shared" si="27"/>
        <v>107</v>
      </c>
      <c r="B115" s="170" t="s">
        <v>27</v>
      </c>
      <c r="C115" s="83" t="s">
        <v>13</v>
      </c>
      <c r="D115" s="169" t="s">
        <v>17</v>
      </c>
      <c r="E115" s="202">
        <v>3.08</v>
      </c>
      <c r="F115" s="14">
        <f t="shared" si="28"/>
        <v>-5.2177229550864902E-21</v>
      </c>
      <c r="G115" s="16">
        <v>0</v>
      </c>
      <c r="H115" s="13">
        <f t="shared" si="29"/>
        <v>0</v>
      </c>
      <c r="J115" s="168"/>
      <c r="K115" s="167"/>
    </row>
    <row r="116" spans="1:11" x14ac:dyDescent="0.2">
      <c r="A116" s="52">
        <f t="shared" si="27"/>
        <v>108</v>
      </c>
      <c r="B116" s="170" t="s">
        <v>27</v>
      </c>
      <c r="C116" s="83" t="s">
        <v>13</v>
      </c>
      <c r="D116" s="169" t="s">
        <v>18</v>
      </c>
      <c r="E116" s="202">
        <v>3.76</v>
      </c>
      <c r="F116" s="14">
        <f t="shared" si="28"/>
        <v>-6.3696877633523382E-21</v>
      </c>
      <c r="G116" s="16">
        <v>0</v>
      </c>
      <c r="H116" s="13">
        <f t="shared" si="29"/>
        <v>0</v>
      </c>
      <c r="J116" s="168"/>
      <c r="K116" s="167"/>
    </row>
    <row r="117" spans="1:11" x14ac:dyDescent="0.2">
      <c r="A117" s="52">
        <f t="shared" si="27"/>
        <v>109</v>
      </c>
      <c r="B117" s="170" t="s">
        <v>27</v>
      </c>
      <c r="C117" s="83" t="s">
        <v>13</v>
      </c>
      <c r="D117" s="169" t="s">
        <v>19</v>
      </c>
      <c r="E117" s="202">
        <v>4.4400000000000004</v>
      </c>
      <c r="F117" s="14">
        <f t="shared" si="28"/>
        <v>-7.5216525716181877E-21</v>
      </c>
      <c r="G117" s="16">
        <v>0</v>
      </c>
      <c r="H117" s="13">
        <f t="shared" si="29"/>
        <v>0</v>
      </c>
      <c r="J117" s="168"/>
      <c r="K117" s="167"/>
    </row>
    <row r="118" spans="1:11" x14ac:dyDescent="0.2">
      <c r="A118" s="52">
        <f t="shared" si="27"/>
        <v>110</v>
      </c>
      <c r="B118" s="170" t="s">
        <v>27</v>
      </c>
      <c r="C118" s="83" t="s">
        <v>13</v>
      </c>
      <c r="D118" s="169" t="s">
        <v>20</v>
      </c>
      <c r="E118" s="202">
        <v>5.13</v>
      </c>
      <c r="F118" s="14">
        <f t="shared" si="28"/>
        <v>-8.6905580388291213E-21</v>
      </c>
      <c r="G118" s="16">
        <v>0</v>
      </c>
      <c r="H118" s="13">
        <f t="shared" si="29"/>
        <v>0</v>
      </c>
      <c r="J118" s="168"/>
      <c r="K118" s="167"/>
    </row>
    <row r="119" spans="1:11" x14ac:dyDescent="0.2">
      <c r="A119" s="52">
        <f t="shared" si="27"/>
        <v>111</v>
      </c>
      <c r="B119" s="170" t="s">
        <v>27</v>
      </c>
      <c r="C119" s="83" t="s">
        <v>13</v>
      </c>
      <c r="D119" s="169" t="s">
        <v>21</v>
      </c>
      <c r="E119" s="202">
        <v>5.8100000000000005</v>
      </c>
      <c r="F119" s="14">
        <f t="shared" si="28"/>
        <v>-9.8425228470949708E-21</v>
      </c>
      <c r="G119" s="16">
        <v>0</v>
      </c>
      <c r="H119" s="13">
        <f>F119*G119</f>
        <v>0</v>
      </c>
      <c r="J119" s="168"/>
      <c r="K119" s="167"/>
    </row>
    <row r="120" spans="1:11" x14ac:dyDescent="0.2">
      <c r="A120" s="52">
        <f t="shared" si="27"/>
        <v>112</v>
      </c>
      <c r="B120" s="170" t="s">
        <v>27</v>
      </c>
      <c r="C120" s="83" t="s">
        <v>13</v>
      </c>
      <c r="D120" s="169" t="s">
        <v>22</v>
      </c>
      <c r="E120" s="202">
        <v>6.5</v>
      </c>
      <c r="F120" s="14">
        <f t="shared" si="28"/>
        <v>-1.1011428314305904E-20</v>
      </c>
      <c r="G120" s="16">
        <v>0</v>
      </c>
      <c r="H120" s="13">
        <f t="shared" si="29"/>
        <v>0</v>
      </c>
      <c r="J120" s="168"/>
      <c r="K120" s="167"/>
    </row>
    <row r="121" spans="1:11" x14ac:dyDescent="0.2">
      <c r="A121" s="52">
        <f t="shared" si="27"/>
        <v>113</v>
      </c>
      <c r="B121" s="170"/>
      <c r="C121" s="83"/>
      <c r="D121" s="169"/>
      <c r="E121" s="202"/>
      <c r="F121" s="14"/>
      <c r="G121" s="16"/>
      <c r="H121" s="12"/>
      <c r="J121" s="168"/>
      <c r="K121" s="167"/>
    </row>
    <row r="122" spans="1:11" ht="13.5" x14ac:dyDescent="0.35">
      <c r="A122" s="52">
        <f t="shared" si="27"/>
        <v>114</v>
      </c>
      <c r="B122" s="173" t="s">
        <v>38</v>
      </c>
      <c r="C122" s="83"/>
      <c r="D122" s="169"/>
      <c r="E122" s="202"/>
      <c r="F122" s="14"/>
      <c r="G122" s="16"/>
      <c r="H122" s="12"/>
      <c r="J122" s="168"/>
      <c r="K122" s="167"/>
    </row>
    <row r="123" spans="1:11" x14ac:dyDescent="0.2">
      <c r="A123" s="52">
        <f t="shared" si="27"/>
        <v>115</v>
      </c>
      <c r="B123" s="170" t="s">
        <v>39</v>
      </c>
      <c r="C123" s="83" t="s">
        <v>40</v>
      </c>
      <c r="D123" s="174">
        <v>0</v>
      </c>
      <c r="E123" s="204">
        <v>4.2689999999999999E-2</v>
      </c>
      <c r="F123" s="205">
        <f>E123*$H$168</f>
        <v>-7.2319673036572161E-23</v>
      </c>
      <c r="G123" s="16">
        <v>5266504</v>
      </c>
      <c r="H123" s="13">
        <f>F123*G123</f>
        <v>-3.8087184732579942E-16</v>
      </c>
      <c r="J123" s="168"/>
      <c r="K123" s="167"/>
    </row>
    <row r="124" spans="1:11" x14ac:dyDescent="0.2">
      <c r="A124" s="52">
        <f t="shared" si="27"/>
        <v>116</v>
      </c>
      <c r="B124" s="170"/>
      <c r="C124" s="83"/>
      <c r="D124" s="169"/>
      <c r="E124" s="202"/>
      <c r="F124" s="14"/>
      <c r="G124" s="16"/>
      <c r="H124" s="12"/>
      <c r="J124" s="168"/>
      <c r="K124" s="167"/>
    </row>
    <row r="125" spans="1:11" ht="13.5" x14ac:dyDescent="0.35">
      <c r="A125" s="52">
        <f t="shared" si="27"/>
        <v>117</v>
      </c>
      <c r="B125" s="173" t="s">
        <v>28</v>
      </c>
      <c r="C125" s="83"/>
      <c r="D125" s="169"/>
      <c r="E125" s="202"/>
      <c r="F125" s="14"/>
      <c r="G125" s="16"/>
      <c r="H125" s="12"/>
      <c r="J125" s="168"/>
      <c r="K125" s="167"/>
    </row>
    <row r="126" spans="1:11" x14ac:dyDescent="0.2">
      <c r="A126" s="52">
        <f t="shared" si="27"/>
        <v>118</v>
      </c>
      <c r="B126" s="172" t="s">
        <v>29</v>
      </c>
      <c r="C126" s="83" t="s">
        <v>8</v>
      </c>
      <c r="D126" s="169">
        <v>70</v>
      </c>
      <c r="E126" s="202">
        <v>1.6</v>
      </c>
      <c r="F126" s="14">
        <f t="shared" ref="F126:F131" si="30">E126*$H$168</f>
        <v>-2.7105054312137612E-21</v>
      </c>
      <c r="G126" s="16">
        <v>584</v>
      </c>
      <c r="H126" s="13">
        <f t="shared" ref="H126:H131" si="31">F126*G126</f>
        <v>-1.5829351718288366E-18</v>
      </c>
      <c r="J126" s="168"/>
      <c r="K126" s="167"/>
    </row>
    <row r="127" spans="1:11" x14ac:dyDescent="0.2">
      <c r="A127" s="52">
        <f t="shared" si="27"/>
        <v>119</v>
      </c>
      <c r="B127" s="170" t="str">
        <f>+B126</f>
        <v>58E &amp; 59E - Directional</v>
      </c>
      <c r="C127" s="83" t="s">
        <v>8</v>
      </c>
      <c r="D127" s="169">
        <v>100</v>
      </c>
      <c r="E127" s="202">
        <v>2.2799999999999998</v>
      </c>
      <c r="F127" s="14">
        <f t="shared" si="30"/>
        <v>-3.8624702394796092E-21</v>
      </c>
      <c r="G127" s="16">
        <v>119</v>
      </c>
      <c r="H127" s="13">
        <f t="shared" si="31"/>
        <v>-4.5963395849807352E-19</v>
      </c>
      <c r="J127" s="168"/>
      <c r="K127" s="167"/>
    </row>
    <row r="128" spans="1:11" x14ac:dyDescent="0.2">
      <c r="A128" s="52">
        <f t="shared" si="27"/>
        <v>120</v>
      </c>
      <c r="B128" s="170" t="str">
        <f>+B127</f>
        <v>58E &amp; 59E - Directional</v>
      </c>
      <c r="C128" s="83" t="s">
        <v>8</v>
      </c>
      <c r="D128" s="169">
        <v>150</v>
      </c>
      <c r="E128" s="202">
        <v>3.42</v>
      </c>
      <c r="F128" s="14">
        <f t="shared" si="30"/>
        <v>-5.7937053592194142E-21</v>
      </c>
      <c r="G128" s="16">
        <v>1635</v>
      </c>
      <c r="H128" s="13">
        <f t="shared" si="31"/>
        <v>-9.4727082623237421E-18</v>
      </c>
      <c r="J128" s="168"/>
      <c r="K128" s="167"/>
    </row>
    <row r="129" spans="1:11" x14ac:dyDescent="0.2">
      <c r="A129" s="52">
        <f t="shared" si="27"/>
        <v>121</v>
      </c>
      <c r="B129" s="170" t="str">
        <f>+B128</f>
        <v>58E &amp; 59E - Directional</v>
      </c>
      <c r="C129" s="83" t="s">
        <v>8</v>
      </c>
      <c r="D129" s="169">
        <v>200</v>
      </c>
      <c r="E129" s="202">
        <v>4.5599999999999996</v>
      </c>
      <c r="F129" s="14">
        <f t="shared" si="30"/>
        <v>-7.7249404789592184E-21</v>
      </c>
      <c r="G129" s="16">
        <v>2918</v>
      </c>
      <c r="H129" s="13">
        <f t="shared" si="31"/>
        <v>-2.2541376317602998E-17</v>
      </c>
      <c r="J129" s="168"/>
      <c r="K129" s="167"/>
    </row>
    <row r="130" spans="1:11" x14ac:dyDescent="0.2">
      <c r="A130" s="52">
        <f t="shared" si="27"/>
        <v>122</v>
      </c>
      <c r="B130" s="170" t="str">
        <f>+B129</f>
        <v>58E &amp; 59E - Directional</v>
      </c>
      <c r="C130" s="83" t="s">
        <v>8</v>
      </c>
      <c r="D130" s="169">
        <v>250</v>
      </c>
      <c r="E130" s="202">
        <v>5.6999999999999993</v>
      </c>
      <c r="F130" s="14">
        <f t="shared" si="30"/>
        <v>-9.6561755986990227E-21</v>
      </c>
      <c r="G130" s="16">
        <v>441</v>
      </c>
      <c r="H130" s="13">
        <f t="shared" si="31"/>
        <v>-4.2583734390262692E-18</v>
      </c>
      <c r="J130" s="168"/>
      <c r="K130" s="167"/>
    </row>
    <row r="131" spans="1:11" x14ac:dyDescent="0.2">
      <c r="A131" s="52">
        <f t="shared" si="27"/>
        <v>123</v>
      </c>
      <c r="B131" s="170" t="str">
        <f>+B130</f>
        <v>58E &amp; 59E - Directional</v>
      </c>
      <c r="C131" s="83" t="s">
        <v>8</v>
      </c>
      <c r="D131" s="169">
        <v>400</v>
      </c>
      <c r="E131" s="202">
        <v>9.1199999999999992</v>
      </c>
      <c r="F131" s="14">
        <f t="shared" si="30"/>
        <v>-1.5449880957918437E-20</v>
      </c>
      <c r="G131" s="16">
        <v>3843</v>
      </c>
      <c r="H131" s="13">
        <f t="shared" si="31"/>
        <v>-5.9373892521280552E-17</v>
      </c>
      <c r="J131" s="168"/>
      <c r="K131" s="167"/>
    </row>
    <row r="132" spans="1:11" x14ac:dyDescent="0.2">
      <c r="A132" s="52">
        <f t="shared" si="27"/>
        <v>124</v>
      </c>
      <c r="B132" s="170"/>
      <c r="C132" s="83"/>
      <c r="D132" s="169"/>
      <c r="E132" s="202"/>
      <c r="F132" s="14"/>
      <c r="G132" s="16"/>
      <c r="H132" s="12"/>
      <c r="J132" s="168"/>
      <c r="K132" s="167"/>
    </row>
    <row r="133" spans="1:11" x14ac:dyDescent="0.2">
      <c r="A133" s="52">
        <f t="shared" si="27"/>
        <v>125</v>
      </c>
      <c r="B133" s="172" t="s">
        <v>30</v>
      </c>
      <c r="C133" s="83" t="s">
        <v>8</v>
      </c>
      <c r="D133" s="169">
        <v>100</v>
      </c>
      <c r="E133" s="202">
        <v>2.2799999999999998</v>
      </c>
      <c r="F133" s="14">
        <f>E133*$H$168</f>
        <v>-3.8624702394796092E-21</v>
      </c>
      <c r="G133" s="203">
        <v>0</v>
      </c>
      <c r="H133" s="13">
        <f>F133*G133</f>
        <v>0</v>
      </c>
      <c r="J133" s="168"/>
      <c r="K133" s="167"/>
    </row>
    <row r="134" spans="1:11" x14ac:dyDescent="0.2">
      <c r="A134" s="52">
        <f t="shared" si="27"/>
        <v>126</v>
      </c>
      <c r="B134" s="170" t="str">
        <f>B133</f>
        <v>58E &amp; 59E - Horizontal</v>
      </c>
      <c r="C134" s="83" t="s">
        <v>8</v>
      </c>
      <c r="D134" s="169">
        <v>150</v>
      </c>
      <c r="E134" s="202">
        <v>3.42</v>
      </c>
      <c r="F134" s="14">
        <f>E134*$H$168</f>
        <v>-5.7937053592194142E-21</v>
      </c>
      <c r="G134" s="16">
        <v>163</v>
      </c>
      <c r="H134" s="13">
        <f>F134*G134</f>
        <v>-9.443739735527646E-19</v>
      </c>
      <c r="J134" s="168"/>
      <c r="K134" s="167"/>
    </row>
    <row r="135" spans="1:11" x14ac:dyDescent="0.2">
      <c r="A135" s="52">
        <f t="shared" si="27"/>
        <v>127</v>
      </c>
      <c r="B135" s="170" t="str">
        <f>B134</f>
        <v>58E &amp; 59E - Horizontal</v>
      </c>
      <c r="C135" s="83" t="s">
        <v>8</v>
      </c>
      <c r="D135" s="169">
        <v>200</v>
      </c>
      <c r="E135" s="202">
        <v>4.5599999999999996</v>
      </c>
      <c r="F135" s="14">
        <f>E135*$H$168</f>
        <v>-7.7249404789592184E-21</v>
      </c>
      <c r="G135" s="16">
        <v>82</v>
      </c>
      <c r="H135" s="13">
        <f>F135*G135</f>
        <v>-6.334451192746559E-19</v>
      </c>
      <c r="J135" s="168"/>
      <c r="K135" s="167"/>
    </row>
    <row r="136" spans="1:11" x14ac:dyDescent="0.2">
      <c r="A136" s="52">
        <f t="shared" si="27"/>
        <v>128</v>
      </c>
      <c r="B136" s="170" t="str">
        <f>B135</f>
        <v>58E &amp; 59E - Horizontal</v>
      </c>
      <c r="C136" s="83" t="s">
        <v>8</v>
      </c>
      <c r="D136" s="169">
        <v>250</v>
      </c>
      <c r="E136" s="202">
        <v>5.6999999999999993</v>
      </c>
      <c r="F136" s="14">
        <f>E136*$H$168</f>
        <v>-9.6561755986990227E-21</v>
      </c>
      <c r="G136" s="16">
        <v>358</v>
      </c>
      <c r="H136" s="13">
        <f>F136*G136</f>
        <v>-3.45691086433425E-18</v>
      </c>
      <c r="J136" s="168"/>
      <c r="K136" s="167"/>
    </row>
    <row r="137" spans="1:11" x14ac:dyDescent="0.2">
      <c r="A137" s="52">
        <f t="shared" si="27"/>
        <v>129</v>
      </c>
      <c r="B137" s="170" t="str">
        <f>B136</f>
        <v>58E &amp; 59E - Horizontal</v>
      </c>
      <c r="C137" s="83" t="s">
        <v>8</v>
      </c>
      <c r="D137" s="169">
        <v>400</v>
      </c>
      <c r="E137" s="202">
        <v>9.1199999999999992</v>
      </c>
      <c r="F137" s="14">
        <f>E137*$H$168</f>
        <v>-1.5449880957918437E-20</v>
      </c>
      <c r="G137" s="16">
        <v>523</v>
      </c>
      <c r="H137" s="13">
        <f>F137*G137</f>
        <v>-8.080287740991342E-18</v>
      </c>
      <c r="J137" s="168"/>
      <c r="K137" s="167"/>
    </row>
    <row r="138" spans="1:11" x14ac:dyDescent="0.2">
      <c r="A138" s="52">
        <f t="shared" ref="A138:A171" si="32">+A137+1</f>
        <v>130</v>
      </c>
      <c r="B138" s="170"/>
      <c r="C138" s="83"/>
      <c r="D138" s="169"/>
      <c r="E138" s="202"/>
      <c r="F138" s="14"/>
      <c r="G138" s="16"/>
      <c r="H138" s="12"/>
      <c r="J138" s="168"/>
      <c r="K138" s="167"/>
    </row>
    <row r="139" spans="1:11" x14ac:dyDescent="0.2">
      <c r="A139" s="52">
        <f t="shared" si="32"/>
        <v>131</v>
      </c>
      <c r="B139" s="170" t="str">
        <f>B127</f>
        <v>58E &amp; 59E - Directional</v>
      </c>
      <c r="C139" s="83" t="s">
        <v>24</v>
      </c>
      <c r="D139" s="169">
        <v>175</v>
      </c>
      <c r="E139" s="202">
        <v>3.9899999999999998</v>
      </c>
      <c r="F139" s="14">
        <f>E139*$H$168</f>
        <v>-6.7593229190893163E-21</v>
      </c>
      <c r="G139" s="16">
        <v>36</v>
      </c>
      <c r="H139" s="13">
        <f>F139*G139</f>
        <v>-2.4333562508721538E-19</v>
      </c>
      <c r="J139" s="168"/>
      <c r="K139" s="167"/>
    </row>
    <row r="140" spans="1:11" x14ac:dyDescent="0.2">
      <c r="A140" s="52">
        <f t="shared" si="32"/>
        <v>132</v>
      </c>
      <c r="B140" s="170" t="str">
        <f>B139</f>
        <v>58E &amp; 59E - Directional</v>
      </c>
      <c r="C140" s="83" t="s">
        <v>24</v>
      </c>
      <c r="D140" s="169">
        <v>250</v>
      </c>
      <c r="E140" s="202">
        <v>5.6999999999999993</v>
      </c>
      <c r="F140" s="14">
        <f>E140*$H$168</f>
        <v>-9.6561755986990227E-21</v>
      </c>
      <c r="G140" s="16">
        <v>173</v>
      </c>
      <c r="H140" s="13">
        <f>F140*G140</f>
        <v>-1.670518378574931E-18</v>
      </c>
      <c r="J140" s="168"/>
      <c r="K140" s="167"/>
    </row>
    <row r="141" spans="1:11" x14ac:dyDescent="0.2">
      <c r="A141" s="52">
        <f t="shared" si="32"/>
        <v>133</v>
      </c>
      <c r="B141" s="170" t="str">
        <f>B140</f>
        <v>58E &amp; 59E - Directional</v>
      </c>
      <c r="C141" s="83" t="s">
        <v>24</v>
      </c>
      <c r="D141" s="169">
        <v>400</v>
      </c>
      <c r="E141" s="202">
        <v>9.1199999999999992</v>
      </c>
      <c r="F141" s="14">
        <f>E141*$H$168</f>
        <v>-1.5449880957918437E-20</v>
      </c>
      <c r="G141" s="16">
        <v>907</v>
      </c>
      <c r="H141" s="13">
        <f>F141*G141</f>
        <v>-1.4013042028832024E-17</v>
      </c>
      <c r="J141" s="168"/>
      <c r="K141" s="167"/>
    </row>
    <row r="142" spans="1:11" x14ac:dyDescent="0.2">
      <c r="A142" s="52">
        <f t="shared" si="32"/>
        <v>134</v>
      </c>
      <c r="B142" s="170" t="str">
        <f>B141</f>
        <v>58E &amp; 59E - Directional</v>
      </c>
      <c r="C142" s="83" t="s">
        <v>24</v>
      </c>
      <c r="D142" s="169">
        <v>1000</v>
      </c>
      <c r="E142" s="202">
        <v>22.79</v>
      </c>
      <c r="F142" s="14">
        <f>E142*$H$168</f>
        <v>-3.8607761735851008E-20</v>
      </c>
      <c r="G142" s="16">
        <v>1361</v>
      </c>
      <c r="H142" s="13">
        <f>F142*G142</f>
        <v>-5.2545163722493222E-17</v>
      </c>
      <c r="J142" s="168"/>
      <c r="K142" s="167"/>
    </row>
    <row r="143" spans="1:11" x14ac:dyDescent="0.2">
      <c r="A143" s="52">
        <f t="shared" si="32"/>
        <v>135</v>
      </c>
      <c r="B143" s="170"/>
      <c r="C143" s="83"/>
      <c r="D143" s="169"/>
      <c r="E143" s="202"/>
      <c r="F143" s="14"/>
      <c r="G143" s="16"/>
      <c r="H143" s="12"/>
      <c r="J143" s="168"/>
      <c r="K143" s="167"/>
    </row>
    <row r="144" spans="1:11" x14ac:dyDescent="0.2">
      <c r="A144" s="52">
        <f t="shared" si="32"/>
        <v>136</v>
      </c>
      <c r="B144" s="170" t="str">
        <f>B133</f>
        <v>58E &amp; 59E - Horizontal</v>
      </c>
      <c r="C144" s="83" t="s">
        <v>24</v>
      </c>
      <c r="D144" s="169">
        <v>250</v>
      </c>
      <c r="E144" s="202">
        <v>5.6999999999999993</v>
      </c>
      <c r="F144" s="14">
        <f>E144*$H$168</f>
        <v>-9.6561755986990227E-21</v>
      </c>
      <c r="G144" s="16">
        <v>43</v>
      </c>
      <c r="H144" s="13">
        <f>F144*G144</f>
        <v>-4.1521555074405797E-19</v>
      </c>
      <c r="J144" s="168"/>
      <c r="K144" s="167"/>
    </row>
    <row r="145" spans="1:11" x14ac:dyDescent="0.2">
      <c r="A145" s="52">
        <f t="shared" si="32"/>
        <v>137</v>
      </c>
      <c r="B145" s="170" t="str">
        <f>B144</f>
        <v>58E &amp; 59E - Horizontal</v>
      </c>
      <c r="C145" s="83" t="s">
        <v>24</v>
      </c>
      <c r="D145" s="169">
        <v>400</v>
      </c>
      <c r="E145" s="202">
        <v>9.1199999999999992</v>
      </c>
      <c r="F145" s="14">
        <f>E145*$H$168</f>
        <v>-1.5449880957918437E-20</v>
      </c>
      <c r="G145" s="16">
        <v>455</v>
      </c>
      <c r="H145" s="13">
        <f>F145*G145</f>
        <v>-7.0296958358528884E-18</v>
      </c>
      <c r="J145" s="168"/>
      <c r="K145" s="167"/>
    </row>
    <row r="146" spans="1:11" x14ac:dyDescent="0.2">
      <c r="A146" s="52">
        <f t="shared" si="32"/>
        <v>138</v>
      </c>
      <c r="B146" s="170"/>
      <c r="C146" s="83"/>
      <c r="D146" s="169"/>
      <c r="E146" s="202"/>
      <c r="F146" s="14"/>
      <c r="G146" s="16"/>
      <c r="H146" s="12"/>
      <c r="J146" s="168"/>
      <c r="K146" s="167"/>
    </row>
    <row r="147" spans="1:11" x14ac:dyDescent="0.2">
      <c r="A147" s="52">
        <f t="shared" si="32"/>
        <v>139</v>
      </c>
      <c r="B147" s="170" t="s">
        <v>31</v>
      </c>
      <c r="C147" s="83" t="s">
        <v>13</v>
      </c>
      <c r="D147" s="91" t="s">
        <v>49</v>
      </c>
      <c r="E147" s="202">
        <v>0.35</v>
      </c>
      <c r="F147" s="14">
        <f t="shared" ref="F147:F162" si="33">E147*$H$168</f>
        <v>-5.929230630780102E-22</v>
      </c>
      <c r="G147" s="203">
        <v>0</v>
      </c>
      <c r="H147" s="13">
        <f t="shared" ref="H147:H162" si="34">F147*G147</f>
        <v>0</v>
      </c>
      <c r="J147" s="168"/>
      <c r="K147" s="167"/>
    </row>
    <row r="148" spans="1:11" x14ac:dyDescent="0.2">
      <c r="A148" s="52">
        <f t="shared" si="32"/>
        <v>140</v>
      </c>
      <c r="B148" s="170" t="s">
        <v>31</v>
      </c>
      <c r="C148" s="83" t="s">
        <v>13</v>
      </c>
      <c r="D148" s="171" t="s">
        <v>50</v>
      </c>
      <c r="E148" s="202">
        <v>1.03</v>
      </c>
      <c r="F148" s="14">
        <f t="shared" si="33"/>
        <v>-1.7448878713438587E-21</v>
      </c>
      <c r="G148" s="16">
        <v>81</v>
      </c>
      <c r="H148" s="13">
        <f t="shared" si="34"/>
        <v>-1.4133591757885257E-19</v>
      </c>
      <c r="J148" s="168"/>
      <c r="K148" s="167"/>
    </row>
    <row r="149" spans="1:11" x14ac:dyDescent="0.2">
      <c r="A149" s="52">
        <f t="shared" si="32"/>
        <v>141</v>
      </c>
      <c r="B149" s="170" t="str">
        <f t="shared" ref="B149:B162" si="35">B148</f>
        <v>58E &amp; 59E</v>
      </c>
      <c r="C149" s="83" t="s">
        <v>13</v>
      </c>
      <c r="D149" s="169" t="s">
        <v>15</v>
      </c>
      <c r="E149" s="202">
        <v>1.71</v>
      </c>
      <c r="F149" s="14">
        <f t="shared" si="33"/>
        <v>-2.8968526796097071E-21</v>
      </c>
      <c r="G149" s="16">
        <v>843</v>
      </c>
      <c r="H149" s="13">
        <f t="shared" si="34"/>
        <v>-2.4420468089109831E-18</v>
      </c>
      <c r="J149" s="168"/>
      <c r="K149" s="167"/>
    </row>
    <row r="150" spans="1:11" x14ac:dyDescent="0.2">
      <c r="A150" s="52">
        <f t="shared" si="32"/>
        <v>142</v>
      </c>
      <c r="B150" s="170" t="str">
        <f t="shared" si="35"/>
        <v>58E &amp; 59E</v>
      </c>
      <c r="C150" s="83" t="s">
        <v>13</v>
      </c>
      <c r="D150" s="169" t="s">
        <v>16</v>
      </c>
      <c r="E150" s="202">
        <v>2.39</v>
      </c>
      <c r="F150" s="14">
        <f t="shared" si="33"/>
        <v>-4.0488174878755558E-21</v>
      </c>
      <c r="G150" s="16">
        <v>190</v>
      </c>
      <c r="H150" s="13">
        <f t="shared" si="34"/>
        <v>-7.6927532269635561E-19</v>
      </c>
      <c r="J150" s="168"/>
      <c r="K150" s="167"/>
    </row>
    <row r="151" spans="1:11" x14ac:dyDescent="0.2">
      <c r="A151" s="52">
        <f t="shared" si="32"/>
        <v>143</v>
      </c>
      <c r="B151" s="170" t="str">
        <f t="shared" si="35"/>
        <v>58E &amp; 59E</v>
      </c>
      <c r="C151" s="83" t="s">
        <v>13</v>
      </c>
      <c r="D151" s="169" t="s">
        <v>17</v>
      </c>
      <c r="E151" s="202">
        <v>3.08</v>
      </c>
      <c r="F151" s="14">
        <f t="shared" si="33"/>
        <v>-5.2177229550864902E-21</v>
      </c>
      <c r="G151" s="16">
        <v>1792</v>
      </c>
      <c r="H151" s="13">
        <f t="shared" si="34"/>
        <v>-9.3501595355149912E-18</v>
      </c>
      <c r="J151" s="168"/>
      <c r="K151" s="167"/>
    </row>
    <row r="152" spans="1:11" x14ac:dyDescent="0.2">
      <c r="A152" s="52">
        <f t="shared" si="32"/>
        <v>144</v>
      </c>
      <c r="B152" s="170" t="str">
        <f t="shared" si="35"/>
        <v>58E &amp; 59E</v>
      </c>
      <c r="C152" s="83" t="s">
        <v>13</v>
      </c>
      <c r="D152" s="169" t="s">
        <v>18</v>
      </c>
      <c r="E152" s="202">
        <v>3.76</v>
      </c>
      <c r="F152" s="14">
        <f t="shared" si="33"/>
        <v>-6.3696877633523382E-21</v>
      </c>
      <c r="G152" s="16">
        <v>405</v>
      </c>
      <c r="H152" s="13">
        <f t="shared" si="34"/>
        <v>-2.579723544157697E-18</v>
      </c>
      <c r="J152" s="168"/>
      <c r="K152" s="167"/>
    </row>
    <row r="153" spans="1:11" x14ac:dyDescent="0.2">
      <c r="A153" s="52">
        <f t="shared" si="32"/>
        <v>145</v>
      </c>
      <c r="B153" s="170" t="str">
        <f t="shared" si="35"/>
        <v>58E &amp; 59E</v>
      </c>
      <c r="C153" s="83" t="s">
        <v>13</v>
      </c>
      <c r="D153" s="169" t="s">
        <v>19</v>
      </c>
      <c r="E153" s="202">
        <v>4.4400000000000004</v>
      </c>
      <c r="F153" s="14">
        <f t="shared" si="33"/>
        <v>-7.5216525716181877E-21</v>
      </c>
      <c r="G153" s="203">
        <v>0</v>
      </c>
      <c r="H153" s="13">
        <f t="shared" si="34"/>
        <v>0</v>
      </c>
      <c r="J153" s="168"/>
      <c r="K153" s="167"/>
    </row>
    <row r="154" spans="1:11" x14ac:dyDescent="0.2">
      <c r="A154" s="52">
        <f t="shared" si="32"/>
        <v>146</v>
      </c>
      <c r="B154" s="170" t="str">
        <f t="shared" si="35"/>
        <v>58E &amp; 59E</v>
      </c>
      <c r="C154" s="83" t="s">
        <v>13</v>
      </c>
      <c r="D154" s="169" t="s">
        <v>20</v>
      </c>
      <c r="E154" s="202">
        <v>5.13</v>
      </c>
      <c r="F154" s="14">
        <f t="shared" si="33"/>
        <v>-8.6905580388291213E-21</v>
      </c>
      <c r="G154" s="16">
        <v>170</v>
      </c>
      <c r="H154" s="13">
        <f t="shared" si="34"/>
        <v>-1.4773948666009507E-18</v>
      </c>
      <c r="J154" s="168"/>
      <c r="K154" s="167"/>
    </row>
    <row r="155" spans="1:11" x14ac:dyDescent="0.2">
      <c r="A155" s="52">
        <f t="shared" si="32"/>
        <v>147</v>
      </c>
      <c r="B155" s="170" t="str">
        <f t="shared" si="35"/>
        <v>58E &amp; 59E</v>
      </c>
      <c r="C155" s="83" t="s">
        <v>13</v>
      </c>
      <c r="D155" s="169" t="s">
        <v>21</v>
      </c>
      <c r="E155" s="202">
        <v>5.8100000000000005</v>
      </c>
      <c r="F155" s="14">
        <f t="shared" si="33"/>
        <v>-9.8425228470949708E-21</v>
      </c>
      <c r="G155" s="16">
        <v>253</v>
      </c>
      <c r="H155" s="13">
        <f t="shared" si="34"/>
        <v>-2.4901582803150275E-18</v>
      </c>
      <c r="J155" s="168"/>
      <c r="K155" s="167"/>
    </row>
    <row r="156" spans="1:11" x14ac:dyDescent="0.2">
      <c r="A156" s="52">
        <f t="shared" si="32"/>
        <v>148</v>
      </c>
      <c r="B156" s="170" t="str">
        <f t="shared" si="35"/>
        <v>58E &amp; 59E</v>
      </c>
      <c r="C156" s="83" t="s">
        <v>13</v>
      </c>
      <c r="D156" s="169" t="s">
        <v>22</v>
      </c>
      <c r="E156" s="202">
        <v>6.5</v>
      </c>
      <c r="F156" s="14">
        <f t="shared" si="33"/>
        <v>-1.1011428314305904E-20</v>
      </c>
      <c r="G156" s="203">
        <v>0</v>
      </c>
      <c r="H156" s="13">
        <f t="shared" si="34"/>
        <v>0</v>
      </c>
      <c r="J156" s="168"/>
      <c r="K156" s="167"/>
    </row>
    <row r="157" spans="1:11" x14ac:dyDescent="0.2">
      <c r="A157" s="52">
        <f t="shared" si="32"/>
        <v>149</v>
      </c>
      <c r="B157" s="170" t="str">
        <f t="shared" si="35"/>
        <v>58E &amp; 59E</v>
      </c>
      <c r="C157" s="83" t="s">
        <v>13</v>
      </c>
      <c r="D157" s="169" t="s">
        <v>32</v>
      </c>
      <c r="E157" s="202">
        <v>7.9799999999999995</v>
      </c>
      <c r="F157" s="14">
        <f t="shared" si="33"/>
        <v>-1.3518645838178633E-20</v>
      </c>
      <c r="G157" s="203">
        <v>0</v>
      </c>
      <c r="H157" s="13">
        <f t="shared" si="34"/>
        <v>0</v>
      </c>
      <c r="J157" s="168"/>
      <c r="K157" s="167"/>
    </row>
    <row r="158" spans="1:11" x14ac:dyDescent="0.2">
      <c r="A158" s="52">
        <f t="shared" si="32"/>
        <v>150</v>
      </c>
      <c r="B158" s="170" t="str">
        <f t="shared" si="35"/>
        <v>58E &amp; 59E</v>
      </c>
      <c r="C158" s="83" t="s">
        <v>13</v>
      </c>
      <c r="D158" s="169" t="s">
        <v>33</v>
      </c>
      <c r="E158" s="202">
        <v>10.26</v>
      </c>
      <c r="F158" s="14">
        <f t="shared" si="33"/>
        <v>-1.7381116077658243E-20</v>
      </c>
      <c r="G158" s="203">
        <v>0</v>
      </c>
      <c r="H158" s="13">
        <f t="shared" si="34"/>
        <v>0</v>
      </c>
      <c r="J158" s="168"/>
      <c r="K158" s="167"/>
    </row>
    <row r="159" spans="1:11" x14ac:dyDescent="0.2">
      <c r="A159" s="52">
        <f t="shared" si="32"/>
        <v>151</v>
      </c>
      <c r="B159" s="170" t="str">
        <f t="shared" si="35"/>
        <v>58E &amp; 59E</v>
      </c>
      <c r="C159" s="83" t="s">
        <v>13</v>
      </c>
      <c r="D159" s="169" t="s">
        <v>34</v>
      </c>
      <c r="E159" s="202">
        <v>12.54</v>
      </c>
      <c r="F159" s="14">
        <f t="shared" si="33"/>
        <v>-2.1243586317137851E-20</v>
      </c>
      <c r="G159" s="203">
        <v>0</v>
      </c>
      <c r="H159" s="13">
        <f t="shared" si="34"/>
        <v>0</v>
      </c>
      <c r="J159" s="168"/>
      <c r="K159" s="167"/>
    </row>
    <row r="160" spans="1:11" x14ac:dyDescent="0.2">
      <c r="A160" s="52">
        <f t="shared" si="32"/>
        <v>152</v>
      </c>
      <c r="B160" s="170" t="str">
        <f t="shared" si="35"/>
        <v>58E &amp; 59E</v>
      </c>
      <c r="C160" s="83" t="s">
        <v>13</v>
      </c>
      <c r="D160" s="169" t="s">
        <v>35</v>
      </c>
      <c r="E160" s="202">
        <v>14.82</v>
      </c>
      <c r="F160" s="14">
        <f t="shared" si="33"/>
        <v>-2.5106056556617463E-20</v>
      </c>
      <c r="G160" s="203">
        <v>0</v>
      </c>
      <c r="H160" s="13">
        <f t="shared" si="34"/>
        <v>0</v>
      </c>
      <c r="J160" s="168"/>
      <c r="K160" s="167"/>
    </row>
    <row r="161" spans="1:11" x14ac:dyDescent="0.2">
      <c r="A161" s="52">
        <f t="shared" si="32"/>
        <v>153</v>
      </c>
      <c r="B161" s="170" t="str">
        <f t="shared" si="35"/>
        <v>58E &amp; 59E</v>
      </c>
      <c r="C161" s="83" t="s">
        <v>13</v>
      </c>
      <c r="D161" s="169" t="s">
        <v>36</v>
      </c>
      <c r="E161" s="202">
        <v>17.100000000000001</v>
      </c>
      <c r="F161" s="14">
        <f t="shared" si="33"/>
        <v>-2.8968526796097074E-20</v>
      </c>
      <c r="G161" s="203">
        <v>0</v>
      </c>
      <c r="H161" s="13">
        <f t="shared" si="34"/>
        <v>0</v>
      </c>
      <c r="J161" s="168"/>
      <c r="K161" s="167"/>
    </row>
    <row r="162" spans="1:11" x14ac:dyDescent="0.2">
      <c r="A162" s="52">
        <f t="shared" si="32"/>
        <v>154</v>
      </c>
      <c r="B162" s="170" t="str">
        <f t="shared" si="35"/>
        <v>58E &amp; 59E</v>
      </c>
      <c r="C162" s="83" t="s">
        <v>13</v>
      </c>
      <c r="D162" s="169" t="s">
        <v>37</v>
      </c>
      <c r="E162" s="202">
        <v>19.38</v>
      </c>
      <c r="F162" s="14">
        <f t="shared" si="33"/>
        <v>-3.2830997035576679E-20</v>
      </c>
      <c r="G162" s="203">
        <v>0</v>
      </c>
      <c r="H162" s="13">
        <f t="shared" si="34"/>
        <v>0</v>
      </c>
      <c r="J162" s="168"/>
      <c r="K162" s="167"/>
    </row>
    <row r="163" spans="1:11" x14ac:dyDescent="0.2">
      <c r="A163" s="52">
        <f t="shared" si="32"/>
        <v>155</v>
      </c>
      <c r="F163" s="166" t="s">
        <v>67</v>
      </c>
      <c r="G163" s="165">
        <v>0</v>
      </c>
    </row>
    <row r="164" spans="1:11" x14ac:dyDescent="0.2">
      <c r="A164" s="52">
        <f t="shared" si="32"/>
        <v>156</v>
      </c>
      <c r="D164" s="121"/>
    </row>
    <row r="165" spans="1:11" x14ac:dyDescent="0.2">
      <c r="A165" s="52">
        <f t="shared" si="32"/>
        <v>157</v>
      </c>
      <c r="D165" s="121"/>
      <c r="G165" s="164" t="s">
        <v>139</v>
      </c>
      <c r="H165" s="106">
        <f>SUM(H11:H162)</f>
        <v>-6.3111723823622368E-15</v>
      </c>
    </row>
    <row r="166" spans="1:11" ht="13.5" x14ac:dyDescent="0.35">
      <c r="A166" s="52">
        <f t="shared" si="32"/>
        <v>158</v>
      </c>
      <c r="D166" s="121"/>
      <c r="G166" s="163" t="s">
        <v>138</v>
      </c>
      <c r="H166" s="162">
        <f>'Rate Spread and Design'!P24</f>
        <v>0</v>
      </c>
    </row>
    <row r="167" spans="1:11" x14ac:dyDescent="0.2">
      <c r="A167" s="52">
        <f t="shared" si="32"/>
        <v>159</v>
      </c>
      <c r="G167" s="161" t="s">
        <v>137</v>
      </c>
      <c r="H167" s="160">
        <f>+H166-H165</f>
        <v>6.3111723823622368E-15</v>
      </c>
    </row>
    <row r="168" spans="1:11" ht="13.5" x14ac:dyDescent="0.35">
      <c r="A168" s="52">
        <f t="shared" si="32"/>
        <v>160</v>
      </c>
      <c r="B168" s="91"/>
      <c r="F168" s="106"/>
      <c r="G168" s="159" t="s">
        <v>136</v>
      </c>
      <c r="H168" s="158">
        <v>-1.6940658945086007E-21</v>
      </c>
    </row>
    <row r="169" spans="1:11" ht="13.5" x14ac:dyDescent="0.35">
      <c r="A169" s="52">
        <f t="shared" si="32"/>
        <v>161</v>
      </c>
      <c r="B169" s="91"/>
      <c r="F169" s="106"/>
      <c r="G169" s="159"/>
      <c r="H169" s="158"/>
    </row>
    <row r="170" spans="1:11" x14ac:dyDescent="0.2">
      <c r="A170" s="52">
        <f t="shared" si="32"/>
        <v>162</v>
      </c>
      <c r="B170" s="276" t="s">
        <v>135</v>
      </c>
      <c r="C170" s="276"/>
      <c r="D170" s="276"/>
      <c r="E170" s="276"/>
      <c r="F170" s="276"/>
      <c r="G170" s="276"/>
      <c r="H170" s="276"/>
    </row>
    <row r="171" spans="1:11" x14ac:dyDescent="0.2">
      <c r="A171" s="52">
        <f t="shared" si="32"/>
        <v>163</v>
      </c>
      <c r="B171" s="276" t="s">
        <v>134</v>
      </c>
      <c r="C171" s="276"/>
      <c r="D171" s="276"/>
      <c r="E171" s="276"/>
      <c r="F171" s="276"/>
      <c r="G171" s="276"/>
      <c r="H171" s="276"/>
    </row>
  </sheetData>
  <mergeCells count="2">
    <mergeCell ref="B170:H170"/>
    <mergeCell ref="B171:H171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37BF-66EE-41A5-91C4-E8A0890E416D}">
  <sheetPr>
    <tabColor theme="6" tint="0.79998168889431442"/>
  </sheetPr>
  <dimension ref="A1:B6"/>
  <sheetViews>
    <sheetView zoomScaleNormal="100" workbookViewId="0">
      <selection activeCell="A22" sqref="A22"/>
    </sheetView>
  </sheetViews>
  <sheetFormatPr defaultColWidth="8.85546875" defaultRowHeight="12.75" x14ac:dyDescent="0.2"/>
  <cols>
    <col min="1" max="1" width="38.28515625" style="157" customWidth="1"/>
    <col min="2" max="2" width="25.140625" style="157" bestFit="1" customWidth="1"/>
    <col min="3" max="16384" width="8.85546875" style="157"/>
  </cols>
  <sheetData>
    <row r="1" spans="1:2" ht="15" x14ac:dyDescent="0.35">
      <c r="A1" s="186" t="s">
        <v>153</v>
      </c>
      <c r="B1" s="188">
        <v>45658</v>
      </c>
    </row>
    <row r="2" spans="1:2" ht="15" x14ac:dyDescent="0.35">
      <c r="A2" s="185" t="s">
        <v>152</v>
      </c>
      <c r="B2" s="187" t="s">
        <v>151</v>
      </c>
    </row>
    <row r="3" spans="1:2" ht="15" x14ac:dyDescent="0.35">
      <c r="A3" s="185" t="s">
        <v>150</v>
      </c>
      <c r="B3" s="184">
        <v>45658</v>
      </c>
    </row>
    <row r="4" spans="1:2" ht="15" x14ac:dyDescent="0.35">
      <c r="A4" s="185" t="s">
        <v>149</v>
      </c>
      <c r="B4" s="184">
        <v>46022</v>
      </c>
    </row>
    <row r="5" spans="1:2" ht="15" x14ac:dyDescent="0.35">
      <c r="A5" s="186"/>
      <c r="B5" s="184"/>
    </row>
    <row r="6" spans="1:2" ht="15" x14ac:dyDescent="0.35">
      <c r="A6" s="185"/>
      <c r="B6" s="18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88DB915D1FB646BC5AC8C5C1EE7F6B" ma:contentTypeVersion="16" ma:contentTypeDescription="" ma:contentTypeScope="" ma:versionID="3f57f3ed5bcf3d538c384283ec97d6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2024-11-01T07:00:00+00:00</OpenedDate>
    <SignificantOrder xmlns="dc463f71-b30c-4ab2-9473-d307f9d35888">false</SignificantOrder>
    <Date1 xmlns="dc463f71-b30c-4ab2-9473-d307f9d35888">2024-11-01T07:00:00+00:00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240837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BF65C8-B9FC-430D-AB9B-FDFE0BBCDA7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817EBA2-F78D-4D5F-8680-DD74503EDF9C}"/>
</file>

<file path=customXml/itemProps3.xml><?xml version="1.0" encoding="utf-8"?>
<ds:datastoreItem xmlns:ds="http://schemas.openxmlformats.org/officeDocument/2006/customXml" ds:itemID="{29434892-1893-4FF0-B3A2-5BD977D3EA70}"/>
</file>

<file path=customXml/itemProps4.xml><?xml version="1.0" encoding="utf-8"?>
<ds:datastoreItem xmlns:ds="http://schemas.openxmlformats.org/officeDocument/2006/customXml" ds:itemID="{70424B83-AD22-4BB1-8FF2-B78F36A4DBF4}"/>
</file>

<file path=customXml/itemProps5.xml><?xml version="1.0" encoding="utf-8"?>
<ds:datastoreItem xmlns:ds="http://schemas.openxmlformats.org/officeDocument/2006/customXml" ds:itemID="{AADC9868-4D69-4978-9894-109A8ACAF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 137 Rates</vt:lpstr>
      <vt:lpstr>Lighting Rates</vt:lpstr>
      <vt:lpstr>Rate Impacts</vt:lpstr>
      <vt:lpstr>Rate Spread and Design</vt:lpstr>
      <vt:lpstr>Workpapers--&gt;</vt:lpstr>
      <vt:lpstr>Lighting RD</vt:lpstr>
      <vt:lpstr>Inputs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Zakharova, Elena</cp:lastModifiedBy>
  <cp:lastPrinted>2021-03-15T17:22:18Z</cp:lastPrinted>
  <dcterms:created xsi:type="dcterms:W3CDTF">2014-04-04T17:25:38Z</dcterms:created>
  <dcterms:modified xsi:type="dcterms:W3CDTF">2024-10-15T18:34:21Z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2024-10-02T20:53:16Z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2fc3dce9-e99f-4b45-908a-b6eabe0b0221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0x0101006E56B4D1795A2E4DB2F0B01679ED314A00A788DB915D1FB646BC5AC8C5C1EE7F6B</vt:lpwstr>
  </property>
  <property fmtid="{D5CDD505-2E9C-101B-9397-08002B2CF9AE}" pid="10" name="_docset_NoMedatataSyncRequired">
    <vt:lpwstr>False</vt:lpwstr>
  </property>
</Properties>
</file>