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20" activeTab="2"/>
  </bookViews>
  <sheets>
    <sheet name="Disposal Increase" sheetId="1" r:id="rId1"/>
    <sheet name="Totals - Commercial" sheetId="2" r:id="rId2"/>
    <sheet name="Totals - Residential" sheetId="3" r:id="rId3"/>
    <sheet name="JUN 2023" sheetId="4" r:id="rId4"/>
    <sheet name="JUL 2023" sheetId="5" r:id="rId5"/>
    <sheet name="AUG 2023" sheetId="6" r:id="rId6"/>
    <sheet name="SEP 2023" sheetId="7" r:id="rId7"/>
    <sheet name="OCT 2023" sheetId="8" r:id="rId8"/>
    <sheet name="NOV 2023" sheetId="9" r:id="rId9"/>
    <sheet name="DEC 2023" sheetId="10" r:id="rId10"/>
    <sheet name="JAN 2024" sheetId="11" r:id="rId11"/>
    <sheet name="FEB 2024" sheetId="12" r:id="rId12"/>
    <sheet name="MAR 2024" sheetId="13" r:id="rId13"/>
    <sheet name="APR 2024" sheetId="14" r:id="rId14"/>
    <sheet name="MAY 2024" sheetId="15" r:id="rId15"/>
    <sheet name="JUN-JUL 2023 RES" sheetId="16" r:id="rId16"/>
    <sheet name="AUG-SEP 2023 RES" sheetId="17" r:id="rId17"/>
    <sheet name="OCT-NOV 2023 RES" sheetId="18" r:id="rId18"/>
    <sheet name="DEC-JAN 2024 RES" sheetId="19" r:id="rId19"/>
    <sheet name="FEB-MAR 2024 RES" sheetId="20" r:id="rId20"/>
    <sheet name="APR-MAY 2024 RES" sheetId="21" r:id="rId21"/>
  </sheets>
  <definedNames/>
  <calcPr fullCalcOnLoad="1"/>
</workbook>
</file>

<file path=xl/sharedStrings.xml><?xml version="1.0" encoding="utf-8"?>
<sst xmlns="http://schemas.openxmlformats.org/spreadsheetml/2006/main" count="700" uniqueCount="125">
  <si>
    <t>Commercial Price Out</t>
  </si>
  <si>
    <t>Cans</t>
  </si>
  <si>
    <t>Extra Cans</t>
  </si>
  <si>
    <t xml:space="preserve"> </t>
  </si>
  <si>
    <t>1-yd</t>
  </si>
  <si>
    <t>1-yd spec.</t>
  </si>
  <si>
    <t>1.5-yd</t>
  </si>
  <si>
    <t>1.5-yd spec</t>
  </si>
  <si>
    <t>2-yd</t>
  </si>
  <si>
    <t>2-yd spec</t>
  </si>
  <si>
    <t>2-yd compacted</t>
  </si>
  <si>
    <t>2-yd spec comp</t>
  </si>
  <si>
    <t>Roll-out</t>
  </si>
  <si>
    <t>Drive-in</t>
  </si>
  <si>
    <t>Hours Hauling</t>
  </si>
  <si>
    <t>Garbage Rent</t>
  </si>
  <si>
    <t>Debit/Credit</t>
  </si>
  <si>
    <t>Total</t>
  </si>
  <si>
    <t>Overfilled Charge</t>
  </si>
  <si>
    <t>Rent</t>
  </si>
  <si>
    <t>Proposed Total</t>
  </si>
  <si>
    <t>Actual per WTB</t>
  </si>
  <si>
    <t>San Juan Sanitation</t>
  </si>
  <si>
    <t>proposed price</t>
  </si>
  <si>
    <t>roll-out</t>
  </si>
  <si>
    <t>drive-in</t>
  </si>
  <si>
    <t>extension</t>
  </si>
  <si>
    <t>1-yd cust owned</t>
  </si>
  <si>
    <t>1.5-yd compacted</t>
  </si>
  <si>
    <t>1-yd customer owned</t>
  </si>
  <si>
    <t>1.5yd compacted</t>
  </si>
  <si>
    <t>Units</t>
  </si>
  <si>
    <t>X</t>
  </si>
  <si>
    <t>1-yd compacted</t>
  </si>
  <si>
    <t>1-yd Compacted</t>
  </si>
  <si>
    <t>1.5-yd spec compact</t>
  </si>
  <si>
    <t>1.5-yd spec comact</t>
  </si>
  <si>
    <t>Pounds per</t>
  </si>
  <si>
    <t>Pickup</t>
  </si>
  <si>
    <t>Calculated Price</t>
  </si>
  <si>
    <t>Number of pickups</t>
  </si>
  <si>
    <t>Current Price</t>
  </si>
  <si>
    <t>Extension</t>
  </si>
  <si>
    <t>Month</t>
  </si>
  <si>
    <t>Year</t>
  </si>
  <si>
    <t>Tons</t>
  </si>
  <si>
    <t>Rate</t>
  </si>
  <si>
    <t>May</t>
  </si>
  <si>
    <t>June</t>
  </si>
  <si>
    <t>July</t>
  </si>
  <si>
    <t>Aug.</t>
  </si>
  <si>
    <t>Annual Increase</t>
  </si>
  <si>
    <t>Total Annual Increase</t>
  </si>
  <si>
    <t>Revenue Need</t>
  </si>
  <si>
    <t>Historical - Non Pass-Through Cost</t>
  </si>
  <si>
    <t>Totals with new rate</t>
  </si>
  <si>
    <t>Increase per pound</t>
  </si>
  <si>
    <t>Projected Increase</t>
  </si>
  <si>
    <t>Meeks</t>
  </si>
  <si>
    <t>Calculated Increase</t>
  </si>
  <si>
    <t>Totals</t>
  </si>
  <si>
    <t>Credits</t>
  </si>
  <si>
    <t>Debits</t>
  </si>
  <si>
    <t>Billed Cans</t>
  </si>
  <si>
    <t>Prepaid 32</t>
  </si>
  <si>
    <t xml:space="preserve">Distance </t>
  </si>
  <si>
    <t>Base</t>
  </si>
  <si>
    <t>2 can</t>
  </si>
  <si>
    <t>1 can</t>
  </si>
  <si>
    <t>MiniOM</t>
  </si>
  <si>
    <t>Miniwkly</t>
  </si>
  <si>
    <t>Monthly</t>
  </si>
  <si>
    <t>EOW</t>
  </si>
  <si>
    <t>Weekly</t>
  </si>
  <si>
    <t>Residential Price Out</t>
  </si>
  <si>
    <t>Mini OM</t>
  </si>
  <si>
    <t>Pre-paid tags</t>
  </si>
  <si>
    <t>MiniEOW</t>
  </si>
  <si>
    <t>TOTAL INCREASE</t>
  </si>
  <si>
    <t>per month</t>
  </si>
  <si>
    <t>Misc Credits</t>
  </si>
  <si>
    <t>Total Yearly Customers</t>
  </si>
  <si>
    <t>Misc Debits</t>
  </si>
  <si>
    <t>Drive In</t>
  </si>
  <si>
    <t>Plus Billed/Sticker Can Customers</t>
  </si>
  <si>
    <t>Distance</t>
  </si>
  <si>
    <t>`</t>
  </si>
  <si>
    <t>Prepaid Stickers</t>
  </si>
  <si>
    <t>EOW 2 can</t>
  </si>
  <si>
    <t>EOW 1 can</t>
  </si>
  <si>
    <t>wk 2 cans</t>
  </si>
  <si>
    <t>wk 1can</t>
  </si>
  <si>
    <t>Proposed Rates</t>
  </si>
  <si>
    <t>Calculated Rate</t>
  </si>
  <si>
    <t>Meeks Weight</t>
  </si>
  <si>
    <t>Current Rates</t>
  </si>
  <si>
    <t>Calculated</t>
  </si>
  <si>
    <t>Counted</t>
  </si>
  <si>
    <t>Customers</t>
  </si>
  <si>
    <t>Residential Price-out</t>
  </si>
  <si>
    <t xml:space="preserve">San Juan Sanitation </t>
  </si>
  <si>
    <t>Grand Total</t>
  </si>
  <si>
    <t># of cans</t>
  </si>
  <si>
    <t>Total Cust.</t>
  </si>
  <si>
    <t>MiniOm</t>
  </si>
  <si>
    <t>Disposal Fee Increase - Non Pass Through Customers</t>
  </si>
  <si>
    <t>ORS Disposal Residential and Commercial</t>
  </si>
  <si>
    <t xml:space="preserve">Meeks </t>
  </si>
  <si>
    <t xml:space="preserve">Total Weight </t>
  </si>
  <si>
    <t>Total Meeks</t>
  </si>
  <si>
    <t>Weight</t>
  </si>
  <si>
    <t xml:space="preserve"> Totals</t>
  </si>
  <si>
    <t>Increase in Revenue from Proposed Rates</t>
  </si>
  <si>
    <t>Sept</t>
  </si>
  <si>
    <t>Oct.</t>
  </si>
  <si>
    <t>Nov.</t>
  </si>
  <si>
    <t>Dec.</t>
  </si>
  <si>
    <t>Jan.</t>
  </si>
  <si>
    <t>Feb.</t>
  </si>
  <si>
    <t>Mar.</t>
  </si>
  <si>
    <t>Apr.</t>
  </si>
  <si>
    <t>2023-24 Totals</t>
  </si>
  <si>
    <t>for the 12 months ending May 31, 2024</t>
  </si>
  <si>
    <t>for rates effective 8/01/24</t>
  </si>
  <si>
    <t>Effective 8-01-2024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</si>
</sst>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00_);_(* \(#,##0.000\);_(* &quot;-&quot;???_);_(@_)"/>
    <numFmt numFmtId="167" formatCode="&quot;$&quot;#,##0.000_);\(&quot;$&quot;#,##0.000\)"/>
    <numFmt numFmtId="168" formatCode="&quot;$&quot;#,##0.0000_);\(&quot;$&quot;#,##0.0000\)"/>
    <numFmt numFmtId="169" formatCode="&quot;$&quot;#,##0.0"/>
    <numFmt numFmtId="170" formatCode="&quot;$&quot;#,##0"/>
    <numFmt numFmtId="171" formatCode="&quot;$&quot;#,##0.000"/>
    <numFmt numFmtId="172" formatCode="&quot;$&quot;#,##0.0000"/>
    <numFmt numFmtId="173" formatCode="&quot;$&quot;#,##0.00000"/>
    <numFmt numFmtId="174" formatCode="&quot;$&quot;#,##0.0_);\(&quot;$&quot;#,##0.0\)"/>
    <numFmt numFmtId="175" formatCode="0.0000"/>
    <numFmt numFmtId="176" formatCode="0.000"/>
    <numFmt numFmtId="177" formatCode="0.000000"/>
    <numFmt numFmtId="178" formatCode="0.00000"/>
    <numFmt numFmtId="179" formatCode="_(* #,##0.000_);_(* \(#,##0.000\);_(* &quot;-&quot;??_);_(@_)"/>
    <numFmt numFmtId="180" formatCode="_(* #,##0.0000_);_(* \(#,##0.000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#,##0.0_);\(#,##0.0\)"/>
    <numFmt numFmtId="184" formatCode="_(* #,##0.0_);_(* \(#,##0.0\);_(* &quot;-&quot;??_);_(@_)"/>
    <numFmt numFmtId="185" formatCode="_(* #,##0_);_(* \(#,##0\);_(* &quot;-&quot;??_);_(@_)"/>
    <numFmt numFmtId="186" formatCode="_(* #,##0.0000000_);_(* \(#,##0.0000000\);_(* &quot;-&quot;???????_);_(@_)"/>
    <numFmt numFmtId="187" formatCode="_(* #,##0.00000_);_(* \(#,##0.00000\);_(* &quot;-&quot;??_);_(@_)"/>
    <numFmt numFmtId="188" formatCode="_(* #,##0.00000_);_(* \(#,##0.00000\);_(* &quot;-&quot;?????_);_(@_)"/>
    <numFmt numFmtId="189" formatCode="_(* #,##0.000000_);_(* \(#,##0.000000\);_(* &quot;-&quot;??????_);_(@_)"/>
    <numFmt numFmtId="190" formatCode="[$-409]dddd\,\ mmmm\ dd\,\ yyyy"/>
    <numFmt numFmtId="191" formatCode="[$-409]mmmm\-yy;@"/>
    <numFmt numFmtId="192" formatCode="0.0000000"/>
    <numFmt numFmtId="193" formatCode="0.00000000"/>
    <numFmt numFmtId="194" formatCode="_(* #,##0.0000_);_(* \(#,##0.0000\);_(* &quot;-&quot;????_);_(@_)"/>
  </numFmts>
  <fonts count="2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16" fillId="0" borderId="0">
      <alignment vertical="top"/>
      <protection/>
    </xf>
    <xf numFmtId="0" fontId="3" fillId="0" borderId="0">
      <alignment/>
      <protection/>
    </xf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2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22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7" fontId="0" fillId="0" borderId="0" xfId="42" applyNumberFormat="1" applyFont="1" applyAlignment="1">
      <alignment/>
    </xf>
    <xf numFmtId="7" fontId="0" fillId="0" borderId="0" xfId="45" applyNumberFormat="1" applyFont="1" applyAlignment="1">
      <alignment/>
    </xf>
    <xf numFmtId="1" fontId="0" fillId="0" borderId="0" xfId="42" applyNumberFormat="1" applyFont="1" applyAlignment="1">
      <alignment/>
    </xf>
    <xf numFmtId="37" fontId="0" fillId="0" borderId="0" xfId="4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0" fontId="19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0" xfId="61" applyFont="1" applyFill="1" applyBorder="1">
      <alignment/>
      <protection/>
    </xf>
    <xf numFmtId="0" fontId="20" fillId="0" borderId="0" xfId="61" applyFont="1" applyFill="1" applyAlignment="1">
      <alignment horizontal="center"/>
      <protection/>
    </xf>
    <xf numFmtId="0" fontId="3" fillId="0" borderId="0" xfId="61" applyFont="1" quotePrefix="1">
      <alignment/>
      <protection/>
    </xf>
    <xf numFmtId="0" fontId="19" fillId="0" borderId="0" xfId="61" applyFont="1" applyFill="1" applyBorder="1" applyAlignment="1">
      <alignment horizontal="center"/>
      <protection/>
    </xf>
    <xf numFmtId="0" fontId="19" fillId="20" borderId="10" xfId="61" applyFont="1" applyFill="1" applyBorder="1">
      <alignment/>
      <protection/>
    </xf>
    <xf numFmtId="0" fontId="19" fillId="20" borderId="10" xfId="61" applyFont="1" applyFill="1" applyBorder="1" applyAlignment="1">
      <alignment horizontal="center"/>
      <protection/>
    </xf>
    <xf numFmtId="0" fontId="3" fillId="0" borderId="11" xfId="61" applyFont="1" applyBorder="1">
      <alignment/>
      <protection/>
    </xf>
    <xf numFmtId="0" fontId="19" fillId="0" borderId="11" xfId="61" applyFont="1" applyBorder="1">
      <alignment/>
      <protection/>
    </xf>
    <xf numFmtId="43" fontId="3" fillId="0" borderId="0" xfId="42" applyFont="1" applyFill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Alignment="1">
      <alignment/>
    </xf>
    <xf numFmtId="0" fontId="3" fillId="0" borderId="12" xfId="61" applyFont="1" applyBorder="1">
      <alignment/>
      <protection/>
    </xf>
    <xf numFmtId="43" fontId="3" fillId="0" borderId="12" xfId="42" applyFont="1" applyBorder="1" applyAlignment="1">
      <alignment/>
    </xf>
    <xf numFmtId="0" fontId="3" fillId="0" borderId="13" xfId="61" applyFont="1" applyBorder="1">
      <alignment/>
      <protection/>
    </xf>
    <xf numFmtId="43" fontId="3" fillId="0" borderId="13" xfId="42" applyFont="1" applyBorder="1" applyAlignment="1">
      <alignment/>
    </xf>
    <xf numFmtId="44" fontId="19" fillId="0" borderId="0" xfId="45" applyFont="1" applyFill="1" applyBorder="1" applyAlignment="1">
      <alignment/>
    </xf>
    <xf numFmtId="43" fontId="19" fillId="20" borderId="10" xfId="42" applyFont="1" applyFill="1" applyBorder="1" applyAlignment="1">
      <alignment/>
    </xf>
    <xf numFmtId="43" fontId="19" fillId="20" borderId="10" xfId="42" applyFont="1" applyFill="1" applyBorder="1" applyAlignment="1">
      <alignment horizontal="center"/>
    </xf>
    <xf numFmtId="44" fontId="19" fillId="20" borderId="10" xfId="45" applyFont="1" applyFill="1" applyBorder="1" applyAlignment="1">
      <alignment/>
    </xf>
    <xf numFmtId="43" fontId="19" fillId="0" borderId="0" xfId="42" applyFont="1" applyBorder="1" applyAlignment="1">
      <alignment/>
    </xf>
    <xf numFmtId="0" fontId="19" fillId="0" borderId="0" xfId="61" applyFont="1" applyBorder="1">
      <alignment/>
      <protection/>
    </xf>
    <xf numFmtId="0" fontId="3" fillId="0" borderId="0" xfId="61" applyFont="1" applyAlignment="1">
      <alignment/>
      <protection/>
    </xf>
    <xf numFmtId="0" fontId="19" fillId="9" borderId="10" xfId="61" applyFont="1" applyFill="1" applyBorder="1">
      <alignment/>
      <protection/>
    </xf>
    <xf numFmtId="0" fontId="19" fillId="9" borderId="10" xfId="61" applyFont="1" applyFill="1" applyBorder="1" applyAlignment="1">
      <alignment horizontal="right"/>
      <protection/>
    </xf>
    <xf numFmtId="43" fontId="19" fillId="9" borderId="10" xfId="61" applyNumberFormat="1" applyFont="1" applyFill="1" applyBorder="1">
      <alignment/>
      <protection/>
    </xf>
    <xf numFmtId="0" fontId="3" fillId="0" borderId="0" xfId="61" applyFont="1" applyAlignment="1">
      <alignment horizontal="right"/>
      <protection/>
    </xf>
    <xf numFmtId="43" fontId="3" fillId="0" borderId="0" xfId="61" applyNumberFormat="1" applyFont="1" applyAlignment="1">
      <alignment horizontal="right"/>
      <protection/>
    </xf>
    <xf numFmtId="0" fontId="3" fillId="0" borderId="0" xfId="61">
      <alignment/>
      <protection/>
    </xf>
    <xf numFmtId="10" fontId="3" fillId="0" borderId="0" xfId="61" applyNumberFormat="1">
      <alignment/>
      <protection/>
    </xf>
    <xf numFmtId="43" fontId="3" fillId="0" borderId="0" xfId="61" applyNumberFormat="1">
      <alignment/>
      <protection/>
    </xf>
    <xf numFmtId="185" fontId="22" fillId="0" borderId="0" xfId="42" applyNumberFormat="1" applyFont="1" applyAlignment="1">
      <alignment/>
    </xf>
    <xf numFmtId="0" fontId="3" fillId="0" borderId="0" xfId="61" applyFont="1" applyAlignment="1">
      <alignment wrapText="1"/>
      <protection/>
    </xf>
    <xf numFmtId="43" fontId="3" fillId="0" borderId="0" xfId="61" applyNumberFormat="1" applyFont="1">
      <alignment/>
      <protection/>
    </xf>
    <xf numFmtId="44" fontId="20" fillId="0" borderId="0" xfId="45" applyFont="1" applyFill="1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19" fillId="0" borderId="0" xfId="61" applyFont="1" applyFill="1" applyBorder="1">
      <alignment/>
      <protection/>
    </xf>
    <xf numFmtId="43" fontId="19" fillId="0" borderId="0" xfId="61" applyNumberFormat="1" applyFont="1">
      <alignment/>
      <protection/>
    </xf>
    <xf numFmtId="2" fontId="0" fillId="24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22" borderId="14" xfId="0" applyNumberFormat="1" applyFill="1" applyBorder="1" applyAlignment="1">
      <alignment/>
    </xf>
    <xf numFmtId="2" fontId="23" fillId="0" borderId="0" xfId="0" applyNumberFormat="1" applyFont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Fill="1" applyAlignment="1">
      <alignment/>
    </xf>
    <xf numFmtId="0" fontId="0" fillId="22" borderId="14" xfId="0" applyFill="1" applyBorder="1" applyAlignment="1">
      <alignment/>
    </xf>
    <xf numFmtId="0" fontId="23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22" borderId="14" xfId="0" applyNumberFormat="1" applyFill="1" applyBorder="1" applyAlignment="1">
      <alignment/>
    </xf>
    <xf numFmtId="4" fontId="0" fillId="22" borderId="12" xfId="0" applyNumberFormat="1" applyFill="1" applyBorder="1" applyAlignment="1">
      <alignment/>
    </xf>
    <xf numFmtId="4" fontId="2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24" borderId="10" xfId="0" applyNumberFormat="1" applyFill="1" applyBorder="1" applyAlignment="1">
      <alignment/>
    </xf>
    <xf numFmtId="185" fontId="0" fillId="0" borderId="0" xfId="44" applyNumberFormat="1" applyFont="1" applyAlignment="1">
      <alignment/>
    </xf>
    <xf numFmtId="164" fontId="0" fillId="22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44" applyFont="1" applyAlignment="1">
      <alignment/>
    </xf>
    <xf numFmtId="0" fontId="3" fillId="0" borderId="15" xfId="61" applyFont="1" applyBorder="1">
      <alignment/>
      <protection/>
    </xf>
    <xf numFmtId="4" fontId="0" fillId="25" borderId="0" xfId="0" applyNumberForma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93" fontId="19" fillId="0" borderId="0" xfId="61" applyNumberFormat="1" applyFont="1">
      <alignment/>
      <protection/>
    </xf>
    <xf numFmtId="43" fontId="19" fillId="25" borderId="0" xfId="42" applyFont="1" applyFill="1" applyBorder="1" applyAlignment="1">
      <alignment/>
    </xf>
    <xf numFmtId="185" fontId="0" fillId="0" borderId="0" xfId="42" applyNumberFormat="1" applyFont="1" applyAlignment="1">
      <alignment/>
    </xf>
    <xf numFmtId="0" fontId="19" fillId="26" borderId="0" xfId="61" applyFont="1" applyFill="1">
      <alignment/>
      <protection/>
    </xf>
    <xf numFmtId="0" fontId="19" fillId="26" borderId="0" xfId="61" applyFont="1" applyFill="1" applyBorder="1">
      <alignment/>
      <protection/>
    </xf>
    <xf numFmtId="7" fontId="19" fillId="26" borderId="0" xfId="61" applyNumberFormat="1" applyFont="1" applyFill="1">
      <alignment/>
      <protection/>
    </xf>
    <xf numFmtId="4" fontId="0" fillId="0" borderId="10" xfId="0" applyNumberFormat="1" applyFill="1" applyBorder="1" applyAlignment="1">
      <alignment/>
    </xf>
    <xf numFmtId="0" fontId="19" fillId="20" borderId="10" xfId="61" applyFont="1" applyFill="1" applyBorder="1" applyAlignment="1">
      <alignment horizontal="right"/>
      <protection/>
    </xf>
    <xf numFmtId="43" fontId="19" fillId="20" borderId="10" xfId="42" applyFont="1" applyFill="1" applyBorder="1" applyAlignment="1">
      <alignment horizontal="right"/>
    </xf>
    <xf numFmtId="0" fontId="19" fillId="4" borderId="1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Disposal Fee Increase file(1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523875</xdr:colOff>
      <xdr:row>30</xdr:row>
      <xdr:rowOff>0</xdr:rowOff>
    </xdr:from>
    <xdr:ext cx="1209675" cy="1562100"/>
    <xdr:sp>
      <xdr:nvSpPr>
        <xdr:cNvPr id="1" name="TextBox 2"/>
        <xdr:cNvSpPr txBox="1">
          <a:spLocks noChangeArrowheads="1"/>
        </xdr:cNvSpPr>
      </xdr:nvSpPr>
      <xdr:spPr>
        <a:xfrm>
          <a:off x="4819650" y="5429250"/>
          <a:ext cx="1209675" cy="1562100"/>
        </a:xfrm>
        <a:prstGeom prst="rect">
          <a:avLst/>
        </a:prstGeom>
        <a:solidFill>
          <a:srgbClr val="F8FEBE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Revenue Need: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&amp; O and UTC taxes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0.00390625" style="22" customWidth="1"/>
    <col min="2" max="2" width="11.140625" style="22" customWidth="1"/>
    <col min="3" max="3" width="6.140625" style="23" customWidth="1"/>
    <col min="4" max="4" width="12.57421875" style="22" customWidth="1"/>
    <col min="5" max="5" width="9.28125" style="22" customWidth="1"/>
    <col min="6" max="6" width="15.28125" style="22" customWidth="1"/>
    <col min="7" max="16384" width="8.8515625" style="22" customWidth="1"/>
  </cols>
  <sheetData>
    <row r="1" ht="14.25">
      <c r="A1" s="21" t="s">
        <v>105</v>
      </c>
    </row>
    <row r="2" ht="14.25">
      <c r="A2" s="21" t="s">
        <v>124</v>
      </c>
    </row>
    <row r="3" spans="1:5" ht="14.25">
      <c r="A3" s="21"/>
      <c r="E3" s="24"/>
    </row>
    <row r="4" ht="14.25">
      <c r="E4" s="24"/>
    </row>
    <row r="5" spans="1:5" ht="14.25">
      <c r="A5" s="21"/>
      <c r="E5" s="24"/>
    </row>
    <row r="6" ht="14.25">
      <c r="E6" s="24"/>
    </row>
    <row r="7" spans="1:5" ht="14.25">
      <c r="A7" s="25"/>
      <c r="B7" s="25"/>
      <c r="D7" s="22" t="s">
        <v>106</v>
      </c>
      <c r="E7" s="56"/>
    </row>
    <row r="8" spans="3:6" ht="14.25">
      <c r="C8" s="26"/>
      <c r="D8" s="97" t="s">
        <v>54</v>
      </c>
      <c r="E8" s="97"/>
      <c r="F8" s="97"/>
    </row>
    <row r="9" spans="1:6" ht="14.25">
      <c r="A9" s="27" t="s">
        <v>43</v>
      </c>
      <c r="B9" s="27" t="s">
        <v>44</v>
      </c>
      <c r="C9" s="26"/>
      <c r="D9" s="28" t="s">
        <v>45</v>
      </c>
      <c r="E9" s="28" t="s">
        <v>46</v>
      </c>
      <c r="F9" s="28" t="s">
        <v>17</v>
      </c>
    </row>
    <row r="10" spans="1:10" ht="14.25">
      <c r="A10" s="29" t="s">
        <v>48</v>
      </c>
      <c r="B10" s="30">
        <v>2023</v>
      </c>
      <c r="C10" s="31"/>
      <c r="D10" s="32">
        <v>177.25</v>
      </c>
      <c r="E10" s="32">
        <v>260</v>
      </c>
      <c r="F10" s="32">
        <f aca="true" t="shared" si="0" ref="F10:F21">+E10*D10</f>
        <v>46085</v>
      </c>
      <c r="G10" s="33"/>
      <c r="H10" s="33"/>
      <c r="I10" s="33"/>
      <c r="J10" s="33"/>
    </row>
    <row r="11" spans="1:10" ht="14.25">
      <c r="A11" s="34" t="s">
        <v>49</v>
      </c>
      <c r="B11" s="30">
        <v>2023</v>
      </c>
      <c r="C11" s="31"/>
      <c r="D11" s="35">
        <v>201.45</v>
      </c>
      <c r="E11" s="32">
        <v>260</v>
      </c>
      <c r="F11" s="35">
        <f t="shared" si="0"/>
        <v>52377</v>
      </c>
      <c r="G11" s="33"/>
      <c r="H11" s="33"/>
      <c r="I11" s="33"/>
      <c r="J11" s="33"/>
    </row>
    <row r="12" spans="1:10" ht="14.25">
      <c r="A12" s="34" t="s">
        <v>50</v>
      </c>
      <c r="B12" s="30">
        <v>2023</v>
      </c>
      <c r="C12" s="31"/>
      <c r="D12" s="35">
        <v>204.7</v>
      </c>
      <c r="E12" s="32">
        <v>260</v>
      </c>
      <c r="F12" s="35">
        <f t="shared" si="0"/>
        <v>53222</v>
      </c>
      <c r="G12" s="33"/>
      <c r="H12" s="33"/>
      <c r="I12" s="33"/>
      <c r="J12" s="33"/>
    </row>
    <row r="13" spans="1:10" ht="14.25">
      <c r="A13" s="34" t="s">
        <v>113</v>
      </c>
      <c r="B13" s="30">
        <v>2023</v>
      </c>
      <c r="C13" s="31"/>
      <c r="D13" s="35">
        <v>175.19</v>
      </c>
      <c r="E13" s="32">
        <v>260</v>
      </c>
      <c r="F13" s="35">
        <f t="shared" si="0"/>
        <v>45549.4</v>
      </c>
      <c r="G13" s="33"/>
      <c r="H13" s="33"/>
      <c r="I13" s="33"/>
      <c r="J13" s="33"/>
    </row>
    <row r="14" spans="1:10" ht="14.25">
      <c r="A14" s="34" t="s">
        <v>114</v>
      </c>
      <c r="B14" s="30">
        <v>2023</v>
      </c>
      <c r="C14" s="31"/>
      <c r="D14" s="35">
        <v>150.75</v>
      </c>
      <c r="E14" s="32">
        <v>260</v>
      </c>
      <c r="F14" s="35">
        <f t="shared" si="0"/>
        <v>39195</v>
      </c>
      <c r="G14" s="33"/>
      <c r="H14" s="33"/>
      <c r="I14" s="33"/>
      <c r="J14" s="33"/>
    </row>
    <row r="15" spans="1:10" ht="14.25">
      <c r="A15" s="34" t="s">
        <v>115</v>
      </c>
      <c r="B15" s="30">
        <v>2023</v>
      </c>
      <c r="C15" s="31"/>
      <c r="D15" s="35">
        <v>115.09</v>
      </c>
      <c r="E15" s="32">
        <v>260</v>
      </c>
      <c r="F15" s="35">
        <f t="shared" si="0"/>
        <v>29923.4</v>
      </c>
      <c r="G15" s="33"/>
      <c r="H15" s="33"/>
      <c r="I15" s="33"/>
      <c r="J15" s="33"/>
    </row>
    <row r="16" spans="1:10" ht="14.25">
      <c r="A16" s="34" t="s">
        <v>116</v>
      </c>
      <c r="B16" s="30">
        <v>2023</v>
      </c>
      <c r="C16" s="31"/>
      <c r="D16" s="35">
        <v>102.96</v>
      </c>
      <c r="E16" s="32">
        <v>260</v>
      </c>
      <c r="F16" s="35">
        <f t="shared" si="0"/>
        <v>26769.6</v>
      </c>
      <c r="G16" s="33"/>
      <c r="H16" s="33"/>
      <c r="I16" s="33"/>
      <c r="J16" s="33"/>
    </row>
    <row r="17" spans="1:10" ht="14.25">
      <c r="A17" s="34" t="s">
        <v>117</v>
      </c>
      <c r="B17" s="34">
        <v>2024</v>
      </c>
      <c r="C17" s="31"/>
      <c r="D17" s="35">
        <v>102.35</v>
      </c>
      <c r="E17" s="32">
        <v>260</v>
      </c>
      <c r="F17" s="35">
        <f t="shared" si="0"/>
        <v>26611</v>
      </c>
      <c r="G17" s="33"/>
      <c r="H17" s="33"/>
      <c r="I17" s="33"/>
      <c r="J17" s="33"/>
    </row>
    <row r="18" spans="1:10" ht="14.25">
      <c r="A18" s="34" t="s">
        <v>118</v>
      </c>
      <c r="B18" s="34">
        <v>2024</v>
      </c>
      <c r="C18" s="31"/>
      <c r="D18" s="35">
        <v>108.84</v>
      </c>
      <c r="E18" s="32">
        <v>260</v>
      </c>
      <c r="F18" s="35">
        <f t="shared" si="0"/>
        <v>28298.4</v>
      </c>
      <c r="G18" s="33"/>
      <c r="H18" s="33"/>
      <c r="I18" s="33"/>
      <c r="J18" s="33"/>
    </row>
    <row r="19" spans="1:10" ht="14.25">
      <c r="A19" s="34" t="s">
        <v>119</v>
      </c>
      <c r="B19" s="34">
        <v>2024</v>
      </c>
      <c r="C19" s="31"/>
      <c r="D19" s="35">
        <v>121.23</v>
      </c>
      <c r="E19" s="32">
        <v>260</v>
      </c>
      <c r="F19" s="35">
        <f t="shared" si="0"/>
        <v>31519.8</v>
      </c>
      <c r="G19" s="33"/>
      <c r="H19" s="33"/>
      <c r="I19" s="33"/>
      <c r="J19" s="33"/>
    </row>
    <row r="20" spans="1:10" ht="14.25">
      <c r="A20" s="84" t="s">
        <v>120</v>
      </c>
      <c r="B20" s="34">
        <v>2024</v>
      </c>
      <c r="C20" s="31"/>
      <c r="D20" s="35">
        <v>155.39</v>
      </c>
      <c r="E20" s="32">
        <v>260</v>
      </c>
      <c r="F20" s="35">
        <f t="shared" si="0"/>
        <v>40401.399999999994</v>
      </c>
      <c r="G20" s="33"/>
      <c r="H20" s="33"/>
      <c r="I20" s="33"/>
      <c r="J20" s="33"/>
    </row>
    <row r="21" spans="1:10" ht="14.25">
      <c r="A21" s="36" t="s">
        <v>47</v>
      </c>
      <c r="B21" s="34">
        <v>2024</v>
      </c>
      <c r="C21" s="31"/>
      <c r="D21" s="37">
        <v>168.82</v>
      </c>
      <c r="E21" s="32">
        <v>260</v>
      </c>
      <c r="F21" s="37">
        <f t="shared" si="0"/>
        <v>43893.2</v>
      </c>
      <c r="G21" s="33"/>
      <c r="H21" s="33"/>
      <c r="I21" s="33"/>
      <c r="J21" s="33"/>
    </row>
    <row r="22" spans="3:10" ht="14.25">
      <c r="C22" s="31"/>
      <c r="D22" s="33"/>
      <c r="E22" s="33"/>
      <c r="F22" s="33"/>
      <c r="G22" s="33"/>
      <c r="H22" s="33"/>
      <c r="I22" s="33"/>
      <c r="J22" s="33"/>
    </row>
    <row r="23" spans="1:10" s="43" customFormat="1" ht="14.25">
      <c r="A23" s="95" t="s">
        <v>121</v>
      </c>
      <c r="B23" s="95"/>
      <c r="C23" s="38"/>
      <c r="D23" s="39">
        <f>SUM(D10:D22)</f>
        <v>1784.0199999999998</v>
      </c>
      <c r="E23" s="40">
        <v>260</v>
      </c>
      <c r="F23" s="41">
        <f>SUM(F10:F22)</f>
        <v>463845.2</v>
      </c>
      <c r="G23" s="89"/>
      <c r="H23" s="89"/>
      <c r="I23" s="89"/>
      <c r="J23" s="42"/>
    </row>
    <row r="24" spans="3:10" ht="14.25">
      <c r="C24" s="31"/>
      <c r="D24" s="33"/>
      <c r="E24" s="33"/>
      <c r="F24" s="33"/>
      <c r="G24" s="33"/>
      <c r="H24" s="33"/>
      <c r="I24" s="33"/>
      <c r="J24" s="33"/>
    </row>
    <row r="25" spans="1:10" s="43" customFormat="1" ht="14.25">
      <c r="A25" s="95" t="s">
        <v>55</v>
      </c>
      <c r="B25" s="95"/>
      <c r="C25" s="38"/>
      <c r="D25" s="39">
        <f>D23</f>
        <v>1784.0199999999998</v>
      </c>
      <c r="E25" s="40">
        <v>290</v>
      </c>
      <c r="F25" s="41">
        <f>+E25*D23</f>
        <v>517365.79999999993</v>
      </c>
      <c r="G25" s="42"/>
      <c r="H25" s="42"/>
      <c r="I25" s="42"/>
      <c r="J25" s="42"/>
    </row>
    <row r="26" spans="3:10" ht="14.25">
      <c r="C26" s="31"/>
      <c r="D26" s="33"/>
      <c r="E26" s="33"/>
      <c r="F26" s="33"/>
      <c r="G26" s="33"/>
      <c r="H26" s="33"/>
      <c r="I26" s="33"/>
      <c r="J26" s="33"/>
    </row>
    <row r="27" spans="2:10" ht="14.25">
      <c r="B27" s="44"/>
      <c r="C27" s="31"/>
      <c r="D27" s="95" t="s">
        <v>51</v>
      </c>
      <c r="E27" s="95"/>
      <c r="F27" s="41">
        <f>+F25-F23</f>
        <v>53520.59999999992</v>
      </c>
      <c r="G27" s="33"/>
      <c r="H27" s="33"/>
      <c r="I27" s="33"/>
      <c r="J27" s="33"/>
    </row>
    <row r="28" spans="3:10" ht="14.25">
      <c r="C28" s="31"/>
      <c r="D28" s="33"/>
      <c r="E28" s="33"/>
      <c r="F28" s="33"/>
      <c r="G28" s="33"/>
      <c r="H28" s="33"/>
      <c r="I28" s="33"/>
      <c r="J28" s="33"/>
    </row>
    <row r="29" spans="3:10" ht="14.25">
      <c r="C29" s="31"/>
      <c r="D29" s="96" t="s">
        <v>52</v>
      </c>
      <c r="E29" s="96"/>
      <c r="F29" s="39">
        <f>+F27</f>
        <v>53520.59999999992</v>
      </c>
      <c r="G29" s="33"/>
      <c r="H29" s="33"/>
      <c r="I29" s="33"/>
      <c r="J29" s="33"/>
    </row>
    <row r="30" spans="3:10" ht="14.25">
      <c r="C30" s="31"/>
      <c r="D30" s="33"/>
      <c r="E30" s="33"/>
      <c r="F30" s="33"/>
      <c r="G30" s="33"/>
      <c r="H30" s="33"/>
      <c r="I30" s="33"/>
      <c r="J30" s="33"/>
    </row>
    <row r="31" ht="15"/>
    <row r="32" spans="4:6" ht="15">
      <c r="D32" s="45"/>
      <c r="E32" s="46" t="s">
        <v>53</v>
      </c>
      <c r="F32" s="47">
        <f>F29*1.0201</f>
        <v>54596.36405999992</v>
      </c>
    </row>
    <row r="33" ht="15"/>
    <row r="34" spans="3:6" ht="15">
      <c r="C34" s="22"/>
      <c r="E34" s="48"/>
      <c r="F34" s="49"/>
    </row>
    <row r="35" spans="2:6" ht="15">
      <c r="B35" s="91" t="s">
        <v>112</v>
      </c>
      <c r="C35" s="92"/>
      <c r="D35" s="91"/>
      <c r="E35" s="91"/>
      <c r="F35" s="93">
        <f>'Totals - Commercial'!N87+'Totals - Residential'!T52</f>
        <v>54603.808624939644</v>
      </c>
    </row>
    <row r="36" spans="3:6" ht="15">
      <c r="C36" s="22"/>
      <c r="E36" s="50" t="s">
        <v>3</v>
      </c>
      <c r="F36" s="51" t="s">
        <v>3</v>
      </c>
    </row>
    <row r="37" ht="15"/>
    <row r="38" spans="1:4" ht="15">
      <c r="A38" s="21"/>
      <c r="B38" s="21"/>
      <c r="C38" s="59"/>
      <c r="D38" s="21"/>
    </row>
    <row r="39" spans="1:6" ht="15">
      <c r="A39" s="21"/>
      <c r="B39" s="21"/>
      <c r="C39" s="59"/>
      <c r="D39" s="60" t="s">
        <v>3</v>
      </c>
      <c r="E39" s="50" t="s">
        <v>3</v>
      </c>
      <c r="F39" s="52" t="s">
        <v>3</v>
      </c>
    </row>
    <row r="40" spans="1:6" ht="15">
      <c r="A40" s="21" t="s">
        <v>56</v>
      </c>
      <c r="B40" s="21"/>
      <c r="C40" s="59"/>
      <c r="D40" s="88">
        <f>F32/('Totals - Commercial'!I85+'Totals - Residential'!M50)</f>
        <v>0.005905947276251646</v>
      </c>
      <c r="E40" s="50" t="s">
        <v>3</v>
      </c>
      <c r="F40" s="53" t="s">
        <v>3</v>
      </c>
    </row>
    <row r="42" spans="4:6" ht="14.25">
      <c r="D42" s="54"/>
      <c r="F42" s="55"/>
    </row>
    <row r="44" ht="14.25">
      <c r="F44" s="55"/>
    </row>
  </sheetData>
  <sheetProtection/>
  <mergeCells count="5">
    <mergeCell ref="A23:B23"/>
    <mergeCell ref="A25:B25"/>
    <mergeCell ref="D29:E29"/>
    <mergeCell ref="D8:F8"/>
    <mergeCell ref="D27:E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I46" sqref="I46"/>
    </sheetView>
  </sheetViews>
  <sheetFormatPr defaultColWidth="9.140625" defaultRowHeight="12.75"/>
  <cols>
    <col min="3" max="3" width="10.140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1443.96</v>
      </c>
    </row>
    <row r="4" ht="12.75">
      <c r="A4" t="s">
        <v>3</v>
      </c>
    </row>
    <row r="5" spans="1:3" ht="12.75">
      <c r="A5" t="s">
        <v>2</v>
      </c>
      <c r="C5" s="8">
        <v>520.16</v>
      </c>
    </row>
    <row r="7" spans="1:3" ht="12.75">
      <c r="A7" t="s">
        <v>4</v>
      </c>
      <c r="C7" s="8">
        <v>17316.12</v>
      </c>
    </row>
    <row r="9" spans="1:3" ht="12.75">
      <c r="A9" t="s">
        <v>5</v>
      </c>
      <c r="C9" s="8">
        <v>4513.38</v>
      </c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11288.09</v>
      </c>
    </row>
    <row r="15" spans="1:3" ht="12.75">
      <c r="A15" t="s">
        <v>7</v>
      </c>
      <c r="C15" s="8">
        <v>1972.34</v>
      </c>
    </row>
    <row r="16" ht="12.75">
      <c r="C16" s="10"/>
    </row>
    <row r="17" spans="1:3" ht="12.75">
      <c r="A17" t="s">
        <v>28</v>
      </c>
      <c r="C17" s="8">
        <v>665.04</v>
      </c>
    </row>
    <row r="19" spans="1:3" ht="12.75">
      <c r="A19" t="s">
        <v>8</v>
      </c>
      <c r="C19" s="8">
        <v>50068.28</v>
      </c>
    </row>
    <row r="21" spans="1:3" ht="12.75">
      <c r="A21" t="s">
        <v>9</v>
      </c>
      <c r="C21" s="8">
        <v>16357.88</v>
      </c>
    </row>
    <row r="23" spans="1:3" ht="12.75">
      <c r="A23" t="s">
        <v>33</v>
      </c>
      <c r="C23" s="8">
        <v>579.04</v>
      </c>
    </row>
    <row r="25" spans="1:3" ht="12.75">
      <c r="A25" t="s">
        <v>10</v>
      </c>
      <c r="C25" s="8">
        <v>7080.88</v>
      </c>
    </row>
    <row r="27" spans="1:3" ht="12.75">
      <c r="A27" t="s">
        <v>11</v>
      </c>
      <c r="C27" s="8">
        <v>2663.23</v>
      </c>
    </row>
    <row r="29" spans="1:3" ht="12.75">
      <c r="A29" t="s">
        <v>12</v>
      </c>
      <c r="C29" s="8">
        <v>260</v>
      </c>
    </row>
    <row r="31" spans="1:3" ht="12.75">
      <c r="A31" t="s">
        <v>13</v>
      </c>
      <c r="C31" s="8">
        <v>775.32</v>
      </c>
    </row>
    <row r="33" spans="1:3" ht="12.75">
      <c r="A33" t="s">
        <v>14</v>
      </c>
      <c r="C33" s="8">
        <v>4647.92</v>
      </c>
    </row>
    <row r="35" spans="1:3" ht="12.75">
      <c r="A35" t="s">
        <v>15</v>
      </c>
      <c r="C35" s="9">
        <v>12634.81</v>
      </c>
    </row>
    <row r="37" spans="1:3" ht="12.75">
      <c r="A37" t="s">
        <v>16</v>
      </c>
      <c r="C37" s="9">
        <v>939.12</v>
      </c>
    </row>
    <row r="39" spans="1:4" ht="12.75">
      <c r="A39" t="s">
        <v>17</v>
      </c>
      <c r="C39" s="7">
        <f>SUM(C3:C37)</f>
        <v>133725.57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&amp;CAPRIL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37" sqref="C37"/>
    </sheetView>
  </sheetViews>
  <sheetFormatPr defaultColWidth="9.140625" defaultRowHeight="12.75"/>
  <cols>
    <col min="3" max="3" width="9.8515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1549.8</v>
      </c>
    </row>
    <row r="4" ht="12.75">
      <c r="A4" t="s">
        <v>3</v>
      </c>
    </row>
    <row r="5" spans="1:3" ht="12.75">
      <c r="A5" t="s">
        <v>2</v>
      </c>
      <c r="C5" s="8">
        <v>426.12</v>
      </c>
    </row>
    <row r="7" spans="1:3" ht="12.75">
      <c r="A7" t="s">
        <v>4</v>
      </c>
      <c r="C7" s="8">
        <v>17622.6</v>
      </c>
    </row>
    <row r="9" spans="1:3" ht="12.75">
      <c r="A9" t="s">
        <v>5</v>
      </c>
      <c r="C9" s="8">
        <v>4709.34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11288.09</v>
      </c>
    </row>
    <row r="15" spans="1:3" ht="12.75">
      <c r="A15" t="s">
        <v>7</v>
      </c>
      <c r="C15" s="8">
        <v>2146.37</v>
      </c>
    </row>
    <row r="16" ht="12.75">
      <c r="C16" s="10"/>
    </row>
    <row r="17" spans="1:3" ht="12.75">
      <c r="A17" t="s">
        <v>28</v>
      </c>
      <c r="C17" s="8">
        <v>775.88</v>
      </c>
    </row>
    <row r="19" spans="1:3" ht="12.75">
      <c r="A19" t="s">
        <v>8</v>
      </c>
      <c r="C19" s="8">
        <v>49462.16</v>
      </c>
    </row>
    <row r="21" spans="1:3" ht="12.75">
      <c r="A21" t="s">
        <v>9</v>
      </c>
      <c r="C21" s="8">
        <v>15561.7</v>
      </c>
    </row>
    <row r="23" spans="1:3" ht="12.75">
      <c r="A23" t="s">
        <v>33</v>
      </c>
      <c r="C23" s="8">
        <v>651.42</v>
      </c>
    </row>
    <row r="25" spans="1:3" ht="12.75">
      <c r="A25" t="s">
        <v>10</v>
      </c>
      <c r="C25" s="8">
        <v>5746.97</v>
      </c>
    </row>
    <row r="27" spans="1:3" ht="12.75">
      <c r="A27" t="s">
        <v>11</v>
      </c>
      <c r="C27" s="8">
        <v>2803.4</v>
      </c>
    </row>
    <row r="29" spans="1:3" ht="12.75">
      <c r="A29" t="s">
        <v>12</v>
      </c>
      <c r="C29" s="8">
        <v>230</v>
      </c>
    </row>
    <row r="31" spans="1:3" ht="12.75">
      <c r="A31" t="s">
        <v>13</v>
      </c>
      <c r="C31" s="8">
        <v>839.1</v>
      </c>
    </row>
    <row r="33" spans="1:3" ht="12.75">
      <c r="A33" t="s">
        <v>14</v>
      </c>
      <c r="C33" s="8">
        <v>5964</v>
      </c>
    </row>
    <row r="35" spans="1:3" ht="12.75">
      <c r="A35" t="s">
        <v>15</v>
      </c>
      <c r="C35" s="9">
        <v>11358.06</v>
      </c>
    </row>
    <row r="37" spans="1:3" ht="12.75">
      <c r="A37" t="s">
        <v>16</v>
      </c>
      <c r="C37" s="9">
        <v>1176.94</v>
      </c>
    </row>
    <row r="39" spans="1:4" ht="12.75">
      <c r="A39" t="s">
        <v>17</v>
      </c>
      <c r="C39" s="7">
        <f>SUM(C3:C37)</f>
        <v>132311.95</v>
      </c>
      <c r="D39" t="s">
        <v>32</v>
      </c>
    </row>
  </sheetData>
  <sheetProtection/>
  <printOptions headings="1"/>
  <pageMargins left="0.75" right="0.75" top="1" bottom="1" header="0.5" footer="0.5"/>
  <pageSetup horizontalDpi="600" verticalDpi="600" orientation="portrait" r:id="rId1"/>
  <headerFooter alignWithMargins="0">
    <oddHeader>&amp;CMAY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D37" sqref="D37"/>
    </sheetView>
  </sheetViews>
  <sheetFormatPr defaultColWidth="9.140625" defaultRowHeight="12.75"/>
  <cols>
    <col min="3" max="3" width="9.8515625" style="7" bestFit="1" customWidth="1"/>
  </cols>
  <sheetData>
    <row r="1" ht="12.75">
      <c r="A1" t="s">
        <v>0</v>
      </c>
    </row>
    <row r="3" spans="1:3" ht="12.75">
      <c r="A3" t="s">
        <v>1</v>
      </c>
      <c r="C3" s="8">
        <v>1738.8</v>
      </c>
    </row>
    <row r="4" ht="12.75">
      <c r="A4" t="s">
        <v>3</v>
      </c>
    </row>
    <row r="5" spans="1:3" ht="12.75">
      <c r="A5" t="s">
        <v>2</v>
      </c>
      <c r="C5" s="8">
        <v>438.6</v>
      </c>
    </row>
    <row r="7" spans="1:3" ht="12.75">
      <c r="A7" t="s">
        <v>4</v>
      </c>
      <c r="C7" s="8">
        <v>17239.5</v>
      </c>
    </row>
    <row r="9" spans="1:3" ht="12.75">
      <c r="A9" t="s">
        <v>5</v>
      </c>
      <c r="C9" s="8">
        <v>4110.52</v>
      </c>
    </row>
    <row r="10" ht="12.75">
      <c r="C10" s="10"/>
    </row>
    <row r="11" spans="1:3" ht="12.75">
      <c r="A11" t="s">
        <v>27</v>
      </c>
      <c r="C11" s="8">
        <v>0</v>
      </c>
    </row>
    <row r="12" ht="12.75">
      <c r="C12" s="10"/>
    </row>
    <row r="13" spans="1:3" ht="12.75">
      <c r="A13" t="s">
        <v>6</v>
      </c>
      <c r="C13" s="8">
        <v>11666.16</v>
      </c>
    </row>
    <row r="15" spans="1:3" ht="12.75">
      <c r="A15" t="s">
        <v>7</v>
      </c>
      <c r="C15" s="8">
        <v>2310.04</v>
      </c>
    </row>
    <row r="16" spans="1:3" ht="12.75">
      <c r="A16" t="s">
        <v>36</v>
      </c>
      <c r="C16" s="8"/>
    </row>
    <row r="17" spans="1:3" ht="12.75">
      <c r="A17" t="s">
        <v>28</v>
      </c>
      <c r="C17" s="8">
        <v>997.56</v>
      </c>
    </row>
    <row r="19" spans="1:3" ht="12.75">
      <c r="A19" t="s">
        <v>8</v>
      </c>
      <c r="C19" s="8">
        <v>51743.68</v>
      </c>
    </row>
    <row r="21" spans="1:3" ht="12.75">
      <c r="A21" t="s">
        <v>9</v>
      </c>
      <c r="C21" s="8">
        <v>14693.14</v>
      </c>
    </row>
    <row r="23" spans="1:3" ht="12.75">
      <c r="A23" t="s">
        <v>33</v>
      </c>
      <c r="C23" s="8">
        <v>506.66</v>
      </c>
    </row>
    <row r="25" spans="1:3" ht="12.75">
      <c r="A25" t="s">
        <v>10</v>
      </c>
      <c r="C25" s="8">
        <v>7849.52</v>
      </c>
    </row>
    <row r="27" spans="1:3" ht="12.75">
      <c r="A27" t="s">
        <v>11</v>
      </c>
      <c r="C27" s="8">
        <v>1541.87</v>
      </c>
    </row>
    <row r="29" spans="1:3" ht="12.75">
      <c r="A29" t="s">
        <v>12</v>
      </c>
      <c r="C29" s="8">
        <v>280</v>
      </c>
    </row>
    <row r="31" spans="1:3" ht="12.75">
      <c r="A31" t="s">
        <v>13</v>
      </c>
      <c r="C31" s="8">
        <v>753.52</v>
      </c>
    </row>
    <row r="33" spans="1:3" ht="12.75">
      <c r="A33" t="s">
        <v>14</v>
      </c>
      <c r="C33" s="8">
        <v>5602</v>
      </c>
    </row>
    <row r="35" spans="1:3" ht="12.75">
      <c r="A35" t="s">
        <v>15</v>
      </c>
      <c r="C35" s="9">
        <v>12167.39</v>
      </c>
    </row>
    <row r="37" spans="1:3" ht="12.75">
      <c r="A37" t="s">
        <v>16</v>
      </c>
      <c r="C37" s="9">
        <v>1077.31</v>
      </c>
    </row>
    <row r="39" spans="1:4" ht="12.75">
      <c r="A39" t="s">
        <v>17</v>
      </c>
      <c r="C39" s="7">
        <f>SUM(C3:C37)</f>
        <v>134716.27000000002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&amp;CJUNE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0">
      <selection activeCell="D37" sqref="D37"/>
    </sheetView>
  </sheetViews>
  <sheetFormatPr defaultColWidth="9.140625" defaultRowHeight="12.75"/>
  <cols>
    <col min="3" max="3" width="10.281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1587.6</v>
      </c>
    </row>
    <row r="4" ht="12.75">
      <c r="A4" t="s">
        <v>3</v>
      </c>
    </row>
    <row r="5" spans="1:3" ht="12.75">
      <c r="A5" t="s">
        <v>2</v>
      </c>
      <c r="C5" s="8">
        <v>554.76</v>
      </c>
    </row>
    <row r="7" spans="1:3" ht="12.75">
      <c r="A7" t="s">
        <v>4</v>
      </c>
      <c r="C7" s="8">
        <v>17760.84</v>
      </c>
    </row>
    <row r="9" spans="1:3" ht="12.75">
      <c r="A9" t="s">
        <v>5</v>
      </c>
      <c r="C9" s="8">
        <v>4089.69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11558.14</v>
      </c>
    </row>
    <row r="15" spans="1:3" ht="12.75">
      <c r="A15" t="s">
        <v>7</v>
      </c>
      <c r="C15" s="8">
        <v>2373.23</v>
      </c>
    </row>
    <row r="16" spans="1:3" ht="12.75">
      <c r="A16" t="s">
        <v>35</v>
      </c>
      <c r="C16" s="10"/>
    </row>
    <row r="17" spans="1:3" ht="12.75">
      <c r="A17" t="s">
        <v>28</v>
      </c>
      <c r="C17" s="8">
        <v>221.68</v>
      </c>
    </row>
    <row r="19" spans="1:3" ht="12.75">
      <c r="A19" t="s">
        <v>8</v>
      </c>
      <c r="C19" s="8">
        <v>53738.38</v>
      </c>
    </row>
    <row r="21" spans="1:3" ht="12.75">
      <c r="A21" t="s">
        <v>9</v>
      </c>
      <c r="C21" s="8">
        <v>14765.52</v>
      </c>
    </row>
    <row r="23" spans="1:3" ht="12.75">
      <c r="A23" t="s">
        <v>33</v>
      </c>
      <c r="C23" s="8">
        <v>217.14</v>
      </c>
    </row>
    <row r="25" spans="1:3" ht="12.75">
      <c r="A25" t="s">
        <v>10</v>
      </c>
      <c r="C25" s="8">
        <v>5046.12</v>
      </c>
    </row>
    <row r="27" spans="1:3" ht="12.75">
      <c r="A27" t="s">
        <v>11</v>
      </c>
      <c r="C27" s="8">
        <v>2102.55</v>
      </c>
    </row>
    <row r="29" spans="1:3" ht="12.75">
      <c r="A29" t="s">
        <v>12</v>
      </c>
      <c r="C29" s="8">
        <v>287.5</v>
      </c>
    </row>
    <row r="31" spans="1:3" ht="12.75">
      <c r="A31" t="s">
        <v>13</v>
      </c>
      <c r="C31" s="8">
        <v>734.3</v>
      </c>
    </row>
    <row r="33" spans="1:3" ht="12.75">
      <c r="A33" t="s">
        <v>14</v>
      </c>
      <c r="C33" s="8">
        <v>7581</v>
      </c>
    </row>
    <row r="35" spans="1:3" ht="12.75">
      <c r="A35" t="s">
        <v>15</v>
      </c>
      <c r="C35" s="9">
        <v>12672.16</v>
      </c>
    </row>
    <row r="37" spans="1:3" ht="12.75">
      <c r="A37" t="s">
        <v>16</v>
      </c>
      <c r="C37" s="9">
        <v>1129.09</v>
      </c>
    </row>
    <row r="39" spans="1:4" ht="12.75">
      <c r="A39" t="s">
        <v>17</v>
      </c>
      <c r="C39" s="7">
        <f>SUM(C3:C37)</f>
        <v>136419.7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&amp;CJULY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2">
      <selection activeCell="C18" sqref="C18"/>
    </sheetView>
  </sheetViews>
  <sheetFormatPr defaultColWidth="9.140625" defaultRowHeight="12.75"/>
  <cols>
    <col min="3" max="3" width="11.1406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1965.6</v>
      </c>
    </row>
    <row r="4" ht="12.75">
      <c r="A4" t="s">
        <v>3</v>
      </c>
    </row>
    <row r="5" spans="1:3" ht="12.75">
      <c r="A5" t="s">
        <v>2</v>
      </c>
      <c r="C5" s="8">
        <v>329.64</v>
      </c>
    </row>
    <row r="7" spans="1:3" ht="12.75">
      <c r="A7" t="s">
        <v>4</v>
      </c>
      <c r="C7" s="8">
        <v>19231.62</v>
      </c>
    </row>
    <row r="9" spans="1:3" ht="12.75">
      <c r="A9" t="s">
        <v>5</v>
      </c>
      <c r="C9" s="8">
        <v>4151.83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13013.59</v>
      </c>
    </row>
    <row r="15" spans="1:3" ht="12.75">
      <c r="A15" t="s">
        <v>7</v>
      </c>
      <c r="C15" s="8">
        <v>2378.41</v>
      </c>
    </row>
    <row r="16" ht="12.75">
      <c r="C16" s="10"/>
    </row>
    <row r="17" spans="1:3" ht="12.75">
      <c r="A17" t="s">
        <v>28</v>
      </c>
      <c r="C17" s="8">
        <v>332.52</v>
      </c>
    </row>
    <row r="18" spans="1:3" ht="12.75">
      <c r="A18" t="s">
        <v>35</v>
      </c>
      <c r="C18" s="94"/>
    </row>
    <row r="19" spans="1:3" ht="12.75">
      <c r="A19" t="s">
        <v>8</v>
      </c>
      <c r="C19" s="8">
        <v>59915.63</v>
      </c>
    </row>
    <row r="21" spans="1:3" ht="12.75">
      <c r="A21" t="s">
        <v>9</v>
      </c>
      <c r="C21" s="8">
        <v>15923.6</v>
      </c>
    </row>
    <row r="23" spans="1:3" ht="12.75">
      <c r="A23" t="s">
        <v>34</v>
      </c>
      <c r="C23" s="8">
        <v>361.9</v>
      </c>
    </row>
    <row r="25" spans="1:3" ht="12.75">
      <c r="A25" t="s">
        <v>10</v>
      </c>
      <c r="C25" s="8">
        <v>7429.01</v>
      </c>
    </row>
    <row r="27" spans="1:3" ht="12.75">
      <c r="A27" t="s">
        <v>11</v>
      </c>
      <c r="C27" s="8">
        <v>3083.74</v>
      </c>
    </row>
    <row r="29" spans="1:3" ht="12.75">
      <c r="A29" t="s">
        <v>12</v>
      </c>
      <c r="C29" s="8">
        <v>290</v>
      </c>
    </row>
    <row r="31" spans="1:3" ht="12.75">
      <c r="A31" t="s">
        <v>13</v>
      </c>
      <c r="C31" s="8">
        <v>794.82</v>
      </c>
    </row>
    <row r="33" spans="1:3" ht="12.75">
      <c r="A33" t="s">
        <v>14</v>
      </c>
      <c r="C33" s="8">
        <v>7340</v>
      </c>
    </row>
    <row r="35" spans="1:3" ht="12.75">
      <c r="A35" t="s">
        <v>15</v>
      </c>
      <c r="C35" s="9">
        <v>11957.31</v>
      </c>
    </row>
    <row r="37" spans="1:3" ht="12.75">
      <c r="A37" t="s">
        <v>16</v>
      </c>
      <c r="C37" s="9">
        <v>948.61</v>
      </c>
    </row>
    <row r="39" spans="1:4" ht="12.75">
      <c r="A39" t="s">
        <v>17</v>
      </c>
      <c r="C39" s="7">
        <f>SUM(C3:C37)</f>
        <v>149447.83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&amp;CAUGUST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D37" sqref="D37"/>
    </sheetView>
  </sheetViews>
  <sheetFormatPr defaultColWidth="9.140625" defaultRowHeight="12.75"/>
  <cols>
    <col min="3" max="3" width="11.5742187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2048.76</v>
      </c>
    </row>
    <row r="4" ht="12.75">
      <c r="A4" t="s">
        <v>3</v>
      </c>
    </row>
    <row r="5" spans="1:3" ht="12.75">
      <c r="A5" t="s">
        <v>2</v>
      </c>
      <c r="C5" s="8">
        <v>482.88</v>
      </c>
    </row>
    <row r="7" spans="1:3" ht="12.75">
      <c r="A7" t="s">
        <v>4</v>
      </c>
      <c r="C7" s="8">
        <v>19001.76</v>
      </c>
    </row>
    <row r="9" spans="1:3" ht="12.75">
      <c r="A9" t="s">
        <v>5</v>
      </c>
      <c r="C9" s="8">
        <v>4461.83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13664.53</v>
      </c>
    </row>
    <row r="15" spans="1:3" ht="12.75">
      <c r="A15" t="s">
        <v>7</v>
      </c>
      <c r="C15" s="8">
        <v>2378.41</v>
      </c>
    </row>
    <row r="16" ht="12.75">
      <c r="C16" s="10"/>
    </row>
    <row r="17" spans="1:3" ht="12.75">
      <c r="A17" t="s">
        <v>28</v>
      </c>
      <c r="C17" s="8">
        <v>110.84</v>
      </c>
    </row>
    <row r="19" spans="1:3" ht="12.75">
      <c r="A19" t="s">
        <v>8</v>
      </c>
      <c r="C19" s="8">
        <v>69013.8</v>
      </c>
    </row>
    <row r="21" spans="1:3" ht="12.75">
      <c r="A21" t="s">
        <v>9</v>
      </c>
      <c r="C21" s="8">
        <v>17154.06</v>
      </c>
    </row>
    <row r="23" spans="1:3" ht="12.75">
      <c r="A23" t="s">
        <v>33</v>
      </c>
      <c r="C23" s="8">
        <v>434.28</v>
      </c>
    </row>
    <row r="25" spans="1:3" ht="12.75">
      <c r="A25" t="s">
        <v>10</v>
      </c>
      <c r="C25" s="8">
        <v>7288.84</v>
      </c>
    </row>
    <row r="27" spans="1:3" ht="12.75">
      <c r="A27" t="s">
        <v>11</v>
      </c>
      <c r="C27" s="8">
        <v>2382.89</v>
      </c>
    </row>
    <row r="29" spans="1:3" ht="12.75">
      <c r="A29" t="s">
        <v>12</v>
      </c>
      <c r="C29" s="8">
        <v>312.5</v>
      </c>
    </row>
    <row r="31" spans="1:3" ht="12.75">
      <c r="A31" t="s">
        <v>13</v>
      </c>
      <c r="C31" s="8">
        <v>792.52</v>
      </c>
    </row>
    <row r="33" spans="1:3" ht="12.75">
      <c r="A33" t="s">
        <v>14</v>
      </c>
      <c r="C33" s="8">
        <v>7455</v>
      </c>
    </row>
    <row r="35" spans="1:3" ht="12.75">
      <c r="A35" t="s">
        <v>15</v>
      </c>
      <c r="C35" s="9">
        <v>13389.32</v>
      </c>
    </row>
    <row r="37" spans="1:3" ht="12.75">
      <c r="A37" t="s">
        <v>16</v>
      </c>
      <c r="C37" s="9">
        <v>1128.04</v>
      </c>
    </row>
    <row r="38" ht="12.75">
      <c r="C38" s="87"/>
    </row>
    <row r="39" spans="1:4" ht="12.75">
      <c r="A39" t="s">
        <v>17</v>
      </c>
      <c r="C39" s="7">
        <f>SUM(C3:C37)</f>
        <v>161500.26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&amp;CSEPTEMBER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I33" sqref="I33"/>
    </sheetView>
  </sheetViews>
  <sheetFormatPr defaultColWidth="9.140625" defaultRowHeight="12.75"/>
  <cols>
    <col min="2" max="2" width="10.421875" style="0" customWidth="1"/>
  </cols>
  <sheetData>
    <row r="1" ht="12.75">
      <c r="A1" t="s">
        <v>22</v>
      </c>
    </row>
    <row r="2" ht="12.75">
      <c r="A2" t="s">
        <v>74</v>
      </c>
    </row>
    <row r="4" spans="1:13" ht="12.75">
      <c r="A4" s="72" t="s">
        <v>73</v>
      </c>
      <c r="D4" s="72" t="s">
        <v>72</v>
      </c>
      <c r="G4" s="72" t="s">
        <v>71</v>
      </c>
      <c r="J4" s="72" t="s">
        <v>70</v>
      </c>
      <c r="M4" s="19" t="s">
        <v>75</v>
      </c>
    </row>
    <row r="5" spans="2:15" ht="12.75">
      <c r="B5" t="s">
        <v>68</v>
      </c>
      <c r="C5" t="s">
        <v>67</v>
      </c>
      <c r="E5" t="s">
        <v>68</v>
      </c>
      <c r="F5" t="s">
        <v>67</v>
      </c>
      <c r="H5" t="s">
        <v>68</v>
      </c>
      <c r="I5" t="s">
        <v>67</v>
      </c>
      <c r="K5" t="s">
        <v>68</v>
      </c>
      <c r="L5" t="s">
        <v>67</v>
      </c>
      <c r="N5" t="s">
        <v>68</v>
      </c>
      <c r="O5" t="s">
        <v>67</v>
      </c>
    </row>
    <row r="7" spans="1:15" ht="12.75">
      <c r="A7" t="s">
        <v>66</v>
      </c>
      <c r="B7" s="69">
        <v>23831.72</v>
      </c>
      <c r="C7" s="69">
        <v>5642.27</v>
      </c>
      <c r="D7" t="s">
        <v>66</v>
      </c>
      <c r="E7" s="69">
        <v>16447.46</v>
      </c>
      <c r="F7" s="69">
        <v>8613.88</v>
      </c>
      <c r="G7" t="s">
        <v>66</v>
      </c>
      <c r="H7" s="69">
        <v>3129.06</v>
      </c>
      <c r="I7" s="68"/>
      <c r="J7" t="s">
        <v>66</v>
      </c>
      <c r="K7" s="71">
        <v>0</v>
      </c>
      <c r="L7" s="68"/>
      <c r="M7" t="s">
        <v>66</v>
      </c>
      <c r="N7" s="69">
        <v>0</v>
      </c>
      <c r="O7" s="68"/>
    </row>
    <row r="9" spans="1:15" ht="12.75">
      <c r="A9" t="s">
        <v>65</v>
      </c>
      <c r="B9" s="69">
        <v>0</v>
      </c>
      <c r="C9" s="69">
        <v>0</v>
      </c>
      <c r="D9" t="s">
        <v>65</v>
      </c>
      <c r="E9" s="69">
        <v>0</v>
      </c>
      <c r="F9" s="69">
        <v>0</v>
      </c>
      <c r="G9" t="s">
        <v>65</v>
      </c>
      <c r="H9" s="69">
        <v>0</v>
      </c>
      <c r="I9" s="68"/>
      <c r="J9" t="s">
        <v>65</v>
      </c>
      <c r="K9" s="69">
        <v>0</v>
      </c>
      <c r="L9" s="68"/>
      <c r="M9" t="s">
        <v>65</v>
      </c>
      <c r="N9" s="69">
        <v>0</v>
      </c>
      <c r="O9" s="68"/>
    </row>
    <row r="10" ht="12.75">
      <c r="O10" s="70"/>
    </row>
    <row r="11" spans="1:15" ht="12.75">
      <c r="A11" t="s">
        <v>13</v>
      </c>
      <c r="B11" s="69">
        <v>82.27</v>
      </c>
      <c r="C11" s="69">
        <v>0</v>
      </c>
      <c r="D11" t="s">
        <v>13</v>
      </c>
      <c r="E11" s="69">
        <v>56.42</v>
      </c>
      <c r="F11" s="69">
        <v>0</v>
      </c>
      <c r="G11" t="s">
        <v>13</v>
      </c>
      <c r="H11" s="69">
        <v>7</v>
      </c>
      <c r="I11" s="68"/>
      <c r="J11" t="s">
        <v>13</v>
      </c>
      <c r="K11" s="69">
        <v>0</v>
      </c>
      <c r="L11" s="68"/>
      <c r="M11" t="s">
        <v>13</v>
      </c>
      <c r="N11" s="69">
        <v>0</v>
      </c>
      <c r="O11" s="68"/>
    </row>
    <row r="13" spans="1:3" ht="12.75">
      <c r="A13" t="s">
        <v>64</v>
      </c>
      <c r="C13" s="61">
        <v>92.2</v>
      </c>
    </row>
    <row r="14" spans="1:3" ht="12.75">
      <c r="A14" t="s">
        <v>63</v>
      </c>
      <c r="C14" s="61">
        <v>1708.72</v>
      </c>
    </row>
    <row r="15" spans="1:3" ht="12.75">
      <c r="A15" t="s">
        <v>2</v>
      </c>
      <c r="C15" s="61">
        <v>5265.05</v>
      </c>
    </row>
    <row r="17" spans="1:3" ht="12.75">
      <c r="A17" t="s">
        <v>62</v>
      </c>
      <c r="C17" s="61">
        <v>443.6</v>
      </c>
    </row>
    <row r="18" spans="1:3" ht="12.75">
      <c r="A18" t="s">
        <v>61</v>
      </c>
      <c r="C18" s="67">
        <v>-6.04</v>
      </c>
    </row>
    <row r="20" spans="1:2" ht="12.75">
      <c r="A20" t="s">
        <v>60</v>
      </c>
      <c r="B20" s="1">
        <f>SUM(B7:O11)+C13+C14+C15+C17+C18</f>
        <v>65313.609999999986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22</v>
      </c>
    </row>
    <row r="2" ht="12.75">
      <c r="A2" s="7" t="s">
        <v>74</v>
      </c>
    </row>
    <row r="4" spans="1:13" ht="12.75">
      <c r="A4" s="76" t="s">
        <v>73</v>
      </c>
      <c r="D4" s="76" t="s">
        <v>72</v>
      </c>
      <c r="G4" s="76" t="s">
        <v>71</v>
      </c>
      <c r="J4" s="76" t="s">
        <v>70</v>
      </c>
      <c r="M4" s="76" t="s">
        <v>69</v>
      </c>
    </row>
    <row r="5" spans="2:15" ht="12.75">
      <c r="B5" s="7" t="s">
        <v>68</v>
      </c>
      <c r="C5" s="7" t="s">
        <v>67</v>
      </c>
      <c r="E5" s="7" t="s">
        <v>68</v>
      </c>
      <c r="F5" s="7" t="s">
        <v>67</v>
      </c>
      <c r="H5" s="7" t="s">
        <v>68</v>
      </c>
      <c r="I5" s="7" t="s">
        <v>67</v>
      </c>
      <c r="K5" s="7" t="s">
        <v>68</v>
      </c>
      <c r="L5" s="7" t="s">
        <v>67</v>
      </c>
      <c r="N5" s="7" t="s">
        <v>68</v>
      </c>
      <c r="O5" s="7" t="s">
        <v>67</v>
      </c>
    </row>
    <row r="7" spans="1:15" ht="12.75">
      <c r="A7" s="7" t="s">
        <v>66</v>
      </c>
      <c r="B7" s="8">
        <v>24381.94</v>
      </c>
      <c r="C7" s="8">
        <v>6583.54</v>
      </c>
      <c r="D7" s="7" t="s">
        <v>66</v>
      </c>
      <c r="E7" s="8">
        <v>16725.72</v>
      </c>
      <c r="F7" s="8">
        <v>9683.26</v>
      </c>
      <c r="G7" s="7" t="s">
        <v>66</v>
      </c>
      <c r="H7" s="8">
        <v>3068.72</v>
      </c>
      <c r="I7" s="75">
        <v>0</v>
      </c>
      <c r="J7" s="7" t="s">
        <v>66</v>
      </c>
      <c r="K7" s="74">
        <v>0</v>
      </c>
      <c r="L7" s="10"/>
      <c r="M7" s="7" t="s">
        <v>66</v>
      </c>
      <c r="N7" s="8">
        <v>0</v>
      </c>
      <c r="O7" s="10"/>
    </row>
    <row r="9" spans="1:15" ht="12.75">
      <c r="A9" s="7" t="s">
        <v>65</v>
      </c>
      <c r="B9" s="8">
        <v>0</v>
      </c>
      <c r="C9" s="8">
        <v>0</v>
      </c>
      <c r="D9" s="7" t="s">
        <v>65</v>
      </c>
      <c r="E9" s="8">
        <v>0</v>
      </c>
      <c r="F9" s="8">
        <v>0</v>
      </c>
      <c r="G9" s="7" t="s">
        <v>65</v>
      </c>
      <c r="H9" s="8">
        <v>0</v>
      </c>
      <c r="I9" s="10"/>
      <c r="J9" s="7" t="s">
        <v>65</v>
      </c>
      <c r="K9" s="8">
        <v>0</v>
      </c>
      <c r="L9" s="10"/>
      <c r="M9" s="7" t="s">
        <v>65</v>
      </c>
      <c r="N9" s="8">
        <v>0</v>
      </c>
      <c r="O9" s="10"/>
    </row>
    <row r="10" ht="12.75">
      <c r="O10" s="73"/>
    </row>
    <row r="11" spans="1:15" ht="12.75">
      <c r="A11" s="7" t="s">
        <v>13</v>
      </c>
      <c r="B11" s="8">
        <v>134.23</v>
      </c>
      <c r="C11" s="8">
        <v>0</v>
      </c>
      <c r="D11" s="7" t="s">
        <v>13</v>
      </c>
      <c r="E11" s="8">
        <v>56.42</v>
      </c>
      <c r="F11" s="8">
        <v>0</v>
      </c>
      <c r="G11" s="7" t="s">
        <v>13</v>
      </c>
      <c r="H11" s="8">
        <v>4</v>
      </c>
      <c r="I11" s="10"/>
      <c r="J11" s="7" t="s">
        <v>13</v>
      </c>
      <c r="K11" s="8">
        <v>0</v>
      </c>
      <c r="L11" s="10"/>
      <c r="M11" s="7" t="s">
        <v>13</v>
      </c>
      <c r="N11" s="8">
        <v>0</v>
      </c>
      <c r="O11" s="10"/>
    </row>
    <row r="13" spans="1:3" ht="12.75">
      <c r="A13" s="7" t="s">
        <v>76</v>
      </c>
      <c r="C13" s="9">
        <v>248.94</v>
      </c>
    </row>
    <row r="14" spans="1:3" ht="12.75">
      <c r="A14" s="7" t="s">
        <v>63</v>
      </c>
      <c r="C14" s="9">
        <v>2482.97</v>
      </c>
    </row>
    <row r="15" spans="1:3" ht="12.75">
      <c r="A15" s="7" t="s">
        <v>2</v>
      </c>
      <c r="C15" s="9">
        <v>6883.31</v>
      </c>
    </row>
    <row r="17" spans="1:3" ht="12.75">
      <c r="A17" s="7" t="s">
        <v>62</v>
      </c>
      <c r="C17" s="9">
        <v>463.81</v>
      </c>
    </row>
    <row r="18" spans="1:3" ht="12.75">
      <c r="A18" s="7" t="s">
        <v>61</v>
      </c>
      <c r="C18" s="9">
        <v>-8.03</v>
      </c>
    </row>
    <row r="20" spans="1:2" ht="12.75">
      <c r="A20" s="7" t="s">
        <v>60</v>
      </c>
      <c r="B20" s="7">
        <f>SUM(B7:O11)+C13+C14+C15+C17+C18</f>
        <v>70708.83</v>
      </c>
    </row>
  </sheetData>
  <sheetProtection/>
  <printOptions/>
  <pageMargins left="0.5" right="0.5" top="1" bottom="1" header="0.5" footer="0.5"/>
  <pageSetup fitToHeight="1" fitToWidth="1" horizontalDpi="600" verticalDpi="600" orientation="landscape" scale="97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9.140625" style="7" customWidth="1"/>
    <col min="2" max="2" width="9.421875" style="7" bestFit="1" customWidth="1"/>
    <col min="3" max="3" width="9.28125" style="7" bestFit="1" customWidth="1"/>
    <col min="4" max="4" width="9.140625" style="7" customWidth="1"/>
    <col min="5" max="6" width="9.28125" style="7" bestFit="1" customWidth="1"/>
    <col min="7" max="7" width="9.140625" style="7" customWidth="1"/>
    <col min="8" max="9" width="9.28125" style="7" bestFit="1" customWidth="1"/>
    <col min="10" max="10" width="9.140625" style="7" customWidth="1"/>
    <col min="11" max="12" width="9.28125" style="7" bestFit="1" customWidth="1"/>
    <col min="13" max="13" width="9.140625" style="7" customWidth="1"/>
    <col min="14" max="15" width="9.28125" style="7" bestFit="1" customWidth="1"/>
    <col min="16" max="16384" width="9.140625" style="7" customWidth="1"/>
  </cols>
  <sheetData>
    <row r="1" ht="12.75">
      <c r="A1" s="7" t="s">
        <v>22</v>
      </c>
    </row>
    <row r="2" ht="12.75">
      <c r="A2" s="7" t="s">
        <v>74</v>
      </c>
    </row>
    <row r="4" spans="1:13" ht="12.75">
      <c r="A4" s="76" t="s">
        <v>73</v>
      </c>
      <c r="D4" s="76" t="s">
        <v>72</v>
      </c>
      <c r="G4" s="76" t="s">
        <v>71</v>
      </c>
      <c r="J4" s="76" t="s">
        <v>70</v>
      </c>
      <c r="M4" s="76" t="s">
        <v>69</v>
      </c>
    </row>
    <row r="5" spans="2:15" ht="12.75">
      <c r="B5" s="7" t="s">
        <v>68</v>
      </c>
      <c r="C5" s="7" t="s">
        <v>67</v>
      </c>
      <c r="E5" s="7" t="s">
        <v>68</v>
      </c>
      <c r="F5" s="7" t="s">
        <v>67</v>
      </c>
      <c r="H5" s="7" t="s">
        <v>68</v>
      </c>
      <c r="I5" s="7" t="s">
        <v>67</v>
      </c>
      <c r="K5" s="7" t="s">
        <v>68</v>
      </c>
      <c r="L5" s="7" t="s">
        <v>67</v>
      </c>
      <c r="N5" s="7" t="s">
        <v>68</v>
      </c>
      <c r="O5" s="7" t="s">
        <v>67</v>
      </c>
    </row>
    <row r="7" spans="1:15" ht="12.75">
      <c r="A7" s="7" t="s">
        <v>66</v>
      </c>
      <c r="B7" s="8">
        <v>23490.94</v>
      </c>
      <c r="C7" s="8">
        <v>6127.29</v>
      </c>
      <c r="D7" s="7" t="s">
        <v>66</v>
      </c>
      <c r="E7" s="8">
        <v>16292.69</v>
      </c>
      <c r="F7" s="8">
        <v>8860.69</v>
      </c>
      <c r="G7" s="7" t="s">
        <v>66</v>
      </c>
      <c r="H7" s="8">
        <v>3060.1</v>
      </c>
      <c r="I7" s="8">
        <v>0</v>
      </c>
      <c r="J7" s="7" t="s">
        <v>66</v>
      </c>
      <c r="K7" s="74">
        <v>0</v>
      </c>
      <c r="L7" s="8">
        <v>0</v>
      </c>
      <c r="M7" s="7" t="s">
        <v>66</v>
      </c>
      <c r="N7" s="8">
        <v>0</v>
      </c>
      <c r="O7" s="8">
        <v>0</v>
      </c>
    </row>
    <row r="9" spans="1:15" ht="12.75">
      <c r="A9" s="7" t="s">
        <v>65</v>
      </c>
      <c r="B9" s="8">
        <v>0</v>
      </c>
      <c r="C9" s="8">
        <v>0</v>
      </c>
      <c r="D9" s="7" t="s">
        <v>65</v>
      </c>
      <c r="E9" s="8">
        <v>0</v>
      </c>
      <c r="F9" s="8">
        <v>0</v>
      </c>
      <c r="G9" s="7" t="s">
        <v>65</v>
      </c>
      <c r="H9" s="8">
        <v>0</v>
      </c>
      <c r="I9" s="8">
        <v>0</v>
      </c>
      <c r="J9" s="7" t="s">
        <v>65</v>
      </c>
      <c r="K9" s="8">
        <v>0</v>
      </c>
      <c r="L9" s="8">
        <v>0</v>
      </c>
      <c r="M9" s="7" t="s">
        <v>65</v>
      </c>
      <c r="N9" s="8">
        <v>0</v>
      </c>
      <c r="O9" s="8">
        <v>0</v>
      </c>
    </row>
    <row r="10" spans="14:15" ht="12.75">
      <c r="N10" s="7" t="s">
        <v>3</v>
      </c>
      <c r="O10" s="73"/>
    </row>
    <row r="11" spans="1:15" ht="12.75">
      <c r="A11" s="7" t="s">
        <v>13</v>
      </c>
      <c r="B11" s="8">
        <v>82.27</v>
      </c>
      <c r="C11" s="8">
        <v>0</v>
      </c>
      <c r="D11" s="7" t="s">
        <v>13</v>
      </c>
      <c r="E11" s="8">
        <v>56.42</v>
      </c>
      <c r="F11" s="8">
        <v>0</v>
      </c>
      <c r="G11" s="7" t="s">
        <v>13</v>
      </c>
      <c r="H11" s="8">
        <v>1</v>
      </c>
      <c r="I11" s="8">
        <v>0</v>
      </c>
      <c r="J11" s="7" t="s">
        <v>13</v>
      </c>
      <c r="K11" s="8">
        <v>0</v>
      </c>
      <c r="L11" s="8">
        <v>0</v>
      </c>
      <c r="M11" s="7" t="s">
        <v>13</v>
      </c>
      <c r="N11" s="8">
        <v>0</v>
      </c>
      <c r="O11" s="8">
        <v>0</v>
      </c>
    </row>
    <row r="13" spans="1:3" ht="12.75">
      <c r="A13" s="7" t="s">
        <v>64</v>
      </c>
      <c r="C13" s="9">
        <v>479.44</v>
      </c>
    </row>
    <row r="14" spans="1:3" ht="12.75">
      <c r="A14" s="7" t="s">
        <v>63</v>
      </c>
      <c r="C14" s="9">
        <v>2313.14</v>
      </c>
    </row>
    <row r="15" spans="1:3" ht="12.75">
      <c r="A15" s="7" t="s">
        <v>2</v>
      </c>
      <c r="C15" s="9">
        <v>6931.43</v>
      </c>
    </row>
    <row r="17" spans="1:3" ht="12.75">
      <c r="A17" s="7" t="s">
        <v>62</v>
      </c>
      <c r="C17" s="9">
        <v>354.19</v>
      </c>
    </row>
    <row r="18" spans="1:3" ht="12.75">
      <c r="A18" s="7" t="s">
        <v>61</v>
      </c>
      <c r="C18" s="9">
        <v>0</v>
      </c>
    </row>
    <row r="20" spans="1:2" ht="12.75">
      <c r="A20" s="7" t="s">
        <v>60</v>
      </c>
      <c r="B20" s="7">
        <f>SUM(B7:O11)+C13+C14+C15+C17+C18</f>
        <v>68049.6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22</v>
      </c>
    </row>
    <row r="2" ht="12.75">
      <c r="A2" s="7" t="s">
        <v>74</v>
      </c>
    </row>
    <row r="4" spans="1:13" ht="12.75">
      <c r="A4" s="76" t="s">
        <v>73</v>
      </c>
      <c r="D4" s="76" t="s">
        <v>72</v>
      </c>
      <c r="G4" s="76" t="s">
        <v>71</v>
      </c>
      <c r="J4" s="76" t="s">
        <v>70</v>
      </c>
      <c r="M4" s="76" t="s">
        <v>75</v>
      </c>
    </row>
    <row r="5" spans="2:15" ht="12.75">
      <c r="B5" s="7" t="s">
        <v>68</v>
      </c>
      <c r="C5" s="7" t="s">
        <v>67</v>
      </c>
      <c r="E5" s="7" t="s">
        <v>68</v>
      </c>
      <c r="F5" s="7" t="s">
        <v>67</v>
      </c>
      <c r="H5" s="7" t="s">
        <v>68</v>
      </c>
      <c r="I5" s="7" t="s">
        <v>67</v>
      </c>
      <c r="K5" s="7" t="s">
        <v>68</v>
      </c>
      <c r="L5" s="7" t="s">
        <v>67</v>
      </c>
      <c r="N5" s="7" t="s">
        <v>68</v>
      </c>
      <c r="O5" s="7" t="s">
        <v>67</v>
      </c>
    </row>
    <row r="7" spans="1:15" ht="12.75">
      <c r="A7" s="7" t="s">
        <v>66</v>
      </c>
      <c r="B7" s="8">
        <v>22462.01</v>
      </c>
      <c r="C7" s="8">
        <v>6379.14</v>
      </c>
      <c r="D7" s="7" t="s">
        <v>66</v>
      </c>
      <c r="E7" s="8">
        <v>16204.22</v>
      </c>
      <c r="F7" s="8">
        <v>8474.91</v>
      </c>
      <c r="G7" s="7" t="s">
        <v>66</v>
      </c>
      <c r="H7" s="8">
        <v>2887.7</v>
      </c>
      <c r="I7" s="8"/>
      <c r="J7" s="7" t="s">
        <v>66</v>
      </c>
      <c r="K7" s="74">
        <v>0</v>
      </c>
      <c r="L7" s="74">
        <v>0</v>
      </c>
      <c r="M7" s="7" t="s">
        <v>66</v>
      </c>
      <c r="N7" s="8">
        <v>0</v>
      </c>
      <c r="O7" s="10"/>
    </row>
    <row r="9" spans="1:15" ht="12.75">
      <c r="A9" s="7" t="s">
        <v>65</v>
      </c>
      <c r="B9" s="8">
        <v>0</v>
      </c>
      <c r="C9" s="8">
        <v>0</v>
      </c>
      <c r="D9" s="7" t="s">
        <v>65</v>
      </c>
      <c r="E9" s="8">
        <v>0</v>
      </c>
      <c r="F9" s="8">
        <v>0</v>
      </c>
      <c r="G9" s="7" t="s">
        <v>65</v>
      </c>
      <c r="H9" s="8">
        <v>0</v>
      </c>
      <c r="I9" s="8">
        <v>0</v>
      </c>
      <c r="J9" s="7" t="s">
        <v>65</v>
      </c>
      <c r="K9" s="8">
        <v>0</v>
      </c>
      <c r="L9" s="8">
        <v>0</v>
      </c>
      <c r="M9" s="7" t="s">
        <v>65</v>
      </c>
      <c r="N9" s="8">
        <v>0</v>
      </c>
      <c r="O9" s="10"/>
    </row>
    <row r="10" ht="12.75">
      <c r="O10" s="73"/>
    </row>
    <row r="11" spans="1:15" ht="12.75">
      <c r="A11" s="7" t="s">
        <v>13</v>
      </c>
      <c r="B11" s="8">
        <v>76.94</v>
      </c>
      <c r="C11" s="8">
        <v>0</v>
      </c>
      <c r="D11" s="7" t="s">
        <v>13</v>
      </c>
      <c r="E11" s="8">
        <v>65.93</v>
      </c>
      <c r="F11" s="8">
        <v>0</v>
      </c>
      <c r="G11" s="7" t="s">
        <v>13</v>
      </c>
      <c r="H11" s="8">
        <v>4</v>
      </c>
      <c r="I11" s="8"/>
      <c r="J11" s="7" t="s">
        <v>13</v>
      </c>
      <c r="K11" s="8">
        <v>0</v>
      </c>
      <c r="L11" s="8">
        <v>0</v>
      </c>
      <c r="M11" s="7" t="s">
        <v>13</v>
      </c>
      <c r="N11" s="8">
        <v>0</v>
      </c>
      <c r="O11" s="10"/>
    </row>
    <row r="13" spans="1:3" ht="12.75">
      <c r="A13" s="7" t="s">
        <v>64</v>
      </c>
      <c r="C13" s="9">
        <v>221.28</v>
      </c>
    </row>
    <row r="14" spans="1:3" ht="12.75">
      <c r="A14" s="7" t="s">
        <v>63</v>
      </c>
      <c r="C14" s="9">
        <v>1257.26</v>
      </c>
    </row>
    <row r="15" spans="1:3" ht="12.75">
      <c r="A15" s="7" t="s">
        <v>2</v>
      </c>
      <c r="C15" s="9">
        <v>5060.86</v>
      </c>
    </row>
    <row r="17" spans="1:3" ht="12.75">
      <c r="A17" s="7" t="s">
        <v>62</v>
      </c>
      <c r="C17" s="9">
        <v>400.85</v>
      </c>
    </row>
    <row r="18" spans="1:3" ht="12.75">
      <c r="A18" s="7" t="s">
        <v>61</v>
      </c>
      <c r="C18" s="9">
        <v>0</v>
      </c>
    </row>
    <row r="20" spans="1:2" ht="12.75">
      <c r="A20" s="7" t="s">
        <v>60</v>
      </c>
      <c r="B20" s="7">
        <f>SUM(B7:O11)+C13+C14+C15+C17+C18</f>
        <v>63495.1</v>
      </c>
    </row>
  </sheetData>
  <sheetProtection/>
  <printOptions/>
  <pageMargins left="0.5" right="0.5" top="1" bottom="1" header="0.5" footer="0.5"/>
  <pageSetup fitToHeight="1" fitToWidth="1" horizontalDpi="600" verticalDpi="600" orientation="landscape" scale="9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="65" zoomScaleNormal="65" zoomScalePageLayoutView="0" workbookViewId="0" topLeftCell="A31">
      <selection activeCell="C44" sqref="C44"/>
    </sheetView>
  </sheetViews>
  <sheetFormatPr defaultColWidth="9.140625" defaultRowHeight="12.75"/>
  <cols>
    <col min="3" max="3" width="14.421875" style="0" customWidth="1"/>
    <col min="5" max="5" width="9.57421875" style="0" bestFit="1" customWidth="1"/>
    <col min="7" max="7" width="14.8515625" style="0" customWidth="1"/>
    <col min="8" max="8" width="11.28125" style="0" customWidth="1"/>
    <col min="9" max="9" width="16.00390625" style="0" customWidth="1"/>
    <col min="10" max="11" width="20.00390625" style="0" customWidth="1"/>
    <col min="12" max="12" width="13.28125" style="0" customWidth="1"/>
    <col min="13" max="13" width="9.7109375" style="0" customWidth="1"/>
    <col min="14" max="14" width="17.7109375" style="0" customWidth="1"/>
    <col min="16" max="16" width="12.140625" style="0" customWidth="1"/>
  </cols>
  <sheetData>
    <row r="1" ht="12.75">
      <c r="A1" t="s">
        <v>22</v>
      </c>
    </row>
    <row r="2" ht="12.75">
      <c r="A2" t="s">
        <v>0</v>
      </c>
    </row>
    <row r="3" ht="12.75">
      <c r="A3" t="s">
        <v>122</v>
      </c>
    </row>
    <row r="4" ht="12.75">
      <c r="E4" t="s">
        <v>31</v>
      </c>
    </row>
    <row r="6" spans="1:5" ht="12.75">
      <c r="A6" t="s">
        <v>1</v>
      </c>
      <c r="C6" s="4">
        <f>'SEP 2023'!C3+'OCT 2023'!C3+'NOV 2023'!C3+'DEC 2023'!C3+'JAN 2024'!C3+'FEB 2024'!C3+'MAR 2024'!C3+'APR 2024'!C3+'MAY 2024'!C3+'JUN 2023'!C3+'JUL 2023'!C3+'AUG 2023'!C3</f>
        <v>23420.88</v>
      </c>
      <c r="E6" s="2">
        <f>C6/8.04</f>
        <v>2913.044776119403</v>
      </c>
    </row>
    <row r="7" spans="1:5" ht="12.75">
      <c r="A7" t="s">
        <v>3</v>
      </c>
      <c r="C7" s="3"/>
      <c r="E7" s="2"/>
    </row>
    <row r="8" spans="1:5" ht="12.75">
      <c r="A8" t="s">
        <v>18</v>
      </c>
      <c r="C8" s="4">
        <f>'SEP 2023'!C5+'OCT 2023'!C5+'NOV 2023'!C5+'DEC 2023'!C5+'JAN 2024'!C5+'FEB 2024'!C5+'MAR 2024'!C5+'APR 2024'!C5+'MAY 2024'!C5+'JUN 2023'!C5+'JUL 2023'!C5+'AUG 2023'!C5</f>
        <v>10735.28</v>
      </c>
      <c r="E8" s="16">
        <f>C8/8.04</f>
        <v>1335.2338308457713</v>
      </c>
    </row>
    <row r="9" spans="3:5" ht="12.75">
      <c r="C9" s="3"/>
      <c r="E9" s="16"/>
    </row>
    <row r="10" spans="1:5" ht="12.75">
      <c r="A10" t="s">
        <v>4</v>
      </c>
      <c r="C10" s="4">
        <f>'SEP 2023'!C7+'OCT 2023'!C7+'NOV 2023'!C7+'DEC 2023'!C7+'JAN 2024'!C7+'FEB 2024'!C7+'MAR 2024'!C7+'APR 2024'!C7+'MAY 2024'!C7+'JUN 2023'!C7+'JUL 2023'!C7+'AUG 2023'!C7</f>
        <v>221873.52</v>
      </c>
      <c r="E10" s="16">
        <f>C10/38.31</f>
        <v>5791.530148786217</v>
      </c>
    </row>
    <row r="11" spans="3:5" ht="12.75">
      <c r="C11" s="11"/>
      <c r="E11" s="16"/>
    </row>
    <row r="12" spans="1:5" ht="12.75">
      <c r="A12" t="s">
        <v>5</v>
      </c>
      <c r="C12" s="4">
        <f>'SEP 2023'!C9+'OCT 2023'!C9+'NOV 2023'!C9+'DEC 2023'!C9+'JAN 2024'!C9+'FEB 2024'!C9+'MAR 2024'!C9+'APR 2024'!C9+'MAY 2024'!C9+'JUN 2023'!C9+'JUL 2023'!C9+'AUG 2023'!C9</f>
        <v>55036.560000000005</v>
      </c>
      <c r="E12" s="16">
        <f>C12/41.31</f>
        <v>1332.2817719680465</v>
      </c>
    </row>
    <row r="13" spans="3:5" ht="12.75">
      <c r="C13" s="5"/>
      <c r="E13" s="16"/>
    </row>
    <row r="14" spans="1:5" ht="12.75">
      <c r="A14" t="s">
        <v>29</v>
      </c>
      <c r="C14" s="4">
        <f>'SEP 2023'!C11+'OCT 2023'!C11+'NOV 2023'!C11+'DEC 2023'!C11+'JAN 2024'!C11+'FEB 2024'!C11+'MAR 2024'!C11+'APR 2024'!C11+'MAY 2024'!C11+'JUN 2023'!C11+'JUL 2023'!C11+'AUG 2023'!C11</f>
        <v>41.31</v>
      </c>
      <c r="E14" s="16">
        <f>C14/41.31</f>
        <v>1</v>
      </c>
    </row>
    <row r="15" spans="3:5" ht="12.75">
      <c r="C15" s="5"/>
      <c r="E15" s="16"/>
    </row>
    <row r="16" spans="1:5" ht="12.75">
      <c r="A16" t="s">
        <v>6</v>
      </c>
      <c r="C16" s="4">
        <f>'SEP 2023'!C13+'OCT 2023'!C13+'NOV 2023'!C13+'DEC 2023'!C13+'JAN 2024'!C13+'FEB 2024'!C13+'MAR 2024'!C13+'APR 2024'!C13+'MAY 2024'!C13+'JUN 2023'!C13+'JUL 2023'!C13+'AUG 2023'!C13</f>
        <v>159202.65999999997</v>
      </c>
      <c r="E16" s="16">
        <f>C16/54.01</f>
        <v>2947.6515460099977</v>
      </c>
    </row>
    <row r="17" spans="3:5" ht="12.75">
      <c r="C17" s="3"/>
      <c r="E17" s="16"/>
    </row>
    <row r="18" spans="1:5" ht="12.75">
      <c r="A18" t="s">
        <v>7</v>
      </c>
      <c r="C18" s="4">
        <f>'SEP 2023'!C15+'OCT 2023'!C15+'NOV 2023'!C15+'DEC 2023'!C15+'JAN 2024'!C15+'FEB 2024'!C15+'MAR 2024'!C15+'APR 2024'!C15+'MAY 2024'!C15+'JUN 2023'!C15+'JUL 2023'!C15+'AUG 2023'!C15</f>
        <v>28045.76</v>
      </c>
      <c r="E18" s="16">
        <f>C18/58.01</f>
        <v>483.46423030511977</v>
      </c>
    </row>
    <row r="19" spans="3:6" ht="12.75">
      <c r="C19" s="11"/>
      <c r="E19" s="16"/>
      <c r="F19">
        <v>10</v>
      </c>
    </row>
    <row r="20" spans="1:5" ht="12.75">
      <c r="A20" t="s">
        <v>28</v>
      </c>
      <c r="C20" s="4">
        <f>'SEP 2023'!C17+'OCT 2023'!C17+'NOV 2023'!C17+'DEC 2023'!C17+'JAN 2024'!C17+'FEB 2024'!C17+'MAR 2024'!C17+'APR 2024'!C17+'MAY 2024'!C17+'JUN 2023'!C17+'JUL 2023'!C17+'AUG 2023'!C17</f>
        <v>9584.3</v>
      </c>
      <c r="E20" s="16">
        <f>C20/110.84</f>
        <v>86.46968603392276</v>
      </c>
    </row>
    <row r="21" spans="3:5" ht="12.75">
      <c r="C21" s="11"/>
      <c r="E21" s="16"/>
    </row>
    <row r="22" spans="1:5" ht="12.75">
      <c r="A22" t="s">
        <v>8</v>
      </c>
      <c r="C22" s="4">
        <f>'SEP 2023'!C19+'OCT 2023'!C19+'NOV 2023'!C19+'DEC 2023'!C19+'JAN 2024'!C19+'FEB 2024'!C19+'MAR 2024'!C19+'APR 2024'!C19+'MAY 2024'!C19+'JUN 2023'!C19+'JUL 2023'!C19+'AUG 2023'!C19</f>
        <v>746201.29</v>
      </c>
      <c r="E22" s="16">
        <f>C22/66.68</f>
        <v>11190.781193761248</v>
      </c>
    </row>
    <row r="23" spans="3:5" ht="12.75">
      <c r="C23" s="3"/>
      <c r="E23" s="16"/>
    </row>
    <row r="24" spans="1:5" ht="12.75">
      <c r="A24" t="s">
        <v>9</v>
      </c>
      <c r="C24" s="4">
        <f>'SEP 2023'!C21+'OCT 2023'!C21+'NOV 2023'!C21+'DEC 2023'!C21+'JAN 2024'!C21+'FEB 2024'!C21+'MAR 2024'!C21+'APR 2024'!C21+'MAY 2024'!C21+'JUN 2023'!C21+'JUL 2023'!C21+'AUG 2023'!C21</f>
        <v>204690.64</v>
      </c>
      <c r="E24" s="16">
        <f>C24/72.38</f>
        <v>2828.0000000000005</v>
      </c>
    </row>
    <row r="25" spans="3:5" ht="12.75">
      <c r="C25" s="3"/>
      <c r="E25" s="16"/>
    </row>
    <row r="26" spans="1:7" ht="12.75">
      <c r="A26" t="s">
        <v>33</v>
      </c>
      <c r="C26" s="4">
        <f>'SEP 2023'!C23+'OCT 2023'!C23+'NOV 2023'!C23+'DEC 2023'!C23+'JAN 2024'!C23+'FEB 2024'!C23+'MAR 2024'!C23+'APR 2024'!C23+'MAY 2024'!C23+'JUN 2023'!C23+'JUL 2023'!C23+'AUG 2023'!C23</f>
        <v>8396.08</v>
      </c>
      <c r="E26" s="16">
        <f>C26/72.38</f>
        <v>116</v>
      </c>
      <c r="G26" s="57"/>
    </row>
    <row r="27" spans="3:5" ht="12.75">
      <c r="C27" s="3"/>
      <c r="E27" s="16"/>
    </row>
    <row r="28" spans="1:5" ht="12.75">
      <c r="A28" t="s">
        <v>10</v>
      </c>
      <c r="C28" s="4">
        <f>'SEP 2023'!C25+'OCT 2023'!C25+'NOV 2023'!C25+'DEC 2023'!C25+'JAN 2024'!C25+'FEB 2024'!C25+'MAR 2024'!C25+'APR 2024'!C25+'MAY 2024'!C25+'JUN 2023'!C27+'JUL 2023'!C25+'AUG 2023'!C25</f>
        <v>132392.86000000002</v>
      </c>
      <c r="E28" s="16">
        <f>C28/140.17</f>
        <v>944.5163729756725</v>
      </c>
    </row>
    <row r="29" spans="3:5" ht="12.75">
      <c r="C29" s="3"/>
      <c r="E29" s="16"/>
    </row>
    <row r="30" spans="1:5" ht="12.75">
      <c r="A30" t="s">
        <v>11</v>
      </c>
      <c r="C30" s="4">
        <f>'SEP 2023'!C27+'OCT 2023'!C27+'NOV 2023'!C27+'DEC 2023'!C27+'JAN 2024'!C27+'FEB 2024'!C27+'MAR 2024'!C27+'APR 2024'!C27+'MAY 2024'!C27+'JUN 2023'!C29+'JUL 2023'!C27+'AUG 2023'!C27</f>
        <v>33921.14</v>
      </c>
      <c r="E30" s="16">
        <f>C30/140.17</f>
        <v>242.00000000000003</v>
      </c>
    </row>
    <row r="31" spans="3:5" ht="12.75">
      <c r="C31" s="3"/>
      <c r="E31" s="2"/>
    </row>
    <row r="32" spans="1:5" ht="12.75">
      <c r="A32" t="s">
        <v>12</v>
      </c>
      <c r="C32" s="4">
        <f>'SEP 2023'!C29+'OCT 2023'!C29+'NOV 2023'!C29+'DEC 2023'!C29+'JAN 2024'!C29+'FEB 2024'!C29+'MAR 2024'!C29+'APR 2024'!C29+'MAY 2024'!C29+'JUN 2023'!C31+'JUL 2023'!C29+'AUG 2023'!C29</f>
        <v>3647.5</v>
      </c>
      <c r="E32" s="2"/>
    </row>
    <row r="33" spans="3:5" ht="12.75">
      <c r="C33" s="3"/>
      <c r="E33" s="2"/>
    </row>
    <row r="34" spans="1:5" ht="12.75">
      <c r="A34" t="s">
        <v>13</v>
      </c>
      <c r="C34" s="4">
        <f>'SEP 2023'!C31+'OCT 2023'!C31+'NOV 2023'!C31+'DEC 2023'!C31+'JAN 2024'!C31+'FEB 2024'!C31+'MAR 2024'!C31+'APR 2024'!C31+'MAY 2024'!C31+'JUN 2023'!C33+'JUL 2023'!C31+'AUG 2023'!C31</f>
        <v>8928.34</v>
      </c>
      <c r="E34" s="2"/>
    </row>
    <row r="35" spans="3:5" ht="12.75">
      <c r="C35" s="3"/>
      <c r="E35" s="2"/>
    </row>
    <row r="36" spans="1:5" ht="12.75">
      <c r="A36" t="s">
        <v>14</v>
      </c>
      <c r="C36" s="4">
        <f>'SEP 2023'!C33+'OCT 2023'!C33+'NOV 2023'!C33+'DEC 2023'!C33+'JAN 2024'!C33+'FEB 2024'!C33+'MAR 2024'!C33+'APR 2024'!C33+'MAY 2024'!C33+'JUN 2023'!C35+'JUL 2023'!C33+'AUG 2023'!C33</f>
        <v>99173.2</v>
      </c>
      <c r="E36" s="2">
        <f>C36/84</f>
        <v>1180.6333333333332</v>
      </c>
    </row>
    <row r="37" ht="12.75">
      <c r="C37" s="3"/>
    </row>
    <row r="38" spans="1:3" ht="12.75">
      <c r="A38" t="s">
        <v>15</v>
      </c>
      <c r="C38" s="4">
        <f>'SEP 2023'!C35+'OCT 2023'!C35+'NOV 2023'!C35+'DEC 2023'!C35+'JAN 2024'!C35+'FEB 2024'!C35+'MAR 2024'!C35+'APR 2024'!C35+'MAY 2024'!C35+'JUN 2023'!C37+'JUL 2023'!C35+'AUG 2023'!C35</f>
        <v>154181.2</v>
      </c>
    </row>
    <row r="39" ht="12.75">
      <c r="C39" s="3"/>
    </row>
    <row r="40" spans="1:3" ht="12.75">
      <c r="A40" t="s">
        <v>16</v>
      </c>
      <c r="C40" s="4">
        <f>'SEP 2023'!C37+'OCT 2023'!C37+'NOV 2023'!C37+'DEC 2023'!C37+'JAN 2024'!C37+'FEB 2024'!C37+'MAR 2024'!C37+'APR 2024'!C37+'MAY 2024'!C37+'JUN 2023'!C39+'JUL 2023'!C37+'AUG 2023'!C37</f>
        <v>15143.34</v>
      </c>
    </row>
    <row r="41" ht="12.75">
      <c r="C41" s="3"/>
    </row>
    <row r="42" spans="1:3" ht="12.75">
      <c r="A42" t="s">
        <v>17</v>
      </c>
      <c r="C42" s="3">
        <f>SUM(C6:C40)</f>
        <v>1914615.8600000003</v>
      </c>
    </row>
    <row r="43" ht="12.75">
      <c r="C43" s="3"/>
    </row>
    <row r="44" spans="1:3" ht="12.75">
      <c r="A44" t="s">
        <v>21</v>
      </c>
      <c r="C44" s="3">
        <v>1914730.22</v>
      </c>
    </row>
    <row r="46" ht="12.75">
      <c r="A46" t="s">
        <v>22</v>
      </c>
    </row>
    <row r="47" spans="1:9" ht="12.75">
      <c r="A47" t="s">
        <v>0</v>
      </c>
      <c r="H47" s="58" t="s">
        <v>58</v>
      </c>
      <c r="I47" s="58" t="s">
        <v>107</v>
      </c>
    </row>
    <row r="48" spans="1:9" ht="12.75">
      <c r="A48" t="s">
        <v>123</v>
      </c>
      <c r="H48" t="s">
        <v>37</v>
      </c>
      <c r="I48" t="s">
        <v>108</v>
      </c>
    </row>
    <row r="49" spans="3:14" ht="12.75">
      <c r="C49" s="13" t="s">
        <v>40</v>
      </c>
      <c r="E49" t="s">
        <v>41</v>
      </c>
      <c r="G49" s="13" t="s">
        <v>42</v>
      </c>
      <c r="H49" t="s">
        <v>38</v>
      </c>
      <c r="J49" t="s">
        <v>59</v>
      </c>
      <c r="K49" t="s">
        <v>39</v>
      </c>
      <c r="L49" t="s">
        <v>23</v>
      </c>
      <c r="N49" t="s">
        <v>26</v>
      </c>
    </row>
    <row r="51" spans="1:14" ht="12.75">
      <c r="A51" t="s">
        <v>1</v>
      </c>
      <c r="C51" s="2">
        <f>E6</f>
        <v>2913.044776119403</v>
      </c>
      <c r="E51" s="6">
        <v>8.04</v>
      </c>
      <c r="F51" s="3"/>
      <c r="G51" s="3">
        <f>C51*E51</f>
        <v>23420.88</v>
      </c>
      <c r="H51" s="17">
        <v>29</v>
      </c>
      <c r="I51" s="17">
        <f>C51*H51</f>
        <v>84478.29850746269</v>
      </c>
      <c r="J51" s="6">
        <f>H51*'Disposal Increase'!$D$40</f>
        <v>0.17127247101129772</v>
      </c>
      <c r="K51" s="6">
        <f>E51+J51</f>
        <v>8.211272471011297</v>
      </c>
      <c r="L51" s="6">
        <f>K51</f>
        <v>8.211272471011297</v>
      </c>
      <c r="M51" s="6"/>
      <c r="N51" s="6">
        <f>C51*L51</f>
        <v>23919.804376972523</v>
      </c>
    </row>
    <row r="52" spans="1:14" ht="12.75">
      <c r="A52" t="s">
        <v>3</v>
      </c>
      <c r="E52" s="6"/>
      <c r="F52" s="3"/>
      <c r="G52" s="3"/>
      <c r="H52" s="17"/>
      <c r="I52" s="17"/>
      <c r="L52" s="6"/>
      <c r="M52" s="6"/>
      <c r="N52" s="6"/>
    </row>
    <row r="53" spans="1:14" ht="12.75">
      <c r="A53" t="s">
        <v>18</v>
      </c>
      <c r="C53" s="2">
        <f>E8</f>
        <v>1335.2338308457713</v>
      </c>
      <c r="E53" s="6">
        <v>8.04</v>
      </c>
      <c r="F53" s="3"/>
      <c r="G53" s="3">
        <f>C53*E53</f>
        <v>10735.28</v>
      </c>
      <c r="H53" s="17">
        <v>29</v>
      </c>
      <c r="I53" s="17">
        <f>C53*H53</f>
        <v>38721.78109452737</v>
      </c>
      <c r="J53" s="6">
        <f>H53*'Disposal Increase'!$D$40</f>
        <v>0.17127247101129772</v>
      </c>
      <c r="K53" s="6">
        <f>E53+J53</f>
        <v>8.211272471011297</v>
      </c>
      <c r="L53" s="6">
        <v>8.27</v>
      </c>
      <c r="M53" s="6"/>
      <c r="N53" s="6">
        <f>C53*L53</f>
        <v>11042.383781094528</v>
      </c>
    </row>
    <row r="54" spans="5:14" ht="12.75">
      <c r="E54" s="6"/>
      <c r="F54" s="3"/>
      <c r="G54" s="3"/>
      <c r="H54" s="17"/>
      <c r="I54" s="17"/>
      <c r="J54" s="6" t="s">
        <v>3</v>
      </c>
      <c r="K54" s="6"/>
      <c r="L54" s="6"/>
      <c r="M54" s="6"/>
      <c r="N54" s="6"/>
    </row>
    <row r="55" spans="1:14" ht="12.75">
      <c r="A55" t="s">
        <v>4</v>
      </c>
      <c r="C55" s="2">
        <f>E10</f>
        <v>5791.530148786217</v>
      </c>
      <c r="E55" s="6">
        <v>38.31</v>
      </c>
      <c r="F55" s="3"/>
      <c r="G55" s="3">
        <f>C55*E55</f>
        <v>221873.52</v>
      </c>
      <c r="H55" s="17">
        <v>175</v>
      </c>
      <c r="I55" s="17">
        <f>C55*H55</f>
        <v>1013517.776037588</v>
      </c>
      <c r="J55" s="6">
        <f>H55*'Disposal Increase'!$D$40</f>
        <v>1.033540773344038</v>
      </c>
      <c r="K55" s="6">
        <f>E55+J55</f>
        <v>39.34354077334404</v>
      </c>
      <c r="L55" s="6">
        <v>39.34</v>
      </c>
      <c r="M55" s="6"/>
      <c r="N55" s="6">
        <f>C55*L55</f>
        <v>227838.7960532498</v>
      </c>
    </row>
    <row r="56" spans="3:14" ht="12.75">
      <c r="C56" s="2"/>
      <c r="E56" s="6"/>
      <c r="F56" s="3"/>
      <c r="G56" s="3"/>
      <c r="H56" s="17"/>
      <c r="I56" s="17"/>
      <c r="J56" s="6" t="s">
        <v>3</v>
      </c>
      <c r="K56" s="6"/>
      <c r="L56" s="6"/>
      <c r="M56" s="6"/>
      <c r="N56" s="6"/>
    </row>
    <row r="57" spans="1:14" ht="12.75">
      <c r="A57" t="s">
        <v>29</v>
      </c>
      <c r="C57" s="2">
        <v>1</v>
      </c>
      <c r="E57" s="6">
        <v>41.31</v>
      </c>
      <c r="F57" s="3"/>
      <c r="G57" s="3">
        <f>C57*E57</f>
        <v>41.31</v>
      </c>
      <c r="H57" s="17">
        <v>175</v>
      </c>
      <c r="I57" s="17">
        <f>C57*H57</f>
        <v>175</v>
      </c>
      <c r="J57" s="6">
        <f>H57*'Disposal Increase'!$D$40</f>
        <v>1.033540773344038</v>
      </c>
      <c r="K57" s="6">
        <f>E57+J57</f>
        <v>42.34354077334404</v>
      </c>
      <c r="L57" s="6">
        <v>42.34</v>
      </c>
      <c r="M57" s="6"/>
      <c r="N57" s="6">
        <f>C57*L57</f>
        <v>42.34</v>
      </c>
    </row>
    <row r="58" spans="3:14" ht="12.75">
      <c r="C58" s="2"/>
      <c r="E58" s="6"/>
      <c r="F58" s="3"/>
      <c r="G58" s="3"/>
      <c r="H58" s="17"/>
      <c r="I58" s="17"/>
      <c r="J58" s="6" t="s">
        <v>3</v>
      </c>
      <c r="K58" s="6"/>
      <c r="L58" s="6"/>
      <c r="M58" s="6"/>
      <c r="N58" s="6"/>
    </row>
    <row r="59" spans="1:14" ht="12.75">
      <c r="A59" t="s">
        <v>5</v>
      </c>
      <c r="C59" s="2">
        <f>E12</f>
        <v>1332.2817719680465</v>
      </c>
      <c r="E59" s="6">
        <v>41.31</v>
      </c>
      <c r="F59" s="3"/>
      <c r="G59" s="3">
        <f>C59*E59</f>
        <v>55036.560000000005</v>
      </c>
      <c r="H59" s="17">
        <v>175</v>
      </c>
      <c r="I59" s="17">
        <f>C59*H59</f>
        <v>233149.31009440814</v>
      </c>
      <c r="J59" s="6">
        <f>H59*'Disposal Increase'!$D$40</f>
        <v>1.033540773344038</v>
      </c>
      <c r="K59" s="6">
        <f>E59+J59</f>
        <v>42.34354077334404</v>
      </c>
      <c r="L59" s="6">
        <v>42.34</v>
      </c>
      <c r="M59" s="6"/>
      <c r="N59" s="6">
        <f>C59*L59</f>
        <v>56408.8102251271</v>
      </c>
    </row>
    <row r="60" spans="3:14" ht="12.75">
      <c r="C60" s="2"/>
      <c r="E60" s="6"/>
      <c r="F60" s="3"/>
      <c r="G60" s="3"/>
      <c r="H60" s="17"/>
      <c r="I60" s="17"/>
      <c r="J60" s="6" t="s">
        <v>3</v>
      </c>
      <c r="K60" s="6"/>
      <c r="L60" s="6"/>
      <c r="M60" s="6"/>
      <c r="N60" s="6"/>
    </row>
    <row r="61" spans="1:14" ht="12.75">
      <c r="A61" t="s">
        <v>30</v>
      </c>
      <c r="C61" s="2">
        <f>E20</f>
        <v>86.46968603392276</v>
      </c>
      <c r="E61" s="6">
        <v>110.84</v>
      </c>
      <c r="F61" s="3"/>
      <c r="G61" s="3">
        <f>C61*E61</f>
        <v>9584.3</v>
      </c>
      <c r="H61" s="17">
        <v>689</v>
      </c>
      <c r="I61" s="17">
        <f>C61*H61</f>
        <v>59577.61367737278</v>
      </c>
      <c r="J61" s="6">
        <f>H61*'Disposal Increase'!$D$40</f>
        <v>4.069197673337384</v>
      </c>
      <c r="K61" s="6">
        <f>E61+J61</f>
        <v>114.90919767333739</v>
      </c>
      <c r="L61" s="6">
        <v>114.91</v>
      </c>
      <c r="M61" s="6"/>
      <c r="N61" s="6">
        <f>C61*L61</f>
        <v>9936.231622158064</v>
      </c>
    </row>
    <row r="62" spans="3:14" ht="12.75">
      <c r="C62" s="2"/>
      <c r="E62" s="6"/>
      <c r="F62" s="3"/>
      <c r="G62" s="3"/>
      <c r="H62" s="17"/>
      <c r="I62" s="17"/>
      <c r="J62" s="6" t="s">
        <v>3</v>
      </c>
      <c r="K62" s="6"/>
      <c r="L62" s="6"/>
      <c r="M62" s="6"/>
      <c r="N62" s="6"/>
    </row>
    <row r="63" spans="1:14" ht="12.75">
      <c r="A63" t="s">
        <v>6</v>
      </c>
      <c r="C63" s="2">
        <f>E16</f>
        <v>2947.6515460099977</v>
      </c>
      <c r="E63" s="6">
        <v>54.01</v>
      </c>
      <c r="F63" s="3"/>
      <c r="G63" s="3">
        <f>C63*E63</f>
        <v>159202.65999999997</v>
      </c>
      <c r="H63" s="17">
        <v>250</v>
      </c>
      <c r="I63" s="17">
        <f>C63*H63</f>
        <v>736912.8865024995</v>
      </c>
      <c r="J63" s="6">
        <f>H63*'Disposal Increase'!$D$40</f>
        <v>1.4764868190629115</v>
      </c>
      <c r="K63" s="6">
        <f>E63+J63</f>
        <v>55.48648681906291</v>
      </c>
      <c r="L63" s="6">
        <v>55.49</v>
      </c>
      <c r="M63" s="6"/>
      <c r="N63" s="6">
        <f>C63*L63</f>
        <v>163565.18428809478</v>
      </c>
    </row>
    <row r="64" spans="3:14" ht="12.75">
      <c r="C64" s="2"/>
      <c r="E64" s="6"/>
      <c r="F64" s="3"/>
      <c r="G64" s="3"/>
      <c r="H64" s="17"/>
      <c r="I64" s="17"/>
      <c r="J64" s="6" t="s">
        <v>3</v>
      </c>
      <c r="K64" s="6"/>
      <c r="L64" s="6"/>
      <c r="M64" s="6"/>
      <c r="N64" s="6"/>
    </row>
    <row r="65" spans="1:14" ht="12.75">
      <c r="A65" t="s">
        <v>7</v>
      </c>
      <c r="C65" s="2">
        <f>E18</f>
        <v>483.46423030511977</v>
      </c>
      <c r="E65" s="6">
        <v>58.01</v>
      </c>
      <c r="F65" s="3"/>
      <c r="G65" s="3">
        <f>C65*E65</f>
        <v>28045.76</v>
      </c>
      <c r="H65" s="17">
        <v>250</v>
      </c>
      <c r="I65" s="17">
        <f>C65*H65</f>
        <v>120866.05757627994</v>
      </c>
      <c r="J65" s="6">
        <f>H65*'Disposal Increase'!$D$40</f>
        <v>1.4764868190629115</v>
      </c>
      <c r="K65" s="6">
        <f>E65+J65</f>
        <v>59.48648681906291</v>
      </c>
      <c r="L65" s="6">
        <v>59.49</v>
      </c>
      <c r="M65" s="6"/>
      <c r="N65" s="6">
        <f>C65*L65</f>
        <v>28761.287060851577</v>
      </c>
    </row>
    <row r="66" spans="3:14" ht="12.75">
      <c r="C66" s="2"/>
      <c r="E66" s="6"/>
      <c r="F66" s="3"/>
      <c r="G66" s="3"/>
      <c r="H66" s="17"/>
      <c r="I66" s="17"/>
      <c r="J66" s="6" t="s">
        <v>3</v>
      </c>
      <c r="K66" s="6"/>
      <c r="L66" s="6"/>
      <c r="M66" s="6"/>
      <c r="N66" s="6"/>
    </row>
    <row r="67" spans="1:14" ht="12.75">
      <c r="A67" t="s">
        <v>8</v>
      </c>
      <c r="C67" s="2">
        <f>E22</f>
        <v>11190.781193761248</v>
      </c>
      <c r="E67" s="6">
        <v>66.68</v>
      </c>
      <c r="F67" s="3"/>
      <c r="G67" s="3">
        <f>C67*E67</f>
        <v>746201.29</v>
      </c>
      <c r="H67" s="17">
        <v>324</v>
      </c>
      <c r="I67" s="17">
        <f>C67*H67</f>
        <v>3625813.1067786445</v>
      </c>
      <c r="J67" s="6">
        <f>H67*'Disposal Increase'!$D$40</f>
        <v>1.9135269175055332</v>
      </c>
      <c r="K67" s="6">
        <f>E67+J67</f>
        <v>68.59352691750554</v>
      </c>
      <c r="L67" s="6">
        <v>68.59</v>
      </c>
      <c r="M67" s="6"/>
      <c r="N67" s="6">
        <f>C67*L67</f>
        <v>767575.682080084</v>
      </c>
    </row>
    <row r="68" spans="3:14" ht="12.75">
      <c r="C68" s="2"/>
      <c r="E68" s="6"/>
      <c r="F68" s="3"/>
      <c r="G68" s="3"/>
      <c r="H68" s="17"/>
      <c r="I68" s="17"/>
      <c r="J68" s="6" t="s">
        <v>3</v>
      </c>
      <c r="K68" s="6"/>
      <c r="L68" s="6"/>
      <c r="M68" s="6"/>
      <c r="N68" s="6"/>
    </row>
    <row r="69" spans="1:14" ht="12.75">
      <c r="A69" t="s">
        <v>9</v>
      </c>
      <c r="C69" s="2">
        <f>E24</f>
        <v>2828.0000000000005</v>
      </c>
      <c r="E69" s="6">
        <v>72.38</v>
      </c>
      <c r="F69" s="3"/>
      <c r="G69" s="3">
        <f>C69*E69</f>
        <v>204690.64</v>
      </c>
      <c r="H69" s="17">
        <v>324</v>
      </c>
      <c r="I69" s="17">
        <f>C69*H69</f>
        <v>916272.0000000001</v>
      </c>
      <c r="J69" s="6">
        <f>H69*'Disposal Increase'!$D$40</f>
        <v>1.9135269175055332</v>
      </c>
      <c r="K69" s="6">
        <f>E69+J69</f>
        <v>74.29352691750553</v>
      </c>
      <c r="L69" s="6">
        <v>74.29</v>
      </c>
      <c r="M69" s="6"/>
      <c r="N69" s="6">
        <f>C69*L69</f>
        <v>210092.12000000005</v>
      </c>
    </row>
    <row r="70" spans="3:14" ht="12.75">
      <c r="C70" s="2"/>
      <c r="E70" s="6"/>
      <c r="F70" s="3"/>
      <c r="G70" s="3"/>
      <c r="H70" s="17"/>
      <c r="I70" s="17"/>
      <c r="J70" s="6" t="s">
        <v>3</v>
      </c>
      <c r="K70" s="6"/>
      <c r="L70" s="6"/>
      <c r="M70" s="6"/>
      <c r="N70" s="6"/>
    </row>
    <row r="71" spans="1:14" ht="12.75">
      <c r="A71" t="s">
        <v>33</v>
      </c>
      <c r="C71" s="2">
        <f>E26</f>
        <v>116</v>
      </c>
      <c r="E71" s="6">
        <v>72.38</v>
      </c>
      <c r="F71" s="3"/>
      <c r="G71" s="3">
        <f>C71*E71</f>
        <v>8396.08</v>
      </c>
      <c r="H71" s="17">
        <v>482</v>
      </c>
      <c r="I71" s="17">
        <f>C71*H71</f>
        <v>55912</v>
      </c>
      <c r="J71" s="6">
        <f>H71*'Disposal Increase'!$D$40</f>
        <v>2.846666587153293</v>
      </c>
      <c r="K71" s="6">
        <f>E71+J71</f>
        <v>75.22666658715329</v>
      </c>
      <c r="L71" s="6">
        <v>75.23</v>
      </c>
      <c r="M71" s="6"/>
      <c r="N71" s="6">
        <f>C71*L71</f>
        <v>8726.68</v>
      </c>
    </row>
    <row r="72" spans="3:14" ht="12.75">
      <c r="C72" s="2"/>
      <c r="E72" s="6"/>
      <c r="F72" s="3"/>
      <c r="G72" s="3"/>
      <c r="H72" s="17"/>
      <c r="I72" s="17"/>
      <c r="J72" s="6" t="s">
        <v>3</v>
      </c>
      <c r="K72" s="6"/>
      <c r="L72" s="6"/>
      <c r="M72" s="6"/>
      <c r="N72" s="6"/>
    </row>
    <row r="73" spans="1:14" ht="12.75">
      <c r="A73" t="s">
        <v>10</v>
      </c>
      <c r="C73" s="2">
        <f>E28</f>
        <v>944.5163729756725</v>
      </c>
      <c r="E73" s="6">
        <v>140.17</v>
      </c>
      <c r="F73" s="3"/>
      <c r="G73" s="3">
        <f>C73*E73</f>
        <v>132392.86000000002</v>
      </c>
      <c r="H73" s="17">
        <v>714</v>
      </c>
      <c r="I73" s="17">
        <f>C73*H73</f>
        <v>674384.6903046302</v>
      </c>
      <c r="J73" s="6">
        <f>H73*'Disposal Increase'!$D$40</f>
        <v>4.216846355243675</v>
      </c>
      <c r="K73" s="6">
        <f>E73+J73</f>
        <v>144.38684635524368</v>
      </c>
      <c r="L73" s="6">
        <v>144.39</v>
      </c>
      <c r="M73" s="6"/>
      <c r="N73" s="6">
        <f>C73*L73</f>
        <v>136378.71909395733</v>
      </c>
    </row>
    <row r="74" spans="3:14" ht="12.75">
      <c r="C74" s="2"/>
      <c r="E74" s="6"/>
      <c r="F74" s="3"/>
      <c r="G74" s="3"/>
      <c r="H74" s="17"/>
      <c r="I74" s="17"/>
      <c r="J74" s="6" t="s">
        <v>3</v>
      </c>
      <c r="K74" s="6"/>
      <c r="L74" s="6"/>
      <c r="M74" s="6"/>
      <c r="N74" s="6"/>
    </row>
    <row r="75" spans="1:14" ht="12.75">
      <c r="A75" t="s">
        <v>11</v>
      </c>
      <c r="C75" s="2">
        <f>E30</f>
        <v>242.00000000000003</v>
      </c>
      <c r="E75" s="6">
        <v>140.17</v>
      </c>
      <c r="F75" s="3"/>
      <c r="G75" s="3">
        <f>C75*E75</f>
        <v>33921.14</v>
      </c>
      <c r="H75" s="17">
        <v>500</v>
      </c>
      <c r="I75" s="17">
        <f>C75*H75</f>
        <v>121000.00000000001</v>
      </c>
      <c r="J75" s="6">
        <f>H75*'Disposal Increase'!$D$40</f>
        <v>2.952973638125823</v>
      </c>
      <c r="K75" s="6">
        <f>E75+J75</f>
        <v>143.1229736381258</v>
      </c>
      <c r="L75" s="6">
        <v>143.12</v>
      </c>
      <c r="M75" s="6"/>
      <c r="N75" s="6">
        <f>C75*L75</f>
        <v>34635.04000000001</v>
      </c>
    </row>
    <row r="76" spans="3:14" ht="12.75">
      <c r="C76" s="2"/>
      <c r="E76" s="6"/>
      <c r="F76" s="3"/>
      <c r="G76" s="3"/>
      <c r="H76" s="3"/>
      <c r="I76" s="3"/>
      <c r="L76" s="6"/>
      <c r="M76" s="6"/>
      <c r="N76" s="6"/>
    </row>
    <row r="77" spans="1:14" ht="12.75">
      <c r="A77" t="s">
        <v>14</v>
      </c>
      <c r="C77" s="2">
        <f>E36</f>
        <v>1180.6333333333332</v>
      </c>
      <c r="E77" s="6">
        <v>84</v>
      </c>
      <c r="F77" s="3"/>
      <c r="G77" s="3">
        <f>C77*E77</f>
        <v>99173.19999999998</v>
      </c>
      <c r="H77" s="3"/>
      <c r="I77" s="3"/>
      <c r="L77" s="6">
        <v>84</v>
      </c>
      <c r="M77" s="6"/>
      <c r="N77" s="6">
        <f>C77*L77</f>
        <v>99173.19999999998</v>
      </c>
    </row>
    <row r="78" spans="8:9" ht="12.75">
      <c r="H78" s="18"/>
      <c r="I78" s="18"/>
    </row>
    <row r="79" spans="6:14" ht="12.75">
      <c r="F79" t="s">
        <v>19</v>
      </c>
      <c r="G79" s="3">
        <f>C38</f>
        <v>154181.2</v>
      </c>
      <c r="H79" s="3"/>
      <c r="I79" s="3"/>
      <c r="M79" t="s">
        <v>19</v>
      </c>
      <c r="N79" s="3">
        <f>G79</f>
        <v>154181.2</v>
      </c>
    </row>
    <row r="80" spans="7:9" ht="12.75">
      <c r="G80" s="3"/>
      <c r="H80" s="3"/>
      <c r="I80" s="3"/>
    </row>
    <row r="81" spans="6:14" ht="12.75">
      <c r="F81" t="s">
        <v>24</v>
      </c>
      <c r="G81" s="3">
        <f>C32</f>
        <v>3647.5</v>
      </c>
      <c r="H81" s="3"/>
      <c r="I81" s="3"/>
      <c r="M81" t="s">
        <v>24</v>
      </c>
      <c r="N81" s="3">
        <f>G81</f>
        <v>3647.5</v>
      </c>
    </row>
    <row r="82" spans="6:14" ht="12.75">
      <c r="F82" t="s">
        <v>25</v>
      </c>
      <c r="G82" s="3">
        <f>C34</f>
        <v>8928.34</v>
      </c>
      <c r="H82" s="3"/>
      <c r="I82" s="3"/>
      <c r="M82" t="s">
        <v>25</v>
      </c>
      <c r="N82" s="3">
        <f>G82</f>
        <v>8928.34</v>
      </c>
    </row>
    <row r="83" spans="5:14" ht="12.75">
      <c r="E83" t="s">
        <v>16</v>
      </c>
      <c r="G83" s="6">
        <f>C40</f>
        <v>15143.34</v>
      </c>
      <c r="H83" s="6"/>
      <c r="I83" s="6"/>
      <c r="L83" t="s">
        <v>16</v>
      </c>
      <c r="N83" s="3">
        <f>G83</f>
        <v>15143.34</v>
      </c>
    </row>
    <row r="85" spans="3:14" ht="12.75">
      <c r="C85" s="1"/>
      <c r="E85" t="s">
        <v>60</v>
      </c>
      <c r="G85" s="3">
        <f>SUM(G51:G83)</f>
        <v>1914615.8600000003</v>
      </c>
      <c r="H85" s="3"/>
      <c r="I85" s="90">
        <f>SUM(I51:I84)</f>
        <v>7680780.520573414</v>
      </c>
      <c r="L85" t="s">
        <v>20</v>
      </c>
      <c r="N85" s="3">
        <f>SUM(N51:N83)</f>
        <v>1959996.6585815898</v>
      </c>
    </row>
    <row r="87" spans="12:14" ht="12.75">
      <c r="L87" s="19" t="s">
        <v>57</v>
      </c>
      <c r="N87" s="20">
        <f>N85-G85</f>
        <v>45380.79858158948</v>
      </c>
    </row>
    <row r="90" spans="3:14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3:14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3" spans="5:16" ht="12.75">
      <c r="E93" s="3"/>
      <c r="F93" s="3"/>
      <c r="G93" s="3"/>
      <c r="H93" s="3"/>
      <c r="I93" s="3"/>
      <c r="J93" s="12"/>
      <c r="K93" s="12"/>
      <c r="L93" s="12"/>
      <c r="M93" s="14"/>
      <c r="N93" s="6"/>
      <c r="O93" s="6"/>
      <c r="P93" s="6"/>
    </row>
    <row r="94" spans="5:16" ht="12.75">
      <c r="E94" s="3"/>
      <c r="F94" s="3"/>
      <c r="G94" s="3"/>
      <c r="H94" s="3"/>
      <c r="I94" s="3"/>
      <c r="J94" s="12"/>
      <c r="K94" s="12"/>
      <c r="L94" s="12"/>
      <c r="M94" s="12"/>
      <c r="N94" s="6"/>
      <c r="O94" s="6"/>
      <c r="P94" s="6"/>
    </row>
    <row r="95" spans="5:16" ht="12.75">
      <c r="E95" s="3"/>
      <c r="F95" s="3"/>
      <c r="G95" s="3"/>
      <c r="H95" s="3"/>
      <c r="I95" s="3"/>
      <c r="J95" s="12"/>
      <c r="K95" s="12"/>
      <c r="L95" s="12"/>
      <c r="M95" s="14"/>
      <c r="N95" s="6"/>
      <c r="O95" s="6"/>
      <c r="P95" s="6"/>
    </row>
    <row r="96" spans="5:16" ht="12.75">
      <c r="E96" s="3"/>
      <c r="F96" s="3"/>
      <c r="G96" s="3"/>
      <c r="H96" s="3"/>
      <c r="I96" s="3"/>
      <c r="J96" s="12"/>
      <c r="K96" s="12"/>
      <c r="L96" s="12"/>
      <c r="M96" s="12"/>
      <c r="N96" s="6"/>
      <c r="O96" s="6"/>
      <c r="P96" s="6"/>
    </row>
    <row r="97" spans="3:16" ht="12.75">
      <c r="C97" s="2"/>
      <c r="E97" s="3"/>
      <c r="F97" s="3"/>
      <c r="G97" s="3"/>
      <c r="H97" s="3"/>
      <c r="I97" s="3"/>
      <c r="J97" s="12"/>
      <c r="K97" s="12"/>
      <c r="L97" s="12"/>
      <c r="M97" s="14"/>
      <c r="N97" s="6"/>
      <c r="O97" s="6"/>
      <c r="P97" s="6"/>
    </row>
    <row r="98" spans="3:16" ht="12.75">
      <c r="C98" s="2"/>
      <c r="E98" s="3"/>
      <c r="F98" s="3"/>
      <c r="G98" s="3"/>
      <c r="H98" s="3"/>
      <c r="I98" s="3"/>
      <c r="J98" s="12"/>
      <c r="K98" s="12"/>
      <c r="L98" s="12"/>
      <c r="M98" s="12"/>
      <c r="N98" s="6"/>
      <c r="O98" s="6"/>
      <c r="P98" s="6"/>
    </row>
    <row r="99" spans="3:16" ht="12.75">
      <c r="C99" s="2"/>
      <c r="E99" s="3"/>
      <c r="F99" s="3"/>
      <c r="G99" s="3"/>
      <c r="H99" s="3"/>
      <c r="I99" s="3"/>
      <c r="J99" s="12"/>
      <c r="K99" s="12"/>
      <c r="L99" s="12"/>
      <c r="M99" s="14"/>
      <c r="N99" s="6"/>
      <c r="O99" s="6"/>
      <c r="P99" s="6"/>
    </row>
    <row r="100" spans="3:16" ht="12.75">
      <c r="C100" s="2"/>
      <c r="E100" s="3"/>
      <c r="F100" s="3"/>
      <c r="G100" s="3"/>
      <c r="H100" s="3"/>
      <c r="I100" s="3"/>
      <c r="J100" s="12"/>
      <c r="K100" s="12"/>
      <c r="L100" s="12"/>
      <c r="M100" s="14"/>
      <c r="N100" s="6"/>
      <c r="O100" s="6"/>
      <c r="P100" s="6"/>
    </row>
    <row r="101" spans="3:16" ht="12.75">
      <c r="C101" s="2"/>
      <c r="E101" s="3"/>
      <c r="F101" s="3"/>
      <c r="G101" s="3"/>
      <c r="H101" s="3"/>
      <c r="I101" s="3"/>
      <c r="J101" s="12"/>
      <c r="K101" s="12"/>
      <c r="L101" s="12"/>
      <c r="M101" s="12"/>
      <c r="N101" s="6"/>
      <c r="O101" s="6"/>
      <c r="P101" s="6"/>
    </row>
    <row r="102" spans="3:16" ht="12.75">
      <c r="C102" s="2"/>
      <c r="E102" s="3"/>
      <c r="F102" s="3"/>
      <c r="G102" s="3"/>
      <c r="H102" s="3"/>
      <c r="I102" s="3"/>
      <c r="J102" s="12"/>
      <c r="K102" s="12"/>
      <c r="L102" s="12"/>
      <c r="M102" s="12"/>
      <c r="N102" s="6"/>
      <c r="O102" s="6"/>
      <c r="P102" s="6"/>
    </row>
    <row r="103" spans="3:16" ht="12.75">
      <c r="C103" s="2"/>
      <c r="E103" s="3"/>
      <c r="F103" s="3"/>
      <c r="G103" s="3"/>
      <c r="H103" s="3"/>
      <c r="I103" s="3"/>
      <c r="J103" s="12"/>
      <c r="K103" s="12"/>
      <c r="L103" s="12"/>
      <c r="M103" s="14"/>
      <c r="N103" s="6"/>
      <c r="O103" s="6"/>
      <c r="P103" s="6"/>
    </row>
    <row r="104" spans="3:16" ht="12.75">
      <c r="C104" s="2"/>
      <c r="E104" s="3"/>
      <c r="F104" s="3"/>
      <c r="G104" s="3"/>
      <c r="H104" s="3"/>
      <c r="I104" s="3"/>
      <c r="J104" s="12"/>
      <c r="K104" s="12"/>
      <c r="L104" s="12"/>
      <c r="M104" s="12"/>
      <c r="N104" s="6"/>
      <c r="O104" s="6"/>
      <c r="P104" s="6"/>
    </row>
    <row r="105" spans="3:16" ht="12.75">
      <c r="C105" s="2"/>
      <c r="E105" s="3"/>
      <c r="F105" s="3"/>
      <c r="G105" s="3"/>
      <c r="H105" s="3"/>
      <c r="I105" s="3"/>
      <c r="J105" s="12"/>
      <c r="K105" s="12"/>
      <c r="L105" s="12"/>
      <c r="M105" s="14"/>
      <c r="N105" s="6"/>
      <c r="O105" s="6"/>
      <c r="P105" s="6"/>
    </row>
    <row r="106" spans="3:16" ht="12.75">
      <c r="C106" s="2"/>
      <c r="E106" s="3"/>
      <c r="F106" s="3"/>
      <c r="G106" s="3"/>
      <c r="H106" s="3"/>
      <c r="I106" s="3"/>
      <c r="J106" s="12"/>
      <c r="K106" s="12"/>
      <c r="L106" s="12"/>
      <c r="M106" s="14"/>
      <c r="N106" s="6"/>
      <c r="O106" s="6"/>
      <c r="P106" s="6"/>
    </row>
    <row r="107" spans="3:16" ht="12.75">
      <c r="C107" s="2"/>
      <c r="E107" s="3"/>
      <c r="F107" s="3"/>
      <c r="G107" s="3"/>
      <c r="H107" s="3"/>
      <c r="I107" s="3"/>
      <c r="J107" s="12"/>
      <c r="K107" s="12"/>
      <c r="L107" s="12"/>
      <c r="M107" s="14"/>
      <c r="N107" s="6"/>
      <c r="O107" s="6"/>
      <c r="P107" s="6"/>
    </row>
    <row r="108" spans="3:16" ht="12.75">
      <c r="C108" s="2"/>
      <c r="E108" s="3"/>
      <c r="F108" s="3"/>
      <c r="G108" s="3"/>
      <c r="H108" s="3"/>
      <c r="I108" s="3"/>
      <c r="J108" s="12"/>
      <c r="K108" s="12"/>
      <c r="L108" s="12"/>
      <c r="M108" s="14"/>
      <c r="N108" s="6"/>
      <c r="O108" s="6"/>
      <c r="P108" s="6"/>
    </row>
    <row r="109" spans="3:16" ht="12.75">
      <c r="C109" s="2"/>
      <c r="E109" s="3"/>
      <c r="F109" s="3"/>
      <c r="G109" s="3"/>
      <c r="H109" s="3"/>
      <c r="I109" s="3"/>
      <c r="J109" s="12"/>
      <c r="K109" s="12"/>
      <c r="L109" s="12"/>
      <c r="M109" s="14"/>
      <c r="N109" s="6"/>
      <c r="O109" s="6"/>
      <c r="P109" s="6"/>
    </row>
    <row r="110" spans="3:16" ht="12.75">
      <c r="C110" s="2"/>
      <c r="E110" s="3"/>
      <c r="F110" s="3"/>
      <c r="G110" s="3"/>
      <c r="H110" s="3"/>
      <c r="I110" s="3"/>
      <c r="J110" s="12"/>
      <c r="K110" s="12"/>
      <c r="L110" s="12"/>
      <c r="M110" s="12"/>
      <c r="N110" s="6"/>
      <c r="O110" s="6"/>
      <c r="P110" s="6"/>
    </row>
    <row r="111" spans="3:16" ht="12.75">
      <c r="C111" s="2"/>
      <c r="E111" s="3"/>
      <c r="F111" s="3"/>
      <c r="G111" s="3"/>
      <c r="H111" s="3"/>
      <c r="I111" s="3"/>
      <c r="J111" s="12"/>
      <c r="K111" s="12"/>
      <c r="L111" s="12"/>
      <c r="M111" s="14"/>
      <c r="N111" s="6"/>
      <c r="O111" s="6"/>
      <c r="P111" s="6"/>
    </row>
    <row r="112" spans="3:16" ht="12.75">
      <c r="C112" s="2"/>
      <c r="E112" s="3"/>
      <c r="F112" s="3"/>
      <c r="G112" s="3"/>
      <c r="H112" s="3"/>
      <c r="I112" s="3"/>
      <c r="J112" s="12"/>
      <c r="K112" s="12"/>
      <c r="L112" s="12"/>
      <c r="M112" s="12"/>
      <c r="N112" s="6"/>
      <c r="O112" s="6"/>
      <c r="P112" s="6"/>
    </row>
    <row r="113" spans="3:16" ht="12.75">
      <c r="C113" s="2"/>
      <c r="E113" s="3"/>
      <c r="F113" s="3"/>
      <c r="G113" s="3"/>
      <c r="H113" s="3"/>
      <c r="I113" s="3"/>
      <c r="J113" s="12"/>
      <c r="K113" s="12"/>
      <c r="L113" s="12"/>
      <c r="M113" s="14"/>
      <c r="N113" s="6"/>
      <c r="O113" s="6"/>
      <c r="P113" s="6"/>
    </row>
    <row r="114" spans="3:16" ht="12.75">
      <c r="C114" s="2"/>
      <c r="E114" s="3"/>
      <c r="F114" s="3"/>
      <c r="G114" s="3"/>
      <c r="H114" s="3"/>
      <c r="I114" s="3"/>
      <c r="J114" s="12"/>
      <c r="K114" s="12"/>
      <c r="L114" s="12"/>
      <c r="M114" s="12"/>
      <c r="N114" s="6"/>
      <c r="O114" s="6"/>
      <c r="P114" s="6"/>
    </row>
    <row r="115" spans="3:16" ht="12.75">
      <c r="C115" s="2"/>
      <c r="E115" s="3"/>
      <c r="F115" s="3"/>
      <c r="G115" s="3"/>
      <c r="H115" s="3"/>
      <c r="I115" s="3"/>
      <c r="J115" s="12"/>
      <c r="K115" s="12"/>
      <c r="L115" s="12"/>
      <c r="M115" s="14"/>
      <c r="N115" s="6"/>
      <c r="O115" s="6"/>
      <c r="P115" s="6"/>
    </row>
    <row r="116" spans="3:16" ht="12.75">
      <c r="C116" s="2"/>
      <c r="E116" s="3"/>
      <c r="F116" s="3"/>
      <c r="G116" s="3"/>
      <c r="H116" s="3"/>
      <c r="I116" s="3"/>
      <c r="N116" s="6"/>
      <c r="O116" s="6"/>
      <c r="P116" s="6"/>
    </row>
    <row r="117" spans="5:16" ht="12.75">
      <c r="E117" s="15"/>
      <c r="G117" s="3"/>
      <c r="H117" s="3"/>
      <c r="I117" s="3"/>
      <c r="J117" s="1"/>
      <c r="K117" s="1"/>
      <c r="L117" s="12"/>
      <c r="M117" s="14"/>
      <c r="N117" s="15"/>
      <c r="P117" s="6"/>
    </row>
    <row r="119" spans="5:16" ht="12.75">
      <c r="E119" s="6"/>
      <c r="G119" s="3"/>
      <c r="H119" s="3"/>
      <c r="I119" s="3"/>
      <c r="P119" s="3"/>
    </row>
    <row r="121" spans="7:16" ht="12.75">
      <c r="G121" s="3"/>
      <c r="H121" s="3"/>
      <c r="I121" s="3"/>
      <c r="P121" s="3"/>
    </row>
    <row r="122" spans="7:16" ht="12.75">
      <c r="G122" s="3"/>
      <c r="H122" s="3"/>
      <c r="I122" s="3"/>
      <c r="P122" s="3"/>
    </row>
    <row r="123" spans="7:16" ht="12.75">
      <c r="G123" s="3"/>
      <c r="H123" s="3"/>
      <c r="I123" s="3"/>
      <c r="P123" s="3"/>
    </row>
    <row r="124" spans="7:16" ht="12.75">
      <c r="G124" s="15"/>
      <c r="H124" s="15"/>
      <c r="I124" s="15"/>
      <c r="P124" s="15"/>
    </row>
    <row r="125" spans="7:16" ht="12.75">
      <c r="G125" s="6"/>
      <c r="H125" s="6"/>
      <c r="I125" s="6"/>
      <c r="P125" s="6"/>
    </row>
    <row r="127" spans="3:16" ht="12.75">
      <c r="C127" s="1"/>
      <c r="G127" s="3"/>
      <c r="H127" s="3"/>
      <c r="I127" s="3"/>
      <c r="P127" s="3"/>
    </row>
    <row r="130" ht="12.75">
      <c r="P130" s="3"/>
    </row>
  </sheetData>
  <sheetProtection/>
  <printOptions headings="1"/>
  <pageMargins left="0.33" right="0.45" top="0.49" bottom="0.56" header="0.5" footer="0.5"/>
  <pageSetup fitToHeight="1" fitToWidth="1" horizontalDpi="600" verticalDpi="600" orientation="landscape" paperSize="13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</v>
      </c>
    </row>
    <row r="2" ht="12.75">
      <c r="A2" s="1" t="s">
        <v>74</v>
      </c>
    </row>
    <row r="4" spans="1:13" ht="12.75">
      <c r="A4" s="66" t="s">
        <v>73</v>
      </c>
      <c r="D4" s="66" t="s">
        <v>72</v>
      </c>
      <c r="G4" s="66" t="s">
        <v>71</v>
      </c>
      <c r="J4" s="66" t="s">
        <v>70</v>
      </c>
      <c r="M4" s="77" t="s">
        <v>75</v>
      </c>
    </row>
    <row r="5" spans="2:15" ht="12.75">
      <c r="B5" s="1" t="s">
        <v>68</v>
      </c>
      <c r="C5" s="1" t="s">
        <v>67</v>
      </c>
      <c r="E5" s="1" t="s">
        <v>68</v>
      </c>
      <c r="F5" s="1" t="s">
        <v>67</v>
      </c>
      <c r="H5" s="1" t="s">
        <v>68</v>
      </c>
      <c r="I5" s="1" t="s">
        <v>67</v>
      </c>
      <c r="K5" s="1" t="s">
        <v>68</v>
      </c>
      <c r="L5" s="1" t="s">
        <v>67</v>
      </c>
      <c r="N5" s="1" t="s">
        <v>68</v>
      </c>
      <c r="O5" s="1" t="s">
        <v>67</v>
      </c>
    </row>
    <row r="7" spans="1:15" ht="12.75">
      <c r="A7" s="1" t="s">
        <v>66</v>
      </c>
      <c r="B7" s="63">
        <v>22165.98</v>
      </c>
      <c r="C7" s="63">
        <v>5850.6</v>
      </c>
      <c r="D7" s="1" t="s">
        <v>66</v>
      </c>
      <c r="E7" s="63">
        <v>15531.01</v>
      </c>
      <c r="F7" s="63">
        <v>7832.41</v>
      </c>
      <c r="G7" s="1" t="s">
        <v>66</v>
      </c>
      <c r="H7" s="63">
        <v>2943.77</v>
      </c>
      <c r="I7" s="62"/>
      <c r="J7" s="1" t="s">
        <v>66</v>
      </c>
      <c r="K7" s="65">
        <v>0</v>
      </c>
      <c r="L7" s="62"/>
      <c r="M7" s="1" t="s">
        <v>66</v>
      </c>
      <c r="N7" s="63">
        <v>0</v>
      </c>
      <c r="O7" s="62"/>
    </row>
    <row r="9" spans="1:15" ht="12.75">
      <c r="A9" s="1" t="s">
        <v>65</v>
      </c>
      <c r="B9" s="63">
        <v>0</v>
      </c>
      <c r="C9" s="63">
        <v>0</v>
      </c>
      <c r="D9" s="1" t="s">
        <v>65</v>
      </c>
      <c r="E9" s="63">
        <v>0</v>
      </c>
      <c r="F9" s="63">
        <v>0</v>
      </c>
      <c r="G9" s="1" t="s">
        <v>65</v>
      </c>
      <c r="H9" s="63">
        <v>0</v>
      </c>
      <c r="I9" s="62"/>
      <c r="J9" s="1" t="s">
        <v>65</v>
      </c>
      <c r="K9" s="63">
        <v>0</v>
      </c>
      <c r="L9" s="62"/>
      <c r="M9" s="1" t="s">
        <v>65</v>
      </c>
      <c r="N9" s="63">
        <v>0</v>
      </c>
      <c r="O9" s="62"/>
    </row>
    <row r="10" ht="12.75">
      <c r="O10" s="64"/>
    </row>
    <row r="11" spans="1:15" ht="12.75">
      <c r="A11" s="1" t="s">
        <v>13</v>
      </c>
      <c r="B11" s="63">
        <v>78.92</v>
      </c>
      <c r="C11" s="63">
        <v>0</v>
      </c>
      <c r="D11" s="1" t="s">
        <v>13</v>
      </c>
      <c r="E11" s="63">
        <v>60.76</v>
      </c>
      <c r="F11" s="63">
        <v>0</v>
      </c>
      <c r="G11" s="1" t="s">
        <v>13</v>
      </c>
      <c r="H11" s="63">
        <v>4</v>
      </c>
      <c r="I11" s="62"/>
      <c r="J11" s="1" t="s">
        <v>13</v>
      </c>
      <c r="K11" s="63">
        <v>0</v>
      </c>
      <c r="L11" s="62"/>
      <c r="M11" s="1" t="s">
        <v>13</v>
      </c>
      <c r="N11" s="63">
        <v>0</v>
      </c>
      <c r="O11" s="62"/>
    </row>
    <row r="13" spans="1:3" ht="12.75">
      <c r="A13" s="1" t="s">
        <v>64</v>
      </c>
      <c r="C13" s="61">
        <v>0</v>
      </c>
    </row>
    <row r="14" spans="1:3" ht="12.75">
      <c r="A14" s="1" t="s">
        <v>63</v>
      </c>
      <c r="C14" s="61">
        <v>1317.94</v>
      </c>
    </row>
    <row r="15" spans="1:3" ht="12.75">
      <c r="A15" s="1" t="s">
        <v>2</v>
      </c>
      <c r="C15" s="61">
        <v>4109.14</v>
      </c>
    </row>
    <row r="17" spans="1:3" ht="12.75">
      <c r="A17" s="1" t="s">
        <v>62</v>
      </c>
      <c r="C17" s="61">
        <v>285.88</v>
      </c>
    </row>
    <row r="18" spans="1:3" ht="12.75">
      <c r="A18" s="1" t="s">
        <v>61</v>
      </c>
      <c r="C18" s="61">
        <v>-3.47</v>
      </c>
    </row>
    <row r="20" spans="1:2" ht="12.75">
      <c r="A20" s="1" t="s">
        <v>60</v>
      </c>
      <c r="B20" s="1">
        <f>SUM(B7:O11)+C13+C14+C15+C17+C18</f>
        <v>60176.939999999995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E8" sqref="E8"/>
    </sheetView>
  </sheetViews>
  <sheetFormatPr defaultColWidth="9.140625" defaultRowHeight="12.75"/>
  <sheetData>
    <row r="1" ht="12.75">
      <c r="A1" t="s">
        <v>22</v>
      </c>
    </row>
    <row r="2" ht="12.75">
      <c r="A2" t="s">
        <v>74</v>
      </c>
    </row>
    <row r="4" spans="1:13" ht="12.75">
      <c r="A4" s="72" t="s">
        <v>73</v>
      </c>
      <c r="D4" s="72" t="s">
        <v>72</v>
      </c>
      <c r="G4" s="72" t="s">
        <v>71</v>
      </c>
      <c r="J4" s="72" t="s">
        <v>70</v>
      </c>
      <c r="M4" s="72" t="s">
        <v>77</v>
      </c>
    </row>
    <row r="5" spans="2:15" ht="12.75">
      <c r="B5" t="s">
        <v>68</v>
      </c>
      <c r="C5" t="s">
        <v>67</v>
      </c>
      <c r="E5" t="s">
        <v>68</v>
      </c>
      <c r="F5" t="s">
        <v>67</v>
      </c>
      <c r="H5" t="s">
        <v>68</v>
      </c>
      <c r="I5" t="s">
        <v>67</v>
      </c>
      <c r="K5" t="s">
        <v>68</v>
      </c>
      <c r="L5" t="s">
        <v>67</v>
      </c>
      <c r="N5" t="s">
        <v>68</v>
      </c>
      <c r="O5" t="s">
        <v>67</v>
      </c>
    </row>
    <row r="7" spans="1:15" ht="12.75">
      <c r="A7" t="s">
        <v>66</v>
      </c>
      <c r="B7" s="69">
        <v>21233.21</v>
      </c>
      <c r="C7" s="69">
        <v>5989.31</v>
      </c>
      <c r="D7" t="s">
        <v>66</v>
      </c>
      <c r="E7" s="63">
        <v>16015.46</v>
      </c>
      <c r="F7" s="63">
        <v>8161.41</v>
      </c>
      <c r="G7" t="s">
        <v>66</v>
      </c>
      <c r="H7" s="63">
        <v>2835.98</v>
      </c>
      <c r="I7" s="63">
        <v>0</v>
      </c>
      <c r="J7" t="s">
        <v>66</v>
      </c>
      <c r="K7" s="65">
        <v>0</v>
      </c>
      <c r="L7" s="63">
        <v>0</v>
      </c>
      <c r="M7" t="s">
        <v>66</v>
      </c>
      <c r="N7" s="63">
        <v>0</v>
      </c>
      <c r="O7" s="63">
        <v>0</v>
      </c>
    </row>
    <row r="8" spans="5:15" ht="12.75">
      <c r="E8" s="1"/>
      <c r="F8" s="1"/>
      <c r="H8" s="1"/>
      <c r="I8" s="1"/>
      <c r="K8" s="1"/>
      <c r="L8" s="1"/>
      <c r="N8" s="1"/>
      <c r="O8" s="1"/>
    </row>
    <row r="9" spans="1:15" ht="12.75">
      <c r="A9" t="s">
        <v>65</v>
      </c>
      <c r="B9" s="69">
        <v>0</v>
      </c>
      <c r="C9" s="69">
        <v>0</v>
      </c>
      <c r="D9" t="s">
        <v>65</v>
      </c>
      <c r="E9" s="63">
        <v>0</v>
      </c>
      <c r="F9" s="63">
        <v>0</v>
      </c>
      <c r="G9" t="s">
        <v>65</v>
      </c>
      <c r="H9" s="63"/>
      <c r="I9" s="63">
        <v>0</v>
      </c>
      <c r="J9" t="s">
        <v>65</v>
      </c>
      <c r="K9" s="63">
        <v>0</v>
      </c>
      <c r="L9" s="63">
        <v>0</v>
      </c>
      <c r="M9" t="s">
        <v>65</v>
      </c>
      <c r="N9" s="63">
        <v>0</v>
      </c>
      <c r="O9" s="63">
        <v>0</v>
      </c>
    </row>
    <row r="10" spans="5:15" ht="12.75">
      <c r="E10" s="1"/>
      <c r="F10" s="1"/>
      <c r="H10" s="1"/>
      <c r="I10" s="1"/>
      <c r="K10" s="1"/>
      <c r="L10" s="1"/>
      <c r="N10" s="1"/>
      <c r="O10" s="64"/>
    </row>
    <row r="11" spans="1:15" ht="12.75">
      <c r="A11" t="s">
        <v>13</v>
      </c>
      <c r="B11" s="69">
        <v>77.94</v>
      </c>
      <c r="C11" s="69">
        <v>0</v>
      </c>
      <c r="D11" t="s">
        <v>13</v>
      </c>
      <c r="E11" s="63">
        <v>60.76</v>
      </c>
      <c r="F11" s="63">
        <v>0</v>
      </c>
      <c r="G11" t="s">
        <v>13</v>
      </c>
      <c r="H11" s="63">
        <v>4</v>
      </c>
      <c r="I11" s="63">
        <v>0</v>
      </c>
      <c r="J11" t="s">
        <v>13</v>
      </c>
      <c r="K11" s="63">
        <v>0</v>
      </c>
      <c r="L11" s="63">
        <v>0</v>
      </c>
      <c r="M11" t="s">
        <v>13</v>
      </c>
      <c r="N11" s="63">
        <v>0</v>
      </c>
      <c r="O11" s="63">
        <v>0</v>
      </c>
    </row>
    <row r="13" spans="1:3" ht="12.75">
      <c r="A13" t="s">
        <v>64</v>
      </c>
      <c r="C13" s="67">
        <v>129.08</v>
      </c>
    </row>
    <row r="14" spans="1:3" ht="12.75">
      <c r="A14" t="s">
        <v>63</v>
      </c>
      <c r="C14" s="67">
        <v>904.28</v>
      </c>
    </row>
    <row r="15" spans="1:3" ht="12.75">
      <c r="A15" t="s">
        <v>2</v>
      </c>
      <c r="C15" s="67">
        <v>3494.77</v>
      </c>
    </row>
    <row r="17" spans="1:3" ht="12.75">
      <c r="A17" t="s">
        <v>62</v>
      </c>
      <c r="C17" s="67">
        <v>374.25</v>
      </c>
    </row>
    <row r="18" spans="1:3" ht="12.75">
      <c r="A18" t="s">
        <v>61</v>
      </c>
      <c r="C18" s="67">
        <v>-8.17</v>
      </c>
    </row>
    <row r="20" spans="1:2" ht="12.75">
      <c r="A20" t="s">
        <v>60</v>
      </c>
      <c r="B20">
        <f>SUM(B7:O11)+C13+C14+C15+C17+C18</f>
        <v>59272.280000000006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22">
      <selection activeCell="C46" sqref="C46"/>
    </sheetView>
  </sheetViews>
  <sheetFormatPr defaultColWidth="9.140625" defaultRowHeight="12.75"/>
  <cols>
    <col min="1" max="1" width="11.8515625" style="0" customWidth="1"/>
    <col min="2" max="2" width="11.140625" style="0" customWidth="1"/>
    <col min="3" max="3" width="11.140625" style="0" bestFit="1" customWidth="1"/>
    <col min="4" max="4" width="7.57421875" style="0" customWidth="1"/>
    <col min="5" max="5" width="13.140625" style="0" customWidth="1"/>
    <col min="6" max="6" width="11.140625" style="0" customWidth="1"/>
    <col min="7" max="7" width="11.140625" style="0" bestFit="1" customWidth="1"/>
    <col min="8" max="8" width="10.28125" style="0" customWidth="1"/>
    <col min="9" max="9" width="11.140625" style="0" bestFit="1" customWidth="1"/>
    <col min="10" max="10" width="5.7109375" style="0" customWidth="1"/>
    <col min="11" max="11" width="9.28125" style="0" bestFit="1" customWidth="1"/>
    <col min="12" max="12" width="9.28125" style="0" customWidth="1"/>
    <col min="13" max="13" width="12.140625" style="0" customWidth="1"/>
    <col min="14" max="14" width="11.140625" style="0" bestFit="1" customWidth="1"/>
    <col min="15" max="15" width="8.7109375" style="0" customWidth="1"/>
    <col min="16" max="16" width="10.421875" style="0" customWidth="1"/>
    <col min="17" max="17" width="5.00390625" style="0" customWidth="1"/>
    <col min="18" max="18" width="14.28125" style="0" customWidth="1"/>
    <col min="19" max="19" width="5.140625" style="0" customWidth="1"/>
    <col min="20" max="20" width="14.421875" style="0" customWidth="1"/>
  </cols>
  <sheetData>
    <row r="1" ht="12.75">
      <c r="A1" t="s">
        <v>100</v>
      </c>
    </row>
    <row r="2" ht="12.75">
      <c r="A2" t="s">
        <v>99</v>
      </c>
    </row>
    <row r="3" ht="12.75">
      <c r="A3" s="58" t="s">
        <v>122</v>
      </c>
    </row>
    <row r="5" spans="1:14" ht="12.75">
      <c r="A5" s="72" t="s">
        <v>73</v>
      </c>
      <c r="D5" s="72" t="s">
        <v>72</v>
      </c>
      <c r="G5" s="72" t="s">
        <v>71</v>
      </c>
      <c r="J5" s="72" t="s">
        <v>70</v>
      </c>
      <c r="N5" s="72" t="s">
        <v>104</v>
      </c>
    </row>
    <row r="6" spans="2:16" ht="12.75">
      <c r="B6" t="s">
        <v>68</v>
      </c>
      <c r="C6" t="s">
        <v>67</v>
      </c>
      <c r="E6" t="s">
        <v>68</v>
      </c>
      <c r="F6" t="s">
        <v>67</v>
      </c>
      <c r="H6" t="s">
        <v>68</v>
      </c>
      <c r="I6" t="s">
        <v>67</v>
      </c>
      <c r="K6" t="s">
        <v>68</v>
      </c>
      <c r="M6" t="s">
        <v>67</v>
      </c>
      <c r="O6" t="s">
        <v>68</v>
      </c>
      <c r="P6" t="s">
        <v>67</v>
      </c>
    </row>
    <row r="8" spans="1:18" ht="12.75">
      <c r="A8" t="s">
        <v>66</v>
      </c>
      <c r="B8" s="4">
        <f>'AUG-SEP 2023 RES'!B7+'OCT-NOV 2023 RES'!B7+'DEC-JAN 2024 RES'!B7+'FEB-MAR 2024 RES'!B7+'JUN-JUL 2023 RES'!B7+'APR-MAY 2024 RES'!B7</f>
        <v>137565.8</v>
      </c>
      <c r="C8" s="4">
        <f>'AUG-SEP 2023 RES'!C7+'OCT-NOV 2023 RES'!C7+'DEC-JAN 2024 RES'!C7+'FEB-MAR 2024 RES'!C7+'JUN-JUL 2023 RES'!C7+'APR-MAY 2024 RES'!C7</f>
        <v>36572.15</v>
      </c>
      <c r="D8" s="3" t="s">
        <v>66</v>
      </c>
      <c r="E8" s="4">
        <f>'AUG-SEP 2023 RES'!E7+'OCT-NOV 2023 RES'!E7+'DEC-JAN 2024 RES'!E7+'FEB-MAR 2024 RES'!E7+'JUN-JUL 2023 RES'!E7+'APR-MAY 2024 RES'!E7</f>
        <v>97216.56</v>
      </c>
      <c r="F8" s="4">
        <f>'AUG-SEP 2023 RES'!F7+'OCT-NOV 2023 RES'!F7+'DEC-JAN 2024 RES'!F7+'FEB-MAR 2024 RES'!F7+'JUN-JUL 2023 RES'!F7+'APR-MAY 2024 RES'!F7</f>
        <v>51626.56</v>
      </c>
      <c r="G8" s="3" t="s">
        <v>66</v>
      </c>
      <c r="H8" s="4">
        <f>'AUG-SEP 2023 RES'!H7+'OCT-NOV 2023 RES'!H7+'DEC-JAN 2024 RES'!H7+'FEB-MAR 2024 RES'!H7+'JUN-JUL 2023 RES'!H7+'APR-MAY 2024 RES'!H7</f>
        <v>17925.33</v>
      </c>
      <c r="I8" s="5"/>
      <c r="J8" s="3" t="s">
        <v>66</v>
      </c>
      <c r="K8" s="4">
        <f>'AUG-SEP 2023 RES'!K7+'OCT-NOV 2023 RES'!K7+'DEC-JAN 2024 RES'!K7+'FEB-MAR 2024 RES'!K7+'JUN-JUL 2023 RES'!K7+'APR-MAY 2024 RES'!K7</f>
        <v>0</v>
      </c>
      <c r="L8" s="81"/>
      <c r="M8" s="5"/>
      <c r="N8" s="3" t="s">
        <v>66</v>
      </c>
      <c r="O8" s="4">
        <f>'AUG-SEP 2023 RES'!O7+'OCT-NOV 2023 RES'!O7+'DEC-JAN 2024 RES'!O7+'FEB-MAR 2024 RES'!O7+'JUN-JUL 2023 RES'!O7+'APR-MAY 2024 RES'!O7</f>
        <v>0</v>
      </c>
      <c r="P8" s="68"/>
      <c r="R8" s="3">
        <f>SUM(B8:Q8)</f>
        <v>340906.4</v>
      </c>
    </row>
    <row r="9" spans="1:17" ht="12.75">
      <c r="A9" t="s">
        <v>103</v>
      </c>
      <c r="B9" s="80">
        <f>B8/34.42</f>
        <v>3996.6821615339913</v>
      </c>
      <c r="C9" s="80">
        <v>660</v>
      </c>
      <c r="D9" s="80"/>
      <c r="E9" s="80">
        <f>E8/17.65</f>
        <v>5508.0203966005665</v>
      </c>
      <c r="F9" s="80">
        <f>F8/31.29</f>
        <v>1649.9379993608181</v>
      </c>
      <c r="G9" s="80"/>
      <c r="H9" s="80">
        <v>2079</v>
      </c>
      <c r="I9" s="83"/>
      <c r="J9" s="83"/>
      <c r="K9" s="83">
        <v>0</v>
      </c>
      <c r="L9" s="83"/>
      <c r="M9" s="83"/>
      <c r="N9" s="83"/>
      <c r="O9" s="83">
        <f>O8/7.7</f>
        <v>0</v>
      </c>
      <c r="Q9" s="82" t="s">
        <v>3</v>
      </c>
    </row>
    <row r="11" spans="1:18" ht="12.75">
      <c r="A11" t="s">
        <v>65</v>
      </c>
      <c r="B11" s="4">
        <f>'AUG-SEP 2023 RES'!B9+'OCT-NOV 2023 RES'!B9+'DEC-JAN 2024 RES'!B9+'FEB-MAR 2024 RES'!B9+'JUN-JUL 2023 RES'!B9+'APR-MAY 2024 RES'!B9</f>
        <v>0</v>
      </c>
      <c r="C11" s="4">
        <f>'AUG-SEP 2023 RES'!C9+'OCT-NOV 2023 RES'!C9+'DEC-JAN 2024 RES'!C9+'FEB-MAR 2024 RES'!C9+'JUN-JUL 2023 RES'!C9+'APR-MAY 2024 RES'!C9</f>
        <v>0</v>
      </c>
      <c r="D11" s="3" t="s">
        <v>65</v>
      </c>
      <c r="E11" s="4">
        <f>'AUG-SEP 2023 RES'!E9+'OCT-NOV 2023 RES'!E9+'DEC-JAN 2024 RES'!E9+'FEB-MAR 2024 RES'!E9+'JUN-JUL 2023 RES'!E9+'APR-MAY 2024 RES'!E9</f>
        <v>0</v>
      </c>
      <c r="F11" s="4">
        <f>'AUG-SEP 2023 RES'!F9+'OCT-NOV 2023 RES'!F9+'DEC-JAN 2024 RES'!F9+'FEB-MAR 2024 RES'!F9+'JUN-JUL 2023 RES'!F9+'APR-MAY 2024 RES'!F9</f>
        <v>0</v>
      </c>
      <c r="G11" s="3" t="s">
        <v>65</v>
      </c>
      <c r="H11" s="4">
        <f>'AUG-SEP 2023 RES'!H9+'OCT-NOV 2023 RES'!H9+'DEC-JAN 2024 RES'!H9+'FEB-MAR 2024 RES'!H9+'JUN-JUL 2023 RES'!H9+'APR-MAY 2024 RES'!H9</f>
        <v>0</v>
      </c>
      <c r="I11" s="5"/>
      <c r="J11" s="3" t="s">
        <v>65</v>
      </c>
      <c r="K11" s="4">
        <f>'AUG-SEP 2023 RES'!K9+'OCT-NOV 2023 RES'!K9+'DEC-JAN 2024 RES'!K9+'FEB-MAR 2024 RES'!K9+'JUN-JUL 2023 RES'!K9+'APR-MAY 2024 RES'!K9</f>
        <v>0</v>
      </c>
      <c r="L11" s="81"/>
      <c r="M11" s="5"/>
      <c r="N11" s="3" t="s">
        <v>65</v>
      </c>
      <c r="O11" s="4">
        <f>'AUG-SEP 2023 RES'!O9+'OCT-NOV 2023 RES'!O9+'DEC-JAN 2024 RES'!O9+'FEB-MAR 2024 RES'!O9+'JUN-JUL 2023 RES'!O9+'APR-MAY 2024 RES'!O9</f>
        <v>0</v>
      </c>
      <c r="P11" s="68"/>
      <c r="R11" s="3">
        <f>SUM(B11:Q11)</f>
        <v>0</v>
      </c>
    </row>
    <row r="12" ht="12.75">
      <c r="P12" s="70"/>
    </row>
    <row r="13" spans="1:18" ht="12.75">
      <c r="A13" t="s">
        <v>13</v>
      </c>
      <c r="B13" s="4">
        <f>'AUG-SEP 2023 RES'!B11+'OCT-NOV 2023 RES'!B11+'DEC-JAN 2024 RES'!B11+'FEB-MAR 2024 RES'!B11+'JUN-JUL 2023 RES'!B11+'APR-MAY 2024 RES'!B11</f>
        <v>532.5699999999999</v>
      </c>
      <c r="C13" s="4">
        <f>'AUG-SEP 2023 RES'!C11+'OCT-NOV 2023 RES'!C11+'DEC-JAN 2024 RES'!C11+'FEB-MAR 2024 RES'!C11+'JUN-JUL 2023 RES'!C11+'APR-MAY 2024 RES'!C11</f>
        <v>0</v>
      </c>
      <c r="D13" s="3" t="s">
        <v>13</v>
      </c>
      <c r="E13" s="4">
        <f>'AUG-SEP 2023 RES'!E11+'OCT-NOV 2023 RES'!E11+'DEC-JAN 2024 RES'!E11+'FEB-MAR 2024 RES'!E11+'JUN-JUL 2023 RES'!E11+'APR-MAY 2024 RES'!E11</f>
        <v>356.71</v>
      </c>
      <c r="F13" s="4">
        <f>'AUG-SEP 2023 RES'!F11+'OCT-NOV 2023 RES'!F11+'DEC-JAN 2024 RES'!F11+'FEB-MAR 2024 RES'!F11+'JUN-JUL 2023 RES'!F11+'APR-MAY 2024 RES'!F11</f>
        <v>0</v>
      </c>
      <c r="G13" s="3" t="s">
        <v>13</v>
      </c>
      <c r="H13" s="4">
        <f>'AUG-SEP 2023 RES'!H11+'OCT-NOV 2023 RES'!H11+'DEC-JAN 2024 RES'!H11+'FEB-MAR 2024 RES'!H11+'JUN-JUL 2023 RES'!H11+'APR-MAY 2024 RES'!H11</f>
        <v>24</v>
      </c>
      <c r="I13" s="5"/>
      <c r="J13" s="3" t="s">
        <v>13</v>
      </c>
      <c r="K13" s="4">
        <f>'AUG-SEP 2023 RES'!K11+'OCT-NOV 2023 RES'!K11+'DEC-JAN 2024 RES'!K11+'FEB-MAR 2024 RES'!K11+'JUN-JUL 2023 RES'!K11+'APR-MAY 2024 RES'!K11</f>
        <v>0</v>
      </c>
      <c r="L13" s="81"/>
      <c r="M13" s="5"/>
      <c r="N13" s="3" t="s">
        <v>13</v>
      </c>
      <c r="O13" s="4">
        <f>'AUG-SEP 2023 RES'!O11+'OCT-NOV 2023 RES'!O11+'DEC-JAN 2024 RES'!O11+'FEB-MAR 2024 RES'!O11+'JUN-JUL 2023 RES'!O11+'APR-MAY 2024 RES'!O11</f>
        <v>0</v>
      </c>
      <c r="P13" s="68"/>
      <c r="R13" s="3">
        <f>SUM(B13:Q13)</f>
        <v>913.28</v>
      </c>
    </row>
    <row r="15" ht="12.75">
      <c r="D15" t="s">
        <v>102</v>
      </c>
    </row>
    <row r="16" spans="1:4" ht="12.75">
      <c r="A16" t="s">
        <v>64</v>
      </c>
      <c r="C16" s="79">
        <f>'AUG-SEP 2023 RES'!C13+'OCT-NOV 2023 RES'!C13+'DEC-JAN 2024 RES'!C13+'FEB-MAR 2024 RES'!C13+'JUN-JUL 2023 RES'!C13+'APR-MAY 2024 RES'!C13</f>
        <v>1170.9399999999998</v>
      </c>
      <c r="D16" s="80">
        <f>C16/9.22</f>
        <v>126.99999999999997</v>
      </c>
    </row>
    <row r="17" spans="1:4" ht="12.75">
      <c r="A17" t="s">
        <v>63</v>
      </c>
      <c r="C17" s="79">
        <f>'AUG-SEP 2023 RES'!C14+'OCT-NOV 2023 RES'!C14+'DEC-JAN 2024 RES'!C14+'FEB-MAR 2024 RES'!C14+'JUN-JUL 2023 RES'!C14+'APR-MAY 2024 RES'!C14</f>
        <v>9984.31</v>
      </c>
      <c r="D17" s="80">
        <f>C17/9.62</f>
        <v>1037.8700623700624</v>
      </c>
    </row>
    <row r="18" spans="1:4" ht="12.75">
      <c r="A18" t="s">
        <v>2</v>
      </c>
      <c r="C18" s="79">
        <f>'AUG-SEP 2023 RES'!C15+'OCT-NOV 2023 RES'!C15+'DEC-JAN 2024 RES'!C15+'FEB-MAR 2024 RES'!C15+'JUN-JUL 2023 RES'!C15+'APR-MAY 2024 RES'!C15</f>
        <v>31744.56</v>
      </c>
      <c r="D18" s="80">
        <f>C18/8.42</f>
        <v>3770.137767220903</v>
      </c>
    </row>
    <row r="19" ht="12.75">
      <c r="C19" s="3"/>
    </row>
    <row r="20" spans="1:3" ht="12.75">
      <c r="A20" t="s">
        <v>62</v>
      </c>
      <c r="C20" s="79">
        <f>'AUG-SEP 2023 RES'!C17+'OCT-NOV 2023 RES'!C17+'DEC-JAN 2024 RES'!C17+'FEB-MAR 2024 RES'!C17+'JUN-JUL 2023 RES'!C17+'APR-MAY 2024 RES'!C17</f>
        <v>2322.58</v>
      </c>
    </row>
    <row r="21" spans="1:3" ht="12.75">
      <c r="A21" t="s">
        <v>61</v>
      </c>
      <c r="C21" s="79">
        <f>'AUG-SEP 2023 RES'!C18+'OCT-NOV 2023 RES'!C18+'DEC-JAN 2024 RES'!C18+'FEB-MAR 2024 RES'!C18+'JUN-JUL 2023 RES'!C18+'APR-MAY 2024 RES'!C18</f>
        <v>-25.71</v>
      </c>
    </row>
    <row r="22" ht="12.75">
      <c r="C22" s="3"/>
    </row>
    <row r="23" ht="12.75">
      <c r="C23" s="3"/>
    </row>
    <row r="24" spans="1:3" ht="12.75">
      <c r="A24" t="s">
        <v>101</v>
      </c>
      <c r="C24" s="3">
        <f>SUM(B8:O21)-SUM(B9:P9)-D16-D17-D18</f>
        <v>387016.3600000001</v>
      </c>
    </row>
    <row r="26" spans="1:3" ht="12.75">
      <c r="A26" t="s">
        <v>21</v>
      </c>
      <c r="C26" s="3">
        <v>387238.54</v>
      </c>
    </row>
    <row r="28" ht="12.75">
      <c r="A28" t="s">
        <v>100</v>
      </c>
    </row>
    <row r="29" ht="12.75">
      <c r="A29" t="s">
        <v>99</v>
      </c>
    </row>
    <row r="30" ht="12.75">
      <c r="A30" s="58" t="s">
        <v>123</v>
      </c>
    </row>
    <row r="32" spans="1:20" ht="12.75">
      <c r="A32" t="s">
        <v>98</v>
      </c>
      <c r="C32" t="s">
        <v>97</v>
      </c>
      <c r="E32" t="s">
        <v>96</v>
      </c>
      <c r="G32" t="s">
        <v>95</v>
      </c>
      <c r="I32" t="s">
        <v>42</v>
      </c>
      <c r="K32" t="s">
        <v>94</v>
      </c>
      <c r="M32" t="s">
        <v>109</v>
      </c>
      <c r="N32" t="s">
        <v>59</v>
      </c>
      <c r="P32" t="s">
        <v>93</v>
      </c>
      <c r="R32" t="s">
        <v>92</v>
      </c>
      <c r="T32" s="13" t="s">
        <v>42</v>
      </c>
    </row>
    <row r="33" spans="11:13" ht="12.75">
      <c r="K33" t="s">
        <v>79</v>
      </c>
      <c r="M33" t="s">
        <v>110</v>
      </c>
    </row>
    <row r="34" spans="1:20" ht="12.75">
      <c r="A34" t="s">
        <v>91</v>
      </c>
      <c r="C34">
        <v>4008</v>
      </c>
      <c r="E34" s="1">
        <v>3997</v>
      </c>
      <c r="G34" s="6">
        <v>34.42</v>
      </c>
      <c r="H34" s="3"/>
      <c r="I34" s="3">
        <f aca="true" t="shared" si="0" ref="I34:I43">E34*G34</f>
        <v>137576.74000000002</v>
      </c>
      <c r="K34">
        <f>34*4.33</f>
        <v>147.22</v>
      </c>
      <c r="M34" s="90">
        <f aca="true" t="shared" si="1" ref="M34:M43">C34*K34</f>
        <v>590057.76</v>
      </c>
      <c r="N34" s="1">
        <f>K34*'Disposal Increase'!$D$40</f>
        <v>0.8694735580097672</v>
      </c>
      <c r="P34" s="3">
        <f aca="true" t="shared" si="2" ref="P34:P43">G34+N34</f>
        <v>35.28947355800977</v>
      </c>
      <c r="R34" s="6">
        <f>P34</f>
        <v>35.28947355800977</v>
      </c>
      <c r="T34" s="6">
        <f aca="true" t="shared" si="3" ref="T34:T43">E34*R34</f>
        <v>141052.02581136505</v>
      </c>
    </row>
    <row r="35" spans="1:20" ht="12.75">
      <c r="A35" t="s">
        <v>90</v>
      </c>
      <c r="C35">
        <v>661</v>
      </c>
      <c r="E35" s="1">
        <v>660</v>
      </c>
      <c r="G35" s="6">
        <v>55.37</v>
      </c>
      <c r="H35" s="3"/>
      <c r="I35" s="3">
        <f t="shared" si="0"/>
        <v>36544.2</v>
      </c>
      <c r="K35">
        <f>51*4.33</f>
        <v>220.83</v>
      </c>
      <c r="M35" s="90">
        <f t="shared" si="1"/>
        <v>145968.63</v>
      </c>
      <c r="N35" s="1">
        <f>K35*'Disposal Increase'!$D$40</f>
        <v>1.304210337014651</v>
      </c>
      <c r="P35" s="3">
        <f t="shared" si="2"/>
        <v>56.67421033701465</v>
      </c>
      <c r="R35" s="6">
        <f aca="true" t="shared" si="4" ref="R35:R43">P35</f>
        <v>56.67421033701465</v>
      </c>
      <c r="T35" s="6">
        <f t="shared" si="3"/>
        <v>37404.97882242967</v>
      </c>
    </row>
    <row r="36" spans="1:20" ht="12.75">
      <c r="A36" t="s">
        <v>89</v>
      </c>
      <c r="C36">
        <v>5508</v>
      </c>
      <c r="E36" s="1">
        <f aca="true" t="shared" si="5" ref="E36:E43">C36</f>
        <v>5508</v>
      </c>
      <c r="G36" s="6">
        <v>17.65</v>
      </c>
      <c r="H36" s="3"/>
      <c r="I36" s="3">
        <f t="shared" si="0"/>
        <v>97216.2</v>
      </c>
      <c r="K36">
        <v>73.78</v>
      </c>
      <c r="M36" s="90">
        <f t="shared" si="1"/>
        <v>406380.24</v>
      </c>
      <c r="N36" s="1">
        <f>K36*'Disposal Increase'!$D$40</f>
        <v>0.4357407900418464</v>
      </c>
      <c r="P36" s="3">
        <f t="shared" si="2"/>
        <v>18.085740790041847</v>
      </c>
      <c r="R36" s="6">
        <f t="shared" si="4"/>
        <v>18.085740790041847</v>
      </c>
      <c r="T36" s="6">
        <f t="shared" si="3"/>
        <v>99616.26027155049</v>
      </c>
    </row>
    <row r="37" spans="1:20" ht="12.75">
      <c r="A37" t="s">
        <v>88</v>
      </c>
      <c r="C37">
        <v>1650</v>
      </c>
      <c r="E37" s="1">
        <f t="shared" si="5"/>
        <v>1650</v>
      </c>
      <c r="G37" s="6">
        <v>31.29</v>
      </c>
      <c r="H37" s="3"/>
      <c r="I37" s="3">
        <f t="shared" si="0"/>
        <v>51628.5</v>
      </c>
      <c r="K37">
        <v>110.67</v>
      </c>
      <c r="M37" s="90">
        <f t="shared" si="1"/>
        <v>182605.5</v>
      </c>
      <c r="N37" s="1">
        <f>K37*'Disposal Increase'!$D$40</f>
        <v>0.6536111850627696</v>
      </c>
      <c r="P37" s="3">
        <f t="shared" si="2"/>
        <v>31.943611185062768</v>
      </c>
      <c r="R37" s="6">
        <f t="shared" si="4"/>
        <v>31.943611185062768</v>
      </c>
      <c r="T37" s="6">
        <f t="shared" si="3"/>
        <v>52706.95845535357</v>
      </c>
    </row>
    <row r="38" spans="1:20" ht="12.75">
      <c r="A38" t="s">
        <v>71</v>
      </c>
      <c r="C38">
        <v>2080</v>
      </c>
      <c r="E38" s="1">
        <v>2079</v>
      </c>
      <c r="G38" s="6">
        <v>8.62</v>
      </c>
      <c r="H38" s="3"/>
      <c r="I38" s="3">
        <f t="shared" si="0"/>
        <v>17920.98</v>
      </c>
      <c r="K38">
        <v>34</v>
      </c>
      <c r="M38" s="90">
        <f t="shared" si="1"/>
        <v>70720</v>
      </c>
      <c r="N38" s="1">
        <f>K38*'Disposal Increase'!$D$40</f>
        <v>0.20080220739255594</v>
      </c>
      <c r="P38" s="3">
        <f t="shared" si="2"/>
        <v>8.820802207392555</v>
      </c>
      <c r="R38" s="6">
        <f t="shared" si="4"/>
        <v>8.820802207392555</v>
      </c>
      <c r="T38" s="6">
        <f t="shared" si="3"/>
        <v>18338.44778916912</v>
      </c>
    </row>
    <row r="39" spans="1:20" ht="12.75">
      <c r="A39" t="s">
        <v>70</v>
      </c>
      <c r="C39">
        <v>0</v>
      </c>
      <c r="E39" s="1">
        <f t="shared" si="5"/>
        <v>0</v>
      </c>
      <c r="G39" s="6">
        <v>25.23</v>
      </c>
      <c r="H39" s="3"/>
      <c r="I39" s="3">
        <f t="shared" si="0"/>
        <v>0</v>
      </c>
      <c r="K39">
        <f>20*4.33</f>
        <v>86.6</v>
      </c>
      <c r="M39" s="90">
        <f t="shared" si="1"/>
        <v>0</v>
      </c>
      <c r="N39" s="1">
        <f>K39*'Disposal Increase'!$D$40</f>
        <v>0.5114550341233924</v>
      </c>
      <c r="P39" s="3">
        <f t="shared" si="2"/>
        <v>25.741455034123394</v>
      </c>
      <c r="R39" s="6">
        <f t="shared" si="4"/>
        <v>25.741455034123394</v>
      </c>
      <c r="T39" s="6">
        <f t="shared" si="3"/>
        <v>0</v>
      </c>
    </row>
    <row r="40" spans="1:20" ht="12.75">
      <c r="A40" t="s">
        <v>69</v>
      </c>
      <c r="C40">
        <v>0</v>
      </c>
      <c r="E40" s="1">
        <f t="shared" si="5"/>
        <v>0</v>
      </c>
      <c r="G40" s="6">
        <v>7.82</v>
      </c>
      <c r="H40" s="3"/>
      <c r="I40" s="3">
        <f t="shared" si="0"/>
        <v>0</v>
      </c>
      <c r="K40">
        <v>20</v>
      </c>
      <c r="M40" s="90">
        <f t="shared" si="1"/>
        <v>0</v>
      </c>
      <c r="N40" s="1">
        <f>K40*'Disposal Increase'!$D$40</f>
        <v>0.11811894552503291</v>
      </c>
      <c r="P40" s="3">
        <f t="shared" si="2"/>
        <v>7.938118945525034</v>
      </c>
      <c r="R40" s="6">
        <f t="shared" si="4"/>
        <v>7.938118945525034</v>
      </c>
      <c r="T40" s="6">
        <f t="shared" si="3"/>
        <v>0</v>
      </c>
    </row>
    <row r="41" spans="1:20" ht="12.75">
      <c r="A41" t="s">
        <v>87</v>
      </c>
      <c r="C41">
        <v>127</v>
      </c>
      <c r="E41" s="1">
        <f t="shared" si="5"/>
        <v>127</v>
      </c>
      <c r="G41" s="6">
        <v>9.22</v>
      </c>
      <c r="H41" s="3"/>
      <c r="I41" s="3">
        <f t="shared" si="0"/>
        <v>1170.94</v>
      </c>
      <c r="K41">
        <v>34</v>
      </c>
      <c r="M41" s="90">
        <f t="shared" si="1"/>
        <v>4318</v>
      </c>
      <c r="N41" s="1">
        <f>K41*'Disposal Increase'!$D$40</f>
        <v>0.20080220739255594</v>
      </c>
      <c r="P41" s="3">
        <f t="shared" si="2"/>
        <v>9.420802207392557</v>
      </c>
      <c r="R41" s="6">
        <f t="shared" si="4"/>
        <v>9.420802207392557</v>
      </c>
      <c r="T41" s="6">
        <f t="shared" si="3"/>
        <v>1196.4418803388546</v>
      </c>
    </row>
    <row r="42" spans="1:20" ht="12.75">
      <c r="A42" t="s">
        <v>63</v>
      </c>
      <c r="C42">
        <v>1038</v>
      </c>
      <c r="E42" s="1">
        <f t="shared" si="5"/>
        <v>1038</v>
      </c>
      <c r="G42" s="6">
        <v>9.62</v>
      </c>
      <c r="H42" s="3"/>
      <c r="I42" s="3">
        <f t="shared" si="0"/>
        <v>9985.56</v>
      </c>
      <c r="K42">
        <v>34</v>
      </c>
      <c r="M42" s="90">
        <f t="shared" si="1"/>
        <v>35292</v>
      </c>
      <c r="N42" s="1">
        <f>K42*'Disposal Increase'!$D$40</f>
        <v>0.20080220739255594</v>
      </c>
      <c r="P42" s="3">
        <f t="shared" si="2"/>
        <v>9.820802207392555</v>
      </c>
      <c r="R42" s="6">
        <f t="shared" si="4"/>
        <v>9.820802207392555</v>
      </c>
      <c r="T42" s="6">
        <f t="shared" si="3"/>
        <v>10193.992691273472</v>
      </c>
    </row>
    <row r="43" spans="1:20" ht="12.75">
      <c r="A43" t="s">
        <v>2</v>
      </c>
      <c r="C43">
        <v>3770</v>
      </c>
      <c r="E43" s="1">
        <f t="shared" si="5"/>
        <v>3770</v>
      </c>
      <c r="G43" s="6">
        <v>8.42</v>
      </c>
      <c r="H43" s="3"/>
      <c r="I43" s="3">
        <f t="shared" si="0"/>
        <v>31743.4</v>
      </c>
      <c r="K43">
        <v>34</v>
      </c>
      <c r="M43" s="90">
        <f t="shared" si="1"/>
        <v>128180</v>
      </c>
      <c r="N43" s="1">
        <f>K43*'Disposal Increase'!$D$40</f>
        <v>0.20080220739255594</v>
      </c>
      <c r="P43" s="3">
        <f t="shared" si="2"/>
        <v>8.620802207392556</v>
      </c>
      <c r="R43" s="6">
        <f t="shared" si="4"/>
        <v>8.620802207392556</v>
      </c>
      <c r="T43" s="6">
        <f t="shared" si="3"/>
        <v>32500.424321869934</v>
      </c>
    </row>
    <row r="44" spans="5:20" ht="12.75">
      <c r="E44" s="3"/>
      <c r="F44" s="3"/>
      <c r="G44" s="3"/>
      <c r="M44" s="90"/>
      <c r="Q44" t="s">
        <v>86</v>
      </c>
      <c r="T44" s="6"/>
    </row>
    <row r="45" spans="3:20" ht="12.75">
      <c r="C45" s="19">
        <f>SUM(C34:C40)</f>
        <v>13907</v>
      </c>
      <c r="D45" s="19"/>
      <c r="G45" s="3" t="s">
        <v>85</v>
      </c>
      <c r="H45" s="3"/>
      <c r="I45" s="3">
        <f>SUM(B11:O11)</f>
        <v>0</v>
      </c>
      <c r="M45" s="90"/>
      <c r="T45" s="6">
        <f>I45</f>
        <v>0</v>
      </c>
    </row>
    <row r="46" spans="1:20" ht="12.75">
      <c r="A46" s="19" t="s">
        <v>84</v>
      </c>
      <c r="C46" s="19">
        <f>C41+C42</f>
        <v>1165</v>
      </c>
      <c r="D46" s="19"/>
      <c r="G46" t="s">
        <v>83</v>
      </c>
      <c r="I46" s="3">
        <f>SUM(B13:O13)</f>
        <v>913.28</v>
      </c>
      <c r="M46" s="90"/>
      <c r="T46" s="6">
        <f>I46</f>
        <v>913.28</v>
      </c>
    </row>
    <row r="47" spans="3:20" ht="12.75">
      <c r="C47" s="19"/>
      <c r="D47" s="19"/>
      <c r="G47" t="s">
        <v>82</v>
      </c>
      <c r="I47" s="3">
        <f>C20</f>
        <v>2322.58</v>
      </c>
      <c r="M47" s="90"/>
      <c r="T47" s="6">
        <f>I47</f>
        <v>2322.58</v>
      </c>
    </row>
    <row r="48" spans="1:20" ht="12.75">
      <c r="A48" s="19" t="s">
        <v>81</v>
      </c>
      <c r="C48" s="78">
        <f>C45+C46</f>
        <v>15072</v>
      </c>
      <c r="D48" s="19"/>
      <c r="G48" t="s">
        <v>80</v>
      </c>
      <c r="I48" s="3">
        <f>C21</f>
        <v>-25.71</v>
      </c>
      <c r="M48" s="90"/>
      <c r="T48" s="6">
        <f>I48</f>
        <v>-25.71</v>
      </c>
    </row>
    <row r="49" spans="3:13" ht="12.75">
      <c r="C49" s="19" t="s">
        <v>79</v>
      </c>
      <c r="D49" s="78">
        <f>C48/12</f>
        <v>1256</v>
      </c>
      <c r="M49" s="90"/>
    </row>
    <row r="50" spans="4:20" ht="12.75">
      <c r="D50" s="58" t="s">
        <v>111</v>
      </c>
      <c r="I50" s="3">
        <f>SUM(I34:I48)</f>
        <v>386996.67000000004</v>
      </c>
      <c r="M50" s="90">
        <f>SUM(M34:M49)</f>
        <v>1563522.13</v>
      </c>
      <c r="T50" s="3">
        <f>SUM(T34:T48)</f>
        <v>396219.6800433502</v>
      </c>
    </row>
    <row r="52" spans="11:20" ht="12.75">
      <c r="K52" t="s">
        <v>56</v>
      </c>
      <c r="M52">
        <f>'Disposal Increase'!D40</f>
        <v>0.005905947276251646</v>
      </c>
      <c r="R52" t="s">
        <v>78</v>
      </c>
      <c r="T52" s="3">
        <f>T50-I50</f>
        <v>9223.010043350165</v>
      </c>
    </row>
    <row r="53" ht="12.75">
      <c r="S53" s="3" t="s">
        <v>3</v>
      </c>
    </row>
  </sheetData>
  <sheetProtection/>
  <printOptions/>
  <pageMargins left="0.26" right="0.42" top="1" bottom="1" header="0.5" footer="0.5"/>
  <pageSetup fitToHeight="1" fitToWidth="1" horizontalDpi="600" verticalDpi="600" orientation="landscape" paperSize="13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5">
      <selection activeCell="D39" sqref="D39"/>
    </sheetView>
  </sheetViews>
  <sheetFormatPr defaultColWidth="9.140625" defaultRowHeight="12.75"/>
  <cols>
    <col min="3" max="3" width="12.7109375" style="7" customWidth="1"/>
  </cols>
  <sheetData>
    <row r="1" ht="12.75">
      <c r="A1" t="s">
        <v>0</v>
      </c>
    </row>
    <row r="3" spans="1:3" ht="12.75">
      <c r="A3" t="s">
        <v>1</v>
      </c>
      <c r="C3" s="8">
        <v>2154.6</v>
      </c>
    </row>
    <row r="4" ht="12.75">
      <c r="A4" t="s">
        <v>3</v>
      </c>
    </row>
    <row r="5" spans="1:3" ht="12.75">
      <c r="A5" t="s">
        <v>2</v>
      </c>
      <c r="C5" s="8">
        <v>1069.32</v>
      </c>
    </row>
    <row r="7" spans="1:3" ht="12.75">
      <c r="A7" t="s">
        <v>4</v>
      </c>
      <c r="C7" s="8">
        <v>19997.82</v>
      </c>
    </row>
    <row r="9" spans="1:3" ht="12.75">
      <c r="A9" t="s">
        <v>5</v>
      </c>
      <c r="C9" s="8">
        <v>4915.89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13039.49</v>
      </c>
    </row>
    <row r="15" spans="1:3" ht="12.75">
      <c r="A15" t="s">
        <v>7</v>
      </c>
      <c r="C15" s="8">
        <v>2552.44</v>
      </c>
    </row>
    <row r="16" ht="12.75">
      <c r="C16" s="10"/>
    </row>
    <row r="17" spans="1:3" ht="12.75">
      <c r="A17" t="s">
        <v>28</v>
      </c>
      <c r="C17" s="8">
        <v>1160.46</v>
      </c>
    </row>
    <row r="19" spans="1:3" ht="12.75">
      <c r="A19" t="s">
        <v>8</v>
      </c>
      <c r="C19" s="8">
        <v>74348.2</v>
      </c>
    </row>
    <row r="21" spans="1:3" ht="12.75">
      <c r="A21" t="s">
        <v>9</v>
      </c>
      <c r="C21" s="8">
        <v>20483.54</v>
      </c>
    </row>
    <row r="23" spans="1:3" ht="12.75">
      <c r="A23" t="s">
        <v>33</v>
      </c>
      <c r="C23" s="8">
        <v>434.28</v>
      </c>
    </row>
    <row r="24" ht="12.75">
      <c r="C24" s="85"/>
    </row>
    <row r="25" spans="1:3" ht="12.75">
      <c r="A25" t="s">
        <v>28</v>
      </c>
      <c r="C25" s="94"/>
    </row>
    <row r="27" spans="1:3" ht="12.75">
      <c r="A27" t="s">
        <v>10</v>
      </c>
      <c r="C27" s="8">
        <v>8970.88</v>
      </c>
    </row>
    <row r="29" spans="1:3" ht="12.75">
      <c r="A29" t="s">
        <v>11</v>
      </c>
      <c r="C29" s="8">
        <v>2523.06</v>
      </c>
    </row>
    <row r="31" spans="1:3" ht="12.75">
      <c r="A31" t="s">
        <v>12</v>
      </c>
      <c r="C31" s="8">
        <v>275</v>
      </c>
    </row>
    <row r="33" spans="1:3" ht="12.75">
      <c r="A33" t="s">
        <v>13</v>
      </c>
      <c r="C33" s="8">
        <v>509.02</v>
      </c>
    </row>
    <row r="35" spans="1:3" ht="12.75">
      <c r="A35" t="s">
        <v>14</v>
      </c>
      <c r="C35" s="8">
        <v>10941</v>
      </c>
    </row>
    <row r="37" spans="1:3" ht="12.75">
      <c r="A37" t="s">
        <v>15</v>
      </c>
      <c r="C37" s="9">
        <v>13218.3</v>
      </c>
    </row>
    <row r="39" spans="1:3" ht="12.75">
      <c r="A39" t="s">
        <v>16</v>
      </c>
      <c r="C39" s="9">
        <v>1512.66</v>
      </c>
    </row>
    <row r="41" spans="1:4" ht="12.75">
      <c r="A41" t="s">
        <v>17</v>
      </c>
      <c r="C41" s="7">
        <f>SUM(C3:C39)</f>
        <v>178105.96</v>
      </c>
      <c r="D41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&amp;COCTOBER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7">
      <selection activeCell="D37" sqref="D37"/>
    </sheetView>
  </sheetViews>
  <sheetFormatPr defaultColWidth="9.140625" defaultRowHeight="12.75"/>
  <cols>
    <col min="3" max="3" width="10.140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2653.56</v>
      </c>
    </row>
    <row r="4" ht="12.75">
      <c r="A4" t="s">
        <v>3</v>
      </c>
    </row>
    <row r="5" spans="1:3" ht="12.75">
      <c r="A5" t="s">
        <v>2</v>
      </c>
      <c r="C5" s="8">
        <v>1897.44</v>
      </c>
    </row>
    <row r="7" spans="1:3" ht="12.75">
      <c r="A7" t="s">
        <v>4</v>
      </c>
      <c r="C7" s="8">
        <v>18845.52</v>
      </c>
    </row>
    <row r="9" spans="1:3" ht="12.75">
      <c r="A9" t="s">
        <v>5</v>
      </c>
      <c r="C9" s="8">
        <v>5029.58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16387.87</v>
      </c>
    </row>
    <row r="15" spans="1:3" ht="12.75">
      <c r="A15" t="s">
        <v>7</v>
      </c>
      <c r="C15" s="8">
        <v>2436.42</v>
      </c>
    </row>
    <row r="16" ht="12.75">
      <c r="C16" s="10"/>
    </row>
    <row r="17" spans="1:3" ht="12.75">
      <c r="A17" t="s">
        <v>28</v>
      </c>
      <c r="C17" s="8">
        <v>1884.28</v>
      </c>
    </row>
    <row r="19" spans="1:3" ht="12.75">
      <c r="A19" t="s">
        <v>8</v>
      </c>
      <c r="C19" s="8">
        <v>81616.32</v>
      </c>
    </row>
    <row r="21" spans="1:3" ht="12.75">
      <c r="A21" t="s">
        <v>9</v>
      </c>
      <c r="C21" s="8">
        <v>18225.81</v>
      </c>
    </row>
    <row r="23" spans="1:3" ht="12.75">
      <c r="A23" t="s">
        <v>33</v>
      </c>
      <c r="C23" s="8">
        <v>940.94</v>
      </c>
    </row>
    <row r="25" spans="1:3" ht="12.75">
      <c r="A25" t="s">
        <v>10</v>
      </c>
      <c r="C25" s="8">
        <v>19203.29</v>
      </c>
    </row>
    <row r="27" spans="1:3" ht="12.75">
      <c r="A27" t="s">
        <v>11</v>
      </c>
      <c r="C27" s="8">
        <v>3644.42</v>
      </c>
    </row>
    <row r="29" spans="1:3" ht="12.75">
      <c r="A29" t="s">
        <v>12</v>
      </c>
      <c r="C29" s="8">
        <v>460</v>
      </c>
    </row>
    <row r="31" spans="1:3" ht="12.75">
      <c r="A31" t="s">
        <v>13</v>
      </c>
      <c r="C31" s="8">
        <v>666.82</v>
      </c>
    </row>
    <row r="33" spans="1:3" ht="12.75">
      <c r="A33" t="s">
        <v>14</v>
      </c>
      <c r="C33" s="8">
        <v>8820</v>
      </c>
    </row>
    <row r="35" spans="1:3" ht="12.75">
      <c r="A35" t="s">
        <v>15</v>
      </c>
      <c r="C35" s="9">
        <v>13275.49</v>
      </c>
    </row>
    <row r="37" spans="1:3" ht="12.75">
      <c r="A37" t="s">
        <v>16</v>
      </c>
      <c r="C37" s="9">
        <v>1295.51</v>
      </c>
    </row>
    <row r="39" spans="1:4" ht="12.75">
      <c r="A39" t="s">
        <v>17</v>
      </c>
      <c r="C39" s="7">
        <f>SUM(C3:C37)</f>
        <v>197283.27000000005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&amp;CNOVEMBER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D37" sqref="D37"/>
    </sheetView>
  </sheetViews>
  <sheetFormatPr defaultColWidth="9.140625" defaultRowHeight="12.75"/>
  <cols>
    <col min="3" max="3" width="11.003906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2600.64</v>
      </c>
    </row>
    <row r="4" ht="12.75">
      <c r="A4" t="s">
        <v>3</v>
      </c>
    </row>
    <row r="5" spans="1:3" ht="12.75">
      <c r="A5" t="s">
        <v>2</v>
      </c>
      <c r="C5" s="8">
        <v>1899.66</v>
      </c>
    </row>
    <row r="7" spans="1:3" ht="12.75">
      <c r="A7" t="s">
        <v>4</v>
      </c>
      <c r="C7" s="8">
        <v>19040.07</v>
      </c>
    </row>
    <row r="9" spans="1:3" ht="12.75">
      <c r="A9" t="s">
        <v>5</v>
      </c>
      <c r="C9" s="8">
        <v>4874.58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16917.39</v>
      </c>
    </row>
    <row r="15" spans="1:3" ht="12.75">
      <c r="A15" t="s">
        <v>7</v>
      </c>
      <c r="C15" s="8">
        <v>2373.23</v>
      </c>
    </row>
    <row r="16" ht="12.75">
      <c r="C16" s="10"/>
    </row>
    <row r="17" spans="1:3" ht="12.75">
      <c r="A17" t="s">
        <v>28</v>
      </c>
      <c r="C17" s="8">
        <v>1108.4</v>
      </c>
    </row>
    <row r="19" spans="1:3" ht="12.75">
      <c r="A19" t="s">
        <v>8</v>
      </c>
      <c r="C19" s="8">
        <v>74230.31</v>
      </c>
    </row>
    <row r="21" spans="1:3" ht="12.75">
      <c r="A21" t="s">
        <v>9</v>
      </c>
      <c r="C21" s="8">
        <v>18832.75</v>
      </c>
    </row>
    <row r="23" spans="1:3" ht="12.75">
      <c r="A23" t="s">
        <v>33</v>
      </c>
      <c r="C23" s="8">
        <v>1519.98</v>
      </c>
    </row>
    <row r="25" spans="1:3" ht="12.75">
      <c r="A25" t="s">
        <v>10</v>
      </c>
      <c r="C25" s="8">
        <v>25230.6</v>
      </c>
    </row>
    <row r="27" spans="1:3" ht="12.75">
      <c r="A27" t="s">
        <v>11</v>
      </c>
      <c r="C27" s="8">
        <v>2382.89</v>
      </c>
    </row>
    <row r="29" spans="1:3" ht="12.75">
      <c r="A29" t="s">
        <v>12</v>
      </c>
      <c r="C29" s="8">
        <v>412.5</v>
      </c>
    </row>
    <row r="31" spans="1:3" ht="12.75">
      <c r="A31" t="s">
        <v>13</v>
      </c>
      <c r="C31" s="8">
        <v>755.02</v>
      </c>
    </row>
    <row r="33" spans="1:3" ht="12.75">
      <c r="A33" t="s">
        <v>14</v>
      </c>
      <c r="C33" s="8">
        <v>12558</v>
      </c>
    </row>
    <row r="35" spans="1:3" ht="12.75">
      <c r="A35" t="s">
        <v>15</v>
      </c>
      <c r="C35" s="9">
        <v>13764.69</v>
      </c>
    </row>
    <row r="37" spans="1:3" ht="12.75">
      <c r="A37" t="s">
        <v>16</v>
      </c>
      <c r="C37" s="9">
        <v>1834.94</v>
      </c>
    </row>
    <row r="39" spans="1:4" ht="12.75">
      <c r="A39" t="s">
        <v>17</v>
      </c>
      <c r="C39" s="7">
        <f>SUM(C3:C37)</f>
        <v>200335.65000000002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&amp;CDECEMBER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38" sqref="C38"/>
    </sheetView>
  </sheetViews>
  <sheetFormatPr defaultColWidth="9.140625" defaultRowHeight="12.75"/>
  <cols>
    <col min="3" max="3" width="11.140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1995.84</v>
      </c>
    </row>
    <row r="4" ht="12.75">
      <c r="A4" t="s">
        <v>3</v>
      </c>
    </row>
    <row r="5" spans="1:3" ht="12.75">
      <c r="A5" t="s">
        <v>2</v>
      </c>
      <c r="C5" s="8">
        <v>1323</v>
      </c>
    </row>
    <row r="7" spans="1:3" ht="12.75">
      <c r="A7" t="s">
        <v>4</v>
      </c>
      <c r="C7" s="8">
        <v>18810.21</v>
      </c>
    </row>
    <row r="9" spans="1:3" ht="12.75">
      <c r="A9" t="s">
        <v>5</v>
      </c>
      <c r="C9" s="8">
        <v>4915.89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13914.41</v>
      </c>
    </row>
    <row r="15" spans="1:3" ht="12.75">
      <c r="A15" t="s">
        <v>7</v>
      </c>
      <c r="C15" s="8">
        <v>2378.41</v>
      </c>
    </row>
    <row r="16" ht="12.75">
      <c r="C16" s="10"/>
    </row>
    <row r="17" spans="1:3" ht="12.75">
      <c r="A17" t="s">
        <v>28</v>
      </c>
      <c r="C17" s="8">
        <v>554.2</v>
      </c>
    </row>
    <row r="19" spans="1:3" ht="12.75">
      <c r="A19" t="s">
        <v>8</v>
      </c>
      <c r="C19" s="8">
        <v>64153.88</v>
      </c>
    </row>
    <row r="21" spans="1:3" ht="12.75">
      <c r="A21" t="s">
        <v>9</v>
      </c>
      <c r="C21" s="8">
        <v>18456.9</v>
      </c>
    </row>
    <row r="23" spans="1:3" ht="12.75">
      <c r="A23" t="s">
        <v>33</v>
      </c>
      <c r="C23" s="8">
        <v>723.8</v>
      </c>
    </row>
    <row r="25" spans="1:3" ht="12.75">
      <c r="A25" t="s">
        <v>10</v>
      </c>
      <c r="C25" s="8">
        <v>14858.02</v>
      </c>
    </row>
    <row r="27" spans="1:3" ht="12.75">
      <c r="A27" t="s">
        <v>11</v>
      </c>
      <c r="C27" s="8">
        <v>3223.91</v>
      </c>
    </row>
    <row r="29" spans="1:3" ht="12.75">
      <c r="A29" t="s">
        <v>12</v>
      </c>
      <c r="C29" s="8">
        <v>300</v>
      </c>
    </row>
    <row r="31" spans="1:3" ht="12.75">
      <c r="A31" t="s">
        <v>13</v>
      </c>
      <c r="C31" s="8">
        <v>707.6</v>
      </c>
    </row>
    <row r="33" spans="1:3" ht="12.75">
      <c r="A33" t="s">
        <v>14</v>
      </c>
      <c r="C33" s="8">
        <v>11886</v>
      </c>
    </row>
    <row r="35" spans="1:3" ht="12.75">
      <c r="A35" t="s">
        <v>15</v>
      </c>
      <c r="C35" s="9">
        <v>13381.24</v>
      </c>
    </row>
    <row r="37" spans="1:3" ht="12.75">
      <c r="A37" t="s">
        <v>16</v>
      </c>
      <c r="C37" s="9">
        <v>1497.8</v>
      </c>
    </row>
    <row r="39" spans="1:4" ht="12.75">
      <c r="A39" t="s">
        <v>17</v>
      </c>
      <c r="C39" s="7">
        <f>SUM(C3:C38)</f>
        <v>173081.11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&amp;CJANUARY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="110" zoomScaleNormal="110" zoomScalePageLayoutView="0" workbookViewId="0" topLeftCell="A16">
      <selection activeCell="C37" sqref="C37"/>
    </sheetView>
  </sheetViews>
  <sheetFormatPr defaultColWidth="9.140625" defaultRowHeight="12.75"/>
  <cols>
    <col min="3" max="3" width="11.85156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1844.64</v>
      </c>
    </row>
    <row r="4" ht="12.75">
      <c r="A4" t="s">
        <v>3</v>
      </c>
    </row>
    <row r="5" spans="1:3" ht="12.75">
      <c r="A5" t="s">
        <v>2</v>
      </c>
      <c r="C5" s="8">
        <v>1054.02</v>
      </c>
    </row>
    <row r="7" spans="1:3" ht="12.75">
      <c r="A7" t="s">
        <v>4</v>
      </c>
      <c r="C7" s="8">
        <v>19346.55</v>
      </c>
    </row>
    <row r="9" spans="1:3" ht="12.75">
      <c r="A9" t="s">
        <v>5</v>
      </c>
      <c r="C9" s="8">
        <v>4616.48</v>
      </c>
    </row>
    <row r="10" ht="12.75">
      <c r="C10" s="10"/>
    </row>
    <row r="11" spans="1:3" ht="12.75">
      <c r="A11" t="s">
        <v>27</v>
      </c>
      <c r="C11" s="8">
        <v>41.31</v>
      </c>
    </row>
    <row r="13" spans="1:3" ht="12.75">
      <c r="A13" t="s">
        <v>6</v>
      </c>
      <c r="C13" s="86">
        <v>13772.55</v>
      </c>
    </row>
    <row r="15" spans="1:3" ht="12.75">
      <c r="A15" t="s">
        <v>7</v>
      </c>
      <c r="C15" s="8">
        <v>2262.39</v>
      </c>
    </row>
    <row r="16" ht="12.75">
      <c r="C16" s="10"/>
    </row>
    <row r="17" spans="1:3" ht="12.75">
      <c r="A17" t="s">
        <v>28</v>
      </c>
      <c r="C17" s="8">
        <v>775.88</v>
      </c>
    </row>
    <row r="19" spans="1:3" ht="12.75">
      <c r="A19" t="s">
        <v>8</v>
      </c>
      <c r="C19" s="8">
        <v>61966.13</v>
      </c>
    </row>
    <row r="21" spans="1:3" ht="12.75">
      <c r="A21" t="s">
        <v>9</v>
      </c>
      <c r="C21" s="8">
        <v>18312.14</v>
      </c>
    </row>
    <row r="23" spans="1:3" ht="12.75">
      <c r="A23" t="s">
        <v>33</v>
      </c>
      <c r="C23" s="8">
        <v>1013.32</v>
      </c>
    </row>
    <row r="25" spans="1:3" ht="12.75">
      <c r="A25" t="s">
        <v>10</v>
      </c>
      <c r="C25" s="8">
        <v>13316.15</v>
      </c>
    </row>
    <row r="27" spans="1:3" ht="12.75">
      <c r="A27" t="s">
        <v>11</v>
      </c>
      <c r="C27" s="8">
        <v>3223.91</v>
      </c>
    </row>
    <row r="29" spans="1:3" ht="12.75">
      <c r="A29" t="s">
        <v>12</v>
      </c>
      <c r="C29" s="8">
        <v>267.5</v>
      </c>
    </row>
    <row r="31" spans="1:3" ht="12.75">
      <c r="A31" t="s">
        <v>13</v>
      </c>
      <c r="C31" s="8">
        <v>804.22</v>
      </c>
    </row>
    <row r="33" spans="1:3" ht="12.75">
      <c r="A33" t="s">
        <v>14</v>
      </c>
      <c r="C33" s="8">
        <v>8568</v>
      </c>
    </row>
    <row r="35" spans="1:3" ht="12.75">
      <c r="A35" t="s">
        <v>15</v>
      </c>
      <c r="C35" s="9">
        <v>13273.83</v>
      </c>
    </row>
    <row r="37" spans="1:3" ht="12.75">
      <c r="A37" t="s">
        <v>16</v>
      </c>
      <c r="C37" s="9">
        <v>1460.16</v>
      </c>
    </row>
    <row r="39" spans="1:4" ht="12.75">
      <c r="A39" t="s">
        <v>17</v>
      </c>
      <c r="C39" s="7">
        <f>SUM(C3:C37)</f>
        <v>165919.18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&amp;CFEBRUARY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G24" sqref="G24"/>
    </sheetView>
  </sheetViews>
  <sheetFormatPr defaultColWidth="9.140625" defaultRowHeight="12.75"/>
  <cols>
    <col min="2" max="2" width="9.7109375" style="0" customWidth="1"/>
    <col min="3" max="3" width="9.8515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1837.08</v>
      </c>
    </row>
    <row r="4" ht="12.75">
      <c r="A4" t="s">
        <v>3</v>
      </c>
    </row>
    <row r="5" spans="1:3" ht="12.75">
      <c r="A5" t="s">
        <v>2</v>
      </c>
      <c r="C5" s="8">
        <v>739.68</v>
      </c>
    </row>
    <row r="7" spans="1:3" ht="12.75">
      <c r="A7" t="s">
        <v>4</v>
      </c>
      <c r="C7" s="8">
        <v>17660.91</v>
      </c>
    </row>
    <row r="9" spans="1:3" ht="12.75">
      <c r="A9" t="s">
        <v>5</v>
      </c>
      <c r="C9" s="8">
        <v>4647.55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12692.35</v>
      </c>
    </row>
    <row r="15" spans="1:3" ht="12.75">
      <c r="A15" t="s">
        <v>7</v>
      </c>
      <c r="C15" s="8">
        <v>2484.07</v>
      </c>
    </row>
    <row r="16" ht="12.75">
      <c r="C16" s="10"/>
    </row>
    <row r="17" spans="1:3" ht="12.75">
      <c r="A17" t="s">
        <v>28</v>
      </c>
      <c r="C17" s="8">
        <v>997.56</v>
      </c>
    </row>
    <row r="19" spans="1:3" ht="12.75">
      <c r="A19" t="s">
        <v>8</v>
      </c>
      <c r="C19" s="8">
        <v>55944.52</v>
      </c>
    </row>
    <row r="21" spans="1:3" ht="12.75">
      <c r="A21" t="s">
        <v>9</v>
      </c>
      <c r="C21" s="8">
        <v>15923.6</v>
      </c>
    </row>
    <row r="23" spans="1:3" ht="12.75">
      <c r="A23" t="s">
        <v>33</v>
      </c>
      <c r="C23" s="8">
        <v>1013.32</v>
      </c>
    </row>
    <row r="25" spans="1:3" ht="12.75">
      <c r="A25" t="s">
        <v>10</v>
      </c>
      <c r="C25" s="8">
        <v>10372.58</v>
      </c>
    </row>
    <row r="27" spans="1:3" ht="12.75">
      <c r="A27" t="s">
        <v>11</v>
      </c>
      <c r="C27" s="8">
        <v>4345.27</v>
      </c>
    </row>
    <row r="29" spans="1:3" ht="12.75">
      <c r="A29" t="s">
        <v>12</v>
      </c>
      <c r="C29" s="8">
        <v>272.5</v>
      </c>
    </row>
    <row r="31" spans="1:3" ht="12.75">
      <c r="A31" t="s">
        <v>13</v>
      </c>
      <c r="C31" s="8">
        <v>796.08</v>
      </c>
    </row>
    <row r="33" spans="1:3" ht="12.75">
      <c r="A33" t="s">
        <v>14</v>
      </c>
      <c r="C33" s="8">
        <v>7810.28</v>
      </c>
    </row>
    <row r="35" spans="1:3" ht="12.75">
      <c r="A35" t="s">
        <v>15</v>
      </c>
      <c r="C35" s="9">
        <v>13088.6</v>
      </c>
    </row>
    <row r="37" spans="1:3" ht="12.75">
      <c r="A37" t="s">
        <v>16</v>
      </c>
      <c r="C37" s="9">
        <v>1143.16</v>
      </c>
    </row>
    <row r="39" spans="1:4" ht="12.75">
      <c r="A39" t="s">
        <v>17</v>
      </c>
      <c r="C39" s="7">
        <f>SUM(C3:C37)</f>
        <v>151769.11000000004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&amp;CMARCH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2024-06-13T22:30:21Z</cp:lastPrinted>
  <dcterms:created xsi:type="dcterms:W3CDTF">2003-03-31T18:01:39Z</dcterms:created>
  <dcterms:modified xsi:type="dcterms:W3CDTF">2024-06-14T15:40:19Z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False</vt:lpwstr>
  </property>
  <property fmtid="{D5CDD505-2E9C-101B-9397-08002B2CF9AE}" pid="5" name="IsHighlyConfidenti">
    <vt:lpwstr>False</vt:lpwstr>
  </property>
  <property fmtid="{D5CDD505-2E9C-101B-9397-08002B2CF9AE}" pid="6" name="CaseCompanyNam">
    <vt:lpwstr>San Juan Sanitation Co. </vt:lpwstr>
  </property>
  <property fmtid="{D5CDD505-2E9C-101B-9397-08002B2CF9AE}" pid="7" name="IsConfidenti">
    <vt:lpwstr>False</vt:lpwstr>
  </property>
  <property fmtid="{D5CDD505-2E9C-101B-9397-08002B2CF9AE}" pid="8" name="DocketNumb">
    <vt:lpwstr>240503</vt:lpwstr>
  </property>
  <property fmtid="{D5CDD505-2E9C-101B-9397-08002B2CF9AE}" pid="9" name="Dat">
    <vt:lpwstr>2024-06-14T00:00:00Z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2024-06-27T00:00:00Z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Pending</vt:lpwstr>
  </property>
</Properties>
</file>