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EI Annual EIA Report\Annual Emissions Calculations\"/>
    </mc:Choice>
  </mc:AlternateContent>
  <xr:revisionPtr revIDLastSave="0" documentId="13_ncr:1_{7EE83CA6-2713-4CC5-A12B-3C70BA3F07B4}" xr6:coauthVersionLast="46" xr6:coauthVersionMax="46" xr10:uidLastSave="{00000000-0000-0000-0000-000000000000}"/>
  <bookViews>
    <workbookView xWindow="8730" yWindow="3585" windowWidth="17130" windowHeight="810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4" l="1"/>
  <c r="C8" i="4"/>
  <c r="C7" i="4"/>
  <c r="C19" i="4"/>
  <c r="D19" i="4"/>
  <c r="D9" i="4"/>
  <c r="D8" i="4"/>
  <c r="D7" i="4"/>
  <c r="D6" i="4"/>
  <c r="D5" i="4"/>
  <c r="D4" i="4"/>
  <c r="U9" i="4"/>
  <c r="U8" i="4"/>
  <c r="U7" i="4"/>
  <c r="U6" i="4"/>
  <c r="U5" i="4"/>
  <c r="U4" i="4"/>
  <c r="T8" i="4"/>
  <c r="T7" i="4"/>
  <c r="T5" i="4"/>
  <c r="T6" i="4"/>
  <c r="T9" i="4"/>
  <c r="T4" i="4"/>
  <c r="U34" i="4"/>
  <c r="G24" i="1" l="1"/>
  <c r="G30" i="1"/>
  <c r="G31" i="1"/>
  <c r="G29" i="1"/>
  <c r="F6" i="8" l="1"/>
  <c r="F7" i="8"/>
  <c r="G7" i="8" s="1"/>
  <c r="F8" i="8"/>
  <c r="F9" i="8"/>
  <c r="F10" i="8"/>
  <c r="G10" i="8" s="1"/>
  <c r="F11" i="8"/>
  <c r="F12" i="8"/>
  <c r="F13" i="8"/>
  <c r="F14" i="8"/>
  <c r="F15" i="8"/>
  <c r="G15" i="8" s="1"/>
  <c r="F16" i="8"/>
  <c r="F17" i="8"/>
  <c r="F18" i="8"/>
  <c r="F19" i="8"/>
  <c r="F20" i="8"/>
  <c r="F21" i="8"/>
  <c r="F22" i="8"/>
  <c r="G22" i="8" s="1"/>
  <c r="F23" i="8"/>
  <c r="F24" i="8"/>
  <c r="F25" i="8"/>
  <c r="G25" i="8" s="1"/>
  <c r="F26" i="8"/>
  <c r="G26" i="8" s="1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G41" i="8" s="1"/>
  <c r="F42" i="8"/>
  <c r="F43" i="8"/>
  <c r="F44" i="8"/>
  <c r="G44" i="8" s="1"/>
  <c r="F45" i="8"/>
  <c r="F46" i="8"/>
  <c r="F47" i="8"/>
  <c r="G47" i="8" s="1"/>
  <c r="F48" i="8"/>
  <c r="F49" i="8"/>
  <c r="F50" i="8"/>
  <c r="F51" i="8"/>
  <c r="G51" i="8" s="1"/>
  <c r="F52" i="8"/>
  <c r="F53" i="8"/>
  <c r="F54" i="8"/>
  <c r="F55" i="8"/>
  <c r="F56" i="8"/>
  <c r="F5" i="8"/>
  <c r="F63" i="8" l="1"/>
  <c r="D21" i="1" s="1"/>
  <c r="B19" i="4"/>
  <c r="B18" i="4"/>
  <c r="B17" i="4"/>
  <c r="B16" i="4"/>
  <c r="B15" i="4"/>
  <c r="B14" i="4"/>
  <c r="B13" i="4"/>
  <c r="B12" i="4"/>
  <c r="B11" i="4"/>
  <c r="B10" i="4"/>
  <c r="B9" i="4"/>
  <c r="B8" i="4"/>
  <c r="B5" i="4" l="1"/>
  <c r="B4" i="4"/>
  <c r="C4" i="4" l="1"/>
  <c r="C5" i="4"/>
  <c r="B7" i="4"/>
  <c r="B6" i="4"/>
  <c r="D28" i="4" l="1"/>
  <c r="D29" i="4"/>
  <c r="D25" i="4"/>
  <c r="D26" i="4"/>
  <c r="C13" i="4" l="1"/>
  <c r="C14" i="4"/>
  <c r="C15" i="4"/>
  <c r="C16" i="4"/>
  <c r="C17" i="4"/>
  <c r="C18" i="4"/>
  <c r="B1" i="4" l="1"/>
  <c r="C2" i="4"/>
  <c r="B3" i="4"/>
  <c r="D22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E18" i="1" l="1"/>
  <c r="E21" i="1"/>
  <c r="G33" i="8" l="1"/>
  <c r="G24" i="8"/>
  <c r="G49" i="8"/>
  <c r="G55" i="8"/>
  <c r="G38" i="8"/>
  <c r="G21" i="8"/>
  <c r="G5" i="8"/>
  <c r="G12" i="8"/>
  <c r="G54" i="8"/>
  <c r="G37" i="8"/>
  <c r="G17" i="8"/>
  <c r="G56" i="8"/>
  <c r="G39" i="8"/>
  <c r="G50" i="8"/>
  <c r="C6" i="4" l="1"/>
  <c r="D41" i="4"/>
  <c r="C41" i="4" s="1"/>
  <c r="F3" i="8" s="1"/>
  <c r="G6" i="8" l="1"/>
  <c r="G34" i="8"/>
  <c r="G14" i="8"/>
  <c r="G29" i="8"/>
  <c r="G31" i="8"/>
  <c r="G8" i="8"/>
  <c r="G53" i="8"/>
  <c r="G23" i="8"/>
  <c r="G46" i="8"/>
  <c r="G42" i="8"/>
  <c r="G52" i="8"/>
  <c r="G28" i="8"/>
  <c r="G43" i="8"/>
  <c r="G19" i="8"/>
  <c r="G35" i="8"/>
  <c r="G36" i="8"/>
  <c r="G13" i="8"/>
  <c r="G18" i="8"/>
  <c r="G16" i="8"/>
  <c r="G20" i="8"/>
  <c r="G32" i="8"/>
  <c r="G9" i="8"/>
  <c r="G27" i="8"/>
  <c r="G11" i="8"/>
  <c r="G48" i="8"/>
  <c r="G30" i="8"/>
  <c r="G45" i="8"/>
  <c r="G40" i="8"/>
  <c r="F18" i="1"/>
  <c r="G63" i="8" l="1"/>
  <c r="F21" i="1" s="1"/>
  <c r="F22" i="1" s="1"/>
  <c r="G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93E2C937-E88B-4CBB-BF64-73A8FC5778F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 for CH4 and N2O combined and recorded on Rathdrum Unit 1</t>
        </r>
      </text>
    </comment>
    <comment ref="T7" authorId="0" shapeId="0" xr:uid="{72BBED01-1669-4A11-8367-DD46934D0D0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
</t>
        </r>
      </text>
    </comment>
    <comment ref="U7" authorId="0" shapeId="0" xr:uid="{D6363AD4-5074-4F18-A6EA-83A140DE4BC1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Adjustments for both units for CH4 and N2O added to Colstrip Unit 3</t>
        </r>
      </text>
    </comment>
    <comment ref="I8" authorId="1" shapeId="0" xr:uid="{1BBCA2CD-3DD4-4EC9-8C0F-8F5EA9DEC4E8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From Page 410 of FERC Form 1</t>
        </r>
      </text>
    </comment>
    <comment ref="T8" authorId="0" shapeId="0" xr:uid="{EFAAE530-6C4C-4FC4-B633-D466CADC9F5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Avista's 15% ownership share</t>
        </r>
      </text>
    </comment>
    <comment ref="I9" authorId="1" shapeId="0" xr:uid="{BD082B54-9310-4B6E-8556-A7CD176C0F76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<sst xmlns="http://schemas.openxmlformats.org/spreadsheetml/2006/main" count="509" uniqueCount="260">
  <si>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</si>
  <si>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</si>
  <si>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</si>
  <si>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</si>
  <si>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</si>
  <si>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</si>
  <si>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</si>
  <si>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</si>
  <si>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</si>
  <si>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</si>
  <si>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</si>
  <si>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</si>
  <si>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</si>
  <si>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</si>
  <si>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</si>
  <si>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</si>
  <si>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</si>
  <si>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</si>
  <si>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</si>
  <si>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</si>
  <si>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</si>
  <si>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</si>
  <si>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</si>
  <si>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</si>
  <si>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</si>
  <si>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</si>
  <si>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</si>
  <si>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</si>
  <si>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</si>
  <si>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</si>
  <si>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</si>
  <si>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</si>
  <si>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</si>
  <si>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</si>
  <si>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</si>
  <si>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</si>
  <si>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</si>
  <si>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</si>
  <si>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</si>
  <si>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</si>
  <si>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</si>
  <si>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</si>
  <si>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</si>
  <si>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</si>
  <si>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</si>
  <si>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</si>
  <si>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</si>
  <si>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</si>
  <si>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</si>
  <si>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</si>
  <si>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</si>
  <si>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</si>
  <si>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</si>
  <si>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</si>
  <si>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</si>
  <si>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</si>
  <si>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</si>
  <si>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</si>
  <si>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</si>
  <si>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</si>
  <si>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</si>
  <si>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</si>
  <si>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</si>
  <si>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</si>
  <si>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</si>
  <si>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</si>
  <si>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</si>
  <si>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</si>
  <si>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</si>
  <si>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</si>
  <si>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</si>
  <si>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</si>
  <si>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</si>
  <si>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</si>
  <si>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</si>
  <si>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</si>
  <si>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</si>
  <si>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</si>
  <si>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</si>
  <si>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</si>
  <si>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</si>
  <si>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</si>
  <si>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</si>
  <si>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</si>
  <si>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</si>
  <si>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</si>
  <si>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</si>
  <si>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</si>
  <si>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</si>
  <si>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</si>
  <si>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</si>
  <si>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</si>
  <si>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</si>
  <si>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</si>
  <si>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</si>
  <si>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</si>
  <si>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</si>
  <si>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</si>
  <si>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</si>
  <si>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</si>
  <si>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</si>
  <si>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</si>
  <si>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</si>
  <si>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</si>
  <si>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</si>
  <si>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</si>
  <si>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</si>
  <si>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</si>
  <si>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</si>
  <si>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</si>
  <si>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</si>
  <si>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</si>
  <si>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</si>
  <si>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</si>
  <si>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</si>
  <si>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</si>
  <si>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</si>
  <si>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</si>
  <si>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</si>
  <si>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</si>
  <si>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</si>
  <si>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</si>
  <si>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</si>
  <si>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</si>
  <si>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</si>
  <si>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</si>
  <si>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</si>
  <si>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</si>
  <si>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</si>
  <si>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</si>
  <si>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</si>
  <si>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</si>
  <si>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</si>
  <si>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</si>
  <si>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</si>
  <si>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</si>
  <si>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</si>
  <si>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</si>
  <si>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</si>
  <si>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</si>
  <si>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</si>
  <si>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</si>
  <si>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</si>
  <si>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</si>
  <si>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</si>
  <si>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</si>
  <si>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</si>
  <si>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</si>
  <si>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</si>
  <si>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</si>
  <si>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</si>
  <si>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</si>
  <si>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</si>
  <si>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</si>
  <si>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</si>
  <si>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</si>
  <si>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</si>
  <si>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</si>
  <si>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</si>
  <si>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</si>
  <si>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</si>
  <si>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</si>
  <si>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</si>
  <si>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</si>
  <si>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</si>
  <si>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</si>
  <si>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</si>
  <si>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Puget Sound Energy Inc.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</si>
  <si>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</si>
  <si>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</si>
  <si>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</si>
  <si>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</si>
  <si>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</si>
  <si>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</si>
  <si>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</si>
  <si>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</si>
  <si>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</si>
  <si>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</si>
  <si>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</si>
  <si>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</si>
  <si>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</si>
  <si>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</si>
  <si>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</si>
  <si>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</si>
  <si>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</si>
  <si>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</si>
  <si>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</si>
  <si>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</si>
  <si>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</si>
  <si>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</si>
  <si>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</si>
  <si>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</si>
  <si>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</si>
  <si>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</si>
  <si>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</si>
  <si>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</si>
  <si>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</si>
  <si>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</si>
  <si>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Energy Keepers Inc.</t>
  </si>
  <si>
    <t>Gridforce Energy Management LLC</t>
  </si>
  <si>
    <t>Idaho Cnty Light &amp; Power Coop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</si>
  <si>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</si>
  <si>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</si>
  <si>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</si>
  <si>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</si>
  <si>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</si>
  <si>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</si>
  <si>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</si>
  <si>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</si>
  <si>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>MWh</t>
  </si>
  <si>
    <t>MW</t>
  </si>
  <si>
    <t>Type</t>
  </si>
  <si>
    <t>Adams-Neilson Solar</t>
  </si>
  <si>
    <t>NaturEner Power Watch LLC</t>
  </si>
  <si>
    <t>Talen Energy Montana LLC</t>
  </si>
  <si>
    <t>The City of Cove (PURPA Hydro)</t>
  </si>
  <si>
    <t>Clark Fork Hydro (PURPA Hydro)</t>
  </si>
  <si>
    <t>Spokane County (Sewer Plant Digester)</t>
  </si>
  <si>
    <t>Enel X North America Inc.</t>
  </si>
  <si>
    <t>Snohomish Cnty Public Utility</t>
  </si>
  <si>
    <t>ConocoPhillips Alaska Inc.</t>
  </si>
  <si>
    <t>Modesto Irrigation District</t>
  </si>
  <si>
    <t>Nextera Energy Marketing LLC</t>
  </si>
  <si>
    <t>Southern California Edison Co.</t>
  </si>
  <si>
    <t>Turlock Irrigation Dist</t>
  </si>
  <si>
    <t>Known Resource Serving WA - EPA</t>
  </si>
  <si>
    <t>Known Resource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</si>
  <si>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</si>
  <si>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PUD of Douglas County (% share of Wells Dam)</t>
  </si>
  <si>
    <t>Rattlesnake Flat, LLC (Wind)</t>
  </si>
  <si>
    <t>Washington Department of Ecology Unknown Resource Default Rate =</t>
  </si>
  <si>
    <t>Metric Tons CO2e from Purchases</t>
  </si>
  <si>
    <t>N</t>
  </si>
  <si>
    <t>O</t>
  </si>
  <si>
    <t>Is direct CO2 measurement data available?</t>
  </si>
  <si>
    <t>CO2 Emissions 
metric tons</t>
  </si>
  <si>
    <t>(Y or N)</t>
  </si>
  <si>
    <t>Y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</si>
  <si>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</si>
  <si>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</si>
  <si>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</si>
  <si>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</si>
  <si>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</si>
  <si>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</si>
  <si>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</si>
  <si>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</si>
  <si>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</si>
  <si>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</si>
  <si>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</si>
  <si>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</si>
  <si>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</si>
  <si>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Mmbtu/ton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</si>
  <si>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2e</t>
    </r>
    <r>
      <rPr>
        <b/>
        <sz val="11"/>
        <color theme="1"/>
        <rFont val="Calibri"/>
        <family val="2"/>
        <scheme val="minor"/>
      </rPr>
      <t>/MWh</t>
    </r>
  </si>
  <si>
    <t>Metric</t>
  </si>
  <si>
    <t xml:space="preserve">Kettle Falls (Biomass)  </t>
  </si>
  <si>
    <t>Lancaster (Rathdrum)</t>
  </si>
  <si>
    <t>CO2 Metric Tons</t>
  </si>
  <si>
    <t>CO2e Metric Tons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</si>
  <si>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2e</t>
    </r>
    <r>
      <rPr>
        <sz val="11"/>
        <color theme="1"/>
        <rFont val="Calibri"/>
        <family val="2"/>
        <scheme val="minor"/>
      </rPr>
      <t xml:space="preserve"> per MWh</t>
    </r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</si>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</sst>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80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vertical="top" wrapText="1"/>
    </xf>
    <xf numFmtId="165" fontId="0" fillId="0" borderId="8" xfId="1" applyNumberFormat="1" applyFont="1" applyBorder="1"/>
    <xf numFmtId="176" fontId="0" fillId="2" borderId="10" xfId="1" applyNumberFormat="1" applyFont="1" applyFill="1" applyBorder="1"/>
    <xf numFmtId="176" fontId="0" fillId="12" borderId="0" xfId="0" applyNumberFormat="1" applyFill="1"/>
    <xf numFmtId="0" fontId="0" fillId="12" borderId="2" xfId="0" applyFill="1" applyBorder="1"/>
    <xf numFmtId="0" fontId="8" fillId="0" borderId="0" xfId="0" applyFont="1"/>
    <xf numFmtId="0" fontId="0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24</xdr:row>
      <xdr:rowOff>0</xdr:rowOff>
    </xdr:from>
    <xdr:to>
      <xdr:col>6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I22" sqref="I2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5</v>
      </c>
    </row>
    <row r="2" spans="1:11" ht="15.75" thickBot="1" x14ac:dyDescent="0.3"/>
    <row r="3" spans="1:11" x14ac:dyDescent="0.25">
      <c r="A3" s="54"/>
      <c r="B3" s="55" t="s">
        <v>9</v>
      </c>
      <c r="C3" s="56" t="s">
        <v>17</v>
      </c>
      <c r="D3" s="61"/>
      <c r="E3" s="59"/>
    </row>
    <row r="4" spans="1:11" x14ac:dyDescent="0.25">
      <c r="A4" s="167" t="s">
        <v>10</v>
      </c>
      <c r="B4" s="172"/>
      <c r="C4" s="32">
        <v>2020</v>
      </c>
      <c r="D4" s="64" t="s">
        <v>31</v>
      </c>
      <c r="E4" s="60"/>
    </row>
    <row r="5" spans="1:11" ht="15.75" thickBot="1" x14ac:dyDescent="0.3">
      <c r="A5" s="173" t="s">
        <v>15</v>
      </c>
      <c r="B5" s="174"/>
      <c r="C5" s="57">
        <v>565818</v>
      </c>
      <c r="D5" s="58">
        <f>+D13/C5</f>
        <v>9.5906068735883263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28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14</v>
      </c>
      <c r="G8" s="47" t="s">
        <v>32</v>
      </c>
    </row>
    <row r="9" spans="1:11" x14ac:dyDescent="0.25">
      <c r="A9" s="37"/>
      <c r="B9" s="11"/>
      <c r="C9" s="11"/>
      <c r="D9" s="13" t="s">
        <v>8</v>
      </c>
      <c r="E9" s="25" t="s">
        <v>21</v>
      </c>
      <c r="F9" s="18" t="s">
        <v>27</v>
      </c>
      <c r="G9" s="48" t="s">
        <v>14</v>
      </c>
      <c r="I9" s="155"/>
      <c r="J9" s="155"/>
      <c r="K9" s="155"/>
    </row>
    <row r="10" spans="1:11" x14ac:dyDescent="0.25">
      <c r="A10" s="167" t="s">
        <v>6</v>
      </c>
      <c r="B10" s="170"/>
      <c r="C10" s="172"/>
      <c r="D10" s="62">
        <v>2533874</v>
      </c>
      <c r="E10" s="12">
        <f>+D10/D13</f>
        <v>0.46694116948964515</v>
      </c>
      <c r="F10" s="33">
        <v>232274</v>
      </c>
      <c r="G10" s="49">
        <f>+D10/F10</f>
        <v>10.908986800072329</v>
      </c>
      <c r="I10" s="155"/>
      <c r="J10" s="155"/>
      <c r="K10" s="155"/>
    </row>
    <row r="11" spans="1:11" x14ac:dyDescent="0.25">
      <c r="A11" s="167" t="s">
        <v>11</v>
      </c>
      <c r="B11" s="170"/>
      <c r="C11" s="172"/>
      <c r="D11" s="62">
        <v>2019190</v>
      </c>
      <c r="E11" s="12">
        <f>+D11/D13</f>
        <v>0.37209543174672322</v>
      </c>
      <c r="F11" s="27">
        <v>25501</v>
      </c>
      <c r="G11" s="49">
        <f>+D11/F11</f>
        <v>79.180816438571043</v>
      </c>
    </row>
    <row r="12" spans="1:11" x14ac:dyDescent="0.25">
      <c r="A12" s="167" t="s">
        <v>12</v>
      </c>
      <c r="B12" s="170"/>
      <c r="C12" s="172"/>
      <c r="D12" s="62">
        <v>873474</v>
      </c>
      <c r="E12" s="12">
        <f>+D12/D13</f>
        <v>0.16096339876363161</v>
      </c>
      <c r="F12" s="5"/>
      <c r="G12" s="38"/>
    </row>
    <row r="13" spans="1:11" ht="15.75" thickBot="1" x14ac:dyDescent="0.3">
      <c r="A13" s="39"/>
      <c r="B13" s="175" t="s">
        <v>7</v>
      </c>
      <c r="C13" s="174"/>
      <c r="D13" s="63">
        <f>SUM(D10:D12)</f>
        <v>5426538</v>
      </c>
      <c r="E13" s="40"/>
      <c r="F13" s="41"/>
      <c r="G13" s="42"/>
      <c r="I13" s="156"/>
    </row>
    <row r="15" spans="1:11" ht="19.5" thickBot="1" x14ac:dyDescent="0.35">
      <c r="B15" s="53" t="s">
        <v>29</v>
      </c>
    </row>
    <row r="16" spans="1:11" x14ac:dyDescent="0.25">
      <c r="A16" s="34"/>
      <c r="B16" s="35"/>
      <c r="C16" s="35"/>
      <c r="D16" s="35"/>
      <c r="E16" s="36" t="s">
        <v>22</v>
      </c>
      <c r="F16" s="43" t="s">
        <v>253</v>
      </c>
      <c r="G16" s="44"/>
    </row>
    <row r="17" spans="1:9" ht="18" x14ac:dyDescent="0.35">
      <c r="A17" s="45"/>
      <c r="B17" s="5"/>
      <c r="C17" s="5"/>
      <c r="D17" s="25" t="s">
        <v>13</v>
      </c>
      <c r="E17" s="18" t="s">
        <v>23</v>
      </c>
      <c r="F17" s="14" t="s">
        <v>3</v>
      </c>
      <c r="G17" s="38"/>
    </row>
    <row r="18" spans="1:9" x14ac:dyDescent="0.25">
      <c r="A18" s="167" t="s">
        <v>25</v>
      </c>
      <c r="B18" s="168"/>
      <c r="C18" s="169"/>
      <c r="D18" s="6">
        <f>+'Known Resources'!B41*0.65</f>
        <v>7180315.751375</v>
      </c>
      <c r="E18" s="12">
        <f>+D18/(D18+D21)</f>
        <v>1.1605821297961898</v>
      </c>
      <c r="F18" s="6">
        <f>+'Known Resources'!D41*0.65</f>
        <v>1725325.0724501344</v>
      </c>
      <c r="G18" s="38"/>
      <c r="I18" s="140"/>
    </row>
    <row r="19" spans="1:9" s="148" customFormat="1" x14ac:dyDescent="0.25">
      <c r="A19" s="176" t="s">
        <v>225</v>
      </c>
      <c r="B19" s="176"/>
      <c r="C19" s="176"/>
      <c r="D19" s="6"/>
      <c r="E19" s="12"/>
      <c r="F19" s="163"/>
      <c r="G19" s="38"/>
      <c r="I19" s="140"/>
    </row>
    <row r="20" spans="1:9" s="148" customFormat="1" ht="15.75" thickBot="1" x14ac:dyDescent="0.3">
      <c r="A20" s="176" t="s">
        <v>226</v>
      </c>
      <c r="B20" s="176"/>
      <c r="C20" s="176"/>
      <c r="D20" s="6"/>
      <c r="E20" s="12"/>
      <c r="F20" s="163"/>
      <c r="G20" s="38"/>
      <c r="I20" s="140"/>
    </row>
    <row r="21" spans="1:9" ht="18" x14ac:dyDescent="0.35">
      <c r="A21" s="167" t="s">
        <v>26</v>
      </c>
      <c r="B21" s="170"/>
      <c r="C21" s="171"/>
      <c r="D21" s="50">
        <f>'Unknown Resources'!F63*0.65</f>
        <v>-993493.15</v>
      </c>
      <c r="E21" s="51">
        <f>+D21/(D18+D21)</f>
        <v>-0.16058212979618966</v>
      </c>
      <c r="F21" s="66">
        <f>+'Unknown Resources'!G63*0.65</f>
        <v>-93.196361176611788</v>
      </c>
      <c r="G21" s="68" t="s">
        <v>30</v>
      </c>
    </row>
    <row r="22" spans="1:9" ht="18.75" thickBot="1" x14ac:dyDescent="0.4">
      <c r="A22" s="39"/>
      <c r="B22" s="41"/>
      <c r="C22" s="41"/>
      <c r="D22" s="65">
        <f>+C4</f>
        <v>2020</v>
      </c>
      <c r="E22" s="46" t="s">
        <v>2</v>
      </c>
      <c r="F22" s="67">
        <f>SUM(F18:F21)</f>
        <v>1725231.8760889578</v>
      </c>
      <c r="G22" s="69">
        <f>+F22/G24</f>
        <v>1.680031217628283</v>
      </c>
    </row>
    <row r="23" spans="1:9" ht="18" x14ac:dyDescent="0.35">
      <c r="A23" t="s">
        <v>137</v>
      </c>
    </row>
    <row r="24" spans="1:9" ht="18" x14ac:dyDescent="0.35">
      <c r="F24" s="17" t="s">
        <v>259</v>
      </c>
      <c r="G24" s="27">
        <f>G29</f>
        <v>1026904.6539054703</v>
      </c>
      <c r="H24" s="24"/>
    </row>
    <row r="26" spans="1:9" x14ac:dyDescent="0.25">
      <c r="B26" s="24" t="s">
        <v>16</v>
      </c>
      <c r="F26" s="19"/>
      <c r="G26" s="19"/>
    </row>
    <row r="27" spans="1:9" x14ac:dyDescent="0.25">
      <c r="E27" s="19"/>
      <c r="F27" s="19"/>
      <c r="G27" s="22" t="s">
        <v>20</v>
      </c>
    </row>
    <row r="28" spans="1:9" ht="18" x14ac:dyDescent="0.35">
      <c r="E28" s="19"/>
      <c r="F28" s="19"/>
      <c r="G28" s="23" t="s">
        <v>227</v>
      </c>
      <c r="H28" s="160" t="s">
        <v>1</v>
      </c>
    </row>
    <row r="29" spans="1:9" x14ac:dyDescent="0.25">
      <c r="E29" s="19"/>
      <c r="F29" s="20" t="s">
        <v>17</v>
      </c>
      <c r="G29" s="21">
        <f>H29/1.1023</f>
        <v>1026904.6539054703</v>
      </c>
      <c r="H29" s="21">
        <v>1131957</v>
      </c>
    </row>
    <row r="30" spans="1:9" x14ac:dyDescent="0.25">
      <c r="E30" s="19"/>
      <c r="F30" s="20" t="s">
        <v>18</v>
      </c>
      <c r="G30" s="21">
        <f t="shared" ref="G30:G31" si="0">H30/1.1023</f>
        <v>2176429.2842238955</v>
      </c>
      <c r="H30" s="21">
        <v>2399078</v>
      </c>
    </row>
    <row r="31" spans="1:9" x14ac:dyDescent="0.25">
      <c r="E31" s="19"/>
      <c r="F31" s="20" t="s">
        <v>19</v>
      </c>
      <c r="G31" s="21">
        <f t="shared" si="0"/>
        <v>6301427.9234328223</v>
      </c>
      <c r="H31" s="21">
        <v>6946064</v>
      </c>
    </row>
  </sheetData>
  <mergeCells count="10">
    <mergeCell ref="A18:C18"/>
    <mergeCell ref="A21:C21"/>
    <mergeCell ref="A4:B4"/>
    <mergeCell ref="A5:B5"/>
    <mergeCell ref="A10:C10"/>
    <mergeCell ref="A11:C11"/>
    <mergeCell ref="A12:C12"/>
    <mergeCell ref="B13:C13"/>
    <mergeCell ref="A19:C19"/>
    <mergeCell ref="A20:C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topLeftCell="A34" workbookViewId="0">
      <selection activeCell="C19" sqref="C19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11.5703125" bestFit="1" customWidth="1"/>
  </cols>
  <sheetData>
    <row r="1" spans="1:34" ht="18.75" x14ac:dyDescent="0.3">
      <c r="A1" s="3" t="s">
        <v>4</v>
      </c>
      <c r="B1" s="31">
        <f>+Summary!C4</f>
        <v>2020</v>
      </c>
    </row>
    <row r="2" spans="1:34" ht="18.75" x14ac:dyDescent="0.3">
      <c r="A2" s="3"/>
      <c r="B2" s="7" t="s">
        <v>24</v>
      </c>
      <c r="C2" s="7">
        <f>+Summary!C4</f>
        <v>2020</v>
      </c>
      <c r="D2" s="7" t="s">
        <v>253</v>
      </c>
      <c r="F2" s="73">
        <v>2020</v>
      </c>
      <c r="G2" s="74" t="s">
        <v>210</v>
      </c>
      <c r="H2" s="73" t="s">
        <v>211</v>
      </c>
      <c r="I2" s="75" t="s">
        <v>209</v>
      </c>
    </row>
    <row r="3" spans="1:34" ht="19.5" x14ac:dyDescent="0.35">
      <c r="A3" s="4" t="s">
        <v>0</v>
      </c>
      <c r="B3" s="8">
        <f>+Summary!C4</f>
        <v>2020</v>
      </c>
      <c r="C3" s="8" t="s">
        <v>252</v>
      </c>
      <c r="D3" s="8" t="s">
        <v>3</v>
      </c>
      <c r="E3" s="2"/>
      <c r="F3" s="73" t="s">
        <v>69</v>
      </c>
      <c r="G3" s="74">
        <v>233.4</v>
      </c>
      <c r="H3" s="73" t="s">
        <v>70</v>
      </c>
      <c r="I3" s="75">
        <v>1220311</v>
      </c>
      <c r="K3" s="148" t="s">
        <v>138</v>
      </c>
      <c r="L3" s="161" t="s">
        <v>139</v>
      </c>
      <c r="M3" s="161" t="s">
        <v>140</v>
      </c>
      <c r="N3" s="161" t="s">
        <v>141</v>
      </c>
      <c r="O3" s="161" t="s">
        <v>142</v>
      </c>
      <c r="P3" s="161" t="s">
        <v>143</v>
      </c>
      <c r="Q3" s="161" t="s">
        <v>144</v>
      </c>
      <c r="R3" s="161" t="s">
        <v>169</v>
      </c>
      <c r="S3" s="161" t="s">
        <v>145</v>
      </c>
      <c r="T3" s="161" t="s">
        <v>256</v>
      </c>
      <c r="U3" s="161" t="s">
        <v>257</v>
      </c>
      <c r="V3" s="161" t="s">
        <v>146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</row>
    <row r="4" spans="1:34" x14ac:dyDescent="0.25">
      <c r="A4" s="26" t="s">
        <v>33</v>
      </c>
      <c r="B4" s="27">
        <f>0.15*(R7+R8)</f>
        <v>1329711.7574999998</v>
      </c>
      <c r="C4" s="133">
        <f t="shared" ref="C4:C9" si="0">D4/B4</f>
        <v>0.93838679111188605</v>
      </c>
      <c r="D4" s="6">
        <f>(U7+U8)</f>
        <v>1247783.9492241712</v>
      </c>
      <c r="F4" s="73" t="s">
        <v>71</v>
      </c>
      <c r="G4" s="74">
        <v>166.5</v>
      </c>
      <c r="H4" s="73" t="s">
        <v>72</v>
      </c>
      <c r="I4" s="75">
        <v>171022</v>
      </c>
      <c r="K4" s="148" t="s">
        <v>147</v>
      </c>
      <c r="L4" s="161" t="s">
        <v>148</v>
      </c>
      <c r="M4" s="161">
        <v>7456</v>
      </c>
      <c r="N4" s="161">
        <v>1</v>
      </c>
      <c r="O4" s="161"/>
      <c r="P4" s="161">
        <v>2020</v>
      </c>
      <c r="Q4" s="161" t="s">
        <v>149</v>
      </c>
      <c r="R4" s="161">
        <v>78100.149999999994</v>
      </c>
      <c r="S4" s="161">
        <v>45677.644999999997</v>
      </c>
      <c r="T4" s="155">
        <f>S4/1.1023</f>
        <v>41438.487707520631</v>
      </c>
      <c r="U4" s="140">
        <f>T4+X43</f>
        <v>41551.23108569163</v>
      </c>
      <c r="V4" s="161">
        <v>768624.00600000005</v>
      </c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1:34" x14ac:dyDescent="0.25">
      <c r="A5" s="28" t="s">
        <v>34</v>
      </c>
      <c r="B5" s="27">
        <f>R4+R5</f>
        <v>160350.06</v>
      </c>
      <c r="C5" s="133">
        <f t="shared" si="0"/>
        <v>0.5184360683914736</v>
      </c>
      <c r="D5" s="6">
        <f>U4+U5</f>
        <v>83131.25467273689</v>
      </c>
      <c r="F5" s="73" t="s">
        <v>73</v>
      </c>
      <c r="G5" s="74">
        <v>61.8</v>
      </c>
      <c r="H5" s="73" t="s">
        <v>72</v>
      </c>
      <c r="I5" s="75">
        <v>666</v>
      </c>
      <c r="K5" s="148" t="s">
        <v>147</v>
      </c>
      <c r="L5" s="161" t="s">
        <v>148</v>
      </c>
      <c r="M5" s="161">
        <v>7456</v>
      </c>
      <c r="N5" s="161">
        <v>2</v>
      </c>
      <c r="O5" s="161"/>
      <c r="P5" s="161">
        <v>2020</v>
      </c>
      <c r="Q5" s="161" t="s">
        <v>149</v>
      </c>
      <c r="R5" s="161">
        <v>82249.91</v>
      </c>
      <c r="S5" s="161">
        <v>45833.66</v>
      </c>
      <c r="T5" s="155">
        <f t="shared" ref="T5:T9" si="1">S5/1.1023</f>
        <v>41580.023587045267</v>
      </c>
      <c r="U5" s="140">
        <f>T5</f>
        <v>41580.023587045267</v>
      </c>
      <c r="V5" s="161">
        <v>771257.39899999998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4" x14ac:dyDescent="0.25">
      <c r="A6" s="28" t="s">
        <v>35</v>
      </c>
      <c r="B6" s="27">
        <f t="shared" ref="B6:B7" si="2">I5</f>
        <v>666</v>
      </c>
      <c r="C6" s="133">
        <f t="shared" si="0"/>
        <v>0.65637849385945946</v>
      </c>
      <c r="D6" s="6">
        <f>U28+X44</f>
        <v>437.14807691039999</v>
      </c>
      <c r="F6" s="73" t="s">
        <v>74</v>
      </c>
      <c r="G6" s="74">
        <v>24.6</v>
      </c>
      <c r="H6" s="73" t="s">
        <v>72</v>
      </c>
      <c r="I6" s="75">
        <v>48140</v>
      </c>
      <c r="K6" s="148" t="s">
        <v>147</v>
      </c>
      <c r="L6" s="161" t="s">
        <v>150</v>
      </c>
      <c r="M6" s="161">
        <v>55179</v>
      </c>
      <c r="N6" s="161" t="s">
        <v>151</v>
      </c>
      <c r="O6" s="161"/>
      <c r="P6" s="161">
        <v>2020</v>
      </c>
      <c r="Q6" s="161" t="s">
        <v>149</v>
      </c>
      <c r="R6" s="161">
        <v>1713057.77</v>
      </c>
      <c r="S6" s="161">
        <v>709316.60600000003</v>
      </c>
      <c r="T6" s="155">
        <f t="shared" si="1"/>
        <v>643487.80368320784</v>
      </c>
      <c r="U6" s="140">
        <f>T6+X50</f>
        <v>644138.29154134286</v>
      </c>
      <c r="V6" s="152">
        <v>11935557.032</v>
      </c>
      <c r="X6" s="148"/>
      <c r="Y6" s="148"/>
      <c r="Z6" s="148"/>
      <c r="AA6" s="148"/>
      <c r="AB6" s="148"/>
      <c r="AC6" s="148"/>
      <c r="AD6" s="148"/>
      <c r="AE6" s="148"/>
      <c r="AF6" s="148"/>
      <c r="AG6" s="152"/>
      <c r="AH6" s="148"/>
    </row>
    <row r="7" spans="1:34" x14ac:dyDescent="0.25">
      <c r="A7" s="28" t="s">
        <v>36</v>
      </c>
      <c r="B7" s="27">
        <f t="shared" si="2"/>
        <v>48140</v>
      </c>
      <c r="C7" s="133">
        <f t="shared" si="0"/>
        <v>0.48732580838632328</v>
      </c>
      <c r="D7" s="6">
        <f>U29+X45</f>
        <v>23459.864415717602</v>
      </c>
      <c r="F7" s="73" t="s">
        <v>75</v>
      </c>
      <c r="G7" s="74">
        <v>295</v>
      </c>
      <c r="H7" s="73" t="s">
        <v>72</v>
      </c>
      <c r="I7" s="75">
        <v>1767332</v>
      </c>
      <c r="K7" s="148" t="s">
        <v>152</v>
      </c>
      <c r="L7" s="161" t="s">
        <v>153</v>
      </c>
      <c r="M7" s="161">
        <v>6076</v>
      </c>
      <c r="N7" s="161">
        <v>3</v>
      </c>
      <c r="O7" s="161"/>
      <c r="P7" s="161">
        <v>2020</v>
      </c>
      <c r="Q7" s="161" t="s">
        <v>149</v>
      </c>
      <c r="R7" s="161">
        <v>5166196.0199999996</v>
      </c>
      <c r="S7" s="161">
        <v>5201830.3559999997</v>
      </c>
      <c r="T7" s="155">
        <f>(0.15*S7)/1.1023</f>
        <v>707860.43128005078</v>
      </c>
      <c r="U7" s="140">
        <f>T7+X41+X42</f>
        <v>717337.6017688507</v>
      </c>
      <c r="V7" s="152">
        <v>49603091.829000004</v>
      </c>
      <c r="X7" s="148"/>
      <c r="Y7" s="148"/>
      <c r="Z7" s="148"/>
      <c r="AA7" s="148"/>
      <c r="AB7" s="148"/>
      <c r="AC7" s="148"/>
      <c r="AD7" s="148"/>
      <c r="AE7" s="148"/>
      <c r="AF7" s="148"/>
      <c r="AG7" s="152"/>
      <c r="AH7" s="152"/>
    </row>
    <row r="8" spans="1:34" x14ac:dyDescent="0.25">
      <c r="A8" s="28" t="s">
        <v>37</v>
      </c>
      <c r="B8" s="27">
        <f>R9</f>
        <v>1793122.03</v>
      </c>
      <c r="C8" s="133">
        <f t="shared" si="0"/>
        <v>0.36510023463506203</v>
      </c>
      <c r="D8" s="6">
        <f>U9</f>
        <v>654669.27388229873</v>
      </c>
      <c r="F8" s="73" t="s">
        <v>76</v>
      </c>
      <c r="G8" s="74">
        <v>7.2</v>
      </c>
      <c r="H8" s="73" t="s">
        <v>72</v>
      </c>
      <c r="I8" s="76">
        <v>1235</v>
      </c>
      <c r="K8" s="148" t="s">
        <v>152</v>
      </c>
      <c r="L8" s="161" t="s">
        <v>153</v>
      </c>
      <c r="M8" s="161">
        <v>6076</v>
      </c>
      <c r="N8" s="161">
        <v>4</v>
      </c>
      <c r="O8" s="161"/>
      <c r="P8" s="161">
        <v>2020</v>
      </c>
      <c r="Q8" s="161" t="s">
        <v>149</v>
      </c>
      <c r="R8" s="161">
        <v>3698549.03</v>
      </c>
      <c r="S8" s="161">
        <v>3898073.392</v>
      </c>
      <c r="T8" s="155">
        <f>(0.15*S8)/1.1023</f>
        <v>530446.34745532065</v>
      </c>
      <c r="U8" s="140">
        <f>T8</f>
        <v>530446.34745532065</v>
      </c>
      <c r="V8" s="152">
        <v>37194257.553999998</v>
      </c>
      <c r="X8" s="148"/>
      <c r="Y8" s="148"/>
      <c r="Z8" s="148"/>
      <c r="AA8" s="148"/>
      <c r="AB8" s="148"/>
      <c r="AC8" s="148"/>
      <c r="AD8" s="148"/>
      <c r="AE8" s="148"/>
      <c r="AF8" s="148"/>
      <c r="AG8" s="152"/>
      <c r="AH8" s="152"/>
    </row>
    <row r="9" spans="1:34" x14ac:dyDescent="0.25">
      <c r="A9" s="28" t="s">
        <v>183</v>
      </c>
      <c r="B9" s="27">
        <f t="shared" ref="B9:B18" si="3">I8</f>
        <v>1235</v>
      </c>
      <c r="C9" s="133">
        <f t="shared" si="0"/>
        <v>0.58824574471384627</v>
      </c>
      <c r="D9" s="6">
        <f>U31+X47</f>
        <v>726.4834947216001</v>
      </c>
      <c r="F9" s="73" t="s">
        <v>77</v>
      </c>
      <c r="G9" s="77">
        <v>50.7</v>
      </c>
      <c r="H9" s="73" t="s">
        <v>78</v>
      </c>
      <c r="I9" s="75">
        <v>264851</v>
      </c>
      <c r="K9" s="148" t="s">
        <v>154</v>
      </c>
      <c r="L9" s="161" t="s">
        <v>155</v>
      </c>
      <c r="M9" s="161">
        <v>7350</v>
      </c>
      <c r="N9" s="161" t="s">
        <v>156</v>
      </c>
      <c r="O9" s="161"/>
      <c r="P9" s="161">
        <v>2020</v>
      </c>
      <c r="Q9" s="161" t="s">
        <v>149</v>
      </c>
      <c r="R9" s="161">
        <v>1793122.03</v>
      </c>
      <c r="S9" s="161">
        <v>720925.13500000001</v>
      </c>
      <c r="T9" s="155">
        <f t="shared" si="1"/>
        <v>654018.99210741173</v>
      </c>
      <c r="U9" s="140">
        <f>T9+X46</f>
        <v>654669.27388229873</v>
      </c>
      <c r="V9" s="152">
        <v>12130963.981000001</v>
      </c>
      <c r="X9" s="148"/>
      <c r="Y9" s="148"/>
      <c r="Z9" s="148"/>
      <c r="AA9" s="148"/>
      <c r="AB9" s="148"/>
      <c r="AC9" s="148"/>
      <c r="AD9" s="148"/>
      <c r="AE9" s="148"/>
      <c r="AF9" s="148"/>
      <c r="AG9" s="152"/>
      <c r="AH9" s="152"/>
    </row>
    <row r="10" spans="1:34" x14ac:dyDescent="0.25">
      <c r="A10" s="28" t="s">
        <v>254</v>
      </c>
      <c r="B10" s="27">
        <f t="shared" si="3"/>
        <v>264851</v>
      </c>
      <c r="C10" s="133">
        <v>0</v>
      </c>
      <c r="D10" s="6">
        <v>0</v>
      </c>
      <c r="F10" s="73" t="s">
        <v>79</v>
      </c>
      <c r="G10" s="74">
        <v>14.8</v>
      </c>
      <c r="H10" s="73" t="s">
        <v>80</v>
      </c>
      <c r="I10" s="75">
        <v>83100</v>
      </c>
      <c r="W10" s="154"/>
      <c r="AF10" s="152"/>
    </row>
    <row r="11" spans="1:34" x14ac:dyDescent="0.25">
      <c r="A11" s="28" t="s">
        <v>39</v>
      </c>
      <c r="B11" s="27">
        <f t="shared" si="3"/>
        <v>83100</v>
      </c>
      <c r="C11" s="133">
        <v>0</v>
      </c>
      <c r="D11" s="6">
        <v>0</v>
      </c>
      <c r="F11" s="73" t="s">
        <v>81</v>
      </c>
      <c r="G11" s="74">
        <v>14.8</v>
      </c>
      <c r="H11" s="73" t="s">
        <v>80</v>
      </c>
      <c r="I11" s="75">
        <v>77008</v>
      </c>
      <c r="L11" s="161"/>
      <c r="M11" s="161"/>
      <c r="N11" s="161"/>
      <c r="O11" s="161"/>
      <c r="P11" s="161"/>
      <c r="Q11" s="161"/>
      <c r="R11" s="161"/>
      <c r="S11" s="161"/>
      <c r="T11" s="161"/>
      <c r="W11" s="154"/>
      <c r="AF11" s="148"/>
    </row>
    <row r="12" spans="1:34" x14ac:dyDescent="0.25">
      <c r="A12" s="28" t="s">
        <v>40</v>
      </c>
      <c r="B12" s="27">
        <f t="shared" si="3"/>
        <v>77008</v>
      </c>
      <c r="C12" s="133">
        <v>0</v>
      </c>
      <c r="D12" s="6">
        <v>0</v>
      </c>
      <c r="F12" s="73" t="s">
        <v>82</v>
      </c>
      <c r="G12" s="74">
        <v>37.6</v>
      </c>
      <c r="H12" s="73" t="s">
        <v>80</v>
      </c>
      <c r="I12" s="75">
        <v>117927</v>
      </c>
      <c r="L12" s="161"/>
      <c r="M12" s="161"/>
      <c r="N12" s="161"/>
      <c r="O12" s="161"/>
      <c r="P12" s="161"/>
      <c r="Q12" s="161"/>
      <c r="R12" s="161"/>
      <c r="S12" s="161"/>
      <c r="T12" s="161"/>
      <c r="W12" s="154"/>
      <c r="AF12" s="152"/>
    </row>
    <row r="13" spans="1:34" x14ac:dyDescent="0.25">
      <c r="A13" s="28" t="s">
        <v>41</v>
      </c>
      <c r="B13" s="27">
        <f t="shared" si="3"/>
        <v>117927</v>
      </c>
      <c r="C13" s="133">
        <f t="shared" ref="C13:C18" si="4">(V17*2204.62262)/B13</f>
        <v>0</v>
      </c>
      <c r="D13" s="6">
        <v>0</v>
      </c>
      <c r="F13" s="73" t="s">
        <v>208</v>
      </c>
      <c r="G13" s="74">
        <v>43.2</v>
      </c>
      <c r="H13" s="73" t="s">
        <v>80</v>
      </c>
      <c r="I13" s="75">
        <v>212533</v>
      </c>
      <c r="L13" s="161"/>
      <c r="M13" s="161"/>
      <c r="N13" s="161"/>
      <c r="O13" s="161"/>
      <c r="P13" s="161"/>
      <c r="Q13" s="161"/>
      <c r="R13" s="161"/>
      <c r="S13" s="161"/>
      <c r="T13" s="161"/>
      <c r="W13" s="154"/>
    </row>
    <row r="14" spans="1:34" x14ac:dyDescent="0.25">
      <c r="A14" s="28" t="s">
        <v>42</v>
      </c>
      <c r="B14" s="27">
        <f t="shared" si="3"/>
        <v>212533</v>
      </c>
      <c r="C14" s="133">
        <f t="shared" si="4"/>
        <v>0</v>
      </c>
      <c r="D14" s="6">
        <v>0</v>
      </c>
      <c r="F14" s="73" t="s">
        <v>83</v>
      </c>
      <c r="G14" s="74">
        <v>71.099999999999994</v>
      </c>
      <c r="H14" s="73" t="s">
        <v>80</v>
      </c>
      <c r="I14" s="75">
        <v>502673</v>
      </c>
      <c r="L14" s="161"/>
      <c r="M14" s="161"/>
      <c r="N14" s="161"/>
      <c r="O14" s="161"/>
      <c r="P14" s="161"/>
      <c r="Q14" s="161"/>
      <c r="R14" s="161"/>
      <c r="S14" s="161"/>
      <c r="T14" s="152"/>
      <c r="W14" s="154"/>
    </row>
    <row r="15" spans="1:34" x14ac:dyDescent="0.25">
      <c r="A15" s="28" t="s">
        <v>43</v>
      </c>
      <c r="B15" s="27">
        <f t="shared" si="3"/>
        <v>502673</v>
      </c>
      <c r="C15" s="133">
        <f t="shared" si="4"/>
        <v>0</v>
      </c>
      <c r="D15" s="6">
        <v>0</v>
      </c>
      <c r="F15" s="73" t="s">
        <v>84</v>
      </c>
      <c r="G15" s="74">
        <v>10</v>
      </c>
      <c r="H15" s="73" t="s">
        <v>80</v>
      </c>
      <c r="I15" s="75">
        <v>58141</v>
      </c>
      <c r="L15" s="161"/>
      <c r="M15" s="161"/>
      <c r="N15" s="161"/>
      <c r="O15" s="161"/>
      <c r="P15" s="161"/>
      <c r="Q15" s="161"/>
      <c r="R15" s="161"/>
      <c r="S15" s="161"/>
      <c r="T15" s="152"/>
    </row>
    <row r="16" spans="1:34" x14ac:dyDescent="0.25">
      <c r="A16" s="28" t="s">
        <v>44</v>
      </c>
      <c r="B16" s="27">
        <f t="shared" si="3"/>
        <v>58141</v>
      </c>
      <c r="C16" s="133">
        <f t="shared" si="4"/>
        <v>0</v>
      </c>
      <c r="D16" s="6">
        <v>0</v>
      </c>
      <c r="F16" s="73" t="s">
        <v>85</v>
      </c>
      <c r="G16" s="74">
        <v>265</v>
      </c>
      <c r="H16" s="73" t="s">
        <v>80</v>
      </c>
      <c r="I16" s="75">
        <v>1002706</v>
      </c>
      <c r="L16" s="161"/>
      <c r="M16" s="161"/>
      <c r="N16" s="161"/>
      <c r="O16" s="161"/>
      <c r="P16" s="161"/>
      <c r="Q16" s="161"/>
      <c r="R16" s="161"/>
      <c r="S16" s="161"/>
      <c r="T16" s="152"/>
    </row>
    <row r="17" spans="1:25" x14ac:dyDescent="0.25">
      <c r="A17" s="28" t="s">
        <v>45</v>
      </c>
      <c r="B17" s="27">
        <f t="shared" si="3"/>
        <v>1002706</v>
      </c>
      <c r="C17" s="133">
        <f t="shared" si="4"/>
        <v>0</v>
      </c>
      <c r="D17" s="6">
        <v>0</v>
      </c>
      <c r="F17" s="73" t="s">
        <v>86</v>
      </c>
      <c r="G17" s="74">
        <v>487.8</v>
      </c>
      <c r="H17" s="73" t="s">
        <v>80</v>
      </c>
      <c r="I17" s="75">
        <v>1596412</v>
      </c>
      <c r="L17" s="161"/>
      <c r="M17" s="161"/>
      <c r="N17" s="161"/>
      <c r="O17" s="161"/>
      <c r="P17" s="161"/>
      <c r="Q17" s="161"/>
      <c r="R17" s="161"/>
      <c r="S17" s="161"/>
      <c r="T17" s="152"/>
    </row>
    <row r="18" spans="1:25" x14ac:dyDescent="0.25">
      <c r="A18" s="28" t="s">
        <v>46</v>
      </c>
      <c r="B18" s="27">
        <f t="shared" si="3"/>
        <v>1596412</v>
      </c>
      <c r="C18" s="133">
        <f t="shared" si="4"/>
        <v>0</v>
      </c>
      <c r="D18" s="6">
        <v>0</v>
      </c>
    </row>
    <row r="19" spans="1:25" x14ac:dyDescent="0.25">
      <c r="A19" s="28" t="s">
        <v>255</v>
      </c>
      <c r="B19" s="27">
        <f>R6</f>
        <v>1713057.77</v>
      </c>
      <c r="C19" s="133">
        <f>D19/B19</f>
        <v>0.37601667779209969</v>
      </c>
      <c r="D19" s="6">
        <f>U6</f>
        <v>644138.29154134286</v>
      </c>
    </row>
    <row r="20" spans="1:25" ht="15.75" x14ac:dyDescent="0.25">
      <c r="A20" s="28" t="s">
        <v>135</v>
      </c>
      <c r="B20" s="27"/>
      <c r="C20" s="27">
        <v>0</v>
      </c>
      <c r="D20" s="6">
        <f t="shared" ref="D20:D40" si="5">(+B20*C20)/2000</f>
        <v>0</v>
      </c>
      <c r="F20" s="80">
        <v>2020</v>
      </c>
      <c r="G20" s="79"/>
      <c r="H20" s="81"/>
      <c r="I20" s="82" t="s">
        <v>87</v>
      </c>
      <c r="J20" s="82" t="s">
        <v>88</v>
      </c>
      <c r="K20" s="83" t="s">
        <v>89</v>
      </c>
      <c r="L20" s="84" t="s">
        <v>90</v>
      </c>
      <c r="M20" s="83" t="s">
        <v>91</v>
      </c>
      <c r="N20" s="83" t="s">
        <v>92</v>
      </c>
      <c r="O20" s="83" t="s">
        <v>93</v>
      </c>
      <c r="P20" s="84" t="s">
        <v>94</v>
      </c>
      <c r="Q20" s="84" t="s">
        <v>95</v>
      </c>
      <c r="R20" s="85" t="s">
        <v>96</v>
      </c>
      <c r="S20" s="85" t="s">
        <v>97</v>
      </c>
      <c r="T20" s="85" t="s">
        <v>98</v>
      </c>
      <c r="U20" s="86" t="s">
        <v>99</v>
      </c>
      <c r="X20" t="s">
        <v>232</v>
      </c>
      <c r="Y20" t="s">
        <v>233</v>
      </c>
    </row>
    <row r="21" spans="1:25" ht="75" x14ac:dyDescent="0.25">
      <c r="A21" s="27" t="s">
        <v>212</v>
      </c>
      <c r="B21" s="27">
        <v>45281</v>
      </c>
      <c r="C21" s="27">
        <v>0</v>
      </c>
      <c r="D21" s="6">
        <f t="shared" si="5"/>
        <v>0</v>
      </c>
      <c r="F21" s="87"/>
      <c r="G21" s="88"/>
      <c r="H21" s="89"/>
      <c r="I21" s="90" t="s">
        <v>100</v>
      </c>
      <c r="J21" s="90" t="s">
        <v>101</v>
      </c>
      <c r="K21" s="90" t="s">
        <v>102</v>
      </c>
      <c r="L21" s="90" t="s">
        <v>103</v>
      </c>
      <c r="M21" s="90" t="s">
        <v>104</v>
      </c>
      <c r="N21" s="90" t="s">
        <v>105</v>
      </c>
      <c r="O21" s="90" t="s">
        <v>106</v>
      </c>
      <c r="P21" s="91" t="s">
        <v>107</v>
      </c>
      <c r="Q21" s="91" t="s">
        <v>108</v>
      </c>
      <c r="R21" s="91" t="s">
        <v>109</v>
      </c>
      <c r="S21" s="91" t="s">
        <v>110</v>
      </c>
      <c r="T21" s="91" t="s">
        <v>177</v>
      </c>
      <c r="U21" s="92" t="s">
        <v>178</v>
      </c>
      <c r="X21" t="s">
        <v>234</v>
      </c>
      <c r="Y21" t="s">
        <v>235</v>
      </c>
    </row>
    <row r="22" spans="1:25" ht="30" x14ac:dyDescent="0.25">
      <c r="A22" s="27" t="s">
        <v>184</v>
      </c>
      <c r="B22" s="27">
        <v>422794</v>
      </c>
      <c r="C22" s="27">
        <v>0</v>
      </c>
      <c r="D22" s="6">
        <f t="shared" si="5"/>
        <v>0</v>
      </c>
      <c r="F22" s="78"/>
      <c r="G22" s="93"/>
      <c r="H22" s="81"/>
      <c r="I22" s="94"/>
      <c r="J22" s="94"/>
      <c r="K22" s="94"/>
      <c r="L22" s="94"/>
      <c r="M22" s="95" t="s">
        <v>111</v>
      </c>
      <c r="N22" s="95" t="s">
        <v>112</v>
      </c>
      <c r="O22" s="95"/>
      <c r="P22" s="96"/>
      <c r="Q22" s="96"/>
      <c r="R22" s="97"/>
      <c r="S22" s="97"/>
      <c r="T22" s="92" t="s">
        <v>113</v>
      </c>
      <c r="U22" s="98" t="s">
        <v>114</v>
      </c>
      <c r="X22" t="s">
        <v>236</v>
      </c>
    </row>
    <row r="23" spans="1:25" ht="34.5" customHeight="1" x14ac:dyDescent="0.25">
      <c r="A23" s="27" t="s">
        <v>171</v>
      </c>
      <c r="B23" s="27">
        <v>3990</v>
      </c>
      <c r="C23" s="27">
        <v>0</v>
      </c>
      <c r="D23" s="6">
        <f t="shared" si="5"/>
        <v>0</v>
      </c>
      <c r="F23" s="99" t="s">
        <v>115</v>
      </c>
      <c r="G23" s="100" t="s">
        <v>72</v>
      </c>
      <c r="H23" s="101">
        <v>0.5</v>
      </c>
      <c r="I23" s="102">
        <v>1000</v>
      </c>
      <c r="J23" s="103" t="s">
        <v>116</v>
      </c>
      <c r="K23" s="104">
        <v>5.0999999999999997E-2</v>
      </c>
      <c r="L23" s="105" t="s">
        <v>117</v>
      </c>
      <c r="M23" s="103" t="s">
        <v>118</v>
      </c>
      <c r="N23" s="102">
        <v>51</v>
      </c>
      <c r="O23" s="106" t="s">
        <v>119</v>
      </c>
      <c r="P23" s="107">
        <v>14</v>
      </c>
      <c r="Q23" s="103" t="s">
        <v>120</v>
      </c>
      <c r="R23" s="134">
        <v>1</v>
      </c>
      <c r="S23" s="135">
        <v>1</v>
      </c>
      <c r="T23" s="108">
        <v>2618.0000000000023</v>
      </c>
      <c r="U23" s="109">
        <v>2.6180000000000021</v>
      </c>
      <c r="X23" t="s">
        <v>237</v>
      </c>
      <c r="Y23">
        <v>2.61</v>
      </c>
    </row>
    <row r="24" spans="1:25" x14ac:dyDescent="0.25">
      <c r="A24" s="27" t="s">
        <v>185</v>
      </c>
      <c r="B24" s="27">
        <v>351771</v>
      </c>
      <c r="C24" s="27">
        <v>0</v>
      </c>
      <c r="D24" s="6">
        <f t="shared" si="5"/>
        <v>0</v>
      </c>
      <c r="F24" s="110" t="s">
        <v>121</v>
      </c>
      <c r="G24" s="111" t="s">
        <v>122</v>
      </c>
      <c r="H24" s="111" t="s">
        <v>123</v>
      </c>
      <c r="I24" s="112"/>
      <c r="J24" s="113"/>
      <c r="K24" s="113"/>
      <c r="L24" s="113"/>
      <c r="M24" s="113"/>
      <c r="N24" s="113"/>
      <c r="O24" s="113"/>
      <c r="P24" s="114"/>
      <c r="Q24" s="115"/>
      <c r="R24" s="116"/>
      <c r="S24" s="116"/>
      <c r="T24" s="116"/>
      <c r="U24" s="113"/>
    </row>
    <row r="25" spans="1:25" ht="30" x14ac:dyDescent="0.25">
      <c r="A25" s="27" t="s">
        <v>186</v>
      </c>
      <c r="B25" s="27">
        <v>11549</v>
      </c>
      <c r="C25" s="27">
        <v>0</v>
      </c>
      <c r="D25" s="6">
        <f t="shared" si="5"/>
        <v>0</v>
      </c>
      <c r="F25" s="117" t="s">
        <v>33</v>
      </c>
      <c r="G25" s="117" t="s">
        <v>70</v>
      </c>
      <c r="H25" s="136">
        <v>0.15</v>
      </c>
      <c r="I25" s="118">
        <v>762615</v>
      </c>
      <c r="J25" s="119" t="s">
        <v>124</v>
      </c>
      <c r="K25" s="120">
        <v>16.97</v>
      </c>
      <c r="L25" s="119" t="s">
        <v>125</v>
      </c>
      <c r="M25" s="119" t="s">
        <v>118</v>
      </c>
      <c r="N25" s="121">
        <v>12941576.549999999</v>
      </c>
      <c r="O25" s="122" t="s">
        <v>126</v>
      </c>
      <c r="P25" s="123">
        <v>93.4</v>
      </c>
      <c r="Q25" s="122" t="s">
        <v>127</v>
      </c>
      <c r="R25" s="124">
        <v>0.98</v>
      </c>
      <c r="S25" s="125">
        <v>1</v>
      </c>
      <c r="T25" s="126">
        <v>1184568384.7746</v>
      </c>
      <c r="U25" s="126">
        <v>1184568.3847745999</v>
      </c>
      <c r="X25" t="s">
        <v>237</v>
      </c>
    </row>
    <row r="26" spans="1:25" ht="25.5" x14ac:dyDescent="0.25">
      <c r="A26" s="27" t="s">
        <v>187</v>
      </c>
      <c r="B26" s="27">
        <v>0</v>
      </c>
      <c r="C26" s="27">
        <v>0</v>
      </c>
      <c r="D26" s="6">
        <f t="shared" si="5"/>
        <v>0</v>
      </c>
      <c r="F26" s="117" t="s">
        <v>33</v>
      </c>
      <c r="G26" s="117" t="s">
        <v>128</v>
      </c>
      <c r="H26" s="127">
        <v>0.15</v>
      </c>
      <c r="I26" s="118">
        <v>2755</v>
      </c>
      <c r="J26" s="119" t="s">
        <v>129</v>
      </c>
      <c r="K26" s="123">
        <v>5.88</v>
      </c>
      <c r="L26" s="128" t="s">
        <v>130</v>
      </c>
      <c r="M26" s="119" t="s">
        <v>118</v>
      </c>
      <c r="N26" s="121">
        <v>16199.4</v>
      </c>
      <c r="O26" s="122" t="s">
        <v>126</v>
      </c>
      <c r="P26" s="123">
        <v>73.959999999999994</v>
      </c>
      <c r="Q26" s="122" t="s">
        <v>127</v>
      </c>
      <c r="R26" s="124">
        <v>0.99</v>
      </c>
      <c r="S26" s="125">
        <v>1</v>
      </c>
      <c r="T26" s="126">
        <v>1186126.5477599998</v>
      </c>
      <c r="U26" s="126">
        <v>1186.1265477599998</v>
      </c>
      <c r="X26" t="s">
        <v>232</v>
      </c>
    </row>
    <row r="27" spans="1:25" x14ac:dyDescent="0.25">
      <c r="A27" s="27" t="s">
        <v>136</v>
      </c>
      <c r="B27" s="27">
        <v>370142</v>
      </c>
      <c r="C27" s="27">
        <v>0</v>
      </c>
      <c r="D27" s="6">
        <f t="shared" si="5"/>
        <v>0</v>
      </c>
      <c r="F27" s="117" t="s">
        <v>131</v>
      </c>
      <c r="G27" s="117" t="s">
        <v>72</v>
      </c>
      <c r="H27" s="127">
        <v>1</v>
      </c>
      <c r="I27" s="123">
        <v>2016.2629999999999</v>
      </c>
      <c r="J27" s="119" t="s">
        <v>132</v>
      </c>
      <c r="K27" s="129">
        <v>1026</v>
      </c>
      <c r="L27" s="119" t="s">
        <v>133</v>
      </c>
      <c r="M27" s="119" t="s">
        <v>118</v>
      </c>
      <c r="N27" s="121">
        <v>2068685.838</v>
      </c>
      <c r="O27" s="122" t="s">
        <v>126</v>
      </c>
      <c r="P27" s="123">
        <v>53.06</v>
      </c>
      <c r="Q27" s="122" t="s">
        <v>127</v>
      </c>
      <c r="R27" s="124">
        <v>0.995</v>
      </c>
      <c r="S27" s="125">
        <v>1</v>
      </c>
      <c r="T27" s="126">
        <v>109215648.21145861</v>
      </c>
      <c r="U27" s="126">
        <v>109215.64821145861</v>
      </c>
      <c r="X27" t="s">
        <v>237</v>
      </c>
    </row>
    <row r="28" spans="1:25" x14ac:dyDescent="0.25">
      <c r="A28" s="27" t="s">
        <v>188</v>
      </c>
      <c r="B28" s="27">
        <v>26</v>
      </c>
      <c r="C28" s="27">
        <v>0</v>
      </c>
      <c r="D28" s="6">
        <f t="shared" si="5"/>
        <v>0</v>
      </c>
      <c r="F28" s="117" t="s">
        <v>134</v>
      </c>
      <c r="G28" s="117" t="s">
        <v>72</v>
      </c>
      <c r="H28" s="127">
        <v>1</v>
      </c>
      <c r="I28" s="123">
        <v>8.0619999999999994</v>
      </c>
      <c r="J28" s="119" t="s">
        <v>132</v>
      </c>
      <c r="K28" s="129">
        <v>1026</v>
      </c>
      <c r="L28" s="119" t="s">
        <v>133</v>
      </c>
      <c r="M28" s="119" t="s">
        <v>118</v>
      </c>
      <c r="N28" s="121">
        <v>8271.6119999999992</v>
      </c>
      <c r="O28" s="122" t="s">
        <v>126</v>
      </c>
      <c r="P28" s="123">
        <v>53.06</v>
      </c>
      <c r="Q28" s="122" t="s">
        <v>127</v>
      </c>
      <c r="R28" s="124">
        <v>0.995</v>
      </c>
      <c r="S28" s="125">
        <v>1</v>
      </c>
      <c r="T28" s="126">
        <v>436697.2740564</v>
      </c>
      <c r="U28" s="126">
        <v>436.69727405639998</v>
      </c>
      <c r="X28" t="s">
        <v>232</v>
      </c>
    </row>
    <row r="29" spans="1:25" ht="29.25" customHeight="1" x14ac:dyDescent="0.25">
      <c r="A29" s="27" t="s">
        <v>228</v>
      </c>
      <c r="B29" s="27">
        <v>500828</v>
      </c>
      <c r="C29" s="27">
        <v>0</v>
      </c>
      <c r="D29" s="6">
        <f t="shared" si="5"/>
        <v>0</v>
      </c>
      <c r="F29" s="117" t="s">
        <v>36</v>
      </c>
      <c r="G29" s="117" t="s">
        <v>72</v>
      </c>
      <c r="H29" s="127">
        <v>1</v>
      </c>
      <c r="I29" s="123">
        <v>432.65300000000002</v>
      </c>
      <c r="J29" s="119" t="s">
        <v>132</v>
      </c>
      <c r="K29" s="129">
        <v>1026</v>
      </c>
      <c r="L29" s="119" t="s">
        <v>133</v>
      </c>
      <c r="M29" s="119" t="s">
        <v>118</v>
      </c>
      <c r="N29" s="121">
        <v>443901.978</v>
      </c>
      <c r="O29" s="122" t="s">
        <v>126</v>
      </c>
      <c r="P29" s="123">
        <v>53.06</v>
      </c>
      <c r="Q29" s="122" t="s">
        <v>127</v>
      </c>
      <c r="R29" s="124">
        <v>0.995</v>
      </c>
      <c r="S29" s="125">
        <v>1</v>
      </c>
      <c r="T29" s="126">
        <v>23435671.757916603</v>
      </c>
      <c r="U29" s="126">
        <v>23435.671757916603</v>
      </c>
      <c r="X29" t="s">
        <v>232</v>
      </c>
    </row>
    <row r="30" spans="1:25" ht="27" customHeight="1" x14ac:dyDescent="0.25">
      <c r="A30" s="27" t="s">
        <v>191</v>
      </c>
      <c r="B30" s="27">
        <v>39005</v>
      </c>
      <c r="C30" s="27">
        <v>0</v>
      </c>
      <c r="D30" s="6">
        <f t="shared" si="5"/>
        <v>0</v>
      </c>
      <c r="F30" s="117" t="s">
        <v>37</v>
      </c>
      <c r="G30" s="117" t="s">
        <v>72</v>
      </c>
      <c r="H30" s="127">
        <v>1</v>
      </c>
      <c r="I30" s="123">
        <v>11629.411</v>
      </c>
      <c r="J30" s="119" t="s">
        <v>132</v>
      </c>
      <c r="K30" s="129">
        <v>1026</v>
      </c>
      <c r="L30" s="119" t="s">
        <v>133</v>
      </c>
      <c r="M30" s="119" t="s">
        <v>118</v>
      </c>
      <c r="N30" s="121">
        <v>11931775.686000001</v>
      </c>
      <c r="O30" s="122" t="s">
        <v>126</v>
      </c>
      <c r="P30" s="123">
        <v>53.06</v>
      </c>
      <c r="Q30" s="122" t="s">
        <v>127</v>
      </c>
      <c r="R30" s="124">
        <v>0.995</v>
      </c>
      <c r="S30" s="125">
        <v>1</v>
      </c>
      <c r="T30" s="126">
        <v>629934517.80966425</v>
      </c>
      <c r="U30" s="126">
        <v>629934.51780966425</v>
      </c>
      <c r="X30" t="s">
        <v>237</v>
      </c>
    </row>
    <row r="31" spans="1:25" x14ac:dyDescent="0.25">
      <c r="A31" s="27" t="s">
        <v>192</v>
      </c>
      <c r="B31" s="27">
        <v>200192</v>
      </c>
      <c r="C31" s="27">
        <v>0</v>
      </c>
      <c r="D31" s="6">
        <f t="shared" si="5"/>
        <v>0</v>
      </c>
      <c r="F31" s="117" t="s">
        <v>38</v>
      </c>
      <c r="G31" s="117" t="s">
        <v>72</v>
      </c>
      <c r="H31" s="127">
        <v>1</v>
      </c>
      <c r="I31" s="123">
        <v>13.398</v>
      </c>
      <c r="J31" s="119" t="s">
        <v>132</v>
      </c>
      <c r="K31" s="129">
        <v>1026</v>
      </c>
      <c r="L31" s="119" t="s">
        <v>133</v>
      </c>
      <c r="M31" s="119" t="s">
        <v>118</v>
      </c>
      <c r="N31" s="121">
        <v>13746.348</v>
      </c>
      <c r="O31" s="122" t="s">
        <v>126</v>
      </c>
      <c r="P31" s="123">
        <v>53.06</v>
      </c>
      <c r="Q31" s="122" t="s">
        <v>127</v>
      </c>
      <c r="R31" s="124">
        <v>0.995</v>
      </c>
      <c r="S31" s="125">
        <v>1</v>
      </c>
      <c r="T31" s="126">
        <v>725734.31875560002</v>
      </c>
      <c r="U31" s="126">
        <v>725.73431875560004</v>
      </c>
      <c r="X31" t="s">
        <v>232</v>
      </c>
    </row>
    <row r="32" spans="1:25" x14ac:dyDescent="0.25">
      <c r="A32" s="27" t="s">
        <v>189</v>
      </c>
      <c r="B32" s="27">
        <v>8697</v>
      </c>
      <c r="C32" s="27">
        <v>0</v>
      </c>
      <c r="D32" s="6">
        <f t="shared" si="5"/>
        <v>0</v>
      </c>
      <c r="F32" s="117" t="s">
        <v>179</v>
      </c>
      <c r="G32" s="130" t="s">
        <v>72</v>
      </c>
      <c r="H32" s="127">
        <v>1</v>
      </c>
      <c r="I32" s="123">
        <v>4.5789999999999997</v>
      </c>
      <c r="J32" s="119" t="s">
        <v>132</v>
      </c>
      <c r="K32" s="129">
        <v>1026</v>
      </c>
      <c r="L32" s="119" t="s">
        <v>133</v>
      </c>
      <c r="M32" s="119" t="s">
        <v>118</v>
      </c>
      <c r="N32" s="121">
        <v>4698.0540000000001</v>
      </c>
      <c r="O32" s="122" t="s">
        <v>126</v>
      </c>
      <c r="P32" s="123">
        <v>53.06</v>
      </c>
      <c r="Q32" s="122" t="s">
        <v>127</v>
      </c>
      <c r="R32" s="124">
        <v>0.995</v>
      </c>
      <c r="S32" s="125">
        <v>1</v>
      </c>
      <c r="T32" s="126">
        <v>248032.35151380001</v>
      </c>
      <c r="U32" s="126">
        <v>248.03235151379999</v>
      </c>
      <c r="X32" t="s">
        <v>232</v>
      </c>
    </row>
    <row r="33" spans="1:25" x14ac:dyDescent="0.25">
      <c r="A33" s="27" t="s">
        <v>190</v>
      </c>
      <c r="B33" s="27">
        <v>51202</v>
      </c>
      <c r="C33" s="27"/>
      <c r="D33" s="6">
        <f t="shared" si="5"/>
        <v>0</v>
      </c>
      <c r="F33" s="131"/>
      <c r="G33" s="132"/>
      <c r="H33" s="127">
        <v>1</v>
      </c>
      <c r="I33" s="123"/>
      <c r="J33" s="119"/>
      <c r="K33" s="129" t="s">
        <v>180</v>
      </c>
      <c r="L33" s="119" t="s">
        <v>180</v>
      </c>
      <c r="M33" s="119" t="s">
        <v>180</v>
      </c>
      <c r="N33" s="121">
        <v>0</v>
      </c>
      <c r="O33" s="122" t="s">
        <v>180</v>
      </c>
      <c r="P33" s="123" t="s">
        <v>180</v>
      </c>
      <c r="Q33" s="122" t="s">
        <v>180</v>
      </c>
      <c r="R33" s="124" t="s">
        <v>180</v>
      </c>
      <c r="S33" s="125" t="s">
        <v>180</v>
      </c>
      <c r="T33" s="126">
        <v>0</v>
      </c>
      <c r="U33" s="126">
        <v>0</v>
      </c>
      <c r="Y33" t="s">
        <v>180</v>
      </c>
    </row>
    <row r="34" spans="1:25" ht="30" x14ac:dyDescent="0.25">
      <c r="A34" s="27" t="s">
        <v>217</v>
      </c>
      <c r="B34" s="27">
        <v>1055</v>
      </c>
      <c r="C34" s="27"/>
      <c r="D34" s="6">
        <f t="shared" si="5"/>
        <v>0</v>
      </c>
      <c r="F34" s="131" t="s">
        <v>64</v>
      </c>
      <c r="G34" s="132"/>
      <c r="H34" s="127">
        <v>1</v>
      </c>
      <c r="I34" s="123"/>
      <c r="J34" s="119"/>
      <c r="K34" s="129">
        <v>16.826000000000001</v>
      </c>
      <c r="L34" s="119" t="s">
        <v>125</v>
      </c>
      <c r="M34" s="119" t="s">
        <v>118</v>
      </c>
      <c r="N34" s="121">
        <v>0</v>
      </c>
      <c r="O34" s="122"/>
      <c r="P34" s="123"/>
      <c r="Q34" s="122"/>
      <c r="R34" s="124"/>
      <c r="S34" s="125"/>
      <c r="T34" s="126">
        <v>0</v>
      </c>
      <c r="U34" s="126">
        <f>Y34</f>
        <v>643481.38520000002</v>
      </c>
      <c r="X34" t="s">
        <v>237</v>
      </c>
      <c r="Y34">
        <v>643481.38520000002</v>
      </c>
    </row>
    <row r="35" spans="1:25" x14ac:dyDescent="0.25">
      <c r="A35" s="27" t="s">
        <v>170</v>
      </c>
      <c r="B35" s="27">
        <v>36523</v>
      </c>
      <c r="C35" s="27"/>
      <c r="D35" s="6">
        <f t="shared" si="5"/>
        <v>0</v>
      </c>
    </row>
    <row r="36" spans="1:25" x14ac:dyDescent="0.25">
      <c r="A36" s="27" t="s">
        <v>193</v>
      </c>
      <c r="B36" s="27">
        <v>534</v>
      </c>
      <c r="C36" s="27"/>
      <c r="D36" s="6">
        <f t="shared" si="5"/>
        <v>0</v>
      </c>
      <c r="F36">
        <v>2020</v>
      </c>
      <c r="I36" t="s">
        <v>87</v>
      </c>
      <c r="J36" t="s">
        <v>88</v>
      </c>
      <c r="K36" t="s">
        <v>89</v>
      </c>
      <c r="L36" t="s">
        <v>90</v>
      </c>
      <c r="M36" t="s">
        <v>91</v>
      </c>
      <c r="N36" t="s">
        <v>92</v>
      </c>
      <c r="O36" t="s">
        <v>93</v>
      </c>
      <c r="P36" t="s">
        <v>94</v>
      </c>
      <c r="Q36" t="s">
        <v>95</v>
      </c>
      <c r="R36" t="s">
        <v>96</v>
      </c>
      <c r="S36" t="s">
        <v>97</v>
      </c>
      <c r="T36" t="s">
        <v>98</v>
      </c>
      <c r="U36" t="s">
        <v>99</v>
      </c>
      <c r="V36" t="s">
        <v>232</v>
      </c>
    </row>
    <row r="37" spans="1:25" x14ac:dyDescent="0.25">
      <c r="A37" s="27" t="s">
        <v>194</v>
      </c>
      <c r="B37" s="27">
        <v>331</v>
      </c>
      <c r="C37" s="27"/>
      <c r="D37" s="6">
        <f t="shared" si="5"/>
        <v>0</v>
      </c>
      <c r="F37" s="70"/>
      <c r="G37" s="70"/>
      <c r="H37" s="71"/>
      <c r="I37" s="139" t="s">
        <v>100</v>
      </c>
      <c r="J37" s="139" t="s">
        <v>101</v>
      </c>
      <c r="K37" s="72" t="s">
        <v>102</v>
      </c>
      <c r="L37" s="138" t="s">
        <v>103</v>
      </c>
      <c r="M37" t="s">
        <v>104</v>
      </c>
      <c r="N37" t="s">
        <v>105</v>
      </c>
      <c r="O37" t="s">
        <v>106</v>
      </c>
      <c r="P37" t="s">
        <v>238</v>
      </c>
      <c r="Q37" t="s">
        <v>108</v>
      </c>
      <c r="R37" t="s">
        <v>239</v>
      </c>
      <c r="S37" t="s">
        <v>240</v>
      </c>
      <c r="T37" t="s">
        <v>110</v>
      </c>
      <c r="U37" t="s">
        <v>241</v>
      </c>
      <c r="V37" t="s">
        <v>242</v>
      </c>
      <c r="X37" s="166" t="s">
        <v>243</v>
      </c>
    </row>
    <row r="38" spans="1:25" x14ac:dyDescent="0.25">
      <c r="A38" s="28" t="s">
        <v>215</v>
      </c>
      <c r="B38" s="27">
        <v>2895</v>
      </c>
      <c r="C38" s="27"/>
      <c r="D38" s="6">
        <f t="shared" si="5"/>
        <v>0</v>
      </c>
      <c r="F38" s="70"/>
      <c r="G38" s="70"/>
      <c r="H38" s="71"/>
      <c r="I38" s="139"/>
      <c r="J38" s="139"/>
      <c r="K38" s="72"/>
      <c r="M38" t="s">
        <v>111</v>
      </c>
      <c r="N38" t="s">
        <v>112</v>
      </c>
      <c r="U38" t="s">
        <v>244</v>
      </c>
      <c r="V38" t="s">
        <v>245</v>
      </c>
      <c r="X38" s="166"/>
    </row>
    <row r="39" spans="1:25" x14ac:dyDescent="0.25">
      <c r="A39" s="28" t="s">
        <v>216</v>
      </c>
      <c r="B39" s="27">
        <v>1034</v>
      </c>
      <c r="C39" s="27"/>
      <c r="D39" s="6">
        <f t="shared" si="5"/>
        <v>0</v>
      </c>
      <c r="F39" s="70"/>
      <c r="G39" s="70"/>
      <c r="H39" s="71"/>
      <c r="I39" s="139">
        <v>1000</v>
      </c>
      <c r="J39" s="139" t="s">
        <v>116</v>
      </c>
      <c r="K39" s="72">
        <v>5.0999999999999997E-2</v>
      </c>
      <c r="L39" t="s">
        <v>117</v>
      </c>
      <c r="M39" t="s">
        <v>118</v>
      </c>
      <c r="N39">
        <v>51</v>
      </c>
      <c r="O39" t="s">
        <v>119</v>
      </c>
      <c r="P39">
        <v>1E-3</v>
      </c>
      <c r="Q39" t="s">
        <v>246</v>
      </c>
      <c r="R39">
        <v>2E-3</v>
      </c>
      <c r="S39" t="s">
        <v>247</v>
      </c>
      <c r="T39">
        <v>1</v>
      </c>
      <c r="U39">
        <v>5.1000000000000004E-2</v>
      </c>
      <c r="V39">
        <v>0.10200000000000001</v>
      </c>
      <c r="X39" s="166"/>
    </row>
    <row r="40" spans="1:25" ht="15.75" thickBot="1" x14ac:dyDescent="0.3">
      <c r="A40" s="29" t="s">
        <v>229</v>
      </c>
      <c r="B40" s="27">
        <v>37157</v>
      </c>
      <c r="C40" s="30"/>
      <c r="D40" s="9">
        <f t="shared" si="5"/>
        <v>0</v>
      </c>
      <c r="F40" s="70" t="s">
        <v>121</v>
      </c>
      <c r="G40" s="70" t="s">
        <v>122</v>
      </c>
      <c r="H40" s="71" t="s">
        <v>123</v>
      </c>
      <c r="I40" s="139"/>
      <c r="J40" s="139"/>
      <c r="K40" s="72"/>
      <c r="X40" s="166"/>
      <c r="Y40" s="70" t="s">
        <v>121</v>
      </c>
    </row>
    <row r="41" spans="1:25" ht="16.5" thickTop="1" thickBot="1" x14ac:dyDescent="0.3">
      <c r="A41" s="1"/>
      <c r="B41" s="10">
        <f>SUM(B4:B40)</f>
        <v>11046639.6175</v>
      </c>
      <c r="C41" s="165">
        <f>D41/B41</f>
        <v>0.2402854041787427</v>
      </c>
      <c r="D41" s="10">
        <f>SUM(D4:D40)</f>
        <v>2654346.2653078991</v>
      </c>
      <c r="F41" t="s">
        <v>33</v>
      </c>
      <c r="G41" t="s">
        <v>70</v>
      </c>
      <c r="H41">
        <v>0.15</v>
      </c>
      <c r="I41">
        <v>762615</v>
      </c>
      <c r="J41" t="s">
        <v>124</v>
      </c>
      <c r="K41">
        <v>16.97</v>
      </c>
      <c r="L41" t="s">
        <v>125</v>
      </c>
      <c r="M41" t="s">
        <v>118</v>
      </c>
      <c r="N41">
        <v>12941576.549999999</v>
      </c>
      <c r="O41" t="s">
        <v>248</v>
      </c>
      <c r="P41">
        <v>1.0999999999999999E-2</v>
      </c>
      <c r="Q41" t="s">
        <v>249</v>
      </c>
      <c r="R41">
        <v>1.6000000000000001E-3</v>
      </c>
      <c r="S41" t="s">
        <v>249</v>
      </c>
      <c r="T41">
        <v>1</v>
      </c>
      <c r="U41">
        <v>142357.34204999998</v>
      </c>
      <c r="V41">
        <v>20706.52248</v>
      </c>
      <c r="X41" s="166">
        <v>9473.2340345999983</v>
      </c>
      <c r="Y41" s="161" t="s">
        <v>33</v>
      </c>
    </row>
    <row r="42" spans="1:25" x14ac:dyDescent="0.25">
      <c r="F42" t="s">
        <v>33</v>
      </c>
      <c r="G42" t="s">
        <v>128</v>
      </c>
      <c r="H42">
        <v>0.15</v>
      </c>
      <c r="I42">
        <v>2755</v>
      </c>
      <c r="J42" t="s">
        <v>129</v>
      </c>
      <c r="K42">
        <v>5.88</v>
      </c>
      <c r="L42" t="s">
        <v>250</v>
      </c>
      <c r="M42" t="s">
        <v>118</v>
      </c>
      <c r="N42">
        <v>16199.4</v>
      </c>
      <c r="O42" t="s">
        <v>126</v>
      </c>
      <c r="P42">
        <v>3.0000000000000001E-3</v>
      </c>
      <c r="Q42" t="s">
        <v>249</v>
      </c>
      <c r="R42">
        <v>5.9999999999999995E-4</v>
      </c>
      <c r="S42" t="s">
        <v>249</v>
      </c>
      <c r="T42">
        <v>1</v>
      </c>
      <c r="U42">
        <v>48.598199999999999</v>
      </c>
      <c r="V42">
        <v>9.7196399999999983</v>
      </c>
      <c r="X42" s="166">
        <v>3.9364541999999991</v>
      </c>
      <c r="Y42" s="161" t="s">
        <v>33</v>
      </c>
    </row>
    <row r="43" spans="1:25" x14ac:dyDescent="0.25">
      <c r="F43" t="s">
        <v>131</v>
      </c>
      <c r="G43" t="s">
        <v>72</v>
      </c>
      <c r="H43">
        <v>1</v>
      </c>
      <c r="I43">
        <v>2016.2629999999999</v>
      </c>
      <c r="J43" t="s">
        <v>132</v>
      </c>
      <c r="K43">
        <v>1026</v>
      </c>
      <c r="L43" t="s">
        <v>133</v>
      </c>
      <c r="M43" t="s">
        <v>118</v>
      </c>
      <c r="N43">
        <v>2068685.838</v>
      </c>
      <c r="O43" t="s">
        <v>248</v>
      </c>
      <c r="P43">
        <v>1E-3</v>
      </c>
      <c r="Q43" t="s">
        <v>249</v>
      </c>
      <c r="R43">
        <v>1E-4</v>
      </c>
      <c r="S43" t="s">
        <v>249</v>
      </c>
      <c r="T43">
        <v>1</v>
      </c>
      <c r="U43">
        <v>2068.6858379999999</v>
      </c>
      <c r="V43">
        <v>206.86858380000001</v>
      </c>
      <c r="X43" s="166">
        <v>112.743378171</v>
      </c>
      <c r="Y43" s="161" t="s">
        <v>131</v>
      </c>
    </row>
    <row r="44" spans="1:25" x14ac:dyDescent="0.25">
      <c r="A44" s="157"/>
      <c r="B44" s="158"/>
      <c r="F44" t="s">
        <v>134</v>
      </c>
      <c r="G44" t="s">
        <v>72</v>
      </c>
      <c r="H44">
        <v>1</v>
      </c>
      <c r="I44">
        <v>8.0619999999999994</v>
      </c>
      <c r="J44" t="s">
        <v>132</v>
      </c>
      <c r="K44">
        <v>1026</v>
      </c>
      <c r="L44" t="s">
        <v>133</v>
      </c>
      <c r="M44" t="s">
        <v>118</v>
      </c>
      <c r="N44">
        <v>8271.6119999999992</v>
      </c>
      <c r="O44" t="s">
        <v>126</v>
      </c>
      <c r="P44">
        <v>1E-3</v>
      </c>
      <c r="Q44" t="s">
        <v>249</v>
      </c>
      <c r="R44">
        <v>1E-4</v>
      </c>
      <c r="S44" t="s">
        <v>249</v>
      </c>
      <c r="T44">
        <v>1</v>
      </c>
      <c r="U44">
        <v>8.2716119999999993</v>
      </c>
      <c r="V44">
        <v>0.82716119999999993</v>
      </c>
      <c r="X44" s="166">
        <v>0.45080285399999998</v>
      </c>
      <c r="Y44" s="161" t="s">
        <v>134</v>
      </c>
    </row>
    <row r="45" spans="1:25" x14ac:dyDescent="0.25">
      <c r="A45" s="157"/>
      <c r="B45" s="159"/>
      <c r="C45" s="71"/>
      <c r="D45" s="72"/>
      <c r="F45" t="s">
        <v>36</v>
      </c>
      <c r="G45" t="s">
        <v>72</v>
      </c>
      <c r="H45">
        <v>1</v>
      </c>
      <c r="I45">
        <v>432.65300000000002</v>
      </c>
      <c r="J45" t="s">
        <v>132</v>
      </c>
      <c r="K45">
        <v>1026</v>
      </c>
      <c r="L45" t="s">
        <v>133</v>
      </c>
      <c r="M45" t="s">
        <v>118</v>
      </c>
      <c r="N45">
        <v>443901.978</v>
      </c>
      <c r="O45" t="s">
        <v>248</v>
      </c>
      <c r="P45">
        <v>1E-3</v>
      </c>
      <c r="Q45" t="s">
        <v>249</v>
      </c>
      <c r="R45">
        <v>1E-4</v>
      </c>
      <c r="S45" t="s">
        <v>249</v>
      </c>
      <c r="T45">
        <v>1</v>
      </c>
      <c r="U45">
        <v>443.90197799999999</v>
      </c>
      <c r="V45">
        <v>44.390197800000003</v>
      </c>
      <c r="X45" s="166">
        <v>24.192657801000003</v>
      </c>
      <c r="Y45" s="161" t="s">
        <v>36</v>
      </c>
    </row>
    <row r="46" spans="1:25" x14ac:dyDescent="0.25">
      <c r="A46" s="157"/>
      <c r="B46" s="159"/>
      <c r="C46" s="71"/>
      <c r="D46" s="72"/>
      <c r="F46" t="s">
        <v>37</v>
      </c>
      <c r="G46" t="s">
        <v>72</v>
      </c>
      <c r="H46">
        <v>1</v>
      </c>
      <c r="I46">
        <v>11629.411</v>
      </c>
      <c r="J46" t="s">
        <v>132</v>
      </c>
      <c r="K46">
        <v>1026</v>
      </c>
      <c r="L46" t="s">
        <v>133</v>
      </c>
      <c r="M46" t="s">
        <v>118</v>
      </c>
      <c r="N46">
        <v>11931775.686000001</v>
      </c>
      <c r="O46" t="s">
        <v>126</v>
      </c>
      <c r="P46">
        <v>1E-3</v>
      </c>
      <c r="Q46" t="s">
        <v>249</v>
      </c>
      <c r="R46">
        <v>1E-4</v>
      </c>
      <c r="S46" t="s">
        <v>249</v>
      </c>
      <c r="T46">
        <v>1</v>
      </c>
      <c r="U46">
        <v>11931.775686000001</v>
      </c>
      <c r="V46">
        <v>1193.1775686000001</v>
      </c>
      <c r="X46" s="166">
        <v>650.28177488699998</v>
      </c>
      <c r="Y46" s="161" t="s">
        <v>37</v>
      </c>
    </row>
    <row r="47" spans="1:25" x14ac:dyDescent="0.25">
      <c r="A47" s="157"/>
      <c r="B47" s="159"/>
      <c r="F47" t="s">
        <v>38</v>
      </c>
      <c r="G47" t="s">
        <v>72</v>
      </c>
      <c r="H47">
        <v>1</v>
      </c>
      <c r="I47">
        <v>13.398</v>
      </c>
      <c r="J47" t="s">
        <v>132</v>
      </c>
      <c r="K47">
        <v>1026</v>
      </c>
      <c r="L47" t="s">
        <v>133</v>
      </c>
      <c r="M47" t="s">
        <v>118</v>
      </c>
      <c r="N47">
        <v>13746.348</v>
      </c>
      <c r="O47" t="s">
        <v>248</v>
      </c>
      <c r="P47">
        <v>1E-3</v>
      </c>
      <c r="Q47" t="s">
        <v>249</v>
      </c>
      <c r="R47">
        <v>1E-4</v>
      </c>
      <c r="S47" t="s">
        <v>249</v>
      </c>
      <c r="T47">
        <v>1</v>
      </c>
      <c r="U47">
        <v>13.746348000000001</v>
      </c>
      <c r="V47">
        <v>1.3746348000000002</v>
      </c>
      <c r="X47" s="166">
        <v>0.74917596600000003</v>
      </c>
      <c r="Y47" s="161" t="s">
        <v>38</v>
      </c>
    </row>
    <row r="48" spans="1:25" x14ac:dyDescent="0.25">
      <c r="A48" s="157"/>
      <c r="B48" s="159"/>
      <c r="F48" t="s">
        <v>179</v>
      </c>
      <c r="G48" t="s">
        <v>72</v>
      </c>
      <c r="H48">
        <v>1</v>
      </c>
      <c r="I48">
        <v>4.5789999999999997</v>
      </c>
      <c r="J48" t="s">
        <v>132</v>
      </c>
      <c r="K48">
        <v>1026</v>
      </c>
      <c r="L48" t="s">
        <v>133</v>
      </c>
      <c r="M48" t="s">
        <v>118</v>
      </c>
      <c r="N48">
        <v>4698.0540000000001</v>
      </c>
      <c r="O48" t="s">
        <v>126</v>
      </c>
      <c r="P48">
        <v>1E-3</v>
      </c>
      <c r="Q48" t="s">
        <v>249</v>
      </c>
      <c r="R48">
        <v>1E-4</v>
      </c>
      <c r="S48" t="s">
        <v>249</v>
      </c>
      <c r="T48">
        <v>1</v>
      </c>
      <c r="U48">
        <v>4.698054</v>
      </c>
      <c r="V48">
        <v>0.46980540000000004</v>
      </c>
      <c r="X48" s="166">
        <v>0.256043943</v>
      </c>
      <c r="Y48" s="161" t="s">
        <v>179</v>
      </c>
    </row>
    <row r="49" spans="1:25" x14ac:dyDescent="0.25">
      <c r="A49" s="157"/>
      <c r="B49" s="159"/>
      <c r="H49">
        <v>1</v>
      </c>
      <c r="I49">
        <v>0</v>
      </c>
      <c r="J49">
        <v>0</v>
      </c>
      <c r="K49">
        <v>0</v>
      </c>
      <c r="L49" t="s">
        <v>180</v>
      </c>
      <c r="M49" t="s">
        <v>180</v>
      </c>
      <c r="N49" t="s">
        <v>180</v>
      </c>
      <c r="X49" s="166"/>
      <c r="Y49" s="161"/>
    </row>
    <row r="50" spans="1:25" x14ac:dyDescent="0.25">
      <c r="A50" s="157"/>
      <c r="B50" s="159"/>
      <c r="F50" t="s">
        <v>64</v>
      </c>
      <c r="H50">
        <v>1</v>
      </c>
      <c r="I50">
        <v>0</v>
      </c>
      <c r="J50">
        <v>0</v>
      </c>
      <c r="K50">
        <v>16.826000000000001</v>
      </c>
      <c r="L50" t="s">
        <v>251</v>
      </c>
      <c r="M50" t="s">
        <v>118</v>
      </c>
      <c r="N50">
        <v>11935557.029999999</v>
      </c>
      <c r="O50" t="s">
        <v>126</v>
      </c>
      <c r="P50">
        <v>1E-3</v>
      </c>
      <c r="Q50" t="s">
        <v>249</v>
      </c>
      <c r="R50">
        <v>1E-4</v>
      </c>
      <c r="S50" t="s">
        <v>249</v>
      </c>
      <c r="T50">
        <v>1</v>
      </c>
      <c r="U50">
        <v>11935.55703</v>
      </c>
      <c r="V50">
        <v>1193.555703</v>
      </c>
      <c r="X50" s="166">
        <v>650.48785813500001</v>
      </c>
      <c r="Y50" s="161" t="s">
        <v>64</v>
      </c>
    </row>
    <row r="51" spans="1:25" x14ac:dyDescent="0.25">
      <c r="A51" s="157"/>
      <c r="B51" s="159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8" customFormat="1" ht="15" customHeight="1" thickBot="1" x14ac:dyDescent="0.3">
      <c r="A1" s="143" t="s">
        <v>172</v>
      </c>
      <c r="B1" s="144">
        <v>2020</v>
      </c>
      <c r="G1" s="177"/>
      <c r="H1" s="177"/>
      <c r="I1" s="177"/>
      <c r="J1" s="177"/>
    </row>
    <row r="2" spans="1:10" s="148" customFormat="1" ht="15" customHeight="1" x14ac:dyDescent="0.35">
      <c r="A2" s="137"/>
      <c r="B2" s="178" t="s">
        <v>230</v>
      </c>
      <c r="C2" s="178"/>
      <c r="D2" s="178"/>
      <c r="E2" s="179"/>
      <c r="F2" s="164">
        <v>0.437</v>
      </c>
      <c r="G2" s="148" t="s">
        <v>258</v>
      </c>
      <c r="H2" s="145"/>
      <c r="I2" s="145"/>
      <c r="J2" s="145"/>
    </row>
    <row r="3" spans="1:10" s="148" customFormat="1" ht="15" customHeight="1" x14ac:dyDescent="0.35">
      <c r="E3" s="148" t="s">
        <v>173</v>
      </c>
      <c r="F3" s="140">
        <f>'Known Resources'!C41</f>
        <v>0.2402854041787427</v>
      </c>
      <c r="G3" s="148" t="s">
        <v>258</v>
      </c>
    </row>
    <row r="4" spans="1:10" ht="49.5" customHeight="1" x14ac:dyDescent="0.25">
      <c r="A4" s="141" t="s">
        <v>157</v>
      </c>
      <c r="B4" s="141" t="s">
        <v>158</v>
      </c>
      <c r="D4" s="141" t="s">
        <v>157</v>
      </c>
      <c r="E4" s="141" t="s">
        <v>159</v>
      </c>
      <c r="F4" s="141" t="s">
        <v>174</v>
      </c>
      <c r="G4" s="142" t="s">
        <v>231</v>
      </c>
      <c r="J4" s="161"/>
    </row>
    <row r="5" spans="1:10" ht="15" customHeight="1" x14ac:dyDescent="0.25">
      <c r="A5" s="162" t="s">
        <v>195</v>
      </c>
      <c r="B5" s="150">
        <v>156211</v>
      </c>
      <c r="C5" s="148"/>
      <c r="D5" s="162" t="s">
        <v>195</v>
      </c>
      <c r="E5" s="150">
        <v>113483</v>
      </c>
      <c r="F5" s="151">
        <f>B5-E5</f>
        <v>42728</v>
      </c>
      <c r="G5" s="153">
        <f>IF(F5&gt;0,F5*$F$2,F5*$F$3)</f>
        <v>18672.135999999999</v>
      </c>
    </row>
    <row r="6" spans="1:10" ht="15" customHeight="1" x14ac:dyDescent="0.25">
      <c r="A6" s="162" t="s">
        <v>47</v>
      </c>
      <c r="B6" s="150">
        <v>425</v>
      </c>
      <c r="C6" s="148"/>
      <c r="D6" s="162" t="s">
        <v>47</v>
      </c>
      <c r="E6" s="150">
        <v>6415</v>
      </c>
      <c r="F6" s="151">
        <f t="shared" ref="F6:F56" si="0">B6-E6</f>
        <v>-5990</v>
      </c>
      <c r="G6" s="153">
        <f t="shared" ref="G6:G56" si="1">IF(F6&gt;0,F6*$F$2,F6*$F$3)</f>
        <v>-1439.3095710306688</v>
      </c>
    </row>
    <row r="7" spans="1:10" ht="15" customHeight="1" x14ac:dyDescent="0.25">
      <c r="A7" s="162" t="s">
        <v>160</v>
      </c>
      <c r="B7" s="150">
        <v>163604</v>
      </c>
      <c r="C7" s="148"/>
      <c r="D7" s="162" t="s">
        <v>160</v>
      </c>
      <c r="E7" s="150">
        <v>94970</v>
      </c>
      <c r="F7" s="151">
        <f t="shared" si="0"/>
        <v>68634</v>
      </c>
      <c r="G7" s="153">
        <f t="shared" si="1"/>
        <v>29993.058000000001</v>
      </c>
    </row>
    <row r="8" spans="1:10" ht="15" customHeight="1" x14ac:dyDescent="0.25">
      <c r="A8" s="162" t="s">
        <v>48</v>
      </c>
      <c r="B8" s="150">
        <v>5800</v>
      </c>
      <c r="C8" s="151"/>
      <c r="D8" s="162" t="s">
        <v>48</v>
      </c>
      <c r="E8" s="150">
        <v>146071</v>
      </c>
      <c r="F8" s="151">
        <f t="shared" si="0"/>
        <v>-140271</v>
      </c>
      <c r="G8" s="153">
        <f t="shared" si="1"/>
        <v>-33705.07392955642</v>
      </c>
    </row>
    <row r="9" spans="1:10" ht="15" customHeight="1" x14ac:dyDescent="0.25">
      <c r="A9" s="162" t="s">
        <v>181</v>
      </c>
      <c r="B9" s="150">
        <v>0</v>
      </c>
      <c r="C9" s="148"/>
      <c r="D9" s="162" t="s">
        <v>181</v>
      </c>
      <c r="E9" s="150">
        <v>26</v>
      </c>
      <c r="F9" s="151">
        <f t="shared" si="0"/>
        <v>-26</v>
      </c>
      <c r="G9" s="153">
        <f t="shared" si="1"/>
        <v>-6.24742050864731</v>
      </c>
    </row>
    <row r="10" spans="1:10" ht="15" customHeight="1" x14ac:dyDescent="0.25">
      <c r="A10" s="162" t="s">
        <v>161</v>
      </c>
      <c r="B10" s="150">
        <v>7444</v>
      </c>
      <c r="C10" s="151"/>
      <c r="D10" s="162" t="s">
        <v>161</v>
      </c>
      <c r="E10" s="150">
        <v>408</v>
      </c>
      <c r="F10" s="151">
        <f t="shared" si="0"/>
        <v>7036</v>
      </c>
      <c r="G10" s="153">
        <f t="shared" si="1"/>
        <v>3074.732</v>
      </c>
    </row>
    <row r="11" spans="1:10" ht="15" customHeight="1" x14ac:dyDescent="0.25">
      <c r="A11" s="162" t="s">
        <v>196</v>
      </c>
      <c r="B11" s="150">
        <v>5391</v>
      </c>
      <c r="C11" s="148"/>
      <c r="D11" s="162" t="s">
        <v>196</v>
      </c>
      <c r="E11" s="150">
        <v>378009</v>
      </c>
      <c r="F11" s="151">
        <f t="shared" si="0"/>
        <v>-372618</v>
      </c>
      <c r="G11" s="153">
        <f t="shared" si="1"/>
        <v>-89534.666734274739</v>
      </c>
    </row>
    <row r="12" spans="1:10" ht="15" customHeight="1" x14ac:dyDescent="0.25">
      <c r="A12" s="162" t="s">
        <v>175</v>
      </c>
      <c r="B12" s="150">
        <v>7828</v>
      </c>
      <c r="C12" s="148"/>
      <c r="D12" s="162" t="s">
        <v>175</v>
      </c>
      <c r="E12" s="150">
        <v>6805</v>
      </c>
      <c r="F12" s="151">
        <f t="shared" si="0"/>
        <v>1023</v>
      </c>
      <c r="G12" s="153">
        <f t="shared" si="1"/>
        <v>447.05099999999999</v>
      </c>
    </row>
    <row r="13" spans="1:10" ht="15" customHeight="1" x14ac:dyDescent="0.25">
      <c r="A13" s="162" t="s">
        <v>49</v>
      </c>
      <c r="B13" s="150">
        <v>0</v>
      </c>
      <c r="C13" s="148"/>
      <c r="D13" s="162" t="s">
        <v>49</v>
      </c>
      <c r="E13" s="150">
        <v>2400</v>
      </c>
      <c r="F13" s="151">
        <f t="shared" si="0"/>
        <v>-2400</v>
      </c>
      <c r="G13" s="153">
        <f t="shared" si="1"/>
        <v>-576.68497002898243</v>
      </c>
    </row>
    <row r="14" spans="1:10" ht="15" customHeight="1" x14ac:dyDescent="0.25">
      <c r="A14" s="162" t="s">
        <v>197</v>
      </c>
      <c r="B14" s="150">
        <v>732</v>
      </c>
      <c r="C14" s="148"/>
      <c r="D14" s="162" t="s">
        <v>197</v>
      </c>
      <c r="E14" s="150">
        <v>1340</v>
      </c>
      <c r="F14" s="151">
        <f t="shared" si="0"/>
        <v>-608</v>
      </c>
      <c r="G14" s="153">
        <f t="shared" si="1"/>
        <v>-146.09352574067555</v>
      </c>
    </row>
    <row r="15" spans="1:10" ht="15" customHeight="1" x14ac:dyDescent="0.25">
      <c r="A15" s="162" t="s">
        <v>176</v>
      </c>
      <c r="B15" s="150">
        <v>28095</v>
      </c>
      <c r="C15" s="148"/>
      <c r="D15" s="162" t="s">
        <v>220</v>
      </c>
      <c r="E15" s="150">
        <v>15076</v>
      </c>
      <c r="F15" s="151">
        <f t="shared" si="0"/>
        <v>13019</v>
      </c>
      <c r="G15" s="153">
        <f t="shared" si="1"/>
        <v>5689.3029999999999</v>
      </c>
    </row>
    <row r="16" spans="1:10" ht="15" customHeight="1" x14ac:dyDescent="0.25">
      <c r="A16" s="162" t="s">
        <v>50</v>
      </c>
      <c r="B16" s="150">
        <v>857</v>
      </c>
      <c r="C16" s="148"/>
      <c r="D16" s="162" t="s">
        <v>162</v>
      </c>
      <c r="E16" s="150">
        <v>74341</v>
      </c>
      <c r="F16" s="151">
        <f t="shared" si="0"/>
        <v>-73484</v>
      </c>
      <c r="G16" s="153">
        <f t="shared" si="1"/>
        <v>-17657.132640670727</v>
      </c>
    </row>
    <row r="17" spans="1:7" ht="15" customHeight="1" x14ac:dyDescent="0.25">
      <c r="A17" s="162" t="s">
        <v>218</v>
      </c>
      <c r="B17" s="150">
        <v>44</v>
      </c>
      <c r="C17" s="148"/>
      <c r="D17" s="162" t="s">
        <v>218</v>
      </c>
      <c r="E17" s="150">
        <v>0</v>
      </c>
      <c r="F17" s="151">
        <f t="shared" si="0"/>
        <v>44</v>
      </c>
      <c r="G17" s="153">
        <f t="shared" si="1"/>
        <v>19.228000000000002</v>
      </c>
    </row>
    <row r="18" spans="1:7" ht="15" customHeight="1" x14ac:dyDescent="0.25">
      <c r="A18" s="162" t="s">
        <v>198</v>
      </c>
      <c r="B18" s="150">
        <v>584</v>
      </c>
      <c r="C18" s="148"/>
      <c r="D18" s="162" t="s">
        <v>198</v>
      </c>
      <c r="E18" s="150">
        <v>2931</v>
      </c>
      <c r="F18" s="151">
        <f t="shared" si="0"/>
        <v>-2347</v>
      </c>
      <c r="G18" s="153">
        <f t="shared" si="1"/>
        <v>-563.94984360750914</v>
      </c>
    </row>
    <row r="19" spans="1:7" ht="15" customHeight="1" x14ac:dyDescent="0.25">
      <c r="A19" s="162" t="s">
        <v>51</v>
      </c>
      <c r="B19" s="150">
        <v>28351</v>
      </c>
      <c r="C19" s="148"/>
      <c r="D19" s="162" t="s">
        <v>51</v>
      </c>
      <c r="E19" s="150">
        <v>33551</v>
      </c>
      <c r="F19" s="151">
        <f t="shared" si="0"/>
        <v>-5200</v>
      </c>
      <c r="G19" s="153">
        <f t="shared" si="1"/>
        <v>-1249.4841017294621</v>
      </c>
    </row>
    <row r="20" spans="1:7" ht="15" customHeight="1" x14ac:dyDescent="0.25">
      <c r="A20" s="162" t="s">
        <v>163</v>
      </c>
      <c r="B20" s="150">
        <v>2934</v>
      </c>
      <c r="C20" s="148"/>
      <c r="D20" s="162" t="s">
        <v>163</v>
      </c>
      <c r="E20" s="150">
        <v>5552</v>
      </c>
      <c r="F20" s="151">
        <f t="shared" si="0"/>
        <v>-2618</v>
      </c>
      <c r="G20" s="153">
        <f t="shared" si="1"/>
        <v>-629.06718813994837</v>
      </c>
    </row>
    <row r="21" spans="1:7" ht="15" customHeight="1" x14ac:dyDescent="0.25">
      <c r="A21" s="162" t="s">
        <v>52</v>
      </c>
      <c r="B21" s="150">
        <v>19721</v>
      </c>
      <c r="C21" s="148"/>
      <c r="D21" s="162" t="s">
        <v>52</v>
      </c>
      <c r="E21" s="150">
        <v>19302</v>
      </c>
      <c r="F21" s="151">
        <f t="shared" si="0"/>
        <v>419</v>
      </c>
      <c r="G21" s="153">
        <f t="shared" si="1"/>
        <v>183.10300000000001</v>
      </c>
    </row>
    <row r="22" spans="1:7" ht="15" customHeight="1" x14ac:dyDescent="0.25">
      <c r="A22" s="162" t="s">
        <v>53</v>
      </c>
      <c r="B22" s="150">
        <v>18</v>
      </c>
      <c r="C22" s="148"/>
      <c r="D22" s="162" t="s">
        <v>53</v>
      </c>
      <c r="E22" s="150">
        <v>5</v>
      </c>
      <c r="F22" s="151">
        <f t="shared" si="0"/>
        <v>13</v>
      </c>
      <c r="G22" s="153">
        <f t="shared" si="1"/>
        <v>5.681</v>
      </c>
    </row>
    <row r="23" spans="1:7" ht="15" customHeight="1" x14ac:dyDescent="0.25">
      <c r="A23" s="162" t="s">
        <v>199</v>
      </c>
      <c r="B23" s="150">
        <v>17</v>
      </c>
      <c r="C23" s="148"/>
      <c r="D23" s="162" t="s">
        <v>199</v>
      </c>
      <c r="E23" s="150">
        <v>174</v>
      </c>
      <c r="F23" s="151">
        <f t="shared" si="0"/>
        <v>-157</v>
      </c>
      <c r="G23" s="153">
        <f t="shared" si="1"/>
        <v>-37.724808456062604</v>
      </c>
    </row>
    <row r="24" spans="1:7" ht="15" customHeight="1" x14ac:dyDescent="0.25">
      <c r="A24" s="162" t="s">
        <v>200</v>
      </c>
      <c r="B24" s="150">
        <v>2161</v>
      </c>
      <c r="C24" s="148"/>
      <c r="D24" s="162" t="s">
        <v>200</v>
      </c>
      <c r="E24" s="150">
        <v>0</v>
      </c>
      <c r="F24" s="151">
        <f t="shared" si="0"/>
        <v>2161</v>
      </c>
      <c r="G24" s="153">
        <f t="shared" si="1"/>
        <v>944.35699999999997</v>
      </c>
    </row>
    <row r="25" spans="1:7" ht="15" customHeight="1" x14ac:dyDescent="0.25">
      <c r="A25" s="162" t="s">
        <v>54</v>
      </c>
      <c r="B25" s="150">
        <v>25808</v>
      </c>
      <c r="C25" s="148"/>
      <c r="D25" s="162" t="s">
        <v>54</v>
      </c>
      <c r="E25" s="150">
        <v>12802</v>
      </c>
      <c r="F25" s="151">
        <f t="shared" si="0"/>
        <v>13006</v>
      </c>
      <c r="G25" s="153">
        <f t="shared" si="1"/>
        <v>5683.6220000000003</v>
      </c>
    </row>
    <row r="26" spans="1:7" ht="15" customHeight="1" x14ac:dyDescent="0.25">
      <c r="A26" s="162" t="s">
        <v>164</v>
      </c>
      <c r="B26" s="150">
        <v>165</v>
      </c>
      <c r="C26" s="148"/>
      <c r="D26" s="162" t="s">
        <v>164</v>
      </c>
      <c r="E26" s="150">
        <v>0</v>
      </c>
      <c r="F26" s="151">
        <f t="shared" si="0"/>
        <v>165</v>
      </c>
      <c r="G26" s="153">
        <f t="shared" si="1"/>
        <v>72.105000000000004</v>
      </c>
    </row>
    <row r="27" spans="1:7" ht="15" customHeight="1" x14ac:dyDescent="0.25">
      <c r="A27" s="162" t="s">
        <v>55</v>
      </c>
      <c r="B27" s="150">
        <v>2063</v>
      </c>
      <c r="C27" s="148"/>
      <c r="D27" s="162" t="s">
        <v>55</v>
      </c>
      <c r="E27" s="150">
        <v>2122</v>
      </c>
      <c r="F27" s="151">
        <f t="shared" si="0"/>
        <v>-59</v>
      </c>
      <c r="G27" s="153">
        <f t="shared" si="1"/>
        <v>-14.176838846545818</v>
      </c>
    </row>
    <row r="28" spans="1:7" ht="15" customHeight="1" x14ac:dyDescent="0.25">
      <c r="A28" s="162" t="s">
        <v>56</v>
      </c>
      <c r="B28" s="150">
        <v>30787</v>
      </c>
      <c r="C28" s="148"/>
      <c r="D28" s="162" t="s">
        <v>56</v>
      </c>
      <c r="E28" s="150">
        <v>113704</v>
      </c>
      <c r="F28" s="151">
        <f t="shared" si="0"/>
        <v>-82917</v>
      </c>
      <c r="G28" s="153">
        <f t="shared" si="1"/>
        <v>-19923.744858288806</v>
      </c>
    </row>
    <row r="29" spans="1:7" ht="15" customHeight="1" x14ac:dyDescent="0.25">
      <c r="A29" s="162" t="s">
        <v>221</v>
      </c>
      <c r="B29" s="150">
        <v>0</v>
      </c>
      <c r="C29" s="148"/>
      <c r="D29" s="162" t="s">
        <v>221</v>
      </c>
      <c r="E29" s="150">
        <v>330</v>
      </c>
      <c r="F29" s="151">
        <f t="shared" si="0"/>
        <v>-330</v>
      </c>
      <c r="G29" s="153">
        <f t="shared" si="1"/>
        <v>-79.294183378985096</v>
      </c>
    </row>
    <row r="30" spans="1:7" ht="15" customHeight="1" x14ac:dyDescent="0.25">
      <c r="A30" s="162" t="s">
        <v>57</v>
      </c>
      <c r="B30" s="150">
        <v>49499</v>
      </c>
      <c r="C30" s="148"/>
      <c r="D30" s="162" t="s">
        <v>57</v>
      </c>
      <c r="E30" s="150">
        <v>936723</v>
      </c>
      <c r="F30" s="151">
        <f t="shared" si="0"/>
        <v>-887224</v>
      </c>
      <c r="G30" s="153">
        <f t="shared" si="1"/>
        <v>-213186.97743708082</v>
      </c>
    </row>
    <row r="31" spans="1:7" ht="15" customHeight="1" x14ac:dyDescent="0.25">
      <c r="A31" s="162" t="s">
        <v>213</v>
      </c>
      <c r="B31" s="150">
        <v>0</v>
      </c>
      <c r="C31" s="148"/>
      <c r="D31" s="162" t="s">
        <v>213</v>
      </c>
      <c r="E31" s="150">
        <v>139</v>
      </c>
      <c r="F31" s="151">
        <f t="shared" si="0"/>
        <v>-139</v>
      </c>
      <c r="G31" s="153">
        <f t="shared" si="1"/>
        <v>-33.399671180845232</v>
      </c>
    </row>
    <row r="32" spans="1:7" ht="15" customHeight="1" x14ac:dyDescent="0.25">
      <c r="A32" s="162" t="s">
        <v>201</v>
      </c>
      <c r="B32" s="150">
        <v>0</v>
      </c>
      <c r="C32" s="148"/>
      <c r="D32" s="162" t="s">
        <v>201</v>
      </c>
      <c r="E32" s="150">
        <v>675</v>
      </c>
      <c r="F32" s="151">
        <f t="shared" si="0"/>
        <v>-675</v>
      </c>
      <c r="G32" s="153">
        <f t="shared" si="1"/>
        <v>-162.19264782065133</v>
      </c>
    </row>
    <row r="33" spans="1:7" ht="15" customHeight="1" x14ac:dyDescent="0.25">
      <c r="A33" s="162" t="s">
        <v>202</v>
      </c>
      <c r="B33" s="150">
        <v>7850</v>
      </c>
      <c r="C33" s="148"/>
      <c r="D33" s="162" t="s">
        <v>222</v>
      </c>
      <c r="E33" s="150">
        <v>378</v>
      </c>
      <c r="F33" s="151">
        <f t="shared" si="0"/>
        <v>7472</v>
      </c>
      <c r="G33" s="153">
        <f t="shared" si="1"/>
        <v>3265.2640000000001</v>
      </c>
    </row>
    <row r="34" spans="1:7" ht="15" customHeight="1" x14ac:dyDescent="0.25">
      <c r="A34" s="162" t="s">
        <v>165</v>
      </c>
      <c r="B34" s="150">
        <v>27638</v>
      </c>
      <c r="C34" s="148"/>
      <c r="D34" s="162" t="s">
        <v>165</v>
      </c>
      <c r="E34" s="150">
        <v>86345</v>
      </c>
      <c r="F34" s="151">
        <f t="shared" si="0"/>
        <v>-58707</v>
      </c>
      <c r="G34" s="153">
        <f t="shared" si="1"/>
        <v>-14106.435223121447</v>
      </c>
    </row>
    <row r="35" spans="1:7" ht="15" customHeight="1" x14ac:dyDescent="0.25">
      <c r="A35" s="162" t="s">
        <v>58</v>
      </c>
      <c r="B35" s="150">
        <v>31615</v>
      </c>
      <c r="C35" s="148"/>
      <c r="D35" s="162" t="s">
        <v>58</v>
      </c>
      <c r="E35" s="150">
        <v>102785</v>
      </c>
      <c r="F35" s="151">
        <f t="shared" si="0"/>
        <v>-71170</v>
      </c>
      <c r="G35" s="153">
        <f t="shared" si="1"/>
        <v>-17101.112215401117</v>
      </c>
    </row>
    <row r="36" spans="1:7" ht="15" customHeight="1" x14ac:dyDescent="0.25">
      <c r="A36" s="162" t="s">
        <v>166</v>
      </c>
      <c r="B36" s="150">
        <v>38448</v>
      </c>
      <c r="C36" s="154"/>
      <c r="D36" s="162" t="s">
        <v>166</v>
      </c>
      <c r="E36" s="150">
        <v>76183</v>
      </c>
      <c r="F36" s="151">
        <f t="shared" si="0"/>
        <v>-37735</v>
      </c>
      <c r="G36" s="153">
        <f t="shared" si="1"/>
        <v>-9067.169726684855</v>
      </c>
    </row>
    <row r="37" spans="1:7" ht="15" customHeight="1" x14ac:dyDescent="0.25">
      <c r="A37" s="162" t="s">
        <v>59</v>
      </c>
      <c r="B37" s="150">
        <v>59572</v>
      </c>
      <c r="C37" s="148"/>
      <c r="D37" s="162" t="s">
        <v>59</v>
      </c>
      <c r="E37" s="150">
        <v>39763</v>
      </c>
      <c r="F37" s="151">
        <f t="shared" si="0"/>
        <v>19809</v>
      </c>
      <c r="G37" s="153">
        <f t="shared" si="1"/>
        <v>8656.5329999999994</v>
      </c>
    </row>
    <row r="38" spans="1:7" ht="15" customHeight="1" x14ac:dyDescent="0.25">
      <c r="A38" s="162" t="s">
        <v>60</v>
      </c>
      <c r="B38" s="150">
        <v>9654</v>
      </c>
      <c r="C38" s="148"/>
      <c r="D38" s="162" t="s">
        <v>60</v>
      </c>
      <c r="E38" s="150">
        <v>2737</v>
      </c>
      <c r="F38" s="151">
        <f t="shared" si="0"/>
        <v>6917</v>
      </c>
      <c r="G38" s="153">
        <f t="shared" si="1"/>
        <v>3022.7289999999998</v>
      </c>
    </row>
    <row r="39" spans="1:7" ht="15" customHeight="1" x14ac:dyDescent="0.25">
      <c r="A39" s="162" t="s">
        <v>61</v>
      </c>
      <c r="B39" s="150">
        <v>7050</v>
      </c>
      <c r="C39" s="148"/>
      <c r="D39" s="162" t="s">
        <v>61</v>
      </c>
      <c r="E39" s="150">
        <v>5720</v>
      </c>
      <c r="F39" s="151">
        <f t="shared" si="0"/>
        <v>1330</v>
      </c>
      <c r="G39" s="153">
        <f t="shared" si="1"/>
        <v>581.21</v>
      </c>
    </row>
    <row r="40" spans="1:7" ht="15" customHeight="1" x14ac:dyDescent="0.25">
      <c r="A40" s="162" t="s">
        <v>62</v>
      </c>
      <c r="B40" s="150">
        <v>11086</v>
      </c>
      <c r="C40" s="148"/>
      <c r="D40" s="162" t="s">
        <v>62</v>
      </c>
      <c r="E40" s="150">
        <v>95086</v>
      </c>
      <c r="F40" s="151">
        <f t="shared" si="0"/>
        <v>-84000</v>
      </c>
      <c r="G40" s="153">
        <f t="shared" si="1"/>
        <v>-20183.973951014388</v>
      </c>
    </row>
    <row r="41" spans="1:7" ht="15" customHeight="1" x14ac:dyDescent="0.25">
      <c r="A41" s="162" t="s">
        <v>203</v>
      </c>
      <c r="B41" s="150">
        <v>15815</v>
      </c>
      <c r="C41" s="148"/>
      <c r="D41" s="162" t="s">
        <v>203</v>
      </c>
      <c r="E41" s="150">
        <v>6</v>
      </c>
      <c r="F41" s="151">
        <f t="shared" si="0"/>
        <v>15809</v>
      </c>
      <c r="G41" s="153">
        <f t="shared" si="1"/>
        <v>6908.5330000000004</v>
      </c>
    </row>
    <row r="42" spans="1:7" ht="15" customHeight="1" x14ac:dyDescent="0.25">
      <c r="A42" s="162" t="s">
        <v>167</v>
      </c>
      <c r="B42" s="150">
        <v>76859</v>
      </c>
      <c r="C42" s="148"/>
      <c r="D42" s="162" t="s">
        <v>167</v>
      </c>
      <c r="E42" s="150">
        <v>83389</v>
      </c>
      <c r="F42" s="151">
        <f t="shared" si="0"/>
        <v>-6530</v>
      </c>
      <c r="G42" s="153">
        <f t="shared" si="1"/>
        <v>-1569.0636892871898</v>
      </c>
    </row>
    <row r="43" spans="1:7" ht="15" customHeight="1" x14ac:dyDescent="0.25">
      <c r="A43" s="162" t="s">
        <v>63</v>
      </c>
      <c r="B43" s="150">
        <v>0</v>
      </c>
      <c r="C43" s="148"/>
      <c r="D43" s="162" t="s">
        <v>63</v>
      </c>
      <c r="E43" s="150">
        <v>10156</v>
      </c>
      <c r="F43" s="151">
        <f t="shared" si="0"/>
        <v>-10156</v>
      </c>
      <c r="G43" s="153">
        <f t="shared" si="1"/>
        <v>-2440.3385648393109</v>
      </c>
    </row>
    <row r="44" spans="1:7" ht="15" customHeight="1" x14ac:dyDescent="0.25">
      <c r="A44" s="162" t="s">
        <v>65</v>
      </c>
      <c r="B44" s="150">
        <v>14400</v>
      </c>
      <c r="C44" s="148"/>
      <c r="D44" s="162" t="s">
        <v>65</v>
      </c>
      <c r="E44" s="150">
        <v>10976</v>
      </c>
      <c r="F44" s="151">
        <f t="shared" si="0"/>
        <v>3424</v>
      </c>
      <c r="G44" s="153">
        <f t="shared" si="1"/>
        <v>1496.288</v>
      </c>
    </row>
    <row r="45" spans="1:7" ht="15" customHeight="1" x14ac:dyDescent="0.25">
      <c r="A45" s="162" t="s">
        <v>204</v>
      </c>
      <c r="B45" s="150">
        <v>110522</v>
      </c>
      <c r="C45" s="148"/>
      <c r="D45" s="162" t="s">
        <v>204</v>
      </c>
      <c r="E45" s="150">
        <v>184467</v>
      </c>
      <c r="F45" s="151">
        <f t="shared" si="0"/>
        <v>-73945</v>
      </c>
      <c r="G45" s="153">
        <f t="shared" si="1"/>
        <v>-17767.904211997127</v>
      </c>
    </row>
    <row r="46" spans="1:7" ht="15" customHeight="1" x14ac:dyDescent="0.25">
      <c r="A46" s="162" t="s">
        <v>66</v>
      </c>
      <c r="B46" s="150">
        <v>0</v>
      </c>
      <c r="C46" s="148"/>
      <c r="D46" s="162" t="s">
        <v>66</v>
      </c>
      <c r="E46" s="150">
        <v>851</v>
      </c>
      <c r="F46" s="151">
        <f t="shared" si="0"/>
        <v>-851</v>
      </c>
      <c r="G46" s="153">
        <f t="shared" si="1"/>
        <v>-204.48287895611003</v>
      </c>
    </row>
    <row r="47" spans="1:7" ht="15" customHeight="1" x14ac:dyDescent="0.25">
      <c r="A47" s="162" t="s">
        <v>219</v>
      </c>
      <c r="B47" s="150">
        <v>15310</v>
      </c>
      <c r="C47" s="148"/>
      <c r="D47" s="162" t="s">
        <v>219</v>
      </c>
      <c r="E47" s="150">
        <v>11065</v>
      </c>
      <c r="F47" s="151">
        <f t="shared" si="0"/>
        <v>4245</v>
      </c>
      <c r="G47" s="153">
        <f t="shared" si="1"/>
        <v>1855.0650000000001</v>
      </c>
    </row>
    <row r="48" spans="1:7" ht="15" customHeight="1" x14ac:dyDescent="0.25">
      <c r="A48" s="162" t="s">
        <v>223</v>
      </c>
      <c r="B48" s="150">
        <v>0</v>
      </c>
      <c r="C48" s="148"/>
      <c r="D48" s="162" t="s">
        <v>223</v>
      </c>
      <c r="E48" s="150">
        <v>1191</v>
      </c>
      <c r="F48" s="151">
        <f t="shared" si="0"/>
        <v>-1191</v>
      </c>
      <c r="G48" s="153">
        <f t="shared" si="1"/>
        <v>-286.17991637688255</v>
      </c>
    </row>
    <row r="49" spans="1:7" ht="15" customHeight="1" x14ac:dyDescent="0.25">
      <c r="A49" s="162" t="s">
        <v>67</v>
      </c>
      <c r="B49" s="150">
        <v>13777</v>
      </c>
      <c r="C49" s="148"/>
      <c r="D49" s="162" t="s">
        <v>67</v>
      </c>
      <c r="E49" s="150">
        <v>11241</v>
      </c>
      <c r="F49" s="151">
        <f t="shared" si="0"/>
        <v>2536</v>
      </c>
      <c r="G49" s="153">
        <f t="shared" si="1"/>
        <v>1108.232</v>
      </c>
    </row>
    <row r="50" spans="1:7" ht="15" customHeight="1" x14ac:dyDescent="0.25">
      <c r="A50" s="162" t="s">
        <v>205</v>
      </c>
      <c r="B50" s="150">
        <v>125281</v>
      </c>
      <c r="C50" s="154"/>
      <c r="D50" s="162" t="s">
        <v>205</v>
      </c>
      <c r="E50" s="150">
        <v>0</v>
      </c>
      <c r="F50" s="151">
        <f t="shared" si="0"/>
        <v>125281</v>
      </c>
      <c r="G50" s="153">
        <f t="shared" si="1"/>
        <v>54747.796999999999</v>
      </c>
    </row>
    <row r="51" spans="1:7" ht="15" customHeight="1" x14ac:dyDescent="0.25">
      <c r="A51" s="162" t="s">
        <v>68</v>
      </c>
      <c r="B51" s="150">
        <v>16371</v>
      </c>
      <c r="C51" s="148"/>
      <c r="D51" s="162" t="s">
        <v>68</v>
      </c>
      <c r="E51" s="150">
        <v>6001</v>
      </c>
      <c r="F51" s="151">
        <f t="shared" si="0"/>
        <v>10370</v>
      </c>
      <c r="G51" s="153">
        <f t="shared" si="1"/>
        <v>4531.6899999999996</v>
      </c>
    </row>
    <row r="52" spans="1:7" ht="15" customHeight="1" x14ac:dyDescent="0.25">
      <c r="A52" s="162" t="s">
        <v>214</v>
      </c>
      <c r="B52" s="150">
        <v>0</v>
      </c>
      <c r="C52" s="148"/>
      <c r="D52" s="162" t="s">
        <v>214</v>
      </c>
      <c r="E52" s="150">
        <v>14521</v>
      </c>
      <c r="F52" s="151">
        <f t="shared" si="0"/>
        <v>-14521</v>
      </c>
      <c r="G52" s="153">
        <f t="shared" si="1"/>
        <v>-3489.1843540795226</v>
      </c>
    </row>
    <row r="53" spans="1:7" ht="15" customHeight="1" x14ac:dyDescent="0.25">
      <c r="A53" s="162" t="s">
        <v>182</v>
      </c>
      <c r="B53" s="150">
        <v>1763</v>
      </c>
      <c r="C53" s="148"/>
      <c r="D53" s="162" t="s">
        <v>182</v>
      </c>
      <c r="E53" s="150">
        <v>3600</v>
      </c>
      <c r="F53" s="151">
        <f t="shared" si="0"/>
        <v>-1837</v>
      </c>
      <c r="G53" s="153">
        <f t="shared" si="1"/>
        <v>-441.40428747635031</v>
      </c>
    </row>
    <row r="54" spans="1:7" ht="15" customHeight="1" x14ac:dyDescent="0.25">
      <c r="A54" s="162" t="s">
        <v>206</v>
      </c>
      <c r="B54" s="150">
        <v>135547</v>
      </c>
      <c r="C54" s="148"/>
      <c r="D54" s="162" t="s">
        <v>206</v>
      </c>
      <c r="E54" s="150">
        <v>75778</v>
      </c>
      <c r="F54" s="151">
        <f t="shared" si="0"/>
        <v>59769</v>
      </c>
      <c r="G54" s="153">
        <f t="shared" si="1"/>
        <v>26119.053</v>
      </c>
    </row>
    <row r="55" spans="1:7" ht="15" customHeight="1" x14ac:dyDescent="0.25">
      <c r="A55" s="162" t="s">
        <v>168</v>
      </c>
      <c r="B55" s="150">
        <v>8045</v>
      </c>
      <c r="C55" s="148"/>
      <c r="D55" s="162" t="s">
        <v>224</v>
      </c>
      <c r="E55" s="150">
        <v>4800</v>
      </c>
      <c r="F55" s="151">
        <f t="shared" si="0"/>
        <v>3245</v>
      </c>
      <c r="G55" s="153">
        <f t="shared" si="1"/>
        <v>1418.0650000000001</v>
      </c>
    </row>
    <row r="56" spans="1:7" ht="15" customHeight="1" x14ac:dyDescent="0.25">
      <c r="A56" s="162" t="s">
        <v>207</v>
      </c>
      <c r="B56" s="150">
        <v>2800</v>
      </c>
      <c r="C56" s="148"/>
      <c r="D56" s="162" t="s">
        <v>207</v>
      </c>
      <c r="E56" s="150">
        <v>2000</v>
      </c>
      <c r="F56" s="151">
        <f t="shared" si="0"/>
        <v>800</v>
      </c>
      <c r="G56" s="153">
        <f t="shared" si="1"/>
        <v>349.6</v>
      </c>
    </row>
    <row r="57" spans="1:7" ht="15" customHeight="1" x14ac:dyDescent="0.25">
      <c r="A57" s="157"/>
      <c r="B57" s="159"/>
      <c r="C57" s="148"/>
      <c r="D57" s="149"/>
      <c r="E57" s="150"/>
      <c r="F57" s="151"/>
      <c r="G57" s="153"/>
    </row>
    <row r="58" spans="1:7" ht="15" customHeight="1" x14ac:dyDescent="0.25">
      <c r="A58" s="157"/>
      <c r="B58" s="159"/>
      <c r="C58" s="148"/>
      <c r="D58" s="149"/>
      <c r="E58" s="150"/>
      <c r="F58" s="151"/>
      <c r="G58" s="153"/>
    </row>
    <row r="59" spans="1:7" ht="15" customHeight="1" x14ac:dyDescent="0.25">
      <c r="A59" s="157"/>
      <c r="B59" s="159"/>
      <c r="C59" s="148"/>
      <c r="D59" s="149"/>
      <c r="E59" s="150"/>
      <c r="F59" s="151"/>
      <c r="G59" s="153"/>
    </row>
    <row r="60" spans="1:7" ht="15" customHeight="1" x14ac:dyDescent="0.25">
      <c r="A60" s="146"/>
      <c r="B60" s="147"/>
      <c r="D60" s="149"/>
      <c r="E60" s="150"/>
      <c r="F60" s="151"/>
      <c r="G60" s="153"/>
    </row>
    <row r="61" spans="1:7" ht="15" customHeight="1" x14ac:dyDescent="0.25">
      <c r="A61" s="146"/>
      <c r="B61" s="147"/>
      <c r="D61" s="149"/>
      <c r="E61" s="150"/>
      <c r="F61" s="151"/>
      <c r="G61" s="153"/>
    </row>
    <row r="63" spans="1:7" ht="15" customHeight="1" x14ac:dyDescent="0.25">
      <c r="A63" s="146"/>
      <c r="B63" s="147"/>
      <c r="D63" s="149"/>
      <c r="E63" s="150"/>
      <c r="F63" s="151">
        <f>SUM(F5:F61)</f>
        <v>-1528451</v>
      </c>
      <c r="G63" s="140">
        <f>SUM(G5:G61)/2000</f>
        <v>-143.37901719478737</v>
      </c>
    </row>
    <row r="64" spans="1:7" ht="15" customHeight="1" x14ac:dyDescent="0.25">
      <c r="A64" s="146"/>
      <c r="B64" s="147"/>
    </row>
    <row r="67" spans="1:7" ht="15" customHeight="1" x14ac:dyDescent="0.25">
      <c r="G67" s="151"/>
    </row>
    <row r="69" spans="1:7" ht="15" customHeight="1" x14ac:dyDescent="0.25">
      <c r="A69" s="146"/>
      <c r="B69" s="147"/>
      <c r="D69" s="149"/>
      <c r="E69" s="150"/>
    </row>
    <row r="70" spans="1:7" ht="15" customHeight="1" x14ac:dyDescent="0.25">
      <c r="G70" s="151"/>
    </row>
    <row r="71" spans="1:7" ht="15" customHeight="1" x14ac:dyDescent="0.25">
      <c r="A71" s="145"/>
      <c r="B71" s="145"/>
    </row>
    <row r="74" spans="1:7" ht="15" customHeight="1" x14ac:dyDescent="0.25">
      <c r="A74" s="146"/>
      <c r="B74" s="147"/>
      <c r="D74" s="149"/>
      <c r="E74" s="150"/>
    </row>
    <row r="75" spans="1:7" ht="15" customHeight="1" x14ac:dyDescent="0.25">
      <c r="G75" s="151"/>
    </row>
    <row r="76" spans="1:7" ht="15" customHeight="1" x14ac:dyDescent="0.25">
      <c r="A76" s="146"/>
      <c r="B76" s="147"/>
      <c r="D76" s="149"/>
      <c r="E76" s="150"/>
    </row>
    <row r="85" spans="1:7" ht="15" customHeight="1" x14ac:dyDescent="0.25">
      <c r="A85" s="146"/>
      <c r="B85" s="147"/>
      <c r="D85" s="149"/>
      <c r="E85" s="150"/>
    </row>
    <row r="86" spans="1:7" ht="15" customHeight="1" x14ac:dyDescent="0.25">
      <c r="A86" s="146"/>
      <c r="B86" s="147"/>
      <c r="D86" s="149"/>
      <c r="E86" s="150"/>
    </row>
    <row r="87" spans="1:7" ht="15" customHeight="1" x14ac:dyDescent="0.25">
      <c r="G87" s="151"/>
    </row>
    <row r="92" spans="1:7" ht="15" customHeight="1" x14ac:dyDescent="0.25">
      <c r="F92" s="151"/>
    </row>
    <row r="95" spans="1:7" ht="15" customHeight="1" x14ac:dyDescent="0.25">
      <c r="D95" s="149"/>
      <c r="E95" s="150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2024-05-29T07:00:00+00:00</OpenedDate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240397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3C0E2EA5FB1A45B3A6459D8BE64659" ma:contentTypeVersion="16" ma:contentTypeDescription="" ma:contentTypeScope="" ma:versionID="8852ccc8cc838c046a33df4f729c4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258807-58C4-42BF-9A10-9D864AA22337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C598B5-29C7-4DA3-BE0C-4FFFFE928E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2022-05-27T23:03:47Z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0x0101006E56B4D1795A2E4DB2F0B01679ED314A00E53C0E2EA5FB1A45B3A6459D8BE64659</vt:lpwstr>
  </property>
  <property fmtid="{D5CDD505-2E9C-101B-9397-08002B2CF9AE}" pid="3" name="_docset_NoMedatataSyncRequired">
    <vt:lpwstr>False</vt:lpwstr>
  </property>
</Properties>
</file>