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Aug/"/>
    </mc:Choice>
  </mc:AlternateContent>
  <xr:revisionPtr revIDLastSave="0" documentId="8_{1637E9A0-536B-4A45-BC74-722E14544F80}" xr6:coauthVersionLast="47" xr6:coauthVersionMax="47" xr10:uidLastSave="{00000000-0000-0000-0000-000000000000}"/>
  <bookViews>
    <workbookView xWindow="32535" yWindow="2055" windowWidth="21600" windowHeight="11385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Here'!$A$1:$H$146</definedName>
    <definedName name="_xlnm.Print_Area" localSheetId="1">'WA - Month 1'!$A$1:$E$57</definedName>
    <definedName name="_xlnm.Print_Area" localSheetId="2">'WA - Month 2'!$A$1:$E$57</definedName>
    <definedName name="_xlnm.Print_Area" localSheetId="3">'WA Month 3'!$A$1:$E$57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Here'!$D$19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23" l="1"/>
  <c r="E43" i="121"/>
  <c r="E23" i="121"/>
  <c r="D23" i="121"/>
  <c r="D43" i="122"/>
  <c r="D16" i="122"/>
  <c r="E43" i="122"/>
  <c r="D43" i="123"/>
  <c r="D44" i="123" s="1"/>
  <c r="D39" i="123"/>
  <c r="D21" i="123"/>
  <c r="D30" i="123" l="1"/>
  <c r="D47" i="123"/>
  <c r="E26" i="121" l="1"/>
  <c r="E23" i="122"/>
  <c r="D23" i="122"/>
  <c r="E11" i="122"/>
  <c r="D11" i="122"/>
  <c r="E130" i="125"/>
  <c r="E20" i="125"/>
  <c r="F20" i="125"/>
  <c r="G20" i="125"/>
  <c r="G21" i="125" s="1"/>
  <c r="H20" i="125"/>
  <c r="D21" i="125"/>
  <c r="D47" i="125" s="1"/>
  <c r="E21" i="125"/>
  <c r="F21" i="125"/>
  <c r="D10" i="125"/>
  <c r="E10" i="125"/>
  <c r="F10" i="125"/>
  <c r="G10" i="125"/>
  <c r="H10" i="125"/>
  <c r="F145" i="125"/>
  <c r="D144" i="125"/>
  <c r="D145" i="125" s="1"/>
  <c r="E144" i="125"/>
  <c r="F144" i="125"/>
  <c r="G144" i="125"/>
  <c r="H144" i="125"/>
  <c r="D130" i="125"/>
  <c r="F130" i="125"/>
  <c r="G130" i="125"/>
  <c r="H130" i="125"/>
  <c r="D120" i="125"/>
  <c r="F120" i="125"/>
  <c r="C120" i="125"/>
  <c r="D118" i="125"/>
  <c r="E118" i="125"/>
  <c r="F118" i="125"/>
  <c r="D116" i="125"/>
  <c r="E116" i="125"/>
  <c r="F116" i="125"/>
  <c r="G116" i="125"/>
  <c r="G118" i="125" s="1"/>
  <c r="H116" i="125"/>
  <c r="H118" i="125" s="1"/>
  <c r="D102" i="125"/>
  <c r="E102" i="125"/>
  <c r="F102" i="125"/>
  <c r="G102" i="125"/>
  <c r="H102" i="125"/>
  <c r="D95" i="125"/>
  <c r="E95" i="125"/>
  <c r="F95" i="125"/>
  <c r="G95" i="125"/>
  <c r="H95" i="125"/>
  <c r="D88" i="125"/>
  <c r="E88" i="125"/>
  <c r="F88" i="125"/>
  <c r="G88" i="125"/>
  <c r="H88" i="125"/>
  <c r="D80" i="125"/>
  <c r="F80" i="125"/>
  <c r="D79" i="125"/>
  <c r="E79" i="125"/>
  <c r="F79" i="125"/>
  <c r="G79" i="125"/>
  <c r="H79" i="125"/>
  <c r="D66" i="125"/>
  <c r="E66" i="125"/>
  <c r="E80" i="125" s="1"/>
  <c r="F66" i="125"/>
  <c r="G66" i="125"/>
  <c r="G80" i="125" s="1"/>
  <c r="H66" i="125"/>
  <c r="E44" i="125"/>
  <c r="F44" i="125"/>
  <c r="G44" i="125"/>
  <c r="H44" i="125"/>
  <c r="D44" i="125"/>
  <c r="D30" i="125"/>
  <c r="E30" i="125"/>
  <c r="D20" i="125"/>
  <c r="H80" i="125" l="1"/>
  <c r="H120" i="125" s="1"/>
  <c r="H145" i="125" s="1"/>
  <c r="H21" i="125"/>
  <c r="G120" i="125"/>
  <c r="G145" i="125" s="1"/>
  <c r="E120" i="125"/>
  <c r="E145" i="125" s="1"/>
  <c r="E47" i="125"/>
  <c r="D146" i="125"/>
  <c r="E146" i="125" l="1"/>
  <c r="F30" i="125" l="1"/>
  <c r="G30" i="125"/>
  <c r="G47" i="125" s="1"/>
  <c r="G146" i="125" s="1"/>
  <c r="H30" i="125"/>
  <c r="H47" i="125" s="1"/>
  <c r="H146" i="125" s="1"/>
  <c r="F47" i="125"/>
  <c r="F146" i="125" s="1"/>
  <c r="C146" i="125"/>
  <c r="C145" i="125"/>
  <c r="C144" i="125"/>
  <c r="C130" i="125"/>
  <c r="C118" i="125"/>
  <c r="C116" i="125"/>
  <c r="C102" i="125"/>
  <c r="C95" i="125"/>
  <c r="C88" i="125"/>
  <c r="C80" i="125"/>
  <c r="C79" i="125"/>
  <c r="C66" i="125"/>
  <c r="C47" i="125"/>
  <c r="C30" i="125"/>
  <c r="C21" i="125"/>
  <c r="C20" i="125"/>
  <c r="C10" i="125"/>
  <c r="E37" i="122" l="1"/>
  <c r="E37" i="121"/>
  <c r="E46" i="121"/>
  <c r="E42" i="121"/>
  <c r="E38" i="121"/>
  <c r="D46" i="121"/>
  <c r="D43" i="121"/>
  <c r="D42" i="121"/>
  <c r="D38" i="121"/>
  <c r="D37" i="121"/>
  <c r="E25" i="121"/>
  <c r="E24" i="121"/>
  <c r="E22" i="121"/>
  <c r="E21" i="121"/>
  <c r="E20" i="121"/>
  <c r="E19" i="121"/>
  <c r="E18" i="121"/>
  <c r="E15" i="121"/>
  <c r="E14" i="121"/>
  <c r="E12" i="121"/>
  <c r="E11" i="121"/>
  <c r="E10" i="121"/>
  <c r="D26" i="121"/>
  <c r="D25" i="121"/>
  <c r="D24" i="121"/>
  <c r="D22" i="121"/>
  <c r="D21" i="121"/>
  <c r="D20" i="121"/>
  <c r="D19" i="121"/>
  <c r="D18" i="121"/>
  <c r="D15" i="121"/>
  <c r="D14" i="121"/>
  <c r="D12" i="121"/>
  <c r="D11" i="121"/>
  <c r="D10" i="121"/>
  <c r="E26" i="122"/>
  <c r="E25" i="122"/>
  <c r="E24" i="122"/>
  <c r="E22" i="122"/>
  <c r="E21" i="122"/>
  <c r="E20" i="122"/>
  <c r="E19" i="122"/>
  <c r="E18" i="122"/>
  <c r="E15" i="122"/>
  <c r="E14" i="122"/>
  <c r="E12" i="122"/>
  <c r="E10" i="122"/>
  <c r="E46" i="122"/>
  <c r="E42" i="122"/>
  <c r="E38" i="122"/>
  <c r="D46" i="122"/>
  <c r="D42" i="122"/>
  <c r="D38" i="122"/>
  <c r="D37" i="122"/>
  <c r="D26" i="122"/>
  <c r="D25" i="122"/>
  <c r="D24" i="122"/>
  <c r="D22" i="122"/>
  <c r="D21" i="122"/>
  <c r="D20" i="122"/>
  <c r="D19" i="122"/>
  <c r="D18" i="122"/>
  <c r="D15" i="122"/>
  <c r="D14" i="122"/>
  <c r="D12" i="122"/>
  <c r="D10" i="122"/>
  <c r="E46" i="123"/>
  <c r="E43" i="123"/>
  <c r="E42" i="123"/>
  <c r="E38" i="123"/>
  <c r="E37" i="123"/>
  <c r="D46" i="123"/>
  <c r="D42" i="123"/>
  <c r="D38" i="123"/>
  <c r="D37" i="123"/>
  <c r="E26" i="123"/>
  <c r="E25" i="123"/>
  <c r="E24" i="123"/>
  <c r="E22" i="123"/>
  <c r="E21" i="123"/>
  <c r="E20" i="123"/>
  <c r="E19" i="123"/>
  <c r="E18" i="123"/>
  <c r="E15" i="123"/>
  <c r="E14" i="123"/>
  <c r="E12" i="123"/>
  <c r="E11" i="123"/>
  <c r="E10" i="123"/>
  <c r="D26" i="123"/>
  <c r="D25" i="123"/>
  <c r="D24" i="123"/>
  <c r="D23" i="123"/>
  <c r="D22" i="123"/>
  <c r="D20" i="123"/>
  <c r="D19" i="123"/>
  <c r="D18" i="123"/>
  <c r="D15" i="123"/>
  <c r="D14" i="123"/>
  <c r="D12" i="123"/>
  <c r="D10" i="123"/>
  <c r="D11" i="123"/>
  <c r="E39" i="122" l="1"/>
  <c r="D13" i="121"/>
  <c r="D16" i="121" s="1"/>
  <c r="E13" i="121"/>
  <c r="E16" i="121" s="1"/>
  <c r="K26" i="127"/>
  <c r="D8" i="127"/>
  <c r="C8" i="127"/>
  <c r="C11" i="127" s="1"/>
  <c r="B3" i="125" l="1"/>
  <c r="D7" i="124" s="1"/>
  <c r="L19" i="127" l="1"/>
  <c r="M19" i="127"/>
  <c r="K19" i="127"/>
  <c r="L4" i="127"/>
  <c r="M4" i="127"/>
  <c r="K4" i="127"/>
  <c r="D39" i="122" l="1"/>
  <c r="D44" i="122" s="1"/>
  <c r="D47" i="122" s="1"/>
  <c r="D30" i="122" s="1"/>
  <c r="D39" i="121"/>
  <c r="D44" i="121" s="1"/>
  <c r="D47" i="121" s="1"/>
  <c r="L26" i="127"/>
  <c r="M26" i="127"/>
  <c r="D12" i="124" l="1"/>
  <c r="C13" i="127" l="1"/>
  <c r="E21" i="127" l="1"/>
  <c r="E24" i="127" s="1"/>
  <c r="E26" i="127" s="1"/>
  <c r="E8" i="127"/>
  <c r="E11" i="127" s="1"/>
  <c r="E13" i="127" s="1"/>
  <c r="C21" i="127"/>
  <c r="C24" i="127" s="1"/>
  <c r="C26" i="127" s="1"/>
  <c r="D21" i="127"/>
  <c r="D24" i="127" s="1"/>
  <c r="D26" i="127" s="1"/>
  <c r="D11" i="127"/>
  <c r="D13" i="127" s="1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H7" i="124"/>
  <c r="C28" i="124" l="1"/>
  <c r="D28" i="124"/>
  <c r="B28" i="124"/>
  <c r="H14" i="124"/>
  <c r="F14" i="124"/>
  <c r="B14" i="124"/>
  <c r="D14" i="124"/>
  <c r="C14" i="124"/>
  <c r="D21" i="124"/>
  <c r="G14" i="124"/>
  <c r="D8" i="124" l="1"/>
  <c r="A5" i="121"/>
  <c r="A5" i="122"/>
  <c r="A5" i="123"/>
  <c r="C7" i="124" l="1"/>
  <c r="B7" i="124" s="1"/>
  <c r="E13" i="123"/>
  <c r="E16" i="123" s="1"/>
  <c r="E39" i="121"/>
  <c r="E44" i="121" s="1"/>
  <c r="E47" i="121" s="1"/>
  <c r="E30" i="121" s="1"/>
  <c r="E44" i="122"/>
  <c r="E47" i="122" s="1"/>
  <c r="E30" i="122" s="1"/>
  <c r="E39" i="123"/>
  <c r="E44" i="123" s="1"/>
  <c r="E47" i="123" s="1"/>
  <c r="E30" i="123" s="1"/>
  <c r="D30" i="121" l="1"/>
  <c r="G7" i="124"/>
  <c r="C21" i="124"/>
  <c r="E27" i="121"/>
  <c r="E27" i="122"/>
  <c r="E13" i="122"/>
  <c r="E16" i="122" s="1"/>
  <c r="D27" i="122"/>
  <c r="D13" i="122"/>
  <c r="E27" i="123"/>
  <c r="E28" i="123" s="1"/>
  <c r="E32" i="123" s="1"/>
  <c r="D27" i="123"/>
  <c r="D13" i="123"/>
  <c r="D16" i="123" s="1"/>
  <c r="B21" i="124" l="1"/>
  <c r="F7" i="124"/>
  <c r="E28" i="121"/>
  <c r="E32" i="121" s="1"/>
  <c r="D27" i="121"/>
  <c r="D28" i="121" s="1"/>
  <c r="D32" i="121" s="1"/>
  <c r="E28" i="122"/>
  <c r="E32" i="122" s="1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<sst xmlns="http://schemas.openxmlformats.org/spreadsheetml/2006/main" count="398" uniqueCount="280">
  <si>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</si>
  <si>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</si>
  <si>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</si>
  <si>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</si>
  <si>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</si>
  <si>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</si>
  <si>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</si>
  <si>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</si>
  <si>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</si>
  <si>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</si>
  <si>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</si>
  <si>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</si>
  <si>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</si>
  <si>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</si>
  <si>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</si>
  <si>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</si>
  <si>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</si>
  <si>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</si>
  <si>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</si>
  <si>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</si>
  <si>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</si>
  <si>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</si>
  <si>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</si>
  <si>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</si>
  <si>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</si>
  <si>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</si>
  <si>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</si>
  <si>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</si>
  <si>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</si>
  <si>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</si>
  <si>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</si>
  <si>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</si>
  <si>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</si>
  <si>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</si>
  <si>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</si>
  <si>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</si>
  <si>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</si>
  <si>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</si>
  <si>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</si>
  <si>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</si>
  <si>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</si>
  <si>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</si>
  <si>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</si>
  <si>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</si>
  <si>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</si>
  <si>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</si>
  <si>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</si>
  <si>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</si>
  <si>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</si>
  <si>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</si>
  <si>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</si>
  <si>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</si>
  <si>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</si>
  <si>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</si>
  <si>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</si>
  <si>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</si>
  <si>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</si>
  <si>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</si>
  <si>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</si>
  <si>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</si>
  <si>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</si>
  <si>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</si>
  <si>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</si>
  <si>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</si>
  <si>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</si>
  <si>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</si>
  <si>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</si>
  <si>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</si>
  <si>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</si>
  <si>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</si>
  <si>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</si>
  <si>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</si>
  <si>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</si>
  <si>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</si>
  <si>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</si>
  <si>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</si>
  <si>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</si>
  <si>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</si>
  <si>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</si>
  <si>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</si>
  <si>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</si>
  <si>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</si>
  <si>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</si>
  <si>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</si>
  <si>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</si>
  <si>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</si>
  <si>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</si>
  <si>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</si>
  <si>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</si>
  <si>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</si>
  <si>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</si>
  <si>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</si>
  <si>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</si>
  <si>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</si>
  <si>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</si>
  <si>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</si>
  <si>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</si>
  <si>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</si>
  <si>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</si>
  <si>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</si>
  <si>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</si>
  <si>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</si>
  <si>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</si>
  <si>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</si>
  <si>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</si>
  <si>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</si>
  <si>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</si>
  <si>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</si>
  <si>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</si>
  <si>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</si>
  <si>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</si>
  <si>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</si>
  <si>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</si>
  <si>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</si>
  <si>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</si>
  <si>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</si>
  <si>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</si>
  <si>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</si>
  <si>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</si>
  <si>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</si>
  <si>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</si>
  <si>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</si>
  <si>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</si>
  <si>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</si>
  <si>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</si>
  <si>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</si>
  <si>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</si>
  <si>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</si>
  <si>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</si>
  <si>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</si>
  <si>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</si>
  <si>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</si>
  <si>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</si>
  <si>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</si>
  <si>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</si>
  <si>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</si>
  <si>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</si>
  <si>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</si>
  <si>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</si>
  <si>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</si>
  <si>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</si>
  <si>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</si>
  <si>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</si>
  <si>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</si>
  <si>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</si>
  <si>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</si>
  <si>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</si>
  <si>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</si>
  <si>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</si>
  <si>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</si>
  <si>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</si>
  <si>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</si>
  <si>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</si>
  <si>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</si>
  <si>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</si>
  <si>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</si>
  <si>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</si>
  <si>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</si>
  <si>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</si>
  <si>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</si>
  <si>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</si>
  <si>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</si>
  <si>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</si>
  <si>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</si>
  <si>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</si>
  <si>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</si>
  <si>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</si>
  <si>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</si>
  <si>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</si>
  <si>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</si>
  <si>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</si>
  <si>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</si>
  <si>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</si>
  <si>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</si>
  <si>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</si>
  <si>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</si>
  <si>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</si>
  <si>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</si>
  <si>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</si>
  <si>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</si>
  <si>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</si>
  <si>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</si>
  <si>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</si>
  <si>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</si>
  <si>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</si>
  <si>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</si>
  <si>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</si>
  <si>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</si>
  <si>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</si>
  <si>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</si>
  <si>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</si>
  <si>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</si>
  <si>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</si>
  <si>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</si>
  <si>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</si>
  <si>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</si>
  <si>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</si>
  <si>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</si>
  <si>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</si>
  <si>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</si>
  <si>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</si>
  <si>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</si>
  <si>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</si>
  <si>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</si>
  <si>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</si>
  <si>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</si>
  <si>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</si>
  <si>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</si>
  <si>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</si>
  <si>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</si>
  <si>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</si>
  <si>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</si>
  <si>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</si>
  <si>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</si>
  <si>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</si>
  <si>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</si>
  <si>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</si>
  <si>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</si>
  <si>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</si>
  <si>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</si>
  <si>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</si>
  <si>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</si>
  <si>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</si>
  <si>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</si>
  <si>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</si>
  <si>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</si>
  <si>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</si>
  <si>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</si>
  <si>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</si>
  <si>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</si>
  <si>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</si>
  <si>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</si>
  <si>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</si>
  <si>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</si>
  <si>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</si>
  <si>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</si>
  <si>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</si>
  <si>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</si>
  <si>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</si>
  <si>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</si>
  <si>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</si>
  <si>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</si>
  <si>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</si>
  <si>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</si>
  <si>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</si>
  <si>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</si>
  <si>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</si>
  <si>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</si>
  <si>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</si>
  <si>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</si>
  <si>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</si>
  <si>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THERMS</t>
  </si>
  <si>
    <t>STATE OF WASHINGTON - MONTH</t>
  </si>
  <si>
    <t>RES</t>
  </si>
  <si>
    <t>COM</t>
  </si>
  <si>
    <t>UTILITY PLANT IN SERVICE</t>
  </si>
  <si>
    <t>IND</t>
  </si>
  <si>
    <t>ACCUMULATED DEPRECIATION</t>
  </si>
  <si>
    <t>CORE INT</t>
  </si>
  <si>
    <t>NET PLANT IN SERVICE</t>
  </si>
  <si>
    <t>NONCORE</t>
  </si>
  <si>
    <t>CUSTOMER ADVANCES FOR CONST</t>
  </si>
  <si>
    <t>12-Month Ending</t>
  </si>
  <si>
    <t>DEFERRED INCOME TAX</t>
  </si>
  <si>
    <t>SUBTOTAL</t>
  </si>
  <si>
    <t>WORKING CAPITAL</t>
  </si>
  <si>
    <t>TOTAL MONTHLY RATE BASE</t>
  </si>
  <si>
    <t>CUSTOMER COUNTS</t>
  </si>
  <si>
    <t>STATE OF WASHINGTON - 12 MONTH AVG OF AVGS</t>
  </si>
  <si>
    <t xml:space="preserve"> </t>
  </si>
  <si>
    <t>Total</t>
  </si>
  <si>
    <t>TOTAL WA 12 MONTH RATE BASE</t>
  </si>
  <si>
    <t>COPY FROM SALES REPORT HERE</t>
  </si>
  <si>
    <t>Maintenance of Mains</t>
  </si>
  <si>
    <t>May 1, 2022 THROUGH       April 30, 2023</t>
  </si>
  <si>
    <t>June 1, 2022 THROUGH          May 31, 2023</t>
  </si>
  <si>
    <t>July 1, 2022 THROUGH                    June 30, 2023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</si>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</sst>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  <numFmt numFmtId="172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2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11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10" fillId="0" borderId="0">
      <alignment vertical="top"/>
    </xf>
    <xf numFmtId="9" fontId="11" fillId="0" borderId="0" applyFont="0" applyFill="0" applyBorder="0" applyAlignment="0" applyProtection="0"/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7" fillId="0" borderId="0"/>
    <xf numFmtId="49" fontId="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10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39" fontId="9" fillId="0" borderId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3" fontId="8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39" fontId="20" fillId="0" borderId="0"/>
    <xf numFmtId="49" fontId="21" fillId="0" borderId="0"/>
    <xf numFmtId="49" fontId="21" fillId="0" borderId="0"/>
    <xf numFmtId="49" fontId="2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7">
    <xf numFmtId="0" fontId="0" fillId="0" borderId="0" xfId="0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37" fontId="23" fillId="0" borderId="0" xfId="0" applyNumberFormat="1" applyFont="1"/>
    <xf numFmtId="164" fontId="23" fillId="0" borderId="21" xfId="1" applyNumberFormat="1" applyFont="1" applyFill="1" applyBorder="1" applyProtection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/>
    <xf numFmtId="0" fontId="23" fillId="0" borderId="0" xfId="0" applyFont="1" applyAlignment="1">
      <alignment horizontal="centerContinuous"/>
    </xf>
    <xf numFmtId="164" fontId="23" fillId="0" borderId="0" xfId="1" applyNumberFormat="1" applyFont="1" applyFill="1" applyAlignment="1">
      <alignment horizontal="centerContinuous"/>
    </xf>
    <xf numFmtId="0" fontId="23" fillId="0" borderId="0" xfId="0" applyFont="1" applyProtection="1">
      <protection locked="0"/>
    </xf>
    <xf numFmtId="164" fontId="23" fillId="0" borderId="0" xfId="1" applyNumberFormat="1" applyFont="1" applyFill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164" fontId="23" fillId="0" borderId="6" xfId="1" applyNumberFormat="1" applyFont="1" applyFill="1" applyBorder="1" applyAlignment="1">
      <alignment horizontal="center" wrapText="1"/>
    </xf>
    <xf numFmtId="164" fontId="23" fillId="0" borderId="7" xfId="1" applyNumberFormat="1" applyFont="1" applyFill="1" applyBorder="1" applyAlignment="1">
      <alignment horizontal="center" wrapText="1"/>
    </xf>
    <xf numFmtId="0" fontId="23" fillId="0" borderId="8" xfId="0" applyFont="1" applyBorder="1"/>
    <xf numFmtId="164" fontId="23" fillId="0" borderId="9" xfId="1" applyNumberFormat="1" applyFont="1" applyFill="1" applyBorder="1"/>
    <xf numFmtId="164" fontId="23" fillId="0" borderId="0" xfId="1" applyNumberFormat="1" applyFont="1" applyFill="1" applyBorder="1" applyProtection="1">
      <protection locked="0"/>
    </xf>
    <xf numFmtId="164" fontId="23" fillId="0" borderId="9" xfId="1" applyNumberFormat="1" applyFont="1" applyFill="1" applyBorder="1" applyProtection="1">
      <protection locked="0"/>
    </xf>
    <xf numFmtId="164" fontId="23" fillId="0" borderId="10" xfId="1" applyNumberFormat="1" applyFont="1" applyFill="1" applyBorder="1" applyProtection="1">
      <protection locked="0"/>
    </xf>
    <xf numFmtId="164" fontId="23" fillId="0" borderId="11" xfId="1" applyNumberFormat="1" applyFont="1" applyFill="1" applyBorder="1" applyProtection="1">
      <protection locked="0"/>
    </xf>
    <xf numFmtId="164" fontId="23" fillId="0" borderId="0" xfId="1" applyNumberFormat="1" applyFont="1" applyFill="1" applyBorder="1"/>
    <xf numFmtId="164" fontId="23" fillId="0" borderId="2" xfId="1" applyNumberFormat="1" applyFont="1" applyFill="1" applyBorder="1"/>
    <xf numFmtId="164" fontId="23" fillId="0" borderId="12" xfId="1" applyNumberFormat="1" applyFont="1" applyFill="1" applyBorder="1"/>
    <xf numFmtId="164" fontId="23" fillId="0" borderId="13" xfId="1" applyNumberFormat="1" applyFont="1" applyFill="1" applyBorder="1"/>
    <xf numFmtId="164" fontId="23" fillId="0" borderId="14" xfId="1" applyNumberFormat="1" applyFont="1" applyFill="1" applyBorder="1"/>
    <xf numFmtId="164" fontId="23" fillId="0" borderId="15" xfId="1" applyNumberFormat="1" applyFont="1" applyFill="1" applyBorder="1"/>
    <xf numFmtId="164" fontId="23" fillId="0" borderId="16" xfId="1" applyNumberFormat="1" applyFont="1" applyFill="1" applyBorder="1"/>
    <xf numFmtId="10" fontId="23" fillId="0" borderId="8" xfId="4" applyNumberFormat="1" applyFont="1" applyFill="1" applyBorder="1"/>
    <xf numFmtId="10" fontId="23" fillId="0" borderId="0" xfId="4" applyNumberFormat="1" applyFont="1" applyFill="1" applyBorder="1"/>
    <xf numFmtId="10" fontId="23" fillId="0" borderId="15" xfId="4" applyNumberFormat="1" applyFont="1" applyFill="1" applyBorder="1"/>
    <xf numFmtId="10" fontId="23" fillId="0" borderId="16" xfId="4" applyNumberFormat="1" applyFont="1" applyFill="1" applyBorder="1"/>
    <xf numFmtId="0" fontId="23" fillId="0" borderId="17" xfId="0" applyFont="1" applyBorder="1"/>
    <xf numFmtId="0" fontId="23" fillId="0" borderId="18" xfId="0" applyFont="1" applyBorder="1"/>
    <xf numFmtId="164" fontId="26" fillId="0" borderId="18" xfId="1" applyNumberFormat="1" applyFont="1" applyFill="1" applyBorder="1"/>
    <xf numFmtId="164" fontId="26" fillId="0" borderId="19" xfId="1" applyNumberFormat="1" applyFont="1" applyFill="1" applyBorder="1"/>
    <xf numFmtId="164" fontId="22" fillId="0" borderId="0" xfId="1" applyNumberFormat="1" applyFont="1" applyFill="1"/>
    <xf numFmtId="0" fontId="23" fillId="0" borderId="4" xfId="0" applyFont="1" applyBorder="1"/>
    <xf numFmtId="0" fontId="23" fillId="0" borderId="5" xfId="0" applyFont="1" applyBorder="1"/>
    <xf numFmtId="164" fontId="23" fillId="0" borderId="18" xfId="1" applyNumberFormat="1" applyFont="1" applyFill="1" applyBorder="1"/>
    <xf numFmtId="164" fontId="23" fillId="0" borderId="19" xfId="1" applyNumberFormat="1" applyFont="1" applyFill="1" applyBorder="1"/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Protection="1">
      <protection locked="0"/>
    </xf>
    <xf numFmtId="0" fontId="22" fillId="0" borderId="0" xfId="0" applyFont="1"/>
    <xf numFmtId="164" fontId="23" fillId="0" borderId="5" xfId="1" applyNumberFormat="1" applyFont="1" applyFill="1" applyBorder="1" applyProtection="1">
      <protection locked="0"/>
    </xf>
    <xf numFmtId="164" fontId="23" fillId="0" borderId="20" xfId="1" applyNumberFormat="1" applyFont="1" applyFill="1" applyBorder="1" applyProtection="1">
      <protection locked="0"/>
    </xf>
    <xf numFmtId="0" fontId="23" fillId="0" borderId="0" xfId="3" applyFont="1"/>
    <xf numFmtId="37" fontId="23" fillId="0" borderId="0" xfId="3" applyNumberFormat="1" applyFont="1"/>
    <xf numFmtId="164" fontId="23" fillId="0" borderId="0" xfId="1" applyNumberFormat="1" applyFont="1" applyFill="1" applyBorder="1" applyAlignment="1">
      <alignment horizontal="right"/>
    </xf>
    <xf numFmtId="0" fontId="23" fillId="0" borderId="0" xfId="2" applyFont="1" applyAlignment="1">
      <alignment horizontal="right"/>
    </xf>
    <xf numFmtId="10" fontId="23" fillId="0" borderId="0" xfId="4" applyNumberFormat="1" applyFont="1" applyFill="1" applyBorder="1" applyAlignment="1">
      <alignment horizontal="center"/>
    </xf>
    <xf numFmtId="164" fontId="12" fillId="0" borderId="0" xfId="1" applyNumberFormat="1" applyFont="1" applyFill="1" applyBorder="1"/>
    <xf numFmtId="43" fontId="23" fillId="0" borderId="27" xfId="1" applyFont="1" applyFill="1" applyBorder="1"/>
    <xf numFmtId="43" fontId="23" fillId="0" borderId="22" xfId="1" applyFont="1" applyFill="1" applyBorder="1"/>
    <xf numFmtId="43" fontId="23" fillId="0" borderId="26" xfId="1" applyFont="1" applyFill="1" applyBorder="1"/>
    <xf numFmtId="43" fontId="23" fillId="0" borderId="0" xfId="1" applyFont="1" applyFill="1" applyBorder="1"/>
    <xf numFmtId="43" fontId="23" fillId="0" borderId="9" xfId="1" applyFont="1" applyFill="1" applyBorder="1"/>
    <xf numFmtId="164" fontId="12" fillId="0" borderId="0" xfId="1" applyNumberFormat="1" applyFont="1" applyFill="1" applyAlignment="1">
      <alignment horizontal="center" vertical="center"/>
    </xf>
    <xf numFmtId="164" fontId="23" fillId="0" borderId="0" xfId="1" applyNumberFormat="1" applyFont="1" applyFill="1" applyAlignment="1">
      <alignment horizontal="center"/>
    </xf>
    <xf numFmtId="37" fontId="15" fillId="0" borderId="0" xfId="39" applyNumberFormat="1" applyFont="1"/>
    <xf numFmtId="49" fontId="31" fillId="0" borderId="0" xfId="35" applyFont="1"/>
    <xf numFmtId="170" fontId="15" fillId="0" borderId="0" xfId="39" applyNumberFormat="1" applyFont="1"/>
    <xf numFmtId="0" fontId="23" fillId="0" borderId="0" xfId="39" applyFont="1" applyAlignment="1">
      <alignment horizontal="center"/>
    </xf>
    <xf numFmtId="0" fontId="23" fillId="0" borderId="0" xfId="39" applyFont="1" applyAlignment="1">
      <alignment horizontal="left"/>
    </xf>
    <xf numFmtId="37" fontId="23" fillId="0" borderId="0" xfId="39" applyNumberFormat="1" applyFont="1"/>
    <xf numFmtId="0" fontId="23" fillId="0" borderId="0" xfId="39" applyFont="1"/>
    <xf numFmtId="49" fontId="23" fillId="0" borderId="0" xfId="35" applyFont="1"/>
    <xf numFmtId="164" fontId="23" fillId="0" borderId="0" xfId="35" applyNumberFormat="1" applyFont="1"/>
    <xf numFmtId="37" fontId="1" fillId="0" borderId="0" xfId="39" applyNumberFormat="1" applyFont="1"/>
    <xf numFmtId="37" fontId="23" fillId="0" borderId="22" xfId="5" applyNumberFormat="1" applyFont="1" applyBorder="1"/>
    <xf numFmtId="37" fontId="23" fillId="0" borderId="23" xfId="5" applyNumberFormat="1" applyFont="1" applyBorder="1"/>
    <xf numFmtId="37" fontId="24" fillId="0" borderId="0" xfId="3" applyNumberFormat="1" applyFont="1"/>
    <xf numFmtId="37" fontId="23" fillId="0" borderId="24" xfId="0" applyNumberFormat="1" applyFont="1" applyBorder="1"/>
    <xf numFmtId="37" fontId="23" fillId="0" borderId="1" xfId="0" applyNumberFormat="1" applyFont="1" applyBorder="1"/>
    <xf numFmtId="3" fontId="23" fillId="0" borderId="0" xfId="0" applyNumberFormat="1" applyFont="1"/>
    <xf numFmtId="3" fontId="25" fillId="0" borderId="0" xfId="0" applyNumberFormat="1" applyFont="1" applyAlignment="1">
      <alignment horizontal="center"/>
    </xf>
    <xf numFmtId="3" fontId="27" fillId="0" borderId="0" xfId="0" applyNumberFormat="1" applyFont="1"/>
    <xf numFmtId="0" fontId="23" fillId="0" borderId="27" xfId="0" applyFont="1" applyBorder="1"/>
    <xf numFmtId="0" fontId="23" fillId="0" borderId="22" xfId="0" applyFont="1" applyBorder="1"/>
    <xf numFmtId="0" fontId="23" fillId="0" borderId="26" xfId="0" applyFont="1" applyBorder="1"/>
    <xf numFmtId="0" fontId="23" fillId="0" borderId="9" xfId="0" applyFont="1" applyBorder="1"/>
    <xf numFmtId="43" fontId="23" fillId="0" borderId="0" xfId="0" applyNumberFormat="1" applyFont="1"/>
    <xf numFmtId="0" fontId="28" fillId="0" borderId="0" xfId="0" applyFont="1"/>
    <xf numFmtId="0" fontId="14" fillId="0" borderId="0" xfId="0" applyFont="1" applyAlignment="1">
      <alignment horizontal="center"/>
    </xf>
    <xf numFmtId="0" fontId="15" fillId="0" borderId="0" xfId="39" applyFont="1" applyAlignment="1">
      <alignment horizontal="center"/>
    </xf>
    <xf numFmtId="0" fontId="1" fillId="0" borderId="0" xfId="39" applyFont="1"/>
    <xf numFmtId="164" fontId="12" fillId="0" borderId="0" xfId="0" applyNumberFormat="1" applyFont="1"/>
    <xf numFmtId="164" fontId="30" fillId="0" borderId="0" xfId="0" applyNumberFormat="1" applyFont="1"/>
    <xf numFmtId="0" fontId="31" fillId="0" borderId="0" xfId="0" applyFont="1"/>
    <xf numFmtId="37" fontId="0" fillId="0" borderId="0" xfId="0" applyNumberFormat="1"/>
    <xf numFmtId="14" fontId="23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>
      <alignment wrapText="1"/>
    </xf>
    <xf numFmtId="39" fontId="22" fillId="0" borderId="8" xfId="159" applyFont="1" applyBorder="1" applyAlignment="1">
      <alignment horizontal="left"/>
    </xf>
    <xf numFmtId="39" fontId="23" fillId="0" borderId="26" xfId="159" applyFont="1" applyBorder="1"/>
    <xf numFmtId="4" fontId="23" fillId="0" borderId="0" xfId="0" applyNumberFormat="1" applyFont="1"/>
    <xf numFmtId="39" fontId="23" fillId="0" borderId="8" xfId="159" applyFont="1" applyBorder="1" applyAlignment="1">
      <alignment horizontal="center"/>
    </xf>
    <xf numFmtId="39" fontId="23" fillId="0" borderId="26" xfId="159" applyFont="1" applyBorder="1" applyAlignment="1">
      <alignment horizontal="left"/>
    </xf>
    <xf numFmtId="39" fontId="23" fillId="0" borderId="8" xfId="159" applyFont="1" applyBorder="1" applyAlignment="1">
      <alignment horizontal="left"/>
    </xf>
    <xf numFmtId="39" fontId="23" fillId="0" borderId="8" xfId="159" quotePrefix="1" applyFont="1" applyBorder="1" applyAlignment="1">
      <alignment horizontal="center"/>
    </xf>
    <xf numFmtId="172" fontId="23" fillId="0" borderId="0" xfId="0" applyNumberFormat="1" applyFont="1"/>
    <xf numFmtId="43" fontId="23" fillId="0" borderId="0" xfId="1" applyFont="1" applyFill="1"/>
    <xf numFmtId="171" fontId="23" fillId="0" borderId="8" xfId="159" applyNumberFormat="1" applyFont="1" applyBorder="1" applyAlignment="1">
      <alignment horizontal="center"/>
    </xf>
    <xf numFmtId="39" fontId="23" fillId="0" borderId="8" xfId="159" applyFont="1" applyBorder="1"/>
    <xf numFmtId="39" fontId="22" fillId="0" borderId="26" xfId="159" applyFont="1" applyBorder="1"/>
    <xf numFmtId="49" fontId="23" fillId="0" borderId="8" xfId="159" applyNumberFormat="1" applyFont="1" applyBorder="1" applyAlignment="1">
      <alignment horizontal="center"/>
    </xf>
    <xf numFmtId="39" fontId="22" fillId="0" borderId="26" xfId="159" applyFont="1" applyBorder="1" applyAlignment="1">
      <alignment horizontal="left" indent="2"/>
    </xf>
    <xf numFmtId="39" fontId="22" fillId="0" borderId="8" xfId="159" applyFont="1" applyBorder="1" applyAlignment="1">
      <alignment horizontal="center"/>
    </xf>
    <xf numFmtId="39" fontId="22" fillId="0" borderId="17" xfId="159" applyFont="1" applyBorder="1" applyAlignment="1">
      <alignment horizontal="left"/>
    </xf>
    <xf numFmtId="39" fontId="23" fillId="0" borderId="31" xfId="159" applyFont="1" applyBorder="1"/>
    <xf numFmtId="39" fontId="23" fillId="0" borderId="27" xfId="159" applyFont="1" applyBorder="1"/>
    <xf numFmtId="39" fontId="23" fillId="0" borderId="0" xfId="159" applyFont="1"/>
    <xf numFmtId="37" fontId="23" fillId="0" borderId="8" xfId="159" applyNumberFormat="1" applyFont="1" applyBorder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2" fillId="0" borderId="0" xfId="0" applyFont="1" applyAlignment="1">
      <alignment horizontal="center"/>
    </xf>
    <xf numFmtId="169" fontId="22" fillId="0" borderId="33" xfId="159" applyNumberFormat="1" applyFont="1" applyBorder="1" applyAlignment="1">
      <alignment horizontal="center" wrapText="1"/>
    </xf>
    <xf numFmtId="49" fontId="33" fillId="0" borderId="33" xfId="159" applyNumberFormat="1" applyFont="1" applyBorder="1" applyAlignment="1">
      <alignment horizontal="center" wrapText="1"/>
    </xf>
    <xf numFmtId="49" fontId="33" fillId="0" borderId="37" xfId="159" applyNumberFormat="1" applyFont="1" applyBorder="1" applyAlignment="1">
      <alignment horizontal="center" wrapText="1"/>
    </xf>
    <xf numFmtId="43" fontId="23" fillId="0" borderId="26" xfId="0" applyNumberFormat="1" applyFont="1" applyBorder="1"/>
    <xf numFmtId="43" fontId="23" fillId="0" borderId="1" xfId="1" applyFont="1" applyFill="1" applyBorder="1"/>
    <xf numFmtId="43" fontId="23" fillId="0" borderId="23" xfId="1" applyFont="1" applyFill="1" applyBorder="1"/>
    <xf numFmtId="43" fontId="23" fillId="0" borderId="34" xfId="1" applyFont="1" applyFill="1" applyBorder="1"/>
    <xf numFmtId="43" fontId="23" fillId="0" borderId="29" xfId="1" applyFont="1" applyFill="1" applyBorder="1"/>
    <xf numFmtId="43" fontId="23" fillId="0" borderId="24" xfId="1" applyFont="1" applyFill="1" applyBorder="1"/>
    <xf numFmtId="43" fontId="23" fillId="0" borderId="28" xfId="1" applyFont="1" applyFill="1" applyBorder="1"/>
    <xf numFmtId="43" fontId="23" fillId="0" borderId="25" xfId="1" applyFont="1" applyFill="1" applyBorder="1"/>
    <xf numFmtId="43" fontId="23" fillId="0" borderId="11" xfId="1" applyFont="1" applyFill="1" applyBorder="1"/>
    <xf numFmtId="43" fontId="23" fillId="0" borderId="32" xfId="1" applyFont="1" applyFill="1" applyBorder="1"/>
    <xf numFmtId="43" fontId="23" fillId="0" borderId="35" xfId="1" applyFont="1" applyFill="1" applyBorder="1"/>
    <xf numFmtId="43" fontId="23" fillId="0" borderId="10" xfId="1" applyFont="1" applyFill="1" applyBorder="1"/>
    <xf numFmtId="39" fontId="23" fillId="0" borderId="9" xfId="0" applyNumberFormat="1" applyFont="1" applyBorder="1"/>
    <xf numFmtId="43" fontId="23" fillId="0" borderId="30" xfId="1" applyFont="1" applyFill="1" applyBorder="1"/>
    <xf numFmtId="49" fontId="13" fillId="0" borderId="0" xfId="35" applyFont="1"/>
    <xf numFmtId="0" fontId="12" fillId="0" borderId="0" xfId="35" applyNumberFormat="1" applyFont="1"/>
    <xf numFmtId="37" fontId="32" fillId="0" borderId="0" xfId="39" applyNumberFormat="1" applyFont="1" applyAlignment="1">
      <alignment horizontal="center"/>
    </xf>
    <xf numFmtId="164" fontId="1" fillId="0" borderId="0" xfId="1" applyNumberFormat="1" applyFont="1" applyFill="1" applyBorder="1"/>
    <xf numFmtId="164" fontId="1" fillId="0" borderId="10" xfId="1" applyNumberFormat="1" applyFont="1" applyFill="1" applyBorder="1"/>
    <xf numFmtId="164" fontId="23" fillId="0" borderId="10" xfId="1" applyNumberFormat="1" applyFont="1" applyFill="1" applyBorder="1"/>
    <xf numFmtId="164" fontId="1" fillId="0" borderId="0" xfId="0" applyNumberFormat="1" applyFont="1"/>
    <xf numFmtId="164" fontId="1" fillId="0" borderId="10" xfId="0" applyNumberFormat="1" applyFont="1" applyBorder="1"/>
    <xf numFmtId="49" fontId="22" fillId="0" borderId="0" xfId="35" applyFont="1"/>
    <xf numFmtId="164" fontId="22" fillId="0" borderId="13" xfId="1" applyNumberFormat="1" applyFont="1" applyFill="1" applyBorder="1"/>
    <xf numFmtId="164" fontId="0" fillId="0" borderId="0" xfId="1" applyNumberFormat="1" applyFont="1" applyFill="1"/>
    <xf numFmtId="164" fontId="32" fillId="0" borderId="13" xfId="1" applyNumberFormat="1" applyFont="1" applyFill="1" applyBorder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9" fontId="22" fillId="0" borderId="8" xfId="159" applyFont="1" applyBorder="1" applyAlignment="1">
      <alignment horizontal="left" wrapText="1" indent="1"/>
    </xf>
    <xf numFmtId="39" fontId="22" fillId="0" borderId="26" xfId="159" applyFont="1" applyBorder="1" applyAlignment="1">
      <alignment horizontal="left" wrapText="1" indent="1"/>
    </xf>
    <xf numFmtId="0" fontId="22" fillId="0" borderId="38" xfId="0" applyFont="1" applyBorder="1" applyAlignment="1">
      <alignment horizontal="left" vertical="top"/>
    </xf>
    <xf numFmtId="0" fontId="22" fillId="0" borderId="37" xfId="0" applyFont="1" applyBorder="1" applyAlignment="1">
      <alignment horizontal="left" vertical="top"/>
    </xf>
    <xf numFmtId="0" fontId="29" fillId="0" borderId="38" xfId="0" applyFont="1" applyBorder="1" applyAlignment="1">
      <alignment horizontal="center" vertical="top"/>
    </xf>
    <xf numFmtId="0" fontId="29" fillId="0" borderId="36" xfId="0" applyFont="1" applyBorder="1" applyAlignment="1">
      <alignment horizontal="center" vertical="top"/>
    </xf>
    <xf numFmtId="0" fontId="29" fillId="0" borderId="37" xfId="0" applyFont="1" applyBorder="1" applyAlignment="1">
      <alignment horizontal="center" vertical="top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4" fillId="0" borderId="0" xfId="0" applyFont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93345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tabSelected="1" zoomScaleNormal="100" zoomScaleSheetLayoutView="100" workbookViewId="0">
      <selection activeCell="L10" sqref="L10"/>
    </sheetView>
  </sheetViews>
  <sheetFormatPr defaultColWidth="9.140625" defaultRowHeight="15" x14ac:dyDescent="0.25"/>
  <cols>
    <col min="1" max="1" width="20.140625" style="1" bestFit="1" customWidth="1"/>
    <col min="2" max="3" width="11.5703125" style="1" bestFit="1" customWidth="1"/>
    <col min="4" max="4" width="11.85546875" style="1" bestFit="1" customWidth="1"/>
    <col min="5" max="5" width="2.28515625" style="1" customWidth="1"/>
    <col min="6" max="6" width="14" style="1" customWidth="1"/>
    <col min="7" max="7" width="13.5703125" style="1" bestFit="1" customWidth="1"/>
    <col min="8" max="8" width="13.28515625" style="1" customWidth="1"/>
    <col min="9" max="9" width="3.7109375" style="1" customWidth="1"/>
    <col min="10" max="16384" width="9.140625" style="1"/>
  </cols>
  <sheetData>
    <row r="1" spans="1:11" x14ac:dyDescent="0.25">
      <c r="A1" s="155" t="s">
        <v>0</v>
      </c>
      <c r="B1" s="155"/>
      <c r="C1" s="155"/>
      <c r="D1" s="155"/>
      <c r="E1" s="155"/>
      <c r="F1" s="155"/>
      <c r="G1" s="155"/>
      <c r="H1" s="155"/>
    </row>
    <row r="2" spans="1:11" x14ac:dyDescent="0.25">
      <c r="A2" s="156" t="s">
        <v>1</v>
      </c>
      <c r="B2" s="156"/>
      <c r="C2" s="156"/>
      <c r="D2" s="156"/>
      <c r="E2" s="156"/>
      <c r="F2" s="156"/>
      <c r="G2" s="156"/>
      <c r="H2" s="156"/>
    </row>
    <row r="3" spans="1:11" x14ac:dyDescent="0.25">
      <c r="A3" s="156" t="s">
        <v>2</v>
      </c>
      <c r="B3" s="156"/>
      <c r="C3" s="156"/>
      <c r="D3" s="156"/>
      <c r="E3" s="156"/>
      <c r="F3" s="156"/>
      <c r="G3" s="156"/>
      <c r="H3" s="156"/>
    </row>
    <row r="4" spans="1:11" x14ac:dyDescent="0.25">
      <c r="A4" s="2"/>
    </row>
    <row r="5" spans="1:11" x14ac:dyDescent="0.25">
      <c r="B5" s="155" t="s">
        <v>3</v>
      </c>
      <c r="C5" s="155"/>
      <c r="D5" s="155"/>
      <c r="E5" s="155"/>
      <c r="F5" s="155"/>
      <c r="G5" s="155"/>
      <c r="H5" s="155"/>
    </row>
    <row r="6" spans="1:11" x14ac:dyDescent="0.25">
      <c r="A6" s="5"/>
      <c r="B6" s="152" t="s">
        <v>4</v>
      </c>
      <c r="C6" s="153"/>
      <c r="D6" s="154"/>
      <c r="F6" s="8" t="s">
        <v>5</v>
      </c>
      <c r="G6" s="6"/>
      <c r="H6" s="7"/>
      <c r="K6" s="3"/>
    </row>
    <row r="7" spans="1:11" x14ac:dyDescent="0.25">
      <c r="B7" s="119">
        <f>+C7-31</f>
        <v>45045</v>
      </c>
      <c r="C7" s="119">
        <f>+D7-31</f>
        <v>45076</v>
      </c>
      <c r="D7" s="119">
        <f>+StatementDate</f>
        <v>45107</v>
      </c>
      <c r="F7" s="119">
        <f>+B7</f>
        <v>45045</v>
      </c>
      <c r="G7" s="119">
        <f>+C7</f>
        <v>45076</v>
      </c>
      <c r="H7" s="119">
        <f>+D7</f>
        <v>45107</v>
      </c>
      <c r="K7" s="3"/>
    </row>
    <row r="8" spans="1:11" x14ac:dyDescent="0.25">
      <c r="A8" s="5"/>
      <c r="B8" s="120">
        <f>+C8</f>
        <v>2023</v>
      </c>
      <c r="C8" s="121">
        <f>+D8</f>
        <v>2023</v>
      </c>
      <c r="D8" s="121">
        <f>YEAR(StatementDate)</f>
        <v>2023</v>
      </c>
      <c r="F8" s="120">
        <f t="shared" ref="F8:H8" si="0">+B8</f>
        <v>2023</v>
      </c>
      <c r="G8" s="121">
        <f t="shared" si="0"/>
        <v>2023</v>
      </c>
      <c r="H8" s="121">
        <f t="shared" si="0"/>
        <v>2023</v>
      </c>
    </row>
    <row r="9" spans="1:11" ht="15" customHeight="1" x14ac:dyDescent="0.25">
      <c r="A9" s="2" t="s">
        <v>6</v>
      </c>
      <c r="B9" s="11">
        <f>+'Copy Other Data Here'!K6</f>
        <v>10113118</v>
      </c>
      <c r="C9" s="11">
        <f>+'Copy Other Data Here'!L6</f>
        <v>4851582</v>
      </c>
      <c r="D9" s="11">
        <f>+'Copy Other Data Here'!M6</f>
        <v>3646921</v>
      </c>
      <c r="F9" s="76">
        <f>+'Copy Other Data Here'!K12</f>
        <v>137100390</v>
      </c>
      <c r="G9" s="76">
        <f>+'Copy Other Data Here'!L12</f>
        <v>134728486</v>
      </c>
      <c r="H9" s="76">
        <f>+'Copy Other Data Here'!M12</f>
        <v>134744312</v>
      </c>
      <c r="J9" s="53"/>
    </row>
    <row r="10" spans="1:11" ht="14.25" customHeight="1" x14ac:dyDescent="0.25">
      <c r="A10" s="2" t="s">
        <v>7</v>
      </c>
      <c r="B10" s="76">
        <f>+'Copy Other Data Here'!K7</f>
        <v>8246169</v>
      </c>
      <c r="C10" s="76">
        <f>+'Copy Other Data Here'!L7</f>
        <v>4413776</v>
      </c>
      <c r="D10" s="76">
        <f>+'Copy Other Data Here'!M7</f>
        <v>3898079</v>
      </c>
      <c r="F10" s="76">
        <f>+'Copy Other Data Here'!K13</f>
        <v>111572893</v>
      </c>
      <c r="G10" s="76">
        <f>+'Copy Other Data Here'!L13</f>
        <v>109900480</v>
      </c>
      <c r="H10" s="76">
        <f>+'Copy Other Data Here'!M13</f>
        <v>110253137</v>
      </c>
      <c r="J10" s="53"/>
    </row>
    <row r="11" spans="1:11" ht="15" customHeight="1" x14ac:dyDescent="0.25">
      <c r="A11" s="2" t="s">
        <v>8</v>
      </c>
      <c r="B11" s="76">
        <f>+'Copy Other Data Here'!K8</f>
        <v>1445045</v>
      </c>
      <c r="C11" s="76">
        <f>+'Copy Other Data Here'!L8</f>
        <v>1188799</v>
      </c>
      <c r="D11" s="76">
        <f>+'Copy Other Data Here'!M8</f>
        <v>822581</v>
      </c>
      <c r="F11" s="76">
        <f>+'Copy Other Data Here'!K14</f>
        <v>18097074</v>
      </c>
      <c r="G11" s="76">
        <f>+'Copy Other Data Here'!L14</f>
        <v>17948907</v>
      </c>
      <c r="H11" s="76">
        <f>+'Copy Other Data Here'!M14</f>
        <v>17626949</v>
      </c>
      <c r="J11" s="53"/>
    </row>
    <row r="12" spans="1:11" ht="15" customHeight="1" x14ac:dyDescent="0.25">
      <c r="A12" s="2" t="s">
        <v>9</v>
      </c>
      <c r="B12" s="76">
        <f>+'Copy Other Data Here'!K9</f>
        <v>207895</v>
      </c>
      <c r="C12" s="76">
        <f>+'Copy Other Data Here'!L9</f>
        <v>123718</v>
      </c>
      <c r="D12" s="76">
        <f>+'Copy Other Data Here'!M9</f>
        <v>98688</v>
      </c>
      <c r="F12" s="76">
        <f>+'Copy Other Data Here'!K15</f>
        <v>2226546</v>
      </c>
      <c r="G12" s="76">
        <f>+'Copy Other Data Here'!L15</f>
        <v>2170424</v>
      </c>
      <c r="H12" s="76">
        <f>+'Copy Other Data Here'!M15</f>
        <v>2154000</v>
      </c>
      <c r="J12" s="53"/>
    </row>
    <row r="13" spans="1:11" ht="15" customHeight="1" x14ac:dyDescent="0.25">
      <c r="A13" s="2" t="s">
        <v>10</v>
      </c>
      <c r="B13" s="77">
        <f>+'Copy Other Data Here'!K10</f>
        <v>87601248</v>
      </c>
      <c r="C13" s="77">
        <f>+'Copy Other Data Here'!L10</f>
        <v>41313514</v>
      </c>
      <c r="D13" s="77">
        <f>+'Copy Other Data Here'!M10</f>
        <v>55847292</v>
      </c>
      <c r="F13" s="76">
        <f>+'Copy Other Data Here'!K16</f>
        <v>920966760</v>
      </c>
      <c r="G13" s="76">
        <f>+'Copy Other Data Here'!L16</f>
        <v>905527816</v>
      </c>
      <c r="H13" s="76">
        <f>+'Copy Other Data Here'!M16</f>
        <v>913646462</v>
      </c>
      <c r="J13" s="78"/>
      <c r="K13" s="9"/>
    </row>
    <row r="14" spans="1:11" ht="15" customHeight="1" x14ac:dyDescent="0.25">
      <c r="A14" s="2" t="s">
        <v>11</v>
      </c>
      <c r="B14" s="79">
        <f>SUM(B9:B13)</f>
        <v>107613475</v>
      </c>
      <c r="C14" s="79">
        <f>SUM(C9:C13)</f>
        <v>51891389</v>
      </c>
      <c r="D14" s="79">
        <f>SUM(D9:D13)</f>
        <v>64313561</v>
      </c>
      <c r="F14" s="80">
        <f>SUM(F9:F13)</f>
        <v>1189963663</v>
      </c>
      <c r="G14" s="80">
        <f>SUM(G9:G13)</f>
        <v>1170276113</v>
      </c>
      <c r="H14" s="79">
        <f>SUM(H9:H13)</f>
        <v>1178424860</v>
      </c>
      <c r="J14" s="10"/>
      <c r="K14" s="9"/>
    </row>
    <row r="15" spans="1:11" x14ac:dyDescent="0.25">
      <c r="K15" s="9"/>
    </row>
    <row r="16" spans="1:11" x14ac:dyDescent="0.25">
      <c r="J16" s="54"/>
    </row>
    <row r="17" spans="1:11" x14ac:dyDescent="0.25">
      <c r="J17" s="54"/>
    </row>
    <row r="18" spans="1:11" x14ac:dyDescent="0.25">
      <c r="J18" s="54"/>
    </row>
    <row r="19" spans="1:11" x14ac:dyDescent="0.25">
      <c r="F19" s="4"/>
      <c r="G19" s="4"/>
      <c r="H19" s="4"/>
      <c r="J19" s="12"/>
    </row>
    <row r="20" spans="1:11" x14ac:dyDescent="0.25">
      <c r="B20" s="152" t="s">
        <v>12</v>
      </c>
      <c r="C20" s="153"/>
      <c r="D20" s="154"/>
      <c r="F20" s="4"/>
      <c r="G20" s="4"/>
      <c r="H20" s="4"/>
      <c r="J20" s="55"/>
    </row>
    <row r="21" spans="1:11" x14ac:dyDescent="0.25">
      <c r="B21" s="119">
        <f>+B7</f>
        <v>45045</v>
      </c>
      <c r="C21" s="119">
        <f>+C7</f>
        <v>45076</v>
      </c>
      <c r="D21" s="119">
        <f>+D7</f>
        <v>45107</v>
      </c>
      <c r="G21" s="5"/>
      <c r="H21" s="9"/>
      <c r="J21" s="56"/>
    </row>
    <row r="22" spans="1:11" x14ac:dyDescent="0.25">
      <c r="B22" s="120">
        <f t="shared" ref="B22:D22" si="1">+B8</f>
        <v>2023</v>
      </c>
      <c r="C22" s="121">
        <f t="shared" si="1"/>
        <v>2023</v>
      </c>
      <c r="D22" s="121">
        <f t="shared" si="1"/>
        <v>2023</v>
      </c>
      <c r="F22" s="9"/>
      <c r="G22" s="9"/>
      <c r="J22" s="13"/>
    </row>
    <row r="23" spans="1:11" x14ac:dyDescent="0.25">
      <c r="A23" s="2" t="s">
        <v>6</v>
      </c>
      <c r="B23" s="76">
        <f>+'Copy Other Data Here'!K20</f>
        <v>203170</v>
      </c>
      <c r="C23" s="76">
        <f>+'Copy Other Data Here'!L20</f>
        <v>202875</v>
      </c>
      <c r="D23" s="76">
        <f>+'Copy Other Data Here'!M20</f>
        <v>202861</v>
      </c>
      <c r="F23" s="10"/>
      <c r="G23" s="10"/>
    </row>
    <row r="24" spans="1:11" x14ac:dyDescent="0.25">
      <c r="A24" s="2" t="s">
        <v>7</v>
      </c>
      <c r="B24" s="76">
        <f>+'Copy Other Data Here'!K21</f>
        <v>27641</v>
      </c>
      <c r="C24" s="76">
        <f>+'Copy Other Data Here'!L21</f>
        <v>27571</v>
      </c>
      <c r="D24" s="76">
        <f>+'Copy Other Data Here'!M21</f>
        <v>27528</v>
      </c>
      <c r="F24" s="10"/>
      <c r="G24" s="10"/>
      <c r="J24" s="56"/>
    </row>
    <row r="25" spans="1:11" x14ac:dyDescent="0.25">
      <c r="A25" s="2" t="s">
        <v>8</v>
      </c>
      <c r="B25" s="76">
        <f>+'Copy Other Data Here'!K22</f>
        <v>517</v>
      </c>
      <c r="C25" s="76">
        <f>+'Copy Other Data Here'!L22</f>
        <v>516</v>
      </c>
      <c r="D25" s="76">
        <f>+'Copy Other Data Here'!M22</f>
        <v>516</v>
      </c>
      <c r="F25" s="10"/>
      <c r="G25" s="10"/>
      <c r="J25" s="3"/>
    </row>
    <row r="26" spans="1:11" x14ac:dyDescent="0.25">
      <c r="A26" s="2" t="s">
        <v>9</v>
      </c>
      <c r="B26" s="76">
        <f>+'Copy Other Data Here'!K23</f>
        <v>7</v>
      </c>
      <c r="C26" s="76">
        <f>+'Copy Other Data Here'!L23</f>
        <v>7</v>
      </c>
      <c r="D26" s="76">
        <f>+'Copy Other Data Here'!M23</f>
        <v>7</v>
      </c>
      <c r="F26" s="10"/>
      <c r="G26" s="10"/>
      <c r="J26" s="13"/>
    </row>
    <row r="27" spans="1:11" x14ac:dyDescent="0.25">
      <c r="A27" s="2" t="s">
        <v>10</v>
      </c>
      <c r="B27" s="76">
        <f>+'Copy Other Data Here'!K24</f>
        <v>203</v>
      </c>
      <c r="C27" s="76">
        <f>+'Copy Other Data Here'!L24</f>
        <v>202</v>
      </c>
      <c r="D27" s="76">
        <f>+'Copy Other Data Here'!M24</f>
        <v>200</v>
      </c>
      <c r="F27" s="10"/>
      <c r="G27" s="10"/>
      <c r="J27" s="53"/>
      <c r="K27" s="9"/>
    </row>
    <row r="28" spans="1:11" x14ac:dyDescent="0.25">
      <c r="A28" s="2" t="s">
        <v>11</v>
      </c>
      <c r="B28" s="79">
        <f>SUM(B23:B27)</f>
        <v>231538</v>
      </c>
      <c r="C28" s="79">
        <f>SUM(C23:C27)</f>
        <v>231171</v>
      </c>
      <c r="D28" s="79">
        <f>SUM(D23:D27)</f>
        <v>231112</v>
      </c>
      <c r="F28" s="10"/>
      <c r="G28" s="10"/>
      <c r="H28" s="10"/>
      <c r="J28" s="3"/>
    </row>
    <row r="29" spans="1:11" x14ac:dyDescent="0.25">
      <c r="J29" s="3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6"/>
  <sheetViews>
    <sheetView tabSelected="1" topLeftCell="A10" zoomScaleNormal="100" zoomScaleSheetLayoutView="85" workbookViewId="0">
      <selection activeCell="L10" sqref="L10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6.28515625" style="81" customWidth="1"/>
    <col min="5" max="5" width="16.28515625" style="83" customWidth="1"/>
    <col min="6" max="16384" width="9.140625" style="1"/>
  </cols>
  <sheetData>
    <row r="1" spans="1:5" ht="21" customHeight="1" x14ac:dyDescent="0.25">
      <c r="E1" s="82"/>
    </row>
    <row r="2" spans="1:5" ht="18.75" customHeight="1" x14ac:dyDescent="0.25">
      <c r="A2" s="4" t="s">
        <v>13</v>
      </c>
      <c r="B2" s="4"/>
      <c r="C2" s="4"/>
      <c r="D2" s="48"/>
      <c r="E2" s="48"/>
    </row>
    <row r="3" spans="1:5" ht="18" customHeight="1" x14ac:dyDescent="0.25">
      <c r="A3" s="4" t="s">
        <v>14</v>
      </c>
      <c r="B3" s="4"/>
      <c r="C3" s="4"/>
      <c r="D3" s="48"/>
      <c r="E3" s="48"/>
    </row>
    <row r="4" spans="1:5" x14ac:dyDescent="0.25">
      <c r="A4" s="4" t="s">
        <v>15</v>
      </c>
      <c r="B4" s="4"/>
      <c r="C4" s="4"/>
      <c r="D4" s="48"/>
      <c r="E4" s="48"/>
    </row>
    <row r="5" spans="1:5" x14ac:dyDescent="0.25">
      <c r="A5" s="155" t="str">
        <f>"Month and Twelve Months Ended " &amp; TEXT(DATE(YEAR(StatementDate),MONTH(StatementDate)-1,1)-1,"m/d/yyy")</f>
        <v>Month and Twelve Months Ended 4/30/2023</v>
      </c>
      <c r="B5" s="155"/>
      <c r="C5" s="155"/>
      <c r="D5" s="155"/>
      <c r="E5" s="155"/>
    </row>
    <row r="6" spans="1:5" x14ac:dyDescent="0.25">
      <c r="A6" s="16"/>
      <c r="D6" s="17"/>
      <c r="E6" s="17"/>
    </row>
    <row r="7" spans="1:5" ht="15.75" thickBot="1" x14ac:dyDescent="0.3">
      <c r="A7" s="4"/>
      <c r="B7" s="14"/>
      <c r="C7" s="14"/>
      <c r="D7" s="15"/>
      <c r="E7" s="15"/>
    </row>
    <row r="8" spans="1:5" x14ac:dyDescent="0.25">
      <c r="A8" s="18"/>
      <c r="B8" s="19"/>
      <c r="C8" s="19"/>
      <c r="D8" s="20" t="s">
        <v>16</v>
      </c>
      <c r="E8" s="21" t="s">
        <v>17</v>
      </c>
    </row>
    <row r="9" spans="1:5" x14ac:dyDescent="0.25">
      <c r="A9" s="22" t="s">
        <v>18</v>
      </c>
      <c r="D9" s="1"/>
      <c r="E9" s="23"/>
    </row>
    <row r="10" spans="1:5" x14ac:dyDescent="0.25">
      <c r="A10" s="22"/>
      <c r="B10" s="1" t="s">
        <v>19</v>
      </c>
      <c r="D10" s="24">
        <f>ROUND(+'Copy Allocation Report Here'!C10,0)</f>
        <v>27389041</v>
      </c>
      <c r="E10" s="25">
        <f>ROUND(+'Copy Allocation Report Here'!F10,0)</f>
        <v>345165039</v>
      </c>
    </row>
    <row r="11" spans="1:5" x14ac:dyDescent="0.25">
      <c r="A11" s="22"/>
      <c r="B11" s="1" t="s">
        <v>20</v>
      </c>
      <c r="D11" s="24">
        <f>+ROUND('Copy Allocation Report Here'!C14,0)</f>
        <v>2540309</v>
      </c>
      <c r="E11" s="25">
        <f>+ROUND('Copy Allocation Report Here'!F14,0)</f>
        <v>28904500</v>
      </c>
    </row>
    <row r="12" spans="1:5" x14ac:dyDescent="0.25">
      <c r="A12" s="22"/>
      <c r="B12" s="1" t="s">
        <v>21</v>
      </c>
      <c r="D12" s="26">
        <f>ROUND(+'Copy Allocation Report Here'!C20-'Copy Allocation Report Here'!C14,0)</f>
        <v>269072</v>
      </c>
      <c r="E12" s="27">
        <f>ROUND(+'Copy Allocation Report Here'!F20-'Copy Allocation Report Here'!F14,0)</f>
        <v>1559190</v>
      </c>
    </row>
    <row r="13" spans="1:5" x14ac:dyDescent="0.25">
      <c r="A13" s="22"/>
      <c r="D13" s="28">
        <f>SUM(D10:D12)</f>
        <v>30198422</v>
      </c>
      <c r="E13" s="23">
        <f>SUM(E10:E12)</f>
        <v>375628729</v>
      </c>
    </row>
    <row r="14" spans="1:5" x14ac:dyDescent="0.25">
      <c r="A14" s="22" t="s">
        <v>22</v>
      </c>
      <c r="B14" s="1" t="s">
        <v>23</v>
      </c>
      <c r="D14" s="24">
        <f>ROUND(+'Copy Allocation Report Here'!C30+'Copy Allocation Report Here'!C44,0)</f>
        <v>17221031</v>
      </c>
      <c r="E14" s="25">
        <f>ROUND(+'Copy Allocation Report Here'!F30+'Copy Allocation Report Here'!F44,0)</f>
        <v>217141239</v>
      </c>
    </row>
    <row r="15" spans="1:5" x14ac:dyDescent="0.25">
      <c r="A15" s="22"/>
      <c r="B15" s="1" t="s">
        <v>24</v>
      </c>
      <c r="D15" s="24">
        <f>ROUND(+'Copy Allocation Report Here'!C46,0)</f>
        <v>3040811</v>
      </c>
      <c r="E15" s="25">
        <f>ROUND(+'Copy Allocation Report Here'!F46,0)</f>
        <v>33079117</v>
      </c>
    </row>
    <row r="16" spans="1:5" x14ac:dyDescent="0.25">
      <c r="A16" s="22" t="s">
        <v>25</v>
      </c>
      <c r="D16" s="29">
        <f>D13-D14-D15</f>
        <v>9936580</v>
      </c>
      <c r="E16" s="30">
        <f>E13-E14-E15</f>
        <v>125408373</v>
      </c>
    </row>
    <row r="17" spans="1:5" x14ac:dyDescent="0.25">
      <c r="A17" s="22" t="s">
        <v>26</v>
      </c>
      <c r="D17" s="28"/>
      <c r="E17" s="23"/>
    </row>
    <row r="18" spans="1:5" x14ac:dyDescent="0.25">
      <c r="A18" s="22"/>
      <c r="B18" s="1" t="s">
        <v>27</v>
      </c>
      <c r="D18" s="28">
        <f>ROUND('Copy Allocation Report Here'!C50,0)</f>
        <v>25287</v>
      </c>
      <c r="E18" s="23">
        <f>ROUND('Copy Allocation Report Here'!F50,0)</f>
        <v>487789</v>
      </c>
    </row>
    <row r="19" spans="1:5" x14ac:dyDescent="0.25">
      <c r="A19" s="22"/>
      <c r="B19" s="1" t="s">
        <v>28</v>
      </c>
      <c r="D19" s="24">
        <f>ROUND(+'Copy Allocation Report Here'!C80,0)</f>
        <v>1854313</v>
      </c>
      <c r="E19" s="25">
        <f>ROUND(+'Copy Allocation Report Here'!F80,0)</f>
        <v>22723614</v>
      </c>
    </row>
    <row r="20" spans="1:5" x14ac:dyDescent="0.25">
      <c r="A20" s="22"/>
      <c r="B20" s="1" t="s">
        <v>29</v>
      </c>
      <c r="D20" s="24">
        <f>ROUND(+'Copy Allocation Report Here'!C88,0)</f>
        <v>486295</v>
      </c>
      <c r="E20" s="25">
        <f>ROUND(+'Copy Allocation Report Here'!F88,0)</f>
        <v>6762721</v>
      </c>
    </row>
    <row r="21" spans="1:5" x14ac:dyDescent="0.25">
      <c r="A21" s="22"/>
      <c r="B21" s="1" t="s">
        <v>30</v>
      </c>
      <c r="D21" s="24">
        <f>ROUND(+'Copy Allocation Report Here'!C95,0)</f>
        <v>581454</v>
      </c>
      <c r="E21" s="25">
        <f>ROUND(+'Copy Allocation Report Here'!F95,0)</f>
        <v>7658803</v>
      </c>
    </row>
    <row r="22" spans="1:5" x14ac:dyDescent="0.25">
      <c r="A22" s="22"/>
      <c r="B22" s="1" t="s">
        <v>31</v>
      </c>
      <c r="D22" s="24">
        <f>ROUND(+'Copy Allocation Report Here'!C102,0)</f>
        <v>1866</v>
      </c>
      <c r="E22" s="25">
        <f>ROUND(+'Copy Allocation Report Here'!F102,0)</f>
        <v>59867</v>
      </c>
    </row>
    <row r="23" spans="1:5" x14ac:dyDescent="0.25">
      <c r="A23" s="22"/>
      <c r="B23" s="1" t="s">
        <v>32</v>
      </c>
      <c r="D23" s="24">
        <f>ROUND(+'Copy Allocation Report Here'!C118,0)</f>
        <v>2039566</v>
      </c>
      <c r="E23" s="25">
        <f>ROUND(+'Copy Allocation Report Here'!F118,0)+1</f>
        <v>21664046</v>
      </c>
    </row>
    <row r="24" spans="1:5" x14ac:dyDescent="0.25">
      <c r="A24" s="22"/>
      <c r="B24" s="1" t="s">
        <v>33</v>
      </c>
      <c r="D24" s="24">
        <f>ROUND(+'Copy Allocation Report Here'!C130,0)</f>
        <v>2563546</v>
      </c>
      <c r="E24" s="25">
        <f>ROUND(+'Copy Allocation Report Here'!F130,0)</f>
        <v>29957531</v>
      </c>
    </row>
    <row r="25" spans="1:5" x14ac:dyDescent="0.25">
      <c r="A25" s="22"/>
      <c r="B25" s="1" t="s">
        <v>34</v>
      </c>
      <c r="D25" s="24">
        <f>ROUND(+'Copy Allocation Report Here'!C135,0)</f>
        <v>-37827</v>
      </c>
      <c r="E25" s="25">
        <f>ROUND(+'Copy Allocation Report Here'!F135,0)</f>
        <v>5276146</v>
      </c>
    </row>
    <row r="26" spans="1:5" x14ac:dyDescent="0.25">
      <c r="A26" s="22"/>
      <c r="B26" s="1" t="s">
        <v>35</v>
      </c>
      <c r="D26" s="24">
        <f>ROUND(+'Copy Allocation Report Here'!C144,0)</f>
        <v>-35571</v>
      </c>
      <c r="E26" s="25">
        <f>ROUND(+'Copy Allocation Report Here'!F144,0)</f>
        <v>-1653957</v>
      </c>
    </row>
    <row r="27" spans="1:5" x14ac:dyDescent="0.25">
      <c r="A27" s="22"/>
      <c r="C27" s="1" t="s">
        <v>36</v>
      </c>
      <c r="D27" s="29">
        <f>SUM(D18:D26)</f>
        <v>7478929</v>
      </c>
      <c r="E27" s="30">
        <f>SUM(E18:E26)</f>
        <v>92936560</v>
      </c>
    </row>
    <row r="28" spans="1:5" ht="15.75" thickBot="1" x14ac:dyDescent="0.3">
      <c r="A28" s="22" t="s">
        <v>37</v>
      </c>
      <c r="D28" s="31">
        <f>D16-D27</f>
        <v>2457651</v>
      </c>
      <c r="E28" s="32">
        <f>E16-E27</f>
        <v>32471813</v>
      </c>
    </row>
    <row r="29" spans="1:5" ht="15.75" thickTop="1" x14ac:dyDescent="0.25">
      <c r="A29" s="22"/>
      <c r="D29" s="28"/>
      <c r="E29" s="23"/>
    </row>
    <row r="30" spans="1:5" ht="15.75" thickBot="1" x14ac:dyDescent="0.3">
      <c r="A30" s="22" t="s">
        <v>38</v>
      </c>
      <c r="D30" s="33">
        <f>D47</f>
        <v>566161416</v>
      </c>
      <c r="E30" s="34">
        <f>E47</f>
        <v>541581399</v>
      </c>
    </row>
    <row r="31" spans="1:5" ht="15.75" thickTop="1" x14ac:dyDescent="0.25">
      <c r="A31" s="22"/>
      <c r="D31" s="28"/>
      <c r="E31" s="23"/>
    </row>
    <row r="32" spans="1:5" ht="15.75" thickBot="1" x14ac:dyDescent="0.3">
      <c r="A32" s="35" t="s">
        <v>39</v>
      </c>
      <c r="B32" s="36"/>
      <c r="C32" s="36"/>
      <c r="D32" s="37">
        <f>D28/D30</f>
        <v>4.3409016060536347E-3</v>
      </c>
      <c r="E32" s="38">
        <f>E28/E30</f>
        <v>5.9957400789534869E-2</v>
      </c>
    </row>
    <row r="33" spans="1:5" ht="16.5" thickTop="1" thickBot="1" x14ac:dyDescent="0.3">
      <c r="A33" s="39"/>
      <c r="B33" s="40"/>
      <c r="C33" s="40"/>
      <c r="D33" s="41"/>
      <c r="E33" s="42"/>
    </row>
    <row r="34" spans="1:5" x14ac:dyDescent="0.25">
      <c r="D34" s="17"/>
      <c r="E34" s="17"/>
    </row>
    <row r="35" spans="1:5" x14ac:dyDescent="0.25">
      <c r="A35" s="1" t="s">
        <v>40</v>
      </c>
      <c r="D35" s="17"/>
      <c r="E35" s="17"/>
    </row>
    <row r="36" spans="1:5" ht="15.75" thickBot="1" x14ac:dyDescent="0.3">
      <c r="D36" s="65" t="s">
        <v>16</v>
      </c>
      <c r="E36" s="65" t="s">
        <v>17</v>
      </c>
    </row>
    <row r="37" spans="1:5" x14ac:dyDescent="0.25">
      <c r="A37" s="44" t="s">
        <v>41</v>
      </c>
      <c r="B37" s="45"/>
      <c r="C37" s="45"/>
      <c r="D37" s="51">
        <f>ROUND('Copy Other Data Here'!C6,0)</f>
        <v>1077967366</v>
      </c>
      <c r="E37" s="52">
        <f>ROUND(+'Copy Other Data Here'!C19,0)</f>
        <v>1043246265</v>
      </c>
    </row>
    <row r="38" spans="1:5" x14ac:dyDescent="0.25">
      <c r="A38" s="22" t="s">
        <v>42</v>
      </c>
      <c r="D38" s="26">
        <f>ROUND('Copy Other Data Here'!C7,0)</f>
        <v>-466651476</v>
      </c>
      <c r="E38" s="27">
        <f>ROUND(+'Copy Other Data Here'!C20,0)</f>
        <v>-454275333</v>
      </c>
    </row>
    <row r="39" spans="1:5" x14ac:dyDescent="0.25">
      <c r="A39" s="22" t="s">
        <v>43</v>
      </c>
      <c r="D39" s="28">
        <f>D37+D38</f>
        <v>611315890</v>
      </c>
      <c r="E39" s="23">
        <f>E37+E38</f>
        <v>588970932</v>
      </c>
    </row>
    <row r="40" spans="1:5" x14ac:dyDescent="0.25">
      <c r="A40" s="22"/>
      <c r="D40" s="28"/>
      <c r="E40" s="23"/>
    </row>
    <row r="41" spans="1:5" x14ac:dyDescent="0.25">
      <c r="A41" s="22" t="s">
        <v>44</v>
      </c>
      <c r="D41" s="28"/>
      <c r="E41" s="23"/>
    </row>
    <row r="42" spans="1:5" x14ac:dyDescent="0.25">
      <c r="A42" s="22"/>
      <c r="B42" s="1" t="s">
        <v>45</v>
      </c>
      <c r="D42" s="24">
        <f>ROUND('Copy Other Data Here'!C9,0)</f>
        <v>-59659</v>
      </c>
      <c r="E42" s="25">
        <f>ROUND(+'Copy Other Data Here'!C22,0)</f>
        <v>-537451</v>
      </c>
    </row>
    <row r="43" spans="1:5" x14ac:dyDescent="0.25">
      <c r="A43" s="22"/>
      <c r="B43" s="1" t="s">
        <v>46</v>
      </c>
      <c r="D43" s="26">
        <f>ROUND('Copy Other Data Here'!C10,0)-1</f>
        <v>-77393510</v>
      </c>
      <c r="E43" s="27">
        <f>ROUND(+'Copy Other Data Here'!C23,0)</f>
        <v>-77742387</v>
      </c>
    </row>
    <row r="44" spans="1:5" x14ac:dyDescent="0.25">
      <c r="A44" s="22"/>
      <c r="C44" s="1" t="s">
        <v>47</v>
      </c>
      <c r="D44" s="28">
        <f>D39+SUM(D42:D43)</f>
        <v>533862721</v>
      </c>
      <c r="E44" s="23">
        <f>E39+SUM(E42:E43)</f>
        <v>510691094</v>
      </c>
    </row>
    <row r="45" spans="1:5" x14ac:dyDescent="0.25">
      <c r="A45" s="22"/>
      <c r="D45" s="28"/>
      <c r="E45" s="23"/>
    </row>
    <row r="46" spans="1:5" x14ac:dyDescent="0.25">
      <c r="A46" s="22" t="s">
        <v>48</v>
      </c>
      <c r="D46" s="26">
        <f>ROUND('Copy Other Data Here'!C12,0)</f>
        <v>32298695</v>
      </c>
      <c r="E46" s="27">
        <f>ROUND('Copy Other Data Here'!C25,0)</f>
        <v>30890305</v>
      </c>
    </row>
    <row r="47" spans="1:5" ht="15.75" thickBot="1" x14ac:dyDescent="0.3">
      <c r="A47" s="39" t="s">
        <v>49</v>
      </c>
      <c r="B47" s="40"/>
      <c r="C47" s="40"/>
      <c r="D47" s="46">
        <f>D44+D46</f>
        <v>566161416</v>
      </c>
      <c r="E47" s="47">
        <f>E44+E46</f>
        <v>541581399</v>
      </c>
    </row>
    <row r="48" spans="1:5" x14ac:dyDescent="0.25">
      <c r="D48" s="17"/>
      <c r="E48" s="17"/>
    </row>
    <row r="49" spans="1:5" x14ac:dyDescent="0.25">
      <c r="A49" s="1" t="s">
        <v>50</v>
      </c>
      <c r="D49" s="17"/>
      <c r="E49" s="17"/>
    </row>
    <row r="50" spans="1:5" x14ac:dyDescent="0.25">
      <c r="D50" s="17"/>
      <c r="E50" s="17"/>
    </row>
    <row r="51" spans="1:5" x14ac:dyDescent="0.25">
      <c r="D51" s="17"/>
      <c r="E51" s="17"/>
    </row>
    <row r="52" spans="1:5" x14ac:dyDescent="0.25">
      <c r="D52" s="17"/>
      <c r="E52" s="17"/>
    </row>
    <row r="53" spans="1:5" x14ac:dyDescent="0.25">
      <c r="D53" s="17"/>
      <c r="E53" s="17"/>
    </row>
    <row r="54" spans="1:5" x14ac:dyDescent="0.25">
      <c r="D54" s="17"/>
      <c r="E54" s="17"/>
    </row>
    <row r="55" spans="1:5" x14ac:dyDescent="0.25">
      <c r="D55" s="17"/>
      <c r="E55" s="17"/>
    </row>
    <row r="56" spans="1:5" x14ac:dyDescent="0.2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6"/>
  <sheetViews>
    <sheetView tabSelected="1" topLeftCell="A18" zoomScaleNormal="100" zoomScaleSheetLayoutView="70" workbookViewId="0">
      <selection activeCell="L10" sqref="L10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5703125" style="81" customWidth="1"/>
    <col min="5" max="5" width="17.5703125" style="83" customWidth="1"/>
    <col min="6" max="16384" width="9.140625" style="1"/>
  </cols>
  <sheetData>
    <row r="1" spans="1:5" ht="21" customHeight="1" x14ac:dyDescent="0.25">
      <c r="E1" s="82"/>
    </row>
    <row r="2" spans="1:5" ht="18.75" customHeight="1" x14ac:dyDescent="0.25">
      <c r="A2" s="4" t="s">
        <v>13</v>
      </c>
      <c r="B2" s="4"/>
      <c r="C2" s="4"/>
      <c r="D2" s="48"/>
      <c r="E2" s="48"/>
    </row>
    <row r="3" spans="1:5" ht="18" customHeight="1" x14ac:dyDescent="0.25">
      <c r="A3" s="4" t="s">
        <v>14</v>
      </c>
      <c r="B3" s="4"/>
      <c r="C3" s="4"/>
      <c r="D3" s="48"/>
      <c r="E3" s="48"/>
    </row>
    <row r="4" spans="1:5" x14ac:dyDescent="0.25">
      <c r="A4" s="4" t="s">
        <v>15</v>
      </c>
      <c r="B4" s="4"/>
      <c r="C4" s="4"/>
      <c r="D4" s="48"/>
      <c r="E4" s="48"/>
    </row>
    <row r="5" spans="1:5" x14ac:dyDescent="0.25">
      <c r="A5" s="155" t="str">
        <f>"Month and Twelve Months Ended " &amp; TEXT(DATE(YEAR(StatementDate),MONTH(StatementDate),1)-1,"m/d/yyy")</f>
        <v>Month and Twelve Months Ended 5/31/2023</v>
      </c>
      <c r="B5" s="155"/>
      <c r="C5" s="155"/>
      <c r="D5" s="155"/>
      <c r="E5" s="155"/>
    </row>
    <row r="6" spans="1:5" x14ac:dyDescent="0.25">
      <c r="A6" s="16"/>
      <c r="D6" s="17"/>
      <c r="E6" s="17"/>
    </row>
    <row r="7" spans="1:5" ht="15.75" thickBot="1" x14ac:dyDescent="0.3">
      <c r="A7" s="4"/>
      <c r="B7" s="14"/>
      <c r="C7" s="14"/>
      <c r="D7" s="15"/>
      <c r="E7" s="15"/>
    </row>
    <row r="8" spans="1:5" x14ac:dyDescent="0.25">
      <c r="A8" s="18"/>
      <c r="B8" s="19"/>
      <c r="C8" s="19"/>
      <c r="D8" s="20" t="s">
        <v>16</v>
      </c>
      <c r="E8" s="21" t="s">
        <v>17</v>
      </c>
    </row>
    <row r="9" spans="1:5" x14ac:dyDescent="0.25">
      <c r="A9" s="22" t="s">
        <v>18</v>
      </c>
      <c r="D9" s="1"/>
      <c r="E9" s="23"/>
    </row>
    <row r="10" spans="1:5" x14ac:dyDescent="0.25">
      <c r="A10" s="22"/>
      <c r="B10" s="1" t="s">
        <v>19</v>
      </c>
      <c r="D10" s="24">
        <f>ROUND(+'Copy Allocation Report Here'!D10,0)</f>
        <v>16130868</v>
      </c>
      <c r="E10" s="25">
        <f>ROUND(+'Copy Allocation Report Here'!G10,0)</f>
        <v>345260516</v>
      </c>
    </row>
    <row r="11" spans="1:5" x14ac:dyDescent="0.25">
      <c r="A11" s="22"/>
      <c r="B11" s="1" t="s">
        <v>20</v>
      </c>
      <c r="D11" s="24">
        <f>ROUND(+'Copy Allocation Report Here'!D14,0)</f>
        <v>1965008</v>
      </c>
      <c r="E11" s="25">
        <f>ROUND(+'Copy Allocation Report Here'!G14,0)</f>
        <v>28785347</v>
      </c>
    </row>
    <row r="12" spans="1:5" x14ac:dyDescent="0.25">
      <c r="A12" s="22"/>
      <c r="B12" s="1" t="s">
        <v>21</v>
      </c>
      <c r="D12" s="26">
        <f>ROUND(+'Copy Allocation Report Here'!D20-'Copy Allocation Report Here'!D14,0)</f>
        <v>-14659</v>
      </c>
      <c r="E12" s="27">
        <f>ROUND(+'Copy Allocation Report Here'!G20-'Copy Allocation Report Here'!G14,0)</f>
        <v>1585857</v>
      </c>
    </row>
    <row r="13" spans="1:5" x14ac:dyDescent="0.25">
      <c r="A13" s="22"/>
      <c r="D13" s="28">
        <f>SUM(D10:D12)</f>
        <v>18081217</v>
      </c>
      <c r="E13" s="23">
        <f>SUM(E10:E12)</f>
        <v>375631720</v>
      </c>
    </row>
    <row r="14" spans="1:5" x14ac:dyDescent="0.25">
      <c r="A14" s="22" t="s">
        <v>22</v>
      </c>
      <c r="B14" s="1" t="s">
        <v>23</v>
      </c>
      <c r="D14" s="24">
        <f>ROUND(+'Copy Allocation Report Here'!D30+'Copy Allocation Report Here'!D44,0)</f>
        <v>9091310</v>
      </c>
      <c r="E14" s="25">
        <f>ROUND(+'Copy Allocation Report Here'!G30+'Copy Allocation Report Here'!G44,0)</f>
        <v>217022234</v>
      </c>
    </row>
    <row r="15" spans="1:5" x14ac:dyDescent="0.25">
      <c r="A15" s="22"/>
      <c r="B15" s="1" t="s">
        <v>24</v>
      </c>
      <c r="D15" s="24">
        <f>ROUND(+'Copy Allocation Report Here'!D46,0)</f>
        <v>1966013</v>
      </c>
      <c r="E15" s="25">
        <f>ROUND(+'Copy Allocation Report Here'!G46,0)</f>
        <v>33169894</v>
      </c>
    </row>
    <row r="16" spans="1:5" x14ac:dyDescent="0.25">
      <c r="A16" s="22" t="s">
        <v>25</v>
      </c>
      <c r="D16" s="29">
        <f>D13-D14-D15</f>
        <v>7023894</v>
      </c>
      <c r="E16" s="30">
        <f>E13-E14-E15</f>
        <v>125439592</v>
      </c>
    </row>
    <row r="17" spans="1:5" x14ac:dyDescent="0.25">
      <c r="A17" s="22" t="s">
        <v>26</v>
      </c>
      <c r="D17" s="28"/>
      <c r="E17" s="23"/>
    </row>
    <row r="18" spans="1:5" x14ac:dyDescent="0.25">
      <c r="A18" s="22"/>
      <c r="B18" s="1" t="s">
        <v>27</v>
      </c>
      <c r="D18" s="28">
        <f>ROUND('Copy Allocation Report Here'!D50,0)</f>
        <v>23374</v>
      </c>
      <c r="E18" s="23">
        <f>ROUND('Copy Allocation Report Here'!G50,0)</f>
        <v>485439</v>
      </c>
    </row>
    <row r="19" spans="1:5" x14ac:dyDescent="0.25">
      <c r="A19" s="22"/>
      <c r="B19" s="1" t="s">
        <v>28</v>
      </c>
      <c r="D19" s="24">
        <f>ROUND(+'Copy Allocation Report Here'!D80,0)</f>
        <v>1879477</v>
      </c>
      <c r="E19" s="25">
        <f>ROUND(+'Copy Allocation Report Here'!G80,0)</f>
        <v>22541434</v>
      </c>
    </row>
    <row r="20" spans="1:5" x14ac:dyDescent="0.25">
      <c r="A20" s="22"/>
      <c r="B20" s="1" t="s">
        <v>29</v>
      </c>
      <c r="D20" s="24">
        <f>ROUND(+'Copy Allocation Report Here'!D88,0)</f>
        <v>721244</v>
      </c>
      <c r="E20" s="25">
        <f>ROUND(+'Copy Allocation Report Here'!G88,0)</f>
        <v>6877414</v>
      </c>
    </row>
    <row r="21" spans="1:5" x14ac:dyDescent="0.25">
      <c r="A21" s="22"/>
      <c r="B21" s="1" t="s">
        <v>30</v>
      </c>
      <c r="D21" s="24">
        <f>ROUND(+'Copy Allocation Report Here'!D95,0)</f>
        <v>321110</v>
      </c>
      <c r="E21" s="25">
        <f>ROUND(+'Copy Allocation Report Here'!G95,0)</f>
        <v>7560216</v>
      </c>
    </row>
    <row r="22" spans="1:5" x14ac:dyDescent="0.25">
      <c r="A22" s="22"/>
      <c r="B22" s="1" t="s">
        <v>31</v>
      </c>
      <c r="D22" s="24">
        <f>ROUND(+'Copy Allocation Report Here'!D102,0)</f>
        <v>2136</v>
      </c>
      <c r="E22" s="25">
        <f>ROUND(+'Copy Allocation Report Here'!G102,0)</f>
        <v>60043</v>
      </c>
    </row>
    <row r="23" spans="1:5" x14ac:dyDescent="0.25">
      <c r="A23" s="22"/>
      <c r="B23" s="1" t="s">
        <v>32</v>
      </c>
      <c r="D23" s="24">
        <f>ROUND(+'Copy Allocation Report Here'!D118,0)</f>
        <v>1580327</v>
      </c>
      <c r="E23" s="25">
        <f>ROUND(+'Copy Allocation Report Here'!G118,0)</f>
        <v>21389438</v>
      </c>
    </row>
    <row r="24" spans="1:5" x14ac:dyDescent="0.25">
      <c r="A24" s="22"/>
      <c r="B24" s="1" t="s">
        <v>33</v>
      </c>
      <c r="D24" s="24">
        <f>ROUND(+'Copy Allocation Report Here'!D130,0)</f>
        <v>2567471</v>
      </c>
      <c r="E24" s="25">
        <f>ROUND(+'Copy Allocation Report Here'!G130,0)</f>
        <v>30077460</v>
      </c>
    </row>
    <row r="25" spans="1:5" x14ac:dyDescent="0.25">
      <c r="A25" s="22"/>
      <c r="B25" s="1" t="s">
        <v>34</v>
      </c>
      <c r="D25" s="24">
        <f>ROUND(+'Copy Allocation Report Here'!D135,0)</f>
        <v>468110</v>
      </c>
      <c r="E25" s="25">
        <f>ROUND(+'Copy Allocation Report Here'!G135,0)</f>
        <v>5382787</v>
      </c>
    </row>
    <row r="26" spans="1:5" x14ac:dyDescent="0.25">
      <c r="A26" s="22"/>
      <c r="B26" s="1" t="s">
        <v>35</v>
      </c>
      <c r="D26" s="24">
        <f>ROUND(+'Copy Allocation Report Here'!D144,0)</f>
        <v>-675782</v>
      </c>
      <c r="E26" s="25">
        <f>ROUND(+'Copy Allocation Report Here'!G144,0)</f>
        <v>-1734626</v>
      </c>
    </row>
    <row r="27" spans="1:5" x14ac:dyDescent="0.25">
      <c r="A27" s="22"/>
      <c r="C27" s="1" t="s">
        <v>36</v>
      </c>
      <c r="D27" s="29">
        <f>SUM(D18:D26)</f>
        <v>6887467</v>
      </c>
      <c r="E27" s="30">
        <f>SUM(E18:E26)</f>
        <v>92639605</v>
      </c>
    </row>
    <row r="28" spans="1:5" ht="15.75" thickBot="1" x14ac:dyDescent="0.3">
      <c r="A28" s="22" t="s">
        <v>37</v>
      </c>
      <c r="D28" s="31">
        <f>D16-D27</f>
        <v>136427</v>
      </c>
      <c r="E28" s="32">
        <f>E16-E27</f>
        <v>32799987</v>
      </c>
    </row>
    <row r="29" spans="1:5" ht="15.75" thickTop="1" x14ac:dyDescent="0.25">
      <c r="A29" s="22"/>
      <c r="D29" s="28"/>
      <c r="E29" s="23"/>
    </row>
    <row r="30" spans="1:5" ht="15.75" thickBot="1" x14ac:dyDescent="0.3">
      <c r="A30" s="22" t="s">
        <v>38</v>
      </c>
      <c r="D30" s="33">
        <f>D47</f>
        <v>568742468</v>
      </c>
      <c r="E30" s="34">
        <f>E47</f>
        <v>545594356</v>
      </c>
    </row>
    <row r="31" spans="1:5" ht="15.75" thickTop="1" x14ac:dyDescent="0.25">
      <c r="A31" s="22"/>
      <c r="D31" s="28"/>
      <c r="E31" s="23"/>
    </row>
    <row r="32" spans="1:5" ht="15.75" thickBot="1" x14ac:dyDescent="0.3">
      <c r="A32" s="35" t="s">
        <v>39</v>
      </c>
      <c r="B32" s="36"/>
      <c r="C32" s="36"/>
      <c r="D32" s="37">
        <f>D28/D30</f>
        <v>2.3987482503240817E-4</v>
      </c>
      <c r="E32" s="38">
        <f>E28/E30</f>
        <v>6.0117900119919861E-2</v>
      </c>
    </row>
    <row r="33" spans="1:5" ht="16.5" thickTop="1" thickBot="1" x14ac:dyDescent="0.3">
      <c r="A33" s="39"/>
      <c r="B33" s="40"/>
      <c r="C33" s="40"/>
      <c r="D33" s="41"/>
      <c r="E33" s="42"/>
    </row>
    <row r="34" spans="1:5" x14ac:dyDescent="0.25">
      <c r="D34" s="17"/>
      <c r="E34" s="17"/>
    </row>
    <row r="35" spans="1:5" x14ac:dyDescent="0.25">
      <c r="A35" s="1" t="s">
        <v>40</v>
      </c>
      <c r="D35" s="17"/>
      <c r="E35" s="17"/>
    </row>
    <row r="36" spans="1:5" ht="15.75" thickBot="1" x14ac:dyDescent="0.3">
      <c r="D36" s="65" t="s">
        <v>16</v>
      </c>
      <c r="E36" s="65" t="s">
        <v>17</v>
      </c>
    </row>
    <row r="37" spans="1:5" x14ac:dyDescent="0.25">
      <c r="A37" s="44" t="s">
        <v>41</v>
      </c>
      <c r="B37" s="45"/>
      <c r="C37" s="45"/>
      <c r="D37" s="51">
        <f>ROUND('Copy Other Data Here'!D6,0)</f>
        <v>1082218537</v>
      </c>
      <c r="E37" s="52">
        <f>ROUND(+'Copy Other Data Here'!D19,0)</f>
        <v>1048367459</v>
      </c>
    </row>
    <row r="38" spans="1:5" x14ac:dyDescent="0.25">
      <c r="A38" s="22" t="s">
        <v>42</v>
      </c>
      <c r="D38" s="26">
        <f>ROUND('Copy Other Data Here'!D7,0)</f>
        <v>-469000216</v>
      </c>
      <c r="E38" s="27">
        <f>ROUND(+'Copy Other Data Here'!D20,0)</f>
        <v>-456366635</v>
      </c>
    </row>
    <row r="39" spans="1:5" x14ac:dyDescent="0.25">
      <c r="A39" s="22" t="s">
        <v>43</v>
      </c>
      <c r="D39" s="28">
        <f>D37+D38</f>
        <v>613218321</v>
      </c>
      <c r="E39" s="23">
        <f>E37+E38</f>
        <v>592000824</v>
      </c>
    </row>
    <row r="40" spans="1:5" x14ac:dyDescent="0.25">
      <c r="A40" s="22"/>
      <c r="D40" s="28"/>
      <c r="E40" s="23"/>
    </row>
    <row r="41" spans="1:5" x14ac:dyDescent="0.25">
      <c r="A41" s="22" t="s">
        <v>44</v>
      </c>
      <c r="D41" s="28"/>
      <c r="E41" s="23"/>
    </row>
    <row r="42" spans="1:5" x14ac:dyDescent="0.25">
      <c r="A42" s="22"/>
      <c r="B42" s="1" t="s">
        <v>45</v>
      </c>
      <c r="D42" s="24">
        <f>ROUND('Copy Other Data Here'!D9,0)</f>
        <v>-59659</v>
      </c>
      <c r="E42" s="25">
        <f>ROUND(+'Copy Other Data Here'!D22,0)</f>
        <v>-243620</v>
      </c>
    </row>
    <row r="43" spans="1:5" x14ac:dyDescent="0.25">
      <c r="A43" s="22"/>
      <c r="B43" s="1" t="s">
        <v>46</v>
      </c>
      <c r="D43" s="26">
        <f>ROUND('Copy Other Data Here'!D10,0)+1</f>
        <v>-77316879</v>
      </c>
      <c r="E43" s="27">
        <f>ROUND(+'Copy Other Data Here'!D23,0)-1</f>
        <v>-77736643</v>
      </c>
    </row>
    <row r="44" spans="1:5" x14ac:dyDescent="0.25">
      <c r="A44" s="22"/>
      <c r="C44" s="1" t="s">
        <v>47</v>
      </c>
      <c r="D44" s="28">
        <f>D39+SUM(D42:D43)</f>
        <v>535841783</v>
      </c>
      <c r="E44" s="23">
        <f>E39+SUM(E42:E43)</f>
        <v>514020561</v>
      </c>
    </row>
    <row r="45" spans="1:5" x14ac:dyDescent="0.25">
      <c r="A45" s="22"/>
      <c r="D45" s="28"/>
      <c r="E45" s="23"/>
    </row>
    <row r="46" spans="1:5" x14ac:dyDescent="0.25">
      <c r="A46" s="22" t="s">
        <v>48</v>
      </c>
      <c r="D46" s="26">
        <f>ROUND('Copy Other Data Here'!D12,0)</f>
        <v>32900685</v>
      </c>
      <c r="E46" s="27">
        <f>ROUND(+'Copy Other Data Here'!D25,0)</f>
        <v>31573795</v>
      </c>
    </row>
    <row r="47" spans="1:5" ht="15.75" thickBot="1" x14ac:dyDescent="0.3">
      <c r="A47" s="39" t="s">
        <v>49</v>
      </c>
      <c r="B47" s="40"/>
      <c r="C47" s="40"/>
      <c r="D47" s="46">
        <f>D44+D46</f>
        <v>568742468</v>
      </c>
      <c r="E47" s="47">
        <f>E44+E46</f>
        <v>545594356</v>
      </c>
    </row>
    <row r="48" spans="1:5" x14ac:dyDescent="0.25">
      <c r="D48" s="17"/>
      <c r="E48" s="17"/>
    </row>
    <row r="49" spans="1:5" x14ac:dyDescent="0.25">
      <c r="A49" s="1" t="s">
        <v>50</v>
      </c>
      <c r="D49" s="17"/>
      <c r="E49" s="17"/>
    </row>
    <row r="50" spans="1:5" x14ac:dyDescent="0.25">
      <c r="D50" s="17"/>
      <c r="E50" s="17"/>
    </row>
    <row r="51" spans="1:5" x14ac:dyDescent="0.25">
      <c r="D51" s="17"/>
      <c r="E51" s="17"/>
    </row>
    <row r="52" spans="1:5" x14ac:dyDescent="0.25">
      <c r="D52" s="17"/>
      <c r="E52" s="17"/>
    </row>
    <row r="53" spans="1:5" x14ac:dyDescent="0.25">
      <c r="D53" s="17"/>
      <c r="E53" s="17"/>
    </row>
    <row r="54" spans="1:5" x14ac:dyDescent="0.25">
      <c r="D54" s="17"/>
      <c r="E54" s="17"/>
    </row>
    <row r="55" spans="1:5" x14ac:dyDescent="0.25">
      <c r="D55" s="17"/>
      <c r="E55" s="17"/>
    </row>
    <row r="56" spans="1:5" x14ac:dyDescent="0.2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56"/>
  <sheetViews>
    <sheetView tabSelected="1" topLeftCell="A15" zoomScaleNormal="100" zoomScaleSheetLayoutView="80" workbookViewId="0">
      <selection activeCell="L10" sqref="L10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7109375" style="81" customWidth="1"/>
    <col min="5" max="5" width="17.7109375" style="83" customWidth="1"/>
    <col min="6" max="16384" width="9.140625" style="1"/>
  </cols>
  <sheetData>
    <row r="1" spans="1:5" ht="21" customHeight="1" x14ac:dyDescent="0.25">
      <c r="E1" s="82"/>
    </row>
    <row r="2" spans="1:5" ht="18.75" customHeight="1" x14ac:dyDescent="0.25">
      <c r="A2" s="4" t="s">
        <v>13</v>
      </c>
      <c r="B2" s="4"/>
      <c r="C2" s="4"/>
      <c r="D2" s="48"/>
      <c r="E2" s="48"/>
    </row>
    <row r="3" spans="1:5" ht="18" customHeight="1" x14ac:dyDescent="0.25">
      <c r="A3" s="4" t="s">
        <v>14</v>
      </c>
      <c r="B3" s="4"/>
      <c r="C3" s="4"/>
      <c r="D3" s="48"/>
      <c r="E3" s="48"/>
    </row>
    <row r="4" spans="1:5" x14ac:dyDescent="0.25">
      <c r="A4" s="4" t="s">
        <v>15</v>
      </c>
      <c r="B4" s="4"/>
      <c r="C4" s="4"/>
      <c r="D4" s="48"/>
      <c r="E4" s="48"/>
    </row>
    <row r="5" spans="1:5" x14ac:dyDescent="0.25">
      <c r="A5" s="155" t="str">
        <f>"Month and Twelve Months Ended " &amp; TEXT(StatementDate,"m/d/yyy")</f>
        <v>Month and Twelve Months Ended 6/30/2023</v>
      </c>
      <c r="B5" s="155"/>
      <c r="C5" s="155"/>
      <c r="D5" s="155"/>
      <c r="E5" s="155"/>
    </row>
    <row r="6" spans="1:5" x14ac:dyDescent="0.25">
      <c r="A6" s="49"/>
      <c r="B6" s="50"/>
      <c r="C6" s="50"/>
      <c r="D6" s="43"/>
      <c r="E6" s="43"/>
    </row>
    <row r="7" spans="1:5" ht="15.75" thickBot="1" x14ac:dyDescent="0.3">
      <c r="A7" s="4"/>
      <c r="B7" s="14"/>
      <c r="C7" s="14"/>
      <c r="D7" s="15"/>
      <c r="E7" s="15"/>
    </row>
    <row r="8" spans="1:5" x14ac:dyDescent="0.25">
      <c r="A8" s="18"/>
      <c r="B8" s="19"/>
      <c r="C8" s="19"/>
      <c r="D8" s="20" t="s">
        <v>16</v>
      </c>
      <c r="E8" s="21" t="s">
        <v>17</v>
      </c>
    </row>
    <row r="9" spans="1:5" x14ac:dyDescent="0.25">
      <c r="A9" s="22" t="s">
        <v>18</v>
      </c>
      <c r="D9" s="1"/>
      <c r="E9" s="23"/>
    </row>
    <row r="10" spans="1:5" x14ac:dyDescent="0.25">
      <c r="A10" s="22"/>
      <c r="B10" s="1" t="s">
        <v>19</v>
      </c>
      <c r="D10" s="24">
        <f>ROUND(+'Copy Allocation Report Here'!E10,0)</f>
        <v>13055351</v>
      </c>
      <c r="E10" s="25">
        <f>ROUND(+'Copy Allocation Report Here'!H10,0)</f>
        <v>348209992</v>
      </c>
    </row>
    <row r="11" spans="1:5" x14ac:dyDescent="0.25">
      <c r="A11" s="22"/>
      <c r="B11" s="1" t="s">
        <v>20</v>
      </c>
      <c r="D11" s="24">
        <f>ROUND(+'Copy Allocation Report Here'!E14,0)</f>
        <v>2139491</v>
      </c>
      <c r="E11" s="25">
        <f>ROUND(+'Copy Allocation Report Here'!H14,0)</f>
        <v>28871594</v>
      </c>
    </row>
    <row r="12" spans="1:5" x14ac:dyDescent="0.25">
      <c r="A12" s="22"/>
      <c r="B12" s="1" t="s">
        <v>21</v>
      </c>
      <c r="D12" s="26">
        <f>ROUND(+'Copy Allocation Report Here'!E20-'Copy Allocation Report Here'!E14,0)</f>
        <v>66477</v>
      </c>
      <c r="E12" s="27">
        <f>ROUND(+'Copy Allocation Report Here'!H20-'Copy Allocation Report Here'!H14,0)</f>
        <v>1770304</v>
      </c>
    </row>
    <row r="13" spans="1:5" x14ac:dyDescent="0.25">
      <c r="A13" s="22"/>
      <c r="D13" s="28">
        <f>SUM(D10:D12)</f>
        <v>15261319</v>
      </c>
      <c r="E13" s="23">
        <f>SUM(E10:E12)</f>
        <v>378851890</v>
      </c>
    </row>
    <row r="14" spans="1:5" x14ac:dyDescent="0.25">
      <c r="A14" s="22" t="s">
        <v>22</v>
      </c>
      <c r="B14" s="1" t="s">
        <v>23</v>
      </c>
      <c r="D14" s="24">
        <f>ROUND(+'Copy Allocation Report Here'!E30+'Copy Allocation Report Here'!E44,0)</f>
        <v>7280618</v>
      </c>
      <c r="E14" s="25">
        <f>ROUND(+'Copy Allocation Report Here'!H30+'Copy Allocation Report Here'!H44,0)</f>
        <v>219070336</v>
      </c>
    </row>
    <row r="15" spans="1:5" x14ac:dyDescent="0.25">
      <c r="A15" s="22"/>
      <c r="B15" s="1" t="s">
        <v>24</v>
      </c>
      <c r="D15" s="24">
        <f>ROUND(+'Copy Allocation Report Here'!E46,0)</f>
        <v>1327347</v>
      </c>
      <c r="E15" s="25">
        <f>ROUND(+'Copy Allocation Report Here'!H46,0)</f>
        <v>33253080</v>
      </c>
    </row>
    <row r="16" spans="1:5" x14ac:dyDescent="0.25">
      <c r="A16" s="22" t="s">
        <v>25</v>
      </c>
      <c r="D16" s="29">
        <f>D13-D14-D15</f>
        <v>6653354</v>
      </c>
      <c r="E16" s="30">
        <f>E13-E14-E15</f>
        <v>126528474</v>
      </c>
    </row>
    <row r="17" spans="1:5" x14ac:dyDescent="0.25">
      <c r="A17" s="22" t="s">
        <v>26</v>
      </c>
      <c r="D17" s="28"/>
      <c r="E17" s="23"/>
    </row>
    <row r="18" spans="1:5" x14ac:dyDescent="0.25">
      <c r="A18" s="22"/>
      <c r="B18" s="1" t="s">
        <v>27</v>
      </c>
      <c r="D18" s="28">
        <f>ROUND('Copy Allocation Report Here'!E50,0)</f>
        <v>251376</v>
      </c>
      <c r="E18" s="23">
        <f>ROUND('Copy Allocation Report Here'!H50,0)</f>
        <v>545255</v>
      </c>
    </row>
    <row r="19" spans="1:5" x14ac:dyDescent="0.25">
      <c r="A19" s="22"/>
      <c r="B19" s="1" t="s">
        <v>28</v>
      </c>
      <c r="D19" s="24">
        <f>ROUND(+'Copy Allocation Report Here'!E80,0)</f>
        <v>2024058</v>
      </c>
      <c r="E19" s="25">
        <f>ROUND(+'Copy Allocation Report Here'!H80,0)</f>
        <v>22727282</v>
      </c>
    </row>
    <row r="20" spans="1:5" x14ac:dyDescent="0.25">
      <c r="A20" s="22"/>
      <c r="B20" s="1" t="s">
        <v>29</v>
      </c>
      <c r="D20" s="24">
        <f>ROUND(+'Copy Allocation Report Here'!E88,0)</f>
        <v>546276</v>
      </c>
      <c r="E20" s="25">
        <f>ROUND(+'Copy Allocation Report Here'!H88,0)</f>
        <v>7041564</v>
      </c>
    </row>
    <row r="21" spans="1:5" x14ac:dyDescent="0.25">
      <c r="A21" s="22"/>
      <c r="B21" s="1" t="s">
        <v>30</v>
      </c>
      <c r="D21" s="24">
        <f>ROUND(+'Copy Allocation Report Here'!E95,0)</f>
        <v>248273</v>
      </c>
      <c r="E21" s="25">
        <f>ROUND(+'Copy Allocation Report Here'!H95,0)</f>
        <v>7503217</v>
      </c>
    </row>
    <row r="22" spans="1:5" x14ac:dyDescent="0.25">
      <c r="A22" s="22"/>
      <c r="B22" s="1" t="s">
        <v>31</v>
      </c>
      <c r="D22" s="24">
        <f>ROUND(+'Copy Allocation Report Here'!E102,0)</f>
        <v>1235</v>
      </c>
      <c r="E22" s="25">
        <f>ROUND(+'Copy Allocation Report Here'!H102,0)</f>
        <v>27259</v>
      </c>
    </row>
    <row r="23" spans="1:5" x14ac:dyDescent="0.25">
      <c r="A23" s="22"/>
      <c r="B23" s="1" t="s">
        <v>32</v>
      </c>
      <c r="D23" s="24">
        <f>ROUND(+'Copy Allocation Report Here'!E118,0)+1</f>
        <v>2393213</v>
      </c>
      <c r="E23" s="25">
        <f>ROUND(+'Copy Allocation Report Here'!H118,0)-1</f>
        <v>22153134</v>
      </c>
    </row>
    <row r="24" spans="1:5" x14ac:dyDescent="0.25">
      <c r="A24" s="22"/>
      <c r="B24" s="1" t="s">
        <v>33</v>
      </c>
      <c r="D24" s="24">
        <f>ROUND(+'Copy Allocation Report Here'!E130,0)</f>
        <v>2576930</v>
      </c>
      <c r="E24" s="25">
        <f>ROUND(+'Copy Allocation Report Here'!H130,0)</f>
        <v>30201477</v>
      </c>
    </row>
    <row r="25" spans="1:5" x14ac:dyDescent="0.25">
      <c r="A25" s="22"/>
      <c r="B25" s="1" t="s">
        <v>34</v>
      </c>
      <c r="D25" s="24">
        <f>ROUND(+'Copy Allocation Report Here'!E135,0)</f>
        <v>468549</v>
      </c>
      <c r="E25" s="25">
        <f>ROUND(+'Copy Allocation Report Here'!H135,0)</f>
        <v>5208226</v>
      </c>
    </row>
    <row r="26" spans="1:5" x14ac:dyDescent="0.25">
      <c r="A26" s="22"/>
      <c r="B26" s="1" t="s">
        <v>35</v>
      </c>
      <c r="D26" s="24">
        <f>ROUND(+'Copy Allocation Report Here'!E144,0)</f>
        <v>-950875</v>
      </c>
      <c r="E26" s="25">
        <f>ROUND(+'Copy Allocation Report Here'!H144,0)</f>
        <v>-1814090</v>
      </c>
    </row>
    <row r="27" spans="1:5" x14ac:dyDescent="0.25">
      <c r="A27" s="22"/>
      <c r="C27" s="1" t="s">
        <v>36</v>
      </c>
      <c r="D27" s="29">
        <f>SUM(D18:D26)</f>
        <v>7559035</v>
      </c>
      <c r="E27" s="30">
        <f>SUM(E18:E26)</f>
        <v>93593324</v>
      </c>
    </row>
    <row r="28" spans="1:5" ht="15.75" thickBot="1" x14ac:dyDescent="0.3">
      <c r="A28" s="22" t="s">
        <v>37</v>
      </c>
      <c r="D28" s="31">
        <f>D16-D27</f>
        <v>-905681</v>
      </c>
      <c r="E28" s="32">
        <f>E16-E27</f>
        <v>32935150</v>
      </c>
    </row>
    <row r="29" spans="1:5" ht="15.75" thickTop="1" x14ac:dyDescent="0.25">
      <c r="A29" s="22"/>
      <c r="D29" s="28"/>
      <c r="E29" s="23"/>
    </row>
    <row r="30" spans="1:5" ht="15.75" thickBot="1" x14ac:dyDescent="0.3">
      <c r="A30" s="22" t="s">
        <v>38</v>
      </c>
      <c r="D30" s="33">
        <f>D47</f>
        <v>569710771</v>
      </c>
      <c r="E30" s="34">
        <f>E47</f>
        <v>549610011</v>
      </c>
    </row>
    <row r="31" spans="1:5" ht="15.75" thickTop="1" x14ac:dyDescent="0.25">
      <c r="A31" s="22"/>
      <c r="D31" s="28"/>
      <c r="E31" s="23"/>
    </row>
    <row r="32" spans="1:5" ht="15.75" thickBot="1" x14ac:dyDescent="0.3">
      <c r="A32" s="35" t="s">
        <v>39</v>
      </c>
      <c r="B32" s="36"/>
      <c r="C32" s="36"/>
      <c r="D32" s="37">
        <f>D28/D30</f>
        <v>-1.5897206900446683E-3</v>
      </c>
      <c r="E32" s="38">
        <f>E28/E30</f>
        <v>5.9924581686704392E-2</v>
      </c>
    </row>
    <row r="33" spans="1:5" ht="16.5" thickTop="1" thickBot="1" x14ac:dyDescent="0.3">
      <c r="A33" s="39"/>
      <c r="B33" s="40"/>
      <c r="C33" s="40"/>
      <c r="D33" s="41"/>
      <c r="E33" s="42"/>
    </row>
    <row r="34" spans="1:5" x14ac:dyDescent="0.25">
      <c r="D34" s="17"/>
      <c r="E34" s="17"/>
    </row>
    <row r="35" spans="1:5" x14ac:dyDescent="0.25">
      <c r="A35" s="1" t="s">
        <v>40</v>
      </c>
      <c r="D35" s="17"/>
      <c r="E35" s="17"/>
    </row>
    <row r="36" spans="1:5" ht="15.75" thickBot="1" x14ac:dyDescent="0.3">
      <c r="D36" s="65" t="s">
        <v>16</v>
      </c>
      <c r="E36" s="65" t="s">
        <v>17</v>
      </c>
    </row>
    <row r="37" spans="1:5" x14ac:dyDescent="0.25">
      <c r="A37" s="44" t="s">
        <v>41</v>
      </c>
      <c r="B37" s="45"/>
      <c r="C37" s="45"/>
      <c r="D37" s="51">
        <f>ROUND('Copy Other Data Here'!E6,0)</f>
        <v>1084283903</v>
      </c>
      <c r="E37" s="52">
        <f>ROUND(+'Copy Other Data Here'!E19,0)</f>
        <v>1053600604</v>
      </c>
    </row>
    <row r="38" spans="1:5" x14ac:dyDescent="0.25">
      <c r="A38" s="22" t="s">
        <v>42</v>
      </c>
      <c r="D38" s="26">
        <f>ROUND('Copy Other Data Here'!E7,0)</f>
        <v>-470735150</v>
      </c>
      <c r="E38" s="27">
        <f>ROUND(+'Copy Other Data Here'!E20,0)</f>
        <v>-458458713</v>
      </c>
    </row>
    <row r="39" spans="1:5" x14ac:dyDescent="0.25">
      <c r="A39" s="22" t="s">
        <v>43</v>
      </c>
      <c r="D39" s="28">
        <f>D37+D38</f>
        <v>613548753</v>
      </c>
      <c r="E39" s="23">
        <f>E37+E38</f>
        <v>595141891</v>
      </c>
    </row>
    <row r="40" spans="1:5" x14ac:dyDescent="0.25">
      <c r="A40" s="22"/>
      <c r="D40" s="28"/>
      <c r="E40" s="23"/>
    </row>
    <row r="41" spans="1:5" x14ac:dyDescent="0.25">
      <c r="A41" s="22" t="s">
        <v>44</v>
      </c>
      <c r="D41" s="28"/>
      <c r="E41" s="23"/>
    </row>
    <row r="42" spans="1:5" x14ac:dyDescent="0.25">
      <c r="A42" s="22"/>
      <c r="B42" s="1" t="s">
        <v>45</v>
      </c>
      <c r="D42" s="24">
        <f>ROUND('Copy Other Data Here'!E9,0)</f>
        <v>-59659</v>
      </c>
      <c r="E42" s="25">
        <f>ROUND(+'Copy Other Data Here'!E22,0)</f>
        <v>-91520</v>
      </c>
    </row>
    <row r="43" spans="1:5" x14ac:dyDescent="0.25">
      <c r="A43" s="22"/>
      <c r="B43" s="1" t="s">
        <v>46</v>
      </c>
      <c r="D43" s="26">
        <f>ROUND('Copy Other Data Here'!E10,0)</f>
        <v>-77240251</v>
      </c>
      <c r="E43" s="27">
        <f>ROUND(+'Copy Other Data Here'!E23,0)+1</f>
        <v>-77697930</v>
      </c>
    </row>
    <row r="44" spans="1:5" x14ac:dyDescent="0.25">
      <c r="A44" s="22"/>
      <c r="C44" s="1" t="s">
        <v>47</v>
      </c>
      <c r="D44" s="28">
        <f>D39+SUM(D42:D43)</f>
        <v>536248843</v>
      </c>
      <c r="E44" s="23">
        <f>E39+SUM(E42:E43)</f>
        <v>517352441</v>
      </c>
    </row>
    <row r="45" spans="1:5" x14ac:dyDescent="0.25">
      <c r="A45" s="22"/>
      <c r="D45" s="28"/>
      <c r="E45" s="23"/>
    </row>
    <row r="46" spans="1:5" x14ac:dyDescent="0.25">
      <c r="A46" s="22" t="s">
        <v>48</v>
      </c>
      <c r="D46" s="26">
        <f>ROUND('Copy Other Data Here'!E12,0)</f>
        <v>33461928</v>
      </c>
      <c r="E46" s="27">
        <f>ROUND(+'Copy Other Data Here'!E25,0)</f>
        <v>32257570</v>
      </c>
    </row>
    <row r="47" spans="1:5" ht="15.75" thickBot="1" x14ac:dyDescent="0.3">
      <c r="A47" s="39" t="s">
        <v>49</v>
      </c>
      <c r="B47" s="40"/>
      <c r="C47" s="40"/>
      <c r="D47" s="46">
        <f>D44+D46</f>
        <v>569710771</v>
      </c>
      <c r="E47" s="47">
        <f>E44+E46</f>
        <v>549610011</v>
      </c>
    </row>
    <row r="48" spans="1:5" x14ac:dyDescent="0.25">
      <c r="D48" s="17"/>
      <c r="E48" s="17"/>
    </row>
    <row r="49" spans="1:5" x14ac:dyDescent="0.25">
      <c r="A49" s="1" t="s">
        <v>50</v>
      </c>
      <c r="D49" s="17"/>
      <c r="E49" s="17"/>
    </row>
    <row r="50" spans="1:5" x14ac:dyDescent="0.25">
      <c r="D50" s="17"/>
      <c r="E50" s="17"/>
    </row>
    <row r="51" spans="1:5" x14ac:dyDescent="0.25">
      <c r="D51" s="17"/>
      <c r="E51" s="17"/>
    </row>
    <row r="52" spans="1:5" x14ac:dyDescent="0.25">
      <c r="D52" s="17"/>
      <c r="E52" s="17"/>
    </row>
    <row r="53" spans="1:5" x14ac:dyDescent="0.25">
      <c r="D53" s="17"/>
      <c r="E53" s="17"/>
    </row>
    <row r="54" spans="1:5" x14ac:dyDescent="0.25">
      <c r="D54" s="17"/>
      <c r="E54" s="17"/>
    </row>
    <row r="55" spans="1:5" x14ac:dyDescent="0.25">
      <c r="D55" s="17"/>
      <c r="E55" s="17"/>
    </row>
    <row r="56" spans="1:5" x14ac:dyDescent="0.2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147"/>
  <sheetViews>
    <sheetView topLeftCell="A100" zoomScaleNormal="100" zoomScaleSheetLayoutView="100" workbookViewId="0">
      <pane xSplit="2" topLeftCell="C1" activePane="topRight" state="frozen"/>
      <selection activeCell="K40" sqref="K40"/>
      <selection pane="topRight" activeCell="A3" sqref="A3"/>
    </sheetView>
  </sheetViews>
  <sheetFormatPr defaultColWidth="9.140625" defaultRowHeight="15" x14ac:dyDescent="0.25"/>
  <cols>
    <col min="1" max="1" width="14.5703125" style="1" customWidth="1"/>
    <col min="2" max="2" width="33.5703125" style="1" bestFit="1" customWidth="1"/>
    <col min="3" max="3" width="15.28515625" style="1" bestFit="1" customWidth="1"/>
    <col min="4" max="4" width="15" style="1" customWidth="1"/>
    <col min="5" max="5" width="14.28515625" style="1" bestFit="1" customWidth="1"/>
    <col min="6" max="6" width="16" style="1" bestFit="1" customWidth="1"/>
    <col min="7" max="7" width="17.140625" style="1" customWidth="1"/>
    <col min="8" max="8" width="16" style="1" bestFit="1" customWidth="1"/>
    <col min="9" max="9" width="9.140625" style="1"/>
    <col min="10" max="10" width="14.28515625" style="1" bestFit="1" customWidth="1"/>
    <col min="11" max="15" width="9.140625" style="1"/>
    <col min="16" max="16" width="19" style="1" bestFit="1" customWidth="1"/>
    <col min="17" max="17" width="28.140625" style="1" bestFit="1" customWidth="1"/>
    <col min="18" max="18" width="9.140625" style="1"/>
    <col min="19" max="19" width="13.5703125" style="1" bestFit="1" customWidth="1"/>
    <col min="20" max="20" width="13.42578125" style="1" customWidth="1"/>
    <col min="21" max="16384" width="9.140625" style="1"/>
  </cols>
  <sheetData>
    <row r="1" spans="1:20" x14ac:dyDescent="0.25">
      <c r="A1" s="1" t="s">
        <v>13</v>
      </c>
    </row>
    <row r="2" spans="1:20" x14ac:dyDescent="0.25">
      <c r="A2" s="1" t="s">
        <v>1</v>
      </c>
    </row>
    <row r="3" spans="1:20" x14ac:dyDescent="0.25">
      <c r="A3" s="1" t="s">
        <v>51</v>
      </c>
      <c r="B3" s="97">
        <f>E6</f>
        <v>45107</v>
      </c>
      <c r="C3" s="57"/>
      <c r="D3" s="57"/>
      <c r="E3" s="57"/>
      <c r="F3" s="57"/>
      <c r="G3" s="57"/>
      <c r="H3" s="57"/>
    </row>
    <row r="4" spans="1:20" ht="15.75" thickBot="1" x14ac:dyDescent="0.3">
      <c r="B4" s="97"/>
      <c r="C4" s="57"/>
      <c r="D4" s="57"/>
      <c r="E4" s="57"/>
      <c r="F4" s="57"/>
      <c r="G4" s="57"/>
      <c r="H4" s="57"/>
    </row>
    <row r="5" spans="1:20" ht="18.75" customHeight="1" thickBot="1" x14ac:dyDescent="0.3">
      <c r="A5" s="164"/>
      <c r="B5" s="165"/>
      <c r="C5" s="161" t="s">
        <v>52</v>
      </c>
      <c r="D5" s="162"/>
      <c r="E5" s="163"/>
      <c r="F5" s="161" t="s">
        <v>53</v>
      </c>
      <c r="G5" s="162"/>
      <c r="H5" s="163"/>
    </row>
    <row r="6" spans="1:20" s="98" customFormat="1" ht="52.5" customHeight="1" thickBot="1" x14ac:dyDescent="0.35">
      <c r="A6" s="159" t="s">
        <v>54</v>
      </c>
      <c r="B6" s="160"/>
      <c r="C6" s="123">
        <v>45046</v>
      </c>
      <c r="D6" s="123">
        <v>45077</v>
      </c>
      <c r="E6" s="123">
        <v>45107</v>
      </c>
      <c r="F6" s="124" t="s">
        <v>274</v>
      </c>
      <c r="G6" s="124" t="s">
        <v>275</v>
      </c>
      <c r="H6" s="125" t="s">
        <v>276</v>
      </c>
    </row>
    <row r="7" spans="1:20" x14ac:dyDescent="0.25">
      <c r="A7" s="99" t="s">
        <v>55</v>
      </c>
      <c r="B7" s="100"/>
      <c r="C7" s="84"/>
      <c r="D7" s="85"/>
      <c r="E7" s="86"/>
      <c r="F7" s="84"/>
      <c r="G7" s="85"/>
      <c r="H7" s="87"/>
      <c r="S7" s="101"/>
      <c r="T7" s="101"/>
    </row>
    <row r="8" spans="1:20" x14ac:dyDescent="0.25">
      <c r="A8" s="102" t="s">
        <v>56</v>
      </c>
      <c r="B8" s="103" t="s">
        <v>57</v>
      </c>
      <c r="C8" s="126">
        <v>14694830.970000001</v>
      </c>
      <c r="D8" s="126">
        <v>8290732.3799999999</v>
      </c>
      <c r="E8" s="61">
        <v>6541625.4500000002</v>
      </c>
      <c r="F8" s="59">
        <v>187546202.90000001</v>
      </c>
      <c r="G8" s="60">
        <v>187375944.47000003</v>
      </c>
      <c r="H8" s="63">
        <v>188882022.25</v>
      </c>
      <c r="S8" s="101"/>
      <c r="T8" s="101"/>
    </row>
    <row r="9" spans="1:20" x14ac:dyDescent="0.25">
      <c r="A9" s="102" t="s">
        <v>58</v>
      </c>
      <c r="B9" s="103" t="s">
        <v>59</v>
      </c>
      <c r="C9" s="126">
        <v>12694209.76</v>
      </c>
      <c r="D9" s="126">
        <v>7840135.1699999999</v>
      </c>
      <c r="E9" s="61">
        <v>6513725.75</v>
      </c>
      <c r="F9" s="59">
        <v>157618835.84</v>
      </c>
      <c r="G9" s="60">
        <v>157884571.94</v>
      </c>
      <c r="H9" s="63">
        <v>159327970.21000001</v>
      </c>
      <c r="S9" s="101"/>
      <c r="T9" s="101"/>
    </row>
    <row r="10" spans="1:20" x14ac:dyDescent="0.25">
      <c r="A10" s="99" t="s">
        <v>60</v>
      </c>
      <c r="B10" s="100"/>
      <c r="C10" s="127">
        <f>+C8+C9</f>
        <v>27389040.73</v>
      </c>
      <c r="D10" s="127">
        <f t="shared" ref="D10:H10" si="0">+D8+D9</f>
        <v>16130867.550000001</v>
      </c>
      <c r="E10" s="127">
        <f t="shared" si="0"/>
        <v>13055351.199999999</v>
      </c>
      <c r="F10" s="127">
        <f t="shared" si="0"/>
        <v>345165038.74000001</v>
      </c>
      <c r="G10" s="127">
        <f t="shared" si="0"/>
        <v>345260516.41000003</v>
      </c>
      <c r="H10" s="127">
        <f t="shared" si="0"/>
        <v>348209992.46000004</v>
      </c>
      <c r="S10" s="101"/>
      <c r="T10" s="101"/>
    </row>
    <row r="11" spans="1:20" x14ac:dyDescent="0.25">
      <c r="A11" s="104"/>
      <c r="B11" s="100"/>
      <c r="C11" s="59"/>
      <c r="D11" s="60"/>
      <c r="E11" s="61"/>
      <c r="F11" s="59"/>
      <c r="G11" s="60"/>
      <c r="H11" s="63"/>
      <c r="S11" s="101"/>
      <c r="T11" s="101"/>
    </row>
    <row r="12" spans="1:20" x14ac:dyDescent="0.25">
      <c r="A12" s="99" t="s">
        <v>61</v>
      </c>
      <c r="B12" s="100"/>
      <c r="C12" s="59"/>
      <c r="D12" s="60"/>
      <c r="E12" s="61"/>
      <c r="F12" s="59"/>
      <c r="G12" s="60"/>
      <c r="H12" s="63"/>
      <c r="S12" s="101"/>
      <c r="T12" s="101"/>
    </row>
    <row r="13" spans="1:20" x14ac:dyDescent="0.25">
      <c r="A13" s="102" t="s">
        <v>62</v>
      </c>
      <c r="B13" s="103" t="s">
        <v>63</v>
      </c>
      <c r="C13" s="59">
        <v>81034.59</v>
      </c>
      <c r="D13" s="60">
        <v>13639.61</v>
      </c>
      <c r="E13" s="61">
        <v>28986.84</v>
      </c>
      <c r="F13" s="59">
        <v>352935.68000000005</v>
      </c>
      <c r="G13" s="60">
        <v>337994.33</v>
      </c>
      <c r="H13" s="63">
        <v>346589.9</v>
      </c>
      <c r="S13" s="101"/>
      <c r="T13" s="101"/>
    </row>
    <row r="14" spans="1:20" x14ac:dyDescent="0.25">
      <c r="A14" s="105" t="s">
        <v>64</v>
      </c>
      <c r="B14" s="103" t="s">
        <v>65</v>
      </c>
      <c r="C14" s="59">
        <v>2540309.0499999998</v>
      </c>
      <c r="D14" s="60">
        <v>1965008.43</v>
      </c>
      <c r="E14" s="61">
        <v>2139490.71</v>
      </c>
      <c r="F14" s="59">
        <v>28904500.039999999</v>
      </c>
      <c r="G14" s="60">
        <v>28785347.109999999</v>
      </c>
      <c r="H14" s="63">
        <v>28871594.300000001</v>
      </c>
      <c r="S14" s="101"/>
      <c r="T14" s="101"/>
    </row>
    <row r="15" spans="1:20" x14ac:dyDescent="0.25">
      <c r="A15" s="105" t="s">
        <v>66</v>
      </c>
      <c r="B15" s="103" t="s">
        <v>67</v>
      </c>
      <c r="C15" s="59">
        <v>0</v>
      </c>
      <c r="D15" s="60">
        <v>0</v>
      </c>
      <c r="E15" s="61">
        <v>68217.61</v>
      </c>
      <c r="F15" s="59">
        <v>100</v>
      </c>
      <c r="G15" s="60">
        <v>0</v>
      </c>
      <c r="H15" s="63">
        <v>68217.61</v>
      </c>
      <c r="S15" s="106"/>
      <c r="T15" s="106"/>
    </row>
    <row r="16" spans="1:20" x14ac:dyDescent="0.25">
      <c r="A16" s="105" t="s">
        <v>68</v>
      </c>
      <c r="B16" s="103" t="s">
        <v>69</v>
      </c>
      <c r="C16" s="59">
        <v>8054.26</v>
      </c>
      <c r="D16" s="60">
        <v>8054.26</v>
      </c>
      <c r="E16" s="61">
        <v>8054.26</v>
      </c>
      <c r="F16" s="59">
        <v>94622.459999999992</v>
      </c>
      <c r="G16" s="60">
        <v>94876.04</v>
      </c>
      <c r="H16" s="63">
        <v>95129.62</v>
      </c>
    </row>
    <row r="17" spans="1:19" x14ac:dyDescent="0.25">
      <c r="A17" s="105" t="s">
        <v>70</v>
      </c>
      <c r="B17" s="103" t="s">
        <v>71</v>
      </c>
      <c r="C17" s="59">
        <v>183400.55</v>
      </c>
      <c r="D17" s="60">
        <v>206.99</v>
      </c>
      <c r="E17" s="61">
        <v>2156.73</v>
      </c>
      <c r="F17" s="59">
        <v>218686.15999999997</v>
      </c>
      <c r="G17" s="60">
        <v>214536.56</v>
      </c>
      <c r="H17" s="63">
        <v>215319.25000000003</v>
      </c>
    </row>
    <row r="18" spans="1:19" x14ac:dyDescent="0.25">
      <c r="A18" s="102" t="s">
        <v>72</v>
      </c>
      <c r="B18" s="103" t="s">
        <v>73</v>
      </c>
      <c r="C18" s="59">
        <v>0</v>
      </c>
      <c r="D18" s="60">
        <v>0</v>
      </c>
      <c r="E18" s="61">
        <v>0</v>
      </c>
      <c r="F18" s="59">
        <v>0</v>
      </c>
      <c r="G18" s="60">
        <v>0</v>
      </c>
      <c r="H18" s="63">
        <v>0</v>
      </c>
      <c r="S18" s="107"/>
    </row>
    <row r="19" spans="1:19" x14ac:dyDescent="0.25">
      <c r="A19" s="108">
        <v>4962</v>
      </c>
      <c r="B19" s="103" t="s">
        <v>74</v>
      </c>
      <c r="C19" s="59">
        <v>-3417.23</v>
      </c>
      <c r="D19" s="128">
        <v>-36559.480000000003</v>
      </c>
      <c r="E19" s="62">
        <v>-40938.559999999998</v>
      </c>
      <c r="F19" s="59">
        <v>892845.44</v>
      </c>
      <c r="G19" s="128">
        <v>938450.49</v>
      </c>
      <c r="H19" s="129">
        <v>1045047.1599999999</v>
      </c>
      <c r="S19" s="107"/>
    </row>
    <row r="20" spans="1:19" x14ac:dyDescent="0.25">
      <c r="A20" s="99" t="s">
        <v>75</v>
      </c>
      <c r="B20" s="100"/>
      <c r="C20" s="127">
        <f>SUM(C13:C19)</f>
        <v>2809381.2199999993</v>
      </c>
      <c r="D20" s="127">
        <f>SUM(D13:D19)</f>
        <v>1950349.81</v>
      </c>
      <c r="E20" s="127">
        <f t="shared" ref="E20:H20" si="1">SUM(E13:E19)</f>
        <v>2205967.5899999994</v>
      </c>
      <c r="F20" s="127">
        <f t="shared" si="1"/>
        <v>30463689.780000001</v>
      </c>
      <c r="G20" s="127">
        <f t="shared" si="1"/>
        <v>30371204.529999994</v>
      </c>
      <c r="H20" s="127">
        <f t="shared" si="1"/>
        <v>30641897.84</v>
      </c>
      <c r="S20" s="107"/>
    </row>
    <row r="21" spans="1:19" ht="15.75" thickBot="1" x14ac:dyDescent="0.3">
      <c r="A21" s="99" t="s">
        <v>76</v>
      </c>
      <c r="B21" s="100"/>
      <c r="C21" s="130">
        <f>+C20+C10</f>
        <v>30198421.949999999</v>
      </c>
      <c r="D21" s="130">
        <f t="shared" ref="D21:H21" si="2">+D20+D10</f>
        <v>18081217.359999999</v>
      </c>
      <c r="E21" s="130">
        <f t="shared" si="2"/>
        <v>15261318.789999999</v>
      </c>
      <c r="F21" s="130">
        <f t="shared" si="2"/>
        <v>375628728.51999998</v>
      </c>
      <c r="G21" s="130">
        <f t="shared" si="2"/>
        <v>375631720.94</v>
      </c>
      <c r="H21" s="130">
        <f t="shared" si="2"/>
        <v>378851890.30000001</v>
      </c>
      <c r="S21" s="107"/>
    </row>
    <row r="22" spans="1:19" ht="15.75" thickTop="1" x14ac:dyDescent="0.25">
      <c r="A22" s="109"/>
      <c r="B22" s="100"/>
      <c r="C22" s="59"/>
      <c r="D22" s="60"/>
      <c r="E22" s="61"/>
      <c r="F22" s="59"/>
      <c r="G22" s="60"/>
      <c r="H22" s="63"/>
      <c r="S22" s="107"/>
    </row>
    <row r="23" spans="1:19" x14ac:dyDescent="0.25">
      <c r="A23" s="99" t="s">
        <v>77</v>
      </c>
      <c r="B23" s="100"/>
      <c r="C23" s="59"/>
      <c r="D23" s="60"/>
      <c r="E23" s="61"/>
      <c r="F23" s="59"/>
      <c r="G23" s="60"/>
      <c r="H23" s="63"/>
      <c r="S23" s="107"/>
    </row>
    <row r="24" spans="1:19" x14ac:dyDescent="0.25">
      <c r="A24" s="102" t="s">
        <v>78</v>
      </c>
      <c r="B24" s="103" t="s">
        <v>79</v>
      </c>
      <c r="C24" s="59">
        <v>11416453.99</v>
      </c>
      <c r="D24" s="60">
        <v>10541554.76</v>
      </c>
      <c r="E24" s="61">
        <v>6815211.9900000002</v>
      </c>
      <c r="F24" s="59">
        <v>341089068.86000001</v>
      </c>
      <c r="G24" s="60">
        <v>336249173.25</v>
      </c>
      <c r="H24" s="63">
        <v>330743566</v>
      </c>
      <c r="S24" s="107"/>
    </row>
    <row r="25" spans="1:19" x14ac:dyDescent="0.25">
      <c r="A25" s="102" t="s">
        <v>80</v>
      </c>
      <c r="B25" s="103" t="s">
        <v>81</v>
      </c>
      <c r="C25" s="59">
        <v>0</v>
      </c>
      <c r="D25" s="60">
        <v>0</v>
      </c>
      <c r="E25" s="61">
        <v>0</v>
      </c>
      <c r="F25" s="59">
        <v>0</v>
      </c>
      <c r="G25" s="60">
        <v>0</v>
      </c>
      <c r="H25" s="63">
        <v>0</v>
      </c>
      <c r="S25" s="107"/>
    </row>
    <row r="26" spans="1:19" x14ac:dyDescent="0.25">
      <c r="A26" s="102" t="s">
        <v>82</v>
      </c>
      <c r="B26" s="103" t="s">
        <v>83</v>
      </c>
      <c r="C26" s="59">
        <v>6326239.75</v>
      </c>
      <c r="D26" s="60">
        <v>2475865.64</v>
      </c>
      <c r="E26" s="61">
        <v>1264519.8</v>
      </c>
      <c r="F26" s="59">
        <v>-120552226.70999999</v>
      </c>
      <c r="G26" s="60">
        <v>-115086818.19</v>
      </c>
      <c r="H26" s="63">
        <v>-109256251.08</v>
      </c>
      <c r="J26" s="88"/>
      <c r="S26" s="88"/>
    </row>
    <row r="27" spans="1:19" x14ac:dyDescent="0.25">
      <c r="A27" s="102" t="s">
        <v>84</v>
      </c>
      <c r="B27" s="103" t="s">
        <v>85</v>
      </c>
      <c r="C27" s="59">
        <v>69818.740000000005</v>
      </c>
      <c r="D27" s="60">
        <v>0</v>
      </c>
      <c r="E27" s="61">
        <v>0</v>
      </c>
      <c r="F27" s="59">
        <v>23721031.609999999</v>
      </c>
      <c r="G27" s="60">
        <v>23721031.609999999</v>
      </c>
      <c r="H27" s="63">
        <v>23721031.609999999</v>
      </c>
      <c r="J27" s="88"/>
    </row>
    <row r="28" spans="1:19" x14ac:dyDescent="0.25">
      <c r="A28" s="102" t="s">
        <v>86</v>
      </c>
      <c r="B28" s="103" t="s">
        <v>87</v>
      </c>
      <c r="C28" s="59">
        <v>-535591.43999999994</v>
      </c>
      <c r="D28" s="60">
        <v>-3833696.81</v>
      </c>
      <c r="E28" s="61">
        <v>-814258.31</v>
      </c>
      <c r="F28" s="59">
        <v>-26827727.419999998</v>
      </c>
      <c r="G28" s="60">
        <v>-27490906.939999998</v>
      </c>
      <c r="H28" s="63">
        <v>-25789520.519999996</v>
      </c>
      <c r="J28" s="88"/>
    </row>
    <row r="29" spans="1:19" x14ac:dyDescent="0.25">
      <c r="A29" s="102" t="s">
        <v>88</v>
      </c>
      <c r="B29" s="103" t="s">
        <v>89</v>
      </c>
      <c r="C29" s="59">
        <v>-55889.99</v>
      </c>
      <c r="D29" s="60">
        <v>-92413.57</v>
      </c>
      <c r="E29" s="61">
        <v>15144.62</v>
      </c>
      <c r="F29" s="59">
        <v>-288907</v>
      </c>
      <c r="G29" s="60">
        <v>-370246.07</v>
      </c>
      <c r="H29" s="63">
        <v>-348489.64</v>
      </c>
      <c r="J29" s="88"/>
    </row>
    <row r="30" spans="1:19" x14ac:dyDescent="0.25">
      <c r="A30" s="99" t="s">
        <v>90</v>
      </c>
      <c r="B30" s="100"/>
      <c r="C30" s="127">
        <f>SUM(C24:C29)</f>
        <v>17221031.050000001</v>
      </c>
      <c r="D30" s="127">
        <f t="shared" ref="D30:E30" si="3">SUM(D24:D29)</f>
        <v>9091310.0199999996</v>
      </c>
      <c r="E30" s="127">
        <f t="shared" si="3"/>
        <v>7280618.1000000006</v>
      </c>
      <c r="F30" s="127">
        <f t="shared" ref="F30:H30" si="4">SUM(F24:F29)</f>
        <v>217141239.34000006</v>
      </c>
      <c r="G30" s="127">
        <f t="shared" si="4"/>
        <v>217022233.66000003</v>
      </c>
      <c r="H30" s="127">
        <f t="shared" si="4"/>
        <v>219070336.37000006</v>
      </c>
    </row>
    <row r="31" spans="1:19" x14ac:dyDescent="0.25">
      <c r="A31" s="109"/>
      <c r="B31" s="100"/>
      <c r="C31" s="59"/>
      <c r="D31" s="60"/>
      <c r="E31" s="61"/>
      <c r="F31" s="59"/>
      <c r="G31" s="60"/>
      <c r="H31" s="63"/>
    </row>
    <row r="32" spans="1:19" x14ac:dyDescent="0.25">
      <c r="A32" s="99" t="s">
        <v>91</v>
      </c>
      <c r="B32" s="100"/>
      <c r="C32" s="59"/>
      <c r="D32" s="60"/>
      <c r="E32" s="61"/>
      <c r="F32" s="59"/>
      <c r="G32" s="60"/>
      <c r="H32" s="63"/>
    </row>
    <row r="33" spans="1:20" x14ac:dyDescent="0.25">
      <c r="A33" s="102" t="s">
        <v>92</v>
      </c>
      <c r="B33" s="103" t="s">
        <v>93</v>
      </c>
      <c r="C33" s="59">
        <v>0</v>
      </c>
      <c r="D33" s="60">
        <v>0</v>
      </c>
      <c r="E33" s="61">
        <v>0</v>
      </c>
      <c r="F33" s="59">
        <v>0</v>
      </c>
      <c r="G33" s="60">
        <v>0</v>
      </c>
      <c r="H33" s="63">
        <v>0</v>
      </c>
    </row>
    <row r="34" spans="1:20" x14ac:dyDescent="0.25">
      <c r="A34" s="102" t="s">
        <v>94</v>
      </c>
      <c r="B34" s="103" t="s">
        <v>95</v>
      </c>
      <c r="C34" s="59">
        <v>0</v>
      </c>
      <c r="D34" s="60">
        <v>0</v>
      </c>
      <c r="E34" s="61">
        <v>0</v>
      </c>
      <c r="F34" s="59">
        <v>0</v>
      </c>
      <c r="G34" s="60">
        <v>0</v>
      </c>
      <c r="H34" s="63">
        <v>0</v>
      </c>
    </row>
    <row r="35" spans="1:20" x14ac:dyDescent="0.25">
      <c r="A35" s="102" t="s">
        <v>96</v>
      </c>
      <c r="B35" s="103" t="s">
        <v>97</v>
      </c>
      <c r="C35" s="59">
        <v>0</v>
      </c>
      <c r="D35" s="60">
        <v>0</v>
      </c>
      <c r="E35" s="61">
        <v>0</v>
      </c>
      <c r="F35" s="59">
        <v>0</v>
      </c>
      <c r="G35" s="60">
        <v>0</v>
      </c>
      <c r="H35" s="63">
        <v>0</v>
      </c>
    </row>
    <row r="36" spans="1:20" x14ac:dyDescent="0.25">
      <c r="A36" s="102" t="s">
        <v>98</v>
      </c>
      <c r="B36" s="103" t="s">
        <v>99</v>
      </c>
      <c r="C36" s="59">
        <v>0</v>
      </c>
      <c r="D36" s="60">
        <v>0</v>
      </c>
      <c r="E36" s="61">
        <v>0</v>
      </c>
      <c r="F36" s="59">
        <v>0</v>
      </c>
      <c r="G36" s="60">
        <v>0</v>
      </c>
      <c r="H36" s="63">
        <v>0</v>
      </c>
      <c r="T36" s="101"/>
    </row>
    <row r="37" spans="1:20" x14ac:dyDescent="0.25">
      <c r="A37" s="102" t="s">
        <v>100</v>
      </c>
      <c r="B37" s="103" t="s">
        <v>101</v>
      </c>
      <c r="C37" s="59">
        <v>0</v>
      </c>
      <c r="D37" s="60">
        <v>0</v>
      </c>
      <c r="E37" s="61">
        <v>0</v>
      </c>
      <c r="F37" s="59">
        <v>0</v>
      </c>
      <c r="G37" s="60">
        <v>0</v>
      </c>
      <c r="H37" s="63">
        <v>0</v>
      </c>
      <c r="T37" s="101"/>
    </row>
    <row r="38" spans="1:20" x14ac:dyDescent="0.25">
      <c r="A38" s="102" t="s">
        <v>102</v>
      </c>
      <c r="B38" s="103" t="s">
        <v>103</v>
      </c>
      <c r="C38" s="59">
        <v>0</v>
      </c>
      <c r="D38" s="60">
        <v>0</v>
      </c>
      <c r="E38" s="61">
        <v>0</v>
      </c>
      <c r="F38" s="59">
        <v>0</v>
      </c>
      <c r="G38" s="60">
        <v>0</v>
      </c>
      <c r="H38" s="63">
        <v>0</v>
      </c>
      <c r="T38" s="101"/>
    </row>
    <row r="39" spans="1:20" x14ac:dyDescent="0.25">
      <c r="A39" s="102" t="s">
        <v>104</v>
      </c>
      <c r="B39" s="103" t="s">
        <v>105</v>
      </c>
      <c r="C39" s="59">
        <v>0</v>
      </c>
      <c r="D39" s="60">
        <v>0</v>
      </c>
      <c r="E39" s="61">
        <v>0</v>
      </c>
      <c r="F39" s="59">
        <v>0</v>
      </c>
      <c r="G39" s="60">
        <v>0</v>
      </c>
      <c r="H39" s="63">
        <v>0</v>
      </c>
      <c r="T39" s="101"/>
    </row>
    <row r="40" spans="1:20" x14ac:dyDescent="0.25">
      <c r="A40" s="102" t="s">
        <v>106</v>
      </c>
      <c r="B40" s="103" t="s">
        <v>107</v>
      </c>
      <c r="C40" s="59">
        <v>0</v>
      </c>
      <c r="D40" s="60">
        <v>0</v>
      </c>
      <c r="E40" s="61">
        <v>0</v>
      </c>
      <c r="F40" s="59">
        <v>0</v>
      </c>
      <c r="G40" s="60">
        <v>0</v>
      </c>
      <c r="H40" s="63">
        <v>0</v>
      </c>
      <c r="T40" s="101"/>
    </row>
    <row r="41" spans="1:20" x14ac:dyDescent="0.25">
      <c r="A41" s="102" t="s">
        <v>108</v>
      </c>
      <c r="B41" s="103" t="s">
        <v>109</v>
      </c>
      <c r="C41" s="59">
        <v>0</v>
      </c>
      <c r="D41" s="60">
        <v>0</v>
      </c>
      <c r="E41" s="61">
        <v>0</v>
      </c>
      <c r="F41" s="59">
        <v>0</v>
      </c>
      <c r="G41" s="60">
        <v>0</v>
      </c>
      <c r="H41" s="63">
        <v>0</v>
      </c>
      <c r="T41" s="101"/>
    </row>
    <row r="42" spans="1:20" x14ac:dyDescent="0.25">
      <c r="A42" s="102" t="s">
        <v>110</v>
      </c>
      <c r="B42" s="103" t="s">
        <v>111</v>
      </c>
      <c r="C42" s="59">
        <v>0</v>
      </c>
      <c r="D42" s="60">
        <v>0</v>
      </c>
      <c r="E42" s="61">
        <v>0</v>
      </c>
      <c r="F42" s="59">
        <v>0</v>
      </c>
      <c r="G42" s="60">
        <v>0</v>
      </c>
      <c r="H42" s="63">
        <v>0</v>
      </c>
      <c r="T42" s="101"/>
    </row>
    <row r="43" spans="1:20" x14ac:dyDescent="0.25">
      <c r="A43" s="102" t="s">
        <v>112</v>
      </c>
      <c r="B43" s="103" t="s">
        <v>113</v>
      </c>
      <c r="C43" s="59">
        <v>0</v>
      </c>
      <c r="D43" s="60">
        <v>0</v>
      </c>
      <c r="E43" s="61">
        <v>0</v>
      </c>
      <c r="F43" s="59">
        <v>0</v>
      </c>
      <c r="G43" s="60">
        <v>0</v>
      </c>
      <c r="H43" s="63">
        <v>0</v>
      </c>
      <c r="T43" s="101"/>
    </row>
    <row r="44" spans="1:20" x14ac:dyDescent="0.25">
      <c r="A44" s="99" t="s">
        <v>114</v>
      </c>
      <c r="B44" s="110"/>
      <c r="C44" s="127">
        <v>0</v>
      </c>
      <c r="D44" s="131">
        <f>SUM(D33:D43)</f>
        <v>0</v>
      </c>
      <c r="E44" s="131">
        <f t="shared" ref="E44:H44" si="5">SUM(E33:E43)</f>
        <v>0</v>
      </c>
      <c r="F44" s="131">
        <f t="shared" si="5"/>
        <v>0</v>
      </c>
      <c r="G44" s="131">
        <f t="shared" si="5"/>
        <v>0</v>
      </c>
      <c r="H44" s="131">
        <f t="shared" si="5"/>
        <v>0</v>
      </c>
    </row>
    <row r="45" spans="1:20" x14ac:dyDescent="0.25">
      <c r="A45" s="109"/>
      <c r="B45" s="100"/>
      <c r="C45" s="59"/>
      <c r="D45" s="60"/>
      <c r="E45" s="61"/>
      <c r="F45" s="59"/>
      <c r="G45" s="60"/>
      <c r="H45" s="63"/>
    </row>
    <row r="46" spans="1:20" x14ac:dyDescent="0.25">
      <c r="A46" s="102" t="s">
        <v>115</v>
      </c>
      <c r="B46" s="103" t="s">
        <v>24</v>
      </c>
      <c r="C46" s="132">
        <v>3040810.98</v>
      </c>
      <c r="D46" s="128">
        <v>1966012.61</v>
      </c>
      <c r="E46" s="133">
        <v>1327347.44</v>
      </c>
      <c r="F46" s="132">
        <v>33079116.84</v>
      </c>
      <c r="G46" s="128">
        <v>33169894.079999998</v>
      </c>
      <c r="H46" s="134">
        <v>33253079.75</v>
      </c>
      <c r="J46" s="88"/>
    </row>
    <row r="47" spans="1:20" ht="15.75" thickBot="1" x14ac:dyDescent="0.3">
      <c r="A47" s="99" t="s">
        <v>116</v>
      </c>
      <c r="B47" s="100"/>
      <c r="C47" s="130">
        <f>+C21-C30-C46</f>
        <v>9936579.9199999981</v>
      </c>
      <c r="D47" s="130">
        <f t="shared" ref="D47:H47" si="6">+D21-D30-D46</f>
        <v>7023894.7299999995</v>
      </c>
      <c r="E47" s="130">
        <f t="shared" si="6"/>
        <v>6653353.2499999981</v>
      </c>
      <c r="F47" s="130">
        <f t="shared" si="6"/>
        <v>125408372.33999991</v>
      </c>
      <c r="G47" s="130">
        <f t="shared" si="6"/>
        <v>125439593.19999997</v>
      </c>
      <c r="H47" s="130">
        <f t="shared" si="6"/>
        <v>126528474.17999995</v>
      </c>
    </row>
    <row r="48" spans="1:20" ht="15.75" thickTop="1" x14ac:dyDescent="0.25">
      <c r="A48" s="99"/>
      <c r="B48" s="100"/>
      <c r="C48" s="59"/>
      <c r="D48" s="60"/>
      <c r="E48" s="62"/>
      <c r="F48" s="59"/>
      <c r="G48" s="60"/>
      <c r="H48" s="63"/>
    </row>
    <row r="49" spans="1:10" x14ac:dyDescent="0.25">
      <c r="A49" s="99" t="s">
        <v>117</v>
      </c>
      <c r="B49" s="100"/>
      <c r="C49" s="59"/>
      <c r="D49" s="60"/>
      <c r="E49" s="62"/>
      <c r="F49" s="59"/>
      <c r="G49" s="60"/>
      <c r="H49" s="63"/>
    </row>
    <row r="50" spans="1:10" x14ac:dyDescent="0.25">
      <c r="A50" s="111">
        <v>813</v>
      </c>
      <c r="B50" s="103" t="s">
        <v>118</v>
      </c>
      <c r="C50" s="59">
        <v>25287.02</v>
      </c>
      <c r="D50" s="60">
        <v>23374.11</v>
      </c>
      <c r="E50" s="62">
        <v>251376.46</v>
      </c>
      <c r="F50" s="59">
        <v>487789.23</v>
      </c>
      <c r="G50" s="60">
        <v>485439.35</v>
      </c>
      <c r="H50" s="63">
        <v>545254.74</v>
      </c>
      <c r="J50" s="88"/>
    </row>
    <row r="51" spans="1:10" x14ac:dyDescent="0.25">
      <c r="A51" s="109"/>
      <c r="B51" s="100"/>
      <c r="C51" s="59"/>
      <c r="D51" s="60"/>
      <c r="E51" s="61"/>
      <c r="F51" s="59"/>
      <c r="G51" s="60"/>
      <c r="H51" s="63"/>
    </row>
    <row r="52" spans="1:10" x14ac:dyDescent="0.25">
      <c r="A52" s="99" t="s">
        <v>119</v>
      </c>
      <c r="B52" s="100"/>
      <c r="C52" s="59"/>
      <c r="D52" s="60"/>
      <c r="E52" s="61"/>
      <c r="F52" s="59"/>
      <c r="G52" s="60"/>
      <c r="H52" s="63"/>
    </row>
    <row r="53" spans="1:10" x14ac:dyDescent="0.25">
      <c r="A53" s="99" t="s">
        <v>120</v>
      </c>
      <c r="B53" s="100"/>
      <c r="C53" s="59"/>
      <c r="D53" s="60"/>
      <c r="E53" s="61"/>
      <c r="F53" s="59"/>
      <c r="G53" s="60"/>
      <c r="H53" s="63"/>
    </row>
    <row r="54" spans="1:10" x14ac:dyDescent="0.25">
      <c r="A54" s="102" t="s">
        <v>121</v>
      </c>
      <c r="B54" s="103" t="s">
        <v>122</v>
      </c>
      <c r="C54" s="59">
        <v>180332.3</v>
      </c>
      <c r="D54" s="60">
        <v>249129.44</v>
      </c>
      <c r="E54" s="61">
        <v>240901.77</v>
      </c>
      <c r="F54" s="59">
        <v>2339402.0499999998</v>
      </c>
      <c r="G54" s="60">
        <v>2394985</v>
      </c>
      <c r="H54" s="63">
        <v>2442991.2000000002</v>
      </c>
      <c r="J54" s="88"/>
    </row>
    <row r="55" spans="1:10" x14ac:dyDescent="0.25">
      <c r="A55" s="102" t="s">
        <v>123</v>
      </c>
      <c r="B55" s="103" t="s">
        <v>124</v>
      </c>
      <c r="C55" s="59">
        <v>15917.99</v>
      </c>
      <c r="D55" s="60">
        <v>17744.88</v>
      </c>
      <c r="E55" s="61">
        <v>17864.96</v>
      </c>
      <c r="F55" s="59">
        <v>207814.11</v>
      </c>
      <c r="G55" s="60">
        <v>206369.61</v>
      </c>
      <c r="H55" s="63">
        <v>204604.33</v>
      </c>
    </row>
    <row r="56" spans="1:10" x14ac:dyDescent="0.25">
      <c r="A56" s="105" t="s">
        <v>125</v>
      </c>
      <c r="B56" s="103" t="s">
        <v>126</v>
      </c>
      <c r="C56" s="59">
        <v>13754.26</v>
      </c>
      <c r="D56" s="60">
        <v>4444.87</v>
      </c>
      <c r="E56" s="61">
        <v>5552.47</v>
      </c>
      <c r="F56" s="59">
        <v>100139.51</v>
      </c>
      <c r="G56" s="60">
        <v>97441.689999999988</v>
      </c>
      <c r="H56" s="63">
        <v>89010.209999999992</v>
      </c>
    </row>
    <row r="57" spans="1:10" x14ac:dyDescent="0.25">
      <c r="A57" s="105" t="s">
        <v>127</v>
      </c>
      <c r="B57" s="103" t="s">
        <v>128</v>
      </c>
      <c r="C57" s="59">
        <v>281625</v>
      </c>
      <c r="D57" s="60">
        <v>298326.64999999997</v>
      </c>
      <c r="E57" s="61">
        <v>338331.30000000005</v>
      </c>
      <c r="F57" s="59">
        <v>3899444.46</v>
      </c>
      <c r="G57" s="60">
        <v>3605225.6099999994</v>
      </c>
      <c r="H57" s="63">
        <v>3667215.2299999995</v>
      </c>
    </row>
    <row r="58" spans="1:10" x14ac:dyDescent="0.25">
      <c r="A58" s="102" t="s">
        <v>129</v>
      </c>
      <c r="B58" s="103" t="s">
        <v>130</v>
      </c>
      <c r="C58" s="59">
        <v>35357.89</v>
      </c>
      <c r="D58" s="60">
        <v>46013.479999999996</v>
      </c>
      <c r="E58" s="61">
        <v>28958.59</v>
      </c>
      <c r="F58" s="59">
        <v>749921.88000000012</v>
      </c>
      <c r="G58" s="60">
        <v>732474.94</v>
      </c>
      <c r="H58" s="63">
        <v>718431.79</v>
      </c>
    </row>
    <row r="59" spans="1:10" x14ac:dyDescent="0.25">
      <c r="A59" s="102" t="s">
        <v>131</v>
      </c>
      <c r="B59" s="103" t="s">
        <v>132</v>
      </c>
      <c r="C59" s="59">
        <v>68526.710000000006</v>
      </c>
      <c r="D59" s="60">
        <v>46878.74</v>
      </c>
      <c r="E59" s="61">
        <v>49808.58</v>
      </c>
      <c r="F59" s="59">
        <v>700966.45</v>
      </c>
      <c r="G59" s="60">
        <v>668194.37999999989</v>
      </c>
      <c r="H59" s="63">
        <v>651881.26</v>
      </c>
    </row>
    <row r="60" spans="1:10" x14ac:dyDescent="0.25">
      <c r="A60" s="102">
        <v>877</v>
      </c>
      <c r="B60" s="103" t="s">
        <v>273</v>
      </c>
      <c r="C60" s="59">
        <v>6487.06</v>
      </c>
      <c r="D60" s="60">
        <v>3757.31</v>
      </c>
      <c r="E60" s="61">
        <v>4518.74</v>
      </c>
      <c r="F60" s="59">
        <v>23767.870000000003</v>
      </c>
      <c r="G60" s="60">
        <v>27525.18</v>
      </c>
      <c r="H60" s="63">
        <v>32043.919999999998</v>
      </c>
    </row>
    <row r="61" spans="1:10" x14ac:dyDescent="0.25">
      <c r="A61" s="102" t="s">
        <v>133</v>
      </c>
      <c r="B61" s="103" t="s">
        <v>134</v>
      </c>
      <c r="C61" s="59">
        <v>-22662.350000000006</v>
      </c>
      <c r="D61" s="60">
        <v>-99384.639999999999</v>
      </c>
      <c r="E61" s="61">
        <v>-34623.929999999993</v>
      </c>
      <c r="F61" s="59">
        <v>-947980.61999999988</v>
      </c>
      <c r="G61" s="60">
        <v>-982572.98999999987</v>
      </c>
      <c r="H61" s="63">
        <v>-1085839.3400000001</v>
      </c>
    </row>
    <row r="62" spans="1:10" x14ac:dyDescent="0.25">
      <c r="A62" s="102" t="s">
        <v>135</v>
      </c>
      <c r="B62" s="103" t="s">
        <v>136</v>
      </c>
      <c r="C62" s="59">
        <v>27624.69</v>
      </c>
      <c r="D62" s="60">
        <v>28584.79</v>
      </c>
      <c r="E62" s="61">
        <v>35381.339999999997</v>
      </c>
      <c r="F62" s="59">
        <v>383618.08</v>
      </c>
      <c r="G62" s="60">
        <v>380897.39</v>
      </c>
      <c r="H62" s="63">
        <v>392381.95000000007</v>
      </c>
    </row>
    <row r="63" spans="1:10" x14ac:dyDescent="0.25">
      <c r="A63" s="102" t="s">
        <v>137</v>
      </c>
      <c r="B63" s="103" t="s">
        <v>138</v>
      </c>
      <c r="C63" s="59">
        <v>452249.4</v>
      </c>
      <c r="D63" s="60">
        <v>426291.16</v>
      </c>
      <c r="E63" s="61">
        <v>400161.48000000004</v>
      </c>
      <c r="F63" s="59">
        <v>6255351.540000001</v>
      </c>
      <c r="G63" s="60">
        <v>6183772.9300000006</v>
      </c>
      <c r="H63" s="63">
        <v>6105262.5700000003</v>
      </c>
    </row>
    <row r="64" spans="1:10" x14ac:dyDescent="0.25">
      <c r="A64" s="102" t="s">
        <v>139</v>
      </c>
      <c r="B64" s="103" t="s">
        <v>140</v>
      </c>
      <c r="C64" s="59">
        <v>8373.94</v>
      </c>
      <c r="D64" s="60">
        <v>9286.49</v>
      </c>
      <c r="E64" s="61">
        <v>10145.08</v>
      </c>
      <c r="F64" s="59">
        <v>172416.59000000003</v>
      </c>
      <c r="G64" s="60">
        <v>174398.47</v>
      </c>
      <c r="H64" s="63">
        <v>178329.68</v>
      </c>
    </row>
    <row r="65" spans="1:8" x14ac:dyDescent="0.25">
      <c r="A65" s="102" t="s">
        <v>141</v>
      </c>
      <c r="B65" s="103" t="s">
        <v>142</v>
      </c>
      <c r="C65" s="59">
        <v>0</v>
      </c>
      <c r="D65" s="60">
        <v>0</v>
      </c>
      <c r="E65" s="61">
        <v>0</v>
      </c>
      <c r="F65" s="59">
        <v>0</v>
      </c>
      <c r="G65" s="60">
        <v>0</v>
      </c>
      <c r="H65" s="63">
        <v>0</v>
      </c>
    </row>
    <row r="66" spans="1:8" x14ac:dyDescent="0.25">
      <c r="A66" s="109"/>
      <c r="B66" s="112" t="s">
        <v>143</v>
      </c>
      <c r="C66" s="127">
        <f>SUM(C54:C65)</f>
        <v>1067586.8899999999</v>
      </c>
      <c r="D66" s="127">
        <f t="shared" ref="D66:H66" si="7">SUM(D54:D65)</f>
        <v>1031073.1699999999</v>
      </c>
      <c r="E66" s="127">
        <f t="shared" si="7"/>
        <v>1097000.3800000001</v>
      </c>
      <c r="F66" s="127">
        <f t="shared" si="7"/>
        <v>13884861.92</v>
      </c>
      <c r="G66" s="127">
        <f t="shared" si="7"/>
        <v>13488712.209999999</v>
      </c>
      <c r="H66" s="127">
        <f t="shared" si="7"/>
        <v>13396312.800000001</v>
      </c>
    </row>
    <row r="67" spans="1:8" x14ac:dyDescent="0.25">
      <c r="A67" s="109"/>
      <c r="B67" s="100"/>
      <c r="C67" s="59"/>
      <c r="D67" s="60"/>
      <c r="E67" s="61"/>
      <c r="F67" s="59"/>
      <c r="G67" s="60"/>
      <c r="H67" s="63"/>
    </row>
    <row r="68" spans="1:8" x14ac:dyDescent="0.25">
      <c r="A68" s="99" t="s">
        <v>144</v>
      </c>
      <c r="B68" s="100"/>
      <c r="C68" s="59"/>
      <c r="D68" s="60"/>
      <c r="E68" s="61"/>
      <c r="F68" s="59"/>
      <c r="G68" s="60"/>
      <c r="H68" s="63"/>
    </row>
    <row r="69" spans="1:8" x14ac:dyDescent="0.25">
      <c r="A69" s="102" t="s">
        <v>145</v>
      </c>
      <c r="B69" s="103" t="s">
        <v>146</v>
      </c>
      <c r="C69" s="59">
        <v>88177.87000000001</v>
      </c>
      <c r="D69" s="60">
        <v>105707.68</v>
      </c>
      <c r="E69" s="61">
        <v>92311.560000000012</v>
      </c>
      <c r="F69" s="59">
        <v>1149565.0999999999</v>
      </c>
      <c r="G69" s="60">
        <v>1146239.44</v>
      </c>
      <c r="H69" s="63">
        <v>1140266.1000000001</v>
      </c>
    </row>
    <row r="70" spans="1:8" x14ac:dyDescent="0.25">
      <c r="A70" s="102" t="s">
        <v>147</v>
      </c>
      <c r="B70" s="103" t="s">
        <v>148</v>
      </c>
      <c r="C70" s="59">
        <v>0</v>
      </c>
      <c r="D70" s="60">
        <v>0</v>
      </c>
      <c r="E70" s="61">
        <v>84.02</v>
      </c>
      <c r="F70" s="59">
        <v>19467.57</v>
      </c>
      <c r="G70" s="60">
        <v>18936.57</v>
      </c>
      <c r="H70" s="63">
        <v>17726.099999999999</v>
      </c>
    </row>
    <row r="71" spans="1:8" x14ac:dyDescent="0.25">
      <c r="A71" s="102" t="s">
        <v>149</v>
      </c>
      <c r="B71" s="103" t="s">
        <v>150</v>
      </c>
      <c r="C71" s="59">
        <v>186194.65000000002</v>
      </c>
      <c r="D71" s="60">
        <v>210839.33000000002</v>
      </c>
      <c r="E71" s="61">
        <v>255104.73</v>
      </c>
      <c r="F71" s="59">
        <v>2799744.44</v>
      </c>
      <c r="G71" s="60">
        <v>2821889.38</v>
      </c>
      <c r="H71" s="63">
        <v>2885688.56</v>
      </c>
    </row>
    <row r="72" spans="1:8" x14ac:dyDescent="0.25">
      <c r="A72" s="105" t="s">
        <v>151</v>
      </c>
      <c r="B72" s="103" t="s">
        <v>126</v>
      </c>
      <c r="C72" s="59">
        <v>67528.2</v>
      </c>
      <c r="D72" s="60">
        <v>103142.63</v>
      </c>
      <c r="E72" s="61">
        <v>-19644.150000000001</v>
      </c>
      <c r="F72" s="59">
        <v>466941.28000000009</v>
      </c>
      <c r="G72" s="60">
        <v>558343.15</v>
      </c>
      <c r="H72" s="63">
        <v>529554.55999999994</v>
      </c>
    </row>
    <row r="73" spans="1:8" x14ac:dyDescent="0.25">
      <c r="A73" s="102" t="s">
        <v>152</v>
      </c>
      <c r="B73" s="103" t="s">
        <v>153</v>
      </c>
      <c r="C73" s="59">
        <v>28870.579999999998</v>
      </c>
      <c r="D73" s="60">
        <v>41215.94</v>
      </c>
      <c r="E73" s="61">
        <v>13477.82</v>
      </c>
      <c r="F73" s="59">
        <v>213288.75</v>
      </c>
      <c r="G73" s="60">
        <v>244641.7</v>
      </c>
      <c r="H73" s="63">
        <v>247599.66000000003</v>
      </c>
    </row>
    <row r="74" spans="1:8" x14ac:dyDescent="0.25">
      <c r="A74" s="102" t="s">
        <v>154</v>
      </c>
      <c r="B74" s="103" t="s">
        <v>155</v>
      </c>
      <c r="C74" s="59">
        <v>44888.94</v>
      </c>
      <c r="D74" s="60">
        <v>56356.89</v>
      </c>
      <c r="E74" s="61">
        <v>43803.23</v>
      </c>
      <c r="F74" s="59">
        <v>142202.32</v>
      </c>
      <c r="G74" s="60">
        <v>188906.03</v>
      </c>
      <c r="H74" s="63">
        <v>226831.41000000003</v>
      </c>
    </row>
    <row r="75" spans="1:8" x14ac:dyDescent="0.25">
      <c r="A75" s="118">
        <v>891</v>
      </c>
      <c r="B75" s="103" t="s">
        <v>155</v>
      </c>
      <c r="C75" s="59">
        <v>6504.33</v>
      </c>
      <c r="D75" s="60">
        <v>6715.26</v>
      </c>
      <c r="E75" s="61">
        <v>3960.53</v>
      </c>
      <c r="F75" s="59">
        <v>27710.300000000003</v>
      </c>
      <c r="G75" s="60">
        <v>34425.56</v>
      </c>
      <c r="H75" s="63">
        <v>38386.089999999997</v>
      </c>
    </row>
    <row r="76" spans="1:8" x14ac:dyDescent="0.25">
      <c r="A76" s="102" t="s">
        <v>156</v>
      </c>
      <c r="B76" s="103" t="s">
        <v>157</v>
      </c>
      <c r="C76" s="59">
        <v>139510.88</v>
      </c>
      <c r="D76" s="60">
        <v>99593.06</v>
      </c>
      <c r="E76" s="61">
        <v>236314.2</v>
      </c>
      <c r="F76" s="59">
        <v>1008860.71</v>
      </c>
      <c r="G76" s="60">
        <v>1006647.5700000001</v>
      </c>
      <c r="H76" s="63">
        <v>1148581.78</v>
      </c>
    </row>
    <row r="77" spans="1:8" x14ac:dyDescent="0.25">
      <c r="A77" s="102" t="s">
        <v>158</v>
      </c>
      <c r="B77" s="103" t="s">
        <v>159</v>
      </c>
      <c r="C77" s="59">
        <v>145151.99</v>
      </c>
      <c r="D77" s="60">
        <v>121016.51</v>
      </c>
      <c r="E77" s="61">
        <v>116261.65</v>
      </c>
      <c r="F77" s="59">
        <v>1294780.3199999998</v>
      </c>
      <c r="G77" s="60">
        <v>1331860.3500000001</v>
      </c>
      <c r="H77" s="63">
        <v>1348668.54</v>
      </c>
    </row>
    <row r="78" spans="1:8" x14ac:dyDescent="0.25">
      <c r="A78" s="102" t="s">
        <v>160</v>
      </c>
      <c r="B78" s="103" t="s">
        <v>161</v>
      </c>
      <c r="C78" s="59">
        <v>79899.03</v>
      </c>
      <c r="D78" s="60">
        <v>103816.38</v>
      </c>
      <c r="E78" s="61">
        <v>185384</v>
      </c>
      <c r="F78" s="59">
        <v>1716191.4700000002</v>
      </c>
      <c r="G78" s="60">
        <v>1700832.44</v>
      </c>
      <c r="H78" s="63">
        <v>1747666.7</v>
      </c>
    </row>
    <row r="79" spans="1:8" x14ac:dyDescent="0.25">
      <c r="A79" s="109"/>
      <c r="B79" s="112" t="s">
        <v>162</v>
      </c>
      <c r="C79" s="127">
        <f>SUM(C69:C78)</f>
        <v>786726.47000000009</v>
      </c>
      <c r="D79" s="127">
        <f t="shared" ref="D79:H79" si="8">SUM(D69:D78)</f>
        <v>848403.68</v>
      </c>
      <c r="E79" s="127">
        <f t="shared" si="8"/>
        <v>927057.59000000008</v>
      </c>
      <c r="F79" s="127">
        <f t="shared" si="8"/>
        <v>8838752.2599999998</v>
      </c>
      <c r="G79" s="127">
        <f t="shared" si="8"/>
        <v>9052722.1899999995</v>
      </c>
      <c r="H79" s="127">
        <f t="shared" si="8"/>
        <v>9330969.5</v>
      </c>
    </row>
    <row r="80" spans="1:8" x14ac:dyDescent="0.25">
      <c r="A80" s="99" t="s">
        <v>163</v>
      </c>
      <c r="B80" s="100"/>
      <c r="C80" s="132">
        <f>+C79+C66</f>
        <v>1854313.3599999999</v>
      </c>
      <c r="D80" s="132">
        <f t="shared" ref="D80:H80" si="9">+D79+D66</f>
        <v>1879476.85</v>
      </c>
      <c r="E80" s="132">
        <f t="shared" si="9"/>
        <v>2024057.9700000002</v>
      </c>
      <c r="F80" s="132">
        <f t="shared" si="9"/>
        <v>22723614.18</v>
      </c>
      <c r="G80" s="132">
        <f t="shared" si="9"/>
        <v>22541434.399999999</v>
      </c>
      <c r="H80" s="132">
        <f t="shared" si="9"/>
        <v>22727282.300000001</v>
      </c>
    </row>
    <row r="81" spans="1:8" x14ac:dyDescent="0.25">
      <c r="A81" s="109"/>
      <c r="B81" s="100"/>
      <c r="C81" s="59"/>
      <c r="D81" s="60"/>
      <c r="E81" s="61"/>
      <c r="F81" s="59"/>
      <c r="G81" s="60"/>
      <c r="H81" s="63"/>
    </row>
    <row r="82" spans="1:8" x14ac:dyDescent="0.25">
      <c r="A82" s="99" t="s">
        <v>164</v>
      </c>
      <c r="B82" s="100"/>
      <c r="C82" s="59"/>
      <c r="D82" s="60"/>
      <c r="E82" s="61"/>
      <c r="F82" s="59"/>
      <c r="G82" s="60"/>
      <c r="H82" s="63"/>
    </row>
    <row r="83" spans="1:8" x14ac:dyDescent="0.25">
      <c r="A83" s="102" t="s">
        <v>165</v>
      </c>
      <c r="B83" s="103" t="s">
        <v>166</v>
      </c>
      <c r="C83" s="59">
        <v>8862.58</v>
      </c>
      <c r="D83" s="60">
        <v>10191.73</v>
      </c>
      <c r="E83" s="61">
        <v>10065.290000000001</v>
      </c>
      <c r="F83" s="59">
        <v>112779.27000000002</v>
      </c>
      <c r="G83" s="60">
        <v>113524.62000000002</v>
      </c>
      <c r="H83" s="63">
        <v>113958.85</v>
      </c>
    </row>
    <row r="84" spans="1:8" x14ac:dyDescent="0.25">
      <c r="A84" s="102" t="s">
        <v>167</v>
      </c>
      <c r="B84" s="103" t="s">
        <v>168</v>
      </c>
      <c r="C84" s="59">
        <v>37342.949999999997</v>
      </c>
      <c r="D84" s="60">
        <v>47080.639999999999</v>
      </c>
      <c r="E84" s="61">
        <v>42891.649999999994</v>
      </c>
      <c r="F84" s="59">
        <v>495419.72</v>
      </c>
      <c r="G84" s="60">
        <v>495934.86</v>
      </c>
      <c r="H84" s="63">
        <v>497565.04</v>
      </c>
    </row>
    <row r="85" spans="1:8" x14ac:dyDescent="0.25">
      <c r="A85" s="102" t="s">
        <v>169</v>
      </c>
      <c r="B85" s="103" t="s">
        <v>170</v>
      </c>
      <c r="C85" s="59">
        <v>373328.24</v>
      </c>
      <c r="D85" s="60">
        <v>431091.88</v>
      </c>
      <c r="E85" s="61">
        <v>389556.64999999997</v>
      </c>
      <c r="F85" s="59">
        <v>4437541.4800000004</v>
      </c>
      <c r="G85" s="60">
        <v>4515451.2</v>
      </c>
      <c r="H85" s="63">
        <v>4563592.6399999997</v>
      </c>
    </row>
    <row r="86" spans="1:8" x14ac:dyDescent="0.25">
      <c r="A86" s="102" t="s">
        <v>171</v>
      </c>
      <c r="B86" s="103" t="s">
        <v>172</v>
      </c>
      <c r="C86" s="59">
        <v>66761.59</v>
      </c>
      <c r="D86" s="60">
        <v>232879.6</v>
      </c>
      <c r="E86" s="61">
        <v>103762.17</v>
      </c>
      <c r="F86" s="59">
        <v>1714358.23</v>
      </c>
      <c r="G86" s="60">
        <v>1749880.71</v>
      </c>
      <c r="H86" s="63">
        <v>1863824.54</v>
      </c>
    </row>
    <row r="87" spans="1:8" x14ac:dyDescent="0.25">
      <c r="A87" s="102" t="s">
        <v>173</v>
      </c>
      <c r="B87" s="103" t="s">
        <v>174</v>
      </c>
      <c r="C87" s="59">
        <v>0</v>
      </c>
      <c r="D87" s="60">
        <v>0</v>
      </c>
      <c r="E87" s="61">
        <v>0</v>
      </c>
      <c r="F87" s="59">
        <v>2622.71</v>
      </c>
      <c r="G87" s="60">
        <v>2622.71</v>
      </c>
      <c r="H87" s="63">
        <v>2622.71</v>
      </c>
    </row>
    <row r="88" spans="1:8" x14ac:dyDescent="0.25">
      <c r="A88" s="99" t="s">
        <v>175</v>
      </c>
      <c r="B88" s="100"/>
      <c r="C88" s="127">
        <f>SUM(C83:C87)</f>
        <v>486295.36</v>
      </c>
      <c r="D88" s="127">
        <f t="shared" ref="D88:H88" si="10">SUM(D83:D87)</f>
        <v>721243.85</v>
      </c>
      <c r="E88" s="127">
        <f t="shared" si="10"/>
        <v>546275.76</v>
      </c>
      <c r="F88" s="127">
        <f t="shared" si="10"/>
        <v>6762721.4100000011</v>
      </c>
      <c r="G88" s="127">
        <f t="shared" si="10"/>
        <v>6877414.0999999996</v>
      </c>
      <c r="H88" s="127">
        <f t="shared" si="10"/>
        <v>7041563.7799999993</v>
      </c>
    </row>
    <row r="89" spans="1:8" x14ac:dyDescent="0.25">
      <c r="A89" s="109"/>
      <c r="B89" s="100"/>
      <c r="C89" s="59"/>
      <c r="D89" s="60"/>
      <c r="E89" s="61"/>
      <c r="F89" s="59"/>
      <c r="G89" s="60"/>
      <c r="H89" s="63"/>
    </row>
    <row r="90" spans="1:8" x14ac:dyDescent="0.25">
      <c r="A90" s="99" t="s">
        <v>176</v>
      </c>
      <c r="B90" s="100"/>
      <c r="C90" s="59"/>
      <c r="D90" s="60"/>
      <c r="E90" s="61"/>
      <c r="F90" s="59"/>
      <c r="G90" s="60"/>
      <c r="H90" s="63"/>
    </row>
    <row r="91" spans="1:8" x14ac:dyDescent="0.25">
      <c r="A91" s="102" t="s">
        <v>177</v>
      </c>
      <c r="B91" s="103" t="s">
        <v>166</v>
      </c>
      <c r="C91" s="59">
        <v>0</v>
      </c>
      <c r="D91" s="60">
        <v>0</v>
      </c>
      <c r="E91" s="61">
        <v>0</v>
      </c>
      <c r="F91" s="59">
        <v>0</v>
      </c>
      <c r="G91" s="60">
        <v>0</v>
      </c>
      <c r="H91" s="63">
        <v>0</v>
      </c>
    </row>
    <row r="92" spans="1:8" x14ac:dyDescent="0.25">
      <c r="A92" s="102" t="s">
        <v>178</v>
      </c>
      <c r="B92" s="103" t="s">
        <v>179</v>
      </c>
      <c r="C92" s="59">
        <v>567914.95000000007</v>
      </c>
      <c r="D92" s="60">
        <v>293868.23000000004</v>
      </c>
      <c r="E92" s="61">
        <v>234255.3</v>
      </c>
      <c r="F92" s="59">
        <v>7320675.4100000001</v>
      </c>
      <c r="G92" s="60">
        <v>7201011.7800000003</v>
      </c>
      <c r="H92" s="63">
        <v>7203173.1200000001</v>
      </c>
    </row>
    <row r="93" spans="1:8" x14ac:dyDescent="0.25">
      <c r="A93" s="102" t="s">
        <v>180</v>
      </c>
      <c r="B93" s="103" t="s">
        <v>181</v>
      </c>
      <c r="C93" s="59">
        <v>160.09</v>
      </c>
      <c r="D93" s="60">
        <v>16790.62</v>
      </c>
      <c r="E93" s="61">
        <v>5176.96</v>
      </c>
      <c r="F93" s="59">
        <v>120512.23999999999</v>
      </c>
      <c r="G93" s="60">
        <v>152580.37</v>
      </c>
      <c r="H93" s="63">
        <v>106596.66999999998</v>
      </c>
    </row>
    <row r="94" spans="1:8" x14ac:dyDescent="0.25">
      <c r="A94" s="113" t="s">
        <v>182</v>
      </c>
      <c r="B94" s="103" t="s">
        <v>183</v>
      </c>
      <c r="C94" s="59">
        <v>13378.46</v>
      </c>
      <c r="D94" s="60">
        <v>10451.209999999999</v>
      </c>
      <c r="E94" s="61">
        <v>8840.4699999999993</v>
      </c>
      <c r="F94" s="59">
        <v>217614.93</v>
      </c>
      <c r="G94" s="60">
        <v>206624.06</v>
      </c>
      <c r="H94" s="63">
        <v>193447.43</v>
      </c>
    </row>
    <row r="95" spans="1:8" x14ac:dyDescent="0.25">
      <c r="A95" s="104" t="s">
        <v>184</v>
      </c>
      <c r="B95" s="100"/>
      <c r="C95" s="127">
        <f>SUM(C91:C94)</f>
        <v>581453.5</v>
      </c>
      <c r="D95" s="127">
        <f t="shared" ref="D95:H95" si="11">SUM(D91:D94)</f>
        <v>321110.06000000006</v>
      </c>
      <c r="E95" s="127">
        <f t="shared" si="11"/>
        <v>248272.72999999998</v>
      </c>
      <c r="F95" s="127">
        <f t="shared" si="11"/>
        <v>7658802.5800000001</v>
      </c>
      <c r="G95" s="127">
        <f t="shared" si="11"/>
        <v>7560216.21</v>
      </c>
      <c r="H95" s="127">
        <f t="shared" si="11"/>
        <v>7503217.2199999997</v>
      </c>
    </row>
    <row r="96" spans="1:8" x14ac:dyDescent="0.25">
      <c r="A96" s="109"/>
      <c r="B96" s="100"/>
      <c r="C96" s="59"/>
      <c r="D96" s="60"/>
      <c r="E96" s="61"/>
      <c r="F96" s="59"/>
      <c r="G96" s="60"/>
      <c r="H96" s="63"/>
    </row>
    <row r="97" spans="1:8" x14ac:dyDescent="0.25">
      <c r="A97" s="99" t="s">
        <v>185</v>
      </c>
      <c r="B97" s="100"/>
      <c r="C97" s="59"/>
      <c r="D97" s="60"/>
      <c r="E97" s="61"/>
      <c r="F97" s="59"/>
      <c r="G97" s="60"/>
      <c r="H97" s="63"/>
    </row>
    <row r="98" spans="1:8" x14ac:dyDescent="0.25">
      <c r="A98" s="102" t="s">
        <v>186</v>
      </c>
      <c r="B98" s="103" t="s">
        <v>166</v>
      </c>
      <c r="C98" s="59">
        <v>0</v>
      </c>
      <c r="D98" s="60">
        <v>0</v>
      </c>
      <c r="E98" s="61">
        <v>0</v>
      </c>
      <c r="F98" s="59">
        <v>0</v>
      </c>
      <c r="G98" s="60">
        <v>0</v>
      </c>
      <c r="H98" s="63">
        <v>0</v>
      </c>
    </row>
    <row r="99" spans="1:8" x14ac:dyDescent="0.25">
      <c r="A99" s="102" t="s">
        <v>187</v>
      </c>
      <c r="B99" s="103" t="s">
        <v>188</v>
      </c>
      <c r="C99" s="59">
        <v>1865.67</v>
      </c>
      <c r="D99" s="60">
        <v>2136.15</v>
      </c>
      <c r="E99" s="61">
        <v>1235.44</v>
      </c>
      <c r="F99" s="59">
        <v>23428.589999999997</v>
      </c>
      <c r="G99" s="60">
        <v>23604.5</v>
      </c>
      <c r="H99" s="63">
        <v>22779.040000000001</v>
      </c>
    </row>
    <row r="100" spans="1:8" x14ac:dyDescent="0.25">
      <c r="A100" s="102" t="s">
        <v>189</v>
      </c>
      <c r="B100" s="103" t="s">
        <v>190</v>
      </c>
      <c r="C100" s="59">
        <v>0</v>
      </c>
      <c r="D100" s="60">
        <v>0</v>
      </c>
      <c r="E100" s="61">
        <v>0</v>
      </c>
      <c r="F100" s="59">
        <v>36438.5</v>
      </c>
      <c r="G100" s="60">
        <v>36438.5</v>
      </c>
      <c r="H100" s="63">
        <v>4479.5</v>
      </c>
    </row>
    <row r="101" spans="1:8" x14ac:dyDescent="0.25">
      <c r="A101" s="102" t="s">
        <v>191</v>
      </c>
      <c r="B101" s="103" t="s">
        <v>192</v>
      </c>
      <c r="C101" s="59">
        <v>0</v>
      </c>
      <c r="D101" s="60">
        <v>0</v>
      </c>
      <c r="E101" s="61">
        <v>0</v>
      </c>
      <c r="F101" s="59">
        <v>0</v>
      </c>
      <c r="G101" s="60">
        <v>0</v>
      </c>
      <c r="H101" s="63">
        <v>0</v>
      </c>
    </row>
    <row r="102" spans="1:8" x14ac:dyDescent="0.25">
      <c r="A102" s="99" t="s">
        <v>193</v>
      </c>
      <c r="B102" s="100"/>
      <c r="C102" s="127">
        <f>SUM(C98:C101)</f>
        <v>1865.67</v>
      </c>
      <c r="D102" s="127">
        <f t="shared" ref="D102:H102" si="12">SUM(D98:D101)</f>
        <v>2136.15</v>
      </c>
      <c r="E102" s="127">
        <f t="shared" si="12"/>
        <v>1235.44</v>
      </c>
      <c r="F102" s="127">
        <f t="shared" si="12"/>
        <v>59867.09</v>
      </c>
      <c r="G102" s="127">
        <f t="shared" si="12"/>
        <v>60043</v>
      </c>
      <c r="H102" s="127">
        <f t="shared" si="12"/>
        <v>27258.54</v>
      </c>
    </row>
    <row r="103" spans="1:8" x14ac:dyDescent="0.25">
      <c r="A103" s="109"/>
      <c r="B103" s="100"/>
      <c r="C103" s="59"/>
      <c r="D103" s="60"/>
      <c r="E103" s="61"/>
      <c r="F103" s="59"/>
      <c r="G103" s="60"/>
      <c r="H103" s="63"/>
    </row>
    <row r="104" spans="1:8" x14ac:dyDescent="0.25">
      <c r="A104" s="99" t="s">
        <v>194</v>
      </c>
      <c r="B104" s="100"/>
      <c r="C104" s="59"/>
      <c r="D104" s="60"/>
      <c r="E104" s="61"/>
      <c r="F104" s="59"/>
      <c r="G104" s="60"/>
      <c r="H104" s="63"/>
    </row>
    <row r="105" spans="1:8" x14ac:dyDescent="0.25">
      <c r="A105" s="102" t="s">
        <v>195</v>
      </c>
      <c r="B105" s="103" t="s">
        <v>196</v>
      </c>
      <c r="C105" s="59">
        <v>656916.18999999994</v>
      </c>
      <c r="D105" s="60">
        <v>613828.04</v>
      </c>
      <c r="E105" s="61">
        <v>1126200.44</v>
      </c>
      <c r="F105" s="59">
        <v>7678412.9500000002</v>
      </c>
      <c r="G105" s="60">
        <v>7622011.7300000004</v>
      </c>
      <c r="H105" s="63">
        <v>8156821.9100000001</v>
      </c>
    </row>
    <row r="106" spans="1:8" x14ac:dyDescent="0.25">
      <c r="A106" s="102" t="s">
        <v>197</v>
      </c>
      <c r="B106" s="103" t="s">
        <v>198</v>
      </c>
      <c r="C106" s="59">
        <v>596615.63</v>
      </c>
      <c r="D106" s="60">
        <v>105907.22999999995</v>
      </c>
      <c r="E106" s="61">
        <v>351237.84</v>
      </c>
      <c r="F106" s="59">
        <v>3716425.9299999988</v>
      </c>
      <c r="G106" s="60">
        <v>3522174.87</v>
      </c>
      <c r="H106" s="63">
        <v>3668197.7199999993</v>
      </c>
    </row>
    <row r="107" spans="1:8" x14ac:dyDescent="0.25">
      <c r="A107" s="102" t="s">
        <v>199</v>
      </c>
      <c r="B107" s="103" t="s">
        <v>200</v>
      </c>
      <c r="C107" s="59">
        <v>37698.219999999994</v>
      </c>
      <c r="D107" s="60">
        <v>107741.84</v>
      </c>
      <c r="E107" s="61">
        <v>129627.79999999999</v>
      </c>
      <c r="F107" s="59">
        <v>1623941.33</v>
      </c>
      <c r="G107" s="60">
        <v>1557426.11</v>
      </c>
      <c r="H107" s="63">
        <v>1519299.23</v>
      </c>
    </row>
    <row r="108" spans="1:8" x14ac:dyDescent="0.25">
      <c r="A108" s="102" t="s">
        <v>201</v>
      </c>
      <c r="B108" s="103" t="s">
        <v>202</v>
      </c>
      <c r="C108" s="59">
        <v>8088.81</v>
      </c>
      <c r="D108" s="60">
        <v>8088.81</v>
      </c>
      <c r="E108" s="61">
        <v>8088.79</v>
      </c>
      <c r="F108" s="59">
        <v>95320.11</v>
      </c>
      <c r="G108" s="60">
        <v>95532.97</v>
      </c>
      <c r="H108" s="63">
        <v>95745.81</v>
      </c>
    </row>
    <row r="109" spans="1:8" x14ac:dyDescent="0.25">
      <c r="A109" s="102" t="s">
        <v>203</v>
      </c>
      <c r="B109" s="103" t="s">
        <v>204</v>
      </c>
      <c r="C109" s="59">
        <v>162584.42000000001</v>
      </c>
      <c r="D109" s="60">
        <v>126249.22</v>
      </c>
      <c r="E109" s="61">
        <v>151953.41</v>
      </c>
      <c r="F109" s="59">
        <v>1887091.73</v>
      </c>
      <c r="G109" s="60">
        <v>1818459.37</v>
      </c>
      <c r="H109" s="63">
        <v>1824023.47</v>
      </c>
    </row>
    <row r="110" spans="1:8" x14ac:dyDescent="0.25">
      <c r="A110" s="102" t="s">
        <v>205</v>
      </c>
      <c r="B110" s="103" t="s">
        <v>206</v>
      </c>
      <c r="C110" s="59">
        <v>416604.44000000006</v>
      </c>
      <c r="D110" s="60">
        <v>478628.8</v>
      </c>
      <c r="E110" s="61">
        <v>481152.16000000003</v>
      </c>
      <c r="F110" s="59">
        <v>4737530.34</v>
      </c>
      <c r="G110" s="60">
        <v>4841965.7</v>
      </c>
      <c r="H110" s="63">
        <v>4949494.34</v>
      </c>
    </row>
    <row r="111" spans="1:8" x14ac:dyDescent="0.25">
      <c r="A111" s="102" t="s">
        <v>207</v>
      </c>
      <c r="B111" s="103" t="s">
        <v>208</v>
      </c>
      <c r="C111" s="59">
        <v>0</v>
      </c>
      <c r="D111" s="60">
        <v>0</v>
      </c>
      <c r="E111" s="61">
        <v>0</v>
      </c>
      <c r="F111" s="59">
        <v>0</v>
      </c>
      <c r="G111" s="60">
        <v>0</v>
      </c>
      <c r="H111" s="63">
        <v>0</v>
      </c>
    </row>
    <row r="112" spans="1:8" x14ac:dyDescent="0.25">
      <c r="A112" s="102" t="s">
        <v>209</v>
      </c>
      <c r="B112" s="103" t="s">
        <v>210</v>
      </c>
      <c r="C112" s="59">
        <v>510.21</v>
      </c>
      <c r="D112" s="60">
        <v>3746.2</v>
      </c>
      <c r="E112" s="61">
        <v>2331.34</v>
      </c>
      <c r="F112" s="59">
        <v>33661.949999999997</v>
      </c>
      <c r="G112" s="60">
        <v>31865.83</v>
      </c>
      <c r="H112" s="63">
        <v>34343.919999999998</v>
      </c>
    </row>
    <row r="113" spans="1:8" x14ac:dyDescent="0.25">
      <c r="A113" s="102" t="s">
        <v>211</v>
      </c>
      <c r="B113" s="103" t="s">
        <v>212</v>
      </c>
      <c r="C113" s="59">
        <v>33970.640000000007</v>
      </c>
      <c r="D113" s="60">
        <v>23958.500000000004</v>
      </c>
      <c r="E113" s="61">
        <v>46863.91</v>
      </c>
      <c r="F113" s="59">
        <v>554747.98</v>
      </c>
      <c r="G113" s="60">
        <v>553715.53</v>
      </c>
      <c r="H113" s="63">
        <v>559586.91999999993</v>
      </c>
    </row>
    <row r="114" spans="1:8" x14ac:dyDescent="0.25">
      <c r="A114" s="102" t="s">
        <v>213</v>
      </c>
      <c r="B114" s="103" t="s">
        <v>140</v>
      </c>
      <c r="C114" s="59">
        <v>110660.63</v>
      </c>
      <c r="D114" s="60">
        <v>110427.8</v>
      </c>
      <c r="E114" s="61">
        <v>93993.22</v>
      </c>
      <c r="F114" s="59">
        <v>1211956</v>
      </c>
      <c r="G114" s="60">
        <v>1225609.6100000001</v>
      </c>
      <c r="H114" s="63">
        <v>1224011.99</v>
      </c>
    </row>
    <row r="115" spans="1:8" x14ac:dyDescent="0.25">
      <c r="A115" s="102" t="s">
        <v>214</v>
      </c>
      <c r="B115" s="103" t="s">
        <v>215</v>
      </c>
      <c r="C115" s="132">
        <v>15916.48</v>
      </c>
      <c r="D115" s="128">
        <v>1750.98</v>
      </c>
      <c r="E115" s="133">
        <v>1763.04</v>
      </c>
      <c r="F115" s="132">
        <v>124956.24</v>
      </c>
      <c r="G115" s="128">
        <v>120676.56999999999</v>
      </c>
      <c r="H115" s="134">
        <v>121609.81</v>
      </c>
    </row>
    <row r="116" spans="1:8" x14ac:dyDescent="0.25">
      <c r="A116" s="109"/>
      <c r="B116" s="100"/>
      <c r="C116" s="135">
        <f>SUM(C105:C115)</f>
        <v>2039565.67</v>
      </c>
      <c r="D116" s="135">
        <f t="shared" ref="D116:H116" si="13">SUM(D105:D115)</f>
        <v>1580327.42</v>
      </c>
      <c r="E116" s="135">
        <f t="shared" si="13"/>
        <v>2393211.9500000002</v>
      </c>
      <c r="F116" s="135">
        <f t="shared" si="13"/>
        <v>21664044.559999999</v>
      </c>
      <c r="G116" s="135">
        <f t="shared" si="13"/>
        <v>21389438.289999999</v>
      </c>
      <c r="H116" s="135">
        <f t="shared" si="13"/>
        <v>22153135.119999997</v>
      </c>
    </row>
    <row r="117" spans="1:8" x14ac:dyDescent="0.25">
      <c r="A117" s="102" t="s">
        <v>216</v>
      </c>
      <c r="B117" s="103" t="s">
        <v>217</v>
      </c>
      <c r="C117" s="59">
        <v>0</v>
      </c>
      <c r="D117" s="59">
        <v>0</v>
      </c>
      <c r="E117" s="59">
        <v>0</v>
      </c>
      <c r="F117" s="59">
        <v>0</v>
      </c>
      <c r="G117" s="59">
        <v>0</v>
      </c>
      <c r="H117" s="136">
        <v>0</v>
      </c>
    </row>
    <row r="118" spans="1:8" x14ac:dyDescent="0.25">
      <c r="A118" s="99" t="s">
        <v>218</v>
      </c>
      <c r="B118" s="100"/>
      <c r="C118" s="127">
        <f>+C116+C117</f>
        <v>2039565.67</v>
      </c>
      <c r="D118" s="127">
        <f t="shared" ref="D118:H118" si="14">+D116+D117</f>
        <v>1580327.42</v>
      </c>
      <c r="E118" s="127">
        <f t="shared" si="14"/>
        <v>2393211.9500000002</v>
      </c>
      <c r="F118" s="127">
        <f t="shared" si="14"/>
        <v>21664044.559999999</v>
      </c>
      <c r="G118" s="127">
        <f t="shared" si="14"/>
        <v>21389438.289999999</v>
      </c>
      <c r="H118" s="127">
        <f t="shared" si="14"/>
        <v>22153135.119999997</v>
      </c>
    </row>
    <row r="119" spans="1:8" ht="13.5" customHeight="1" x14ac:dyDescent="0.25">
      <c r="A119" s="109"/>
      <c r="B119" s="100"/>
      <c r="C119" s="59"/>
      <c r="D119" s="60"/>
      <c r="E119" s="61"/>
      <c r="F119" s="59"/>
      <c r="G119" s="60"/>
      <c r="H119" s="63"/>
    </row>
    <row r="120" spans="1:8" ht="13.5" customHeight="1" thickBot="1" x14ac:dyDescent="0.3">
      <c r="A120" s="157" t="s">
        <v>219</v>
      </c>
      <c r="B120" s="158"/>
      <c r="C120" s="130">
        <f>C118+C102+C95+C88+C80+C50</f>
        <v>4988780.5799999991</v>
      </c>
      <c r="D120" s="130">
        <f t="shared" ref="D120:H120" si="15">D118+D102+D95+D88+D80+D50</f>
        <v>4527668.4400000004</v>
      </c>
      <c r="E120" s="130">
        <f t="shared" si="15"/>
        <v>5464430.3099999996</v>
      </c>
      <c r="F120" s="130">
        <f t="shared" si="15"/>
        <v>59356839.049999997</v>
      </c>
      <c r="G120" s="130">
        <f t="shared" si="15"/>
        <v>58913985.350000001</v>
      </c>
      <c r="H120" s="130">
        <f t="shared" si="15"/>
        <v>59997711.699999996</v>
      </c>
    </row>
    <row r="121" spans="1:8" ht="15.75" thickTop="1" x14ac:dyDescent="0.25">
      <c r="A121" s="109"/>
      <c r="B121" s="100"/>
      <c r="C121" s="59"/>
      <c r="D121" s="60"/>
      <c r="E121" s="61"/>
      <c r="F121" s="59"/>
      <c r="G121" s="60"/>
      <c r="H121" s="63"/>
    </row>
    <row r="122" spans="1:8" x14ac:dyDescent="0.25">
      <c r="A122" s="99" t="s">
        <v>220</v>
      </c>
      <c r="B122" s="100"/>
      <c r="C122" s="59"/>
      <c r="D122" s="60"/>
      <c r="E122" s="61"/>
      <c r="F122" s="59"/>
      <c r="G122" s="60"/>
      <c r="H122" s="63"/>
    </row>
    <row r="123" spans="1:8" x14ac:dyDescent="0.25">
      <c r="A123" s="102" t="s">
        <v>221</v>
      </c>
      <c r="B123" s="103" t="s">
        <v>222</v>
      </c>
      <c r="C123" s="59">
        <v>2563546.4500000002</v>
      </c>
      <c r="D123" s="60">
        <v>2567470.73</v>
      </c>
      <c r="E123" s="61">
        <v>2576929.54</v>
      </c>
      <c r="F123" s="59">
        <v>29957531.189999998</v>
      </c>
      <c r="G123" s="60">
        <v>30077460.02</v>
      </c>
      <c r="H123" s="63">
        <v>30201476.599999998</v>
      </c>
    </row>
    <row r="124" spans="1:8" x14ac:dyDescent="0.25">
      <c r="A124" s="109"/>
      <c r="B124" s="103" t="s">
        <v>223</v>
      </c>
      <c r="C124" s="59">
        <v>0</v>
      </c>
      <c r="D124" s="60">
        <v>0</v>
      </c>
      <c r="E124" s="61">
        <v>0</v>
      </c>
      <c r="F124" s="59">
        <v>0</v>
      </c>
      <c r="G124" s="60">
        <v>0</v>
      </c>
      <c r="H124" s="63">
        <v>0</v>
      </c>
    </row>
    <row r="125" spans="1:8" x14ac:dyDescent="0.25">
      <c r="A125" s="109"/>
      <c r="B125" s="103" t="s">
        <v>224</v>
      </c>
      <c r="C125" s="59">
        <v>0</v>
      </c>
      <c r="D125" s="60">
        <v>0</v>
      </c>
      <c r="E125" s="61">
        <v>0</v>
      </c>
      <c r="F125" s="59">
        <v>0</v>
      </c>
      <c r="G125" s="60">
        <v>0</v>
      </c>
      <c r="H125" s="63">
        <v>0</v>
      </c>
    </row>
    <row r="126" spans="1:8" x14ac:dyDescent="0.25">
      <c r="A126" s="109"/>
      <c r="B126" s="103" t="s">
        <v>225</v>
      </c>
      <c r="C126" s="59">
        <v>0</v>
      </c>
      <c r="D126" s="60">
        <v>0</v>
      </c>
      <c r="E126" s="61">
        <v>0</v>
      </c>
      <c r="F126" s="59">
        <v>0</v>
      </c>
      <c r="G126" s="60">
        <v>0</v>
      </c>
      <c r="H126" s="63">
        <v>0</v>
      </c>
    </row>
    <row r="127" spans="1:8" x14ac:dyDescent="0.25">
      <c r="A127" s="109"/>
      <c r="B127" s="103" t="s">
        <v>226</v>
      </c>
      <c r="C127" s="59">
        <v>0</v>
      </c>
      <c r="D127" s="60">
        <v>0</v>
      </c>
      <c r="E127" s="61">
        <v>0</v>
      </c>
      <c r="F127" s="59">
        <v>0</v>
      </c>
      <c r="G127" s="60">
        <v>0</v>
      </c>
      <c r="H127" s="63">
        <v>0</v>
      </c>
    </row>
    <row r="128" spans="1:8" x14ac:dyDescent="0.25">
      <c r="A128" s="109"/>
      <c r="B128" s="103" t="s">
        <v>227</v>
      </c>
      <c r="C128" s="59">
        <v>0</v>
      </c>
      <c r="D128" s="60">
        <v>0</v>
      </c>
      <c r="E128" s="61">
        <v>0</v>
      </c>
      <c r="F128" s="59">
        <v>0</v>
      </c>
      <c r="G128" s="60">
        <v>0</v>
      </c>
      <c r="H128" s="63">
        <v>0</v>
      </c>
    </row>
    <row r="129" spans="1:8" x14ac:dyDescent="0.25">
      <c r="A129" s="102" t="s">
        <v>228</v>
      </c>
      <c r="B129" s="103" t="s">
        <v>229</v>
      </c>
      <c r="C129" s="59">
        <v>0</v>
      </c>
      <c r="D129" s="60">
        <v>0</v>
      </c>
      <c r="E129" s="61">
        <v>0</v>
      </c>
      <c r="F129" s="59">
        <v>0</v>
      </c>
      <c r="G129" s="60">
        <v>0</v>
      </c>
      <c r="H129" s="63">
        <v>0</v>
      </c>
    </row>
    <row r="130" spans="1:8" x14ac:dyDescent="0.25">
      <c r="A130" s="99" t="s">
        <v>230</v>
      </c>
      <c r="B130" s="100"/>
      <c r="C130" s="127">
        <f>SUM(C123:C129)</f>
        <v>2563546.4500000002</v>
      </c>
      <c r="D130" s="127">
        <f t="shared" ref="D130:H130" si="16">SUM(D123:D129)</f>
        <v>2567470.73</v>
      </c>
      <c r="E130" s="127">
        <f t="shared" si="16"/>
        <v>2576929.54</v>
      </c>
      <c r="F130" s="127">
        <f t="shared" si="16"/>
        <v>29957531.189999998</v>
      </c>
      <c r="G130" s="127">
        <f t="shared" si="16"/>
        <v>30077460.02</v>
      </c>
      <c r="H130" s="127">
        <f t="shared" si="16"/>
        <v>30201476.599999998</v>
      </c>
    </row>
    <row r="131" spans="1:8" x14ac:dyDescent="0.25">
      <c r="A131" s="109"/>
      <c r="B131" s="100"/>
      <c r="C131" s="59"/>
      <c r="D131" s="60"/>
      <c r="E131" s="61"/>
      <c r="F131" s="59"/>
      <c r="G131" s="60"/>
      <c r="H131" s="63"/>
    </row>
    <row r="132" spans="1:8" x14ac:dyDescent="0.25">
      <c r="A132" s="105" t="s">
        <v>231</v>
      </c>
      <c r="B132" s="100" t="s">
        <v>232</v>
      </c>
      <c r="C132" s="59">
        <v>0</v>
      </c>
      <c r="D132" s="60">
        <v>0</v>
      </c>
      <c r="E132" s="61">
        <v>0</v>
      </c>
      <c r="F132" s="59">
        <v>0</v>
      </c>
      <c r="G132" s="60">
        <v>0</v>
      </c>
      <c r="H132" s="63">
        <v>0</v>
      </c>
    </row>
    <row r="133" spans="1:8" x14ac:dyDescent="0.25">
      <c r="A133" s="109"/>
      <c r="B133" s="100"/>
      <c r="C133" s="59"/>
      <c r="D133" s="60"/>
      <c r="E133" s="61"/>
      <c r="F133" s="59"/>
      <c r="G133" s="60"/>
      <c r="H133" s="63"/>
    </row>
    <row r="134" spans="1:8" x14ac:dyDescent="0.25">
      <c r="A134" s="99" t="s">
        <v>233</v>
      </c>
      <c r="B134" s="100"/>
      <c r="C134" s="59"/>
      <c r="D134" s="60"/>
      <c r="E134" s="61"/>
      <c r="F134" s="59"/>
      <c r="G134" s="60"/>
      <c r="H134" s="63"/>
    </row>
    <row r="135" spans="1:8" x14ac:dyDescent="0.25">
      <c r="A135" s="102" t="s">
        <v>234</v>
      </c>
      <c r="B135" s="103" t="s">
        <v>235</v>
      </c>
      <c r="C135" s="132">
        <v>-37827.409999999996</v>
      </c>
      <c r="D135" s="128">
        <v>468109.93999999994</v>
      </c>
      <c r="E135" s="137">
        <v>468549.17</v>
      </c>
      <c r="F135" s="132">
        <v>5276145.8199999994</v>
      </c>
      <c r="G135" s="128">
        <v>5382786.9500000002</v>
      </c>
      <c r="H135" s="134">
        <v>5208225.7699999996</v>
      </c>
    </row>
    <row r="136" spans="1:8" x14ac:dyDescent="0.25">
      <c r="A136" s="109"/>
      <c r="B136" s="100"/>
      <c r="C136" s="59"/>
      <c r="D136" s="60"/>
      <c r="E136" s="61"/>
      <c r="F136" s="59"/>
      <c r="G136" s="60"/>
      <c r="H136" s="63"/>
    </row>
    <row r="137" spans="1:8" x14ac:dyDescent="0.25">
      <c r="A137" s="99" t="s">
        <v>236</v>
      </c>
      <c r="B137" s="100"/>
      <c r="C137" s="59"/>
      <c r="D137" s="60"/>
      <c r="E137" s="61"/>
      <c r="F137" s="59"/>
      <c r="G137" s="60"/>
      <c r="H137" s="63"/>
    </row>
    <row r="138" spans="1:8" x14ac:dyDescent="0.25">
      <c r="A138" s="102" t="s">
        <v>237</v>
      </c>
      <c r="B138" s="103" t="s">
        <v>238</v>
      </c>
      <c r="C138" s="59">
        <v>1192397.27</v>
      </c>
      <c r="D138" s="60">
        <v>-409382.46</v>
      </c>
      <c r="E138" s="61">
        <v>-938158.7</v>
      </c>
      <c r="F138" s="59">
        <v>-23299610.259999998</v>
      </c>
      <c r="G138" s="60">
        <v>-22725776.66</v>
      </c>
      <c r="H138" s="138">
        <v>-21561078.460000001</v>
      </c>
    </row>
    <row r="139" spans="1:8" x14ac:dyDescent="0.25">
      <c r="A139" s="102" t="s">
        <v>237</v>
      </c>
      <c r="B139" s="103" t="s">
        <v>239</v>
      </c>
      <c r="C139" s="59">
        <v>0</v>
      </c>
      <c r="D139" s="60">
        <v>0</v>
      </c>
      <c r="E139" s="61">
        <v>0</v>
      </c>
      <c r="F139" s="59">
        <v>0</v>
      </c>
      <c r="G139" s="60">
        <v>0</v>
      </c>
      <c r="H139" s="63">
        <v>0</v>
      </c>
    </row>
    <row r="140" spans="1:8" x14ac:dyDescent="0.25">
      <c r="A140" s="102" t="s">
        <v>240</v>
      </c>
      <c r="B140" s="103" t="s">
        <v>241</v>
      </c>
      <c r="C140" s="59">
        <v>250492.07</v>
      </c>
      <c r="D140" s="60">
        <v>524193.51</v>
      </c>
      <c r="E140" s="61">
        <v>930862.6</v>
      </c>
      <c r="F140" s="59">
        <v>36195564.039999999</v>
      </c>
      <c r="G140" s="60">
        <v>35814218.099999994</v>
      </c>
      <c r="H140" s="63">
        <v>35654183.340000004</v>
      </c>
    </row>
    <row r="141" spans="1:8" x14ac:dyDescent="0.25">
      <c r="A141" s="102" t="s">
        <v>240</v>
      </c>
      <c r="B141" s="103" t="s">
        <v>242</v>
      </c>
      <c r="C141" s="59">
        <v>0</v>
      </c>
      <c r="D141" s="60">
        <v>0</v>
      </c>
      <c r="E141" s="61">
        <v>0</v>
      </c>
      <c r="F141" s="59">
        <v>0</v>
      </c>
      <c r="G141" s="60">
        <v>0</v>
      </c>
      <c r="H141" s="63">
        <v>0</v>
      </c>
    </row>
    <row r="142" spans="1:8" x14ac:dyDescent="0.25">
      <c r="A142" s="102" t="s">
        <v>243</v>
      </c>
      <c r="B142" s="103" t="s">
        <v>244</v>
      </c>
      <c r="C142" s="59">
        <v>-1475687.37</v>
      </c>
      <c r="D142" s="60">
        <v>-787820.07</v>
      </c>
      <c r="E142" s="61">
        <v>-940806.16</v>
      </c>
      <c r="F142" s="59">
        <v>-14516769.24</v>
      </c>
      <c r="G142" s="60">
        <v>-14789909.530000001</v>
      </c>
      <c r="H142" s="63">
        <v>-15874020.960000001</v>
      </c>
    </row>
    <row r="143" spans="1:8" x14ac:dyDescent="0.25">
      <c r="A143" s="102" t="s">
        <v>245</v>
      </c>
      <c r="B143" s="103" t="s">
        <v>246</v>
      </c>
      <c r="C143" s="59">
        <v>-2772.55</v>
      </c>
      <c r="D143" s="60">
        <v>-2772.55</v>
      </c>
      <c r="E143" s="61">
        <v>-2772.55</v>
      </c>
      <c r="F143" s="59">
        <v>-33141.72</v>
      </c>
      <c r="G143" s="60">
        <v>-33157.83</v>
      </c>
      <c r="H143" s="63">
        <v>-33173.94</v>
      </c>
    </row>
    <row r="144" spans="1:8" x14ac:dyDescent="0.25">
      <c r="A144" s="99" t="s">
        <v>247</v>
      </c>
      <c r="B144" s="100"/>
      <c r="C144" s="127">
        <f>SUM(C138:C143)</f>
        <v>-35570.580000000031</v>
      </c>
      <c r="D144" s="127">
        <f t="shared" ref="D144:H144" si="17">SUM(D138:D143)</f>
        <v>-675781.57000000007</v>
      </c>
      <c r="E144" s="127">
        <f t="shared" si="17"/>
        <v>-950874.81</v>
      </c>
      <c r="F144" s="127">
        <f t="shared" si="17"/>
        <v>-1653957.179999999</v>
      </c>
      <c r="G144" s="127">
        <f t="shared" si="17"/>
        <v>-1734625.9200000074</v>
      </c>
      <c r="H144" s="127">
        <f t="shared" si="17"/>
        <v>-1814090.0199999982</v>
      </c>
    </row>
    <row r="145" spans="1:8" x14ac:dyDescent="0.25">
      <c r="A145" s="99" t="s">
        <v>248</v>
      </c>
      <c r="B145" s="100"/>
      <c r="C145" s="59">
        <f>+C144+C135+C130+C120</f>
        <v>7478929.0399999991</v>
      </c>
      <c r="D145" s="59">
        <f t="shared" ref="D145:G145" si="18">+D144+D135+D130+D120</f>
        <v>6887467.54</v>
      </c>
      <c r="E145" s="59">
        <f t="shared" si="18"/>
        <v>7559034.209999999</v>
      </c>
      <c r="F145" s="59">
        <f t="shared" si="18"/>
        <v>92936558.879999995</v>
      </c>
      <c r="G145" s="59">
        <f t="shared" si="18"/>
        <v>92639606.399999991</v>
      </c>
      <c r="H145" s="59">
        <f>+H144+H135+H130+H120</f>
        <v>93593324.049999997</v>
      </c>
    </row>
    <row r="146" spans="1:8" ht="15.75" thickBot="1" x14ac:dyDescent="0.3">
      <c r="A146" s="114" t="s">
        <v>249</v>
      </c>
      <c r="B146" s="115"/>
      <c r="C146" s="139">
        <f>+C47-C145</f>
        <v>2457650.879999999</v>
      </c>
      <c r="D146" s="139">
        <f t="shared" ref="D146:H146" si="19">+D47-D145</f>
        <v>136427.18999999948</v>
      </c>
      <c r="E146" s="139">
        <f t="shared" si="19"/>
        <v>-905680.96000000089</v>
      </c>
      <c r="F146" s="139">
        <f t="shared" si="19"/>
        <v>32471813.459999919</v>
      </c>
      <c r="G146" s="139">
        <f t="shared" si="19"/>
        <v>32799986.799999982</v>
      </c>
      <c r="H146" s="139">
        <f t="shared" si="19"/>
        <v>32935150.129999951</v>
      </c>
    </row>
    <row r="147" spans="1:8" x14ac:dyDescent="0.25">
      <c r="A147" s="116"/>
      <c r="B147" s="117"/>
      <c r="C147" s="88"/>
      <c r="D147" s="88"/>
      <c r="E147" s="88"/>
      <c r="F147" s="88"/>
      <c r="G147" s="88"/>
      <c r="H147" s="88"/>
    </row>
  </sheetData>
  <mergeCells count="5">
    <mergeCell ref="A120:B120"/>
    <mergeCell ref="A6:B6"/>
    <mergeCell ref="C5:E5"/>
    <mergeCell ref="F5:H5"/>
    <mergeCell ref="A5:B5"/>
  </mergeCells>
  <conditionalFormatting sqref="W7:W32">
    <cfRule type="containsText" dxfId="0" priority="1" operator="containsText" text="WA">
      <formula>NOT(ISERROR(SEARCH("WA",W7)))</formula>
    </cfRule>
  </conditionalFormatting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6" max="16383" man="1"/>
    <brk id="1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W36"/>
  <sheetViews>
    <sheetView zoomScaleNormal="100" workbookViewId="0">
      <selection activeCell="B2" sqref="B2"/>
    </sheetView>
  </sheetViews>
  <sheetFormatPr defaultRowHeight="12.75" x14ac:dyDescent="0.2"/>
  <cols>
    <col min="1" max="1" width="1.140625" customWidth="1"/>
    <col min="2" max="2" width="33.5703125" bestFit="1" customWidth="1"/>
    <col min="3" max="3" width="15" bestFit="1" customWidth="1"/>
    <col min="4" max="5" width="14.5703125" bestFit="1" customWidth="1"/>
    <col min="6" max="8" width="1.28515625" customWidth="1"/>
    <col min="9" max="9" width="16.5703125" customWidth="1"/>
    <col min="10" max="10" width="13" customWidth="1"/>
    <col min="11" max="12" width="12.28515625" bestFit="1" customWidth="1"/>
    <col min="13" max="13" width="13.140625" bestFit="1" customWidth="1"/>
    <col min="16" max="18" width="11.85546875" bestFit="1" customWidth="1"/>
  </cols>
  <sheetData>
    <row r="1" spans="2:13" ht="26.25" x14ac:dyDescent="0.4">
      <c r="B1" s="166" t="s">
        <v>250</v>
      </c>
      <c r="C1" s="166"/>
      <c r="D1" s="166"/>
      <c r="E1" s="166"/>
      <c r="F1" s="89"/>
      <c r="G1" s="89"/>
      <c r="H1" s="89"/>
      <c r="I1" s="166" t="s">
        <v>272</v>
      </c>
      <c r="J1" s="166"/>
      <c r="K1" s="166"/>
      <c r="L1" s="166"/>
      <c r="M1" s="166"/>
    </row>
    <row r="2" spans="2:13" ht="12" customHeight="1" x14ac:dyDescent="0.35">
      <c r="B2" s="140"/>
      <c r="I2" s="90"/>
      <c r="J2" s="90"/>
      <c r="K2" s="90"/>
      <c r="L2" s="90"/>
      <c r="M2" s="90"/>
    </row>
    <row r="3" spans="2:13" x14ac:dyDescent="0.2">
      <c r="B3" s="141"/>
      <c r="I3" s="91"/>
      <c r="J3" s="91"/>
    </row>
    <row r="4" spans="2:13" ht="15" x14ac:dyDescent="0.25">
      <c r="B4" s="73" t="s">
        <v>252</v>
      </c>
      <c r="C4" s="122" t="s">
        <v>277</v>
      </c>
      <c r="D4" s="122" t="s">
        <v>278</v>
      </c>
      <c r="E4" s="122" t="s">
        <v>279</v>
      </c>
      <c r="F4" s="1"/>
      <c r="G4" s="1"/>
      <c r="H4" s="1"/>
      <c r="I4" s="92" t="s">
        <v>251</v>
      </c>
      <c r="J4" s="1"/>
      <c r="K4" s="142" t="str">
        <f>C4</f>
        <v>April</v>
      </c>
      <c r="L4" s="142" t="str">
        <f>D4</f>
        <v>May</v>
      </c>
      <c r="M4" s="142" t="str">
        <f>E4</f>
        <v>June</v>
      </c>
    </row>
    <row r="5" spans="2:13" ht="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5" x14ac:dyDescent="0.25">
      <c r="B6" s="73" t="s">
        <v>255</v>
      </c>
      <c r="C6" s="143">
        <v>1077967366.28</v>
      </c>
      <c r="D6" s="17">
        <v>1082218537.0999999</v>
      </c>
      <c r="E6" s="17">
        <v>1084283902.71</v>
      </c>
      <c r="F6" s="1"/>
      <c r="G6" s="1"/>
      <c r="H6" s="1"/>
      <c r="I6" s="69" t="s">
        <v>4</v>
      </c>
      <c r="J6" s="70" t="s">
        <v>253</v>
      </c>
      <c r="K6" s="71">
        <v>10113118</v>
      </c>
      <c r="L6" s="71">
        <v>4851582</v>
      </c>
      <c r="M6" s="71">
        <v>3646921</v>
      </c>
    </row>
    <row r="7" spans="2:13" ht="15" x14ac:dyDescent="0.25">
      <c r="B7" s="73" t="s">
        <v>257</v>
      </c>
      <c r="C7" s="144">
        <v>-466651476.36000001</v>
      </c>
      <c r="D7" s="145">
        <v>-469000216.18000001</v>
      </c>
      <c r="E7" s="145">
        <v>-470735150.42000002</v>
      </c>
      <c r="F7" s="1"/>
      <c r="G7" s="1"/>
      <c r="H7" s="1"/>
      <c r="I7" s="72"/>
      <c r="J7" s="70" t="s">
        <v>254</v>
      </c>
      <c r="K7" s="71">
        <v>8246169</v>
      </c>
      <c r="L7" s="71">
        <v>4413776</v>
      </c>
      <c r="M7" s="71">
        <v>3898079</v>
      </c>
    </row>
    <row r="8" spans="2:13" ht="15" x14ac:dyDescent="0.25">
      <c r="B8" s="73" t="s">
        <v>259</v>
      </c>
      <c r="C8" s="17">
        <f>+C6+C7</f>
        <v>611315889.91999996</v>
      </c>
      <c r="D8" s="17">
        <f>+D6+D7</f>
        <v>613218320.91999984</v>
      </c>
      <c r="E8" s="17">
        <f>+E6+E7</f>
        <v>613548752.28999996</v>
      </c>
      <c r="F8" s="1"/>
      <c r="G8" s="1"/>
      <c r="H8" s="1"/>
      <c r="I8" s="72"/>
      <c r="J8" s="70" t="s">
        <v>256</v>
      </c>
      <c r="K8" s="71">
        <v>1445045</v>
      </c>
      <c r="L8" s="71">
        <v>1188799</v>
      </c>
      <c r="M8" s="71">
        <v>822581</v>
      </c>
    </row>
    <row r="9" spans="2:13" ht="15" x14ac:dyDescent="0.25">
      <c r="B9" s="73" t="s">
        <v>261</v>
      </c>
      <c r="C9" s="146">
        <v>-59658.74</v>
      </c>
      <c r="D9" s="17">
        <v>-59658.74</v>
      </c>
      <c r="E9" s="17">
        <v>-59658.74</v>
      </c>
      <c r="F9" s="1"/>
      <c r="G9" s="1"/>
      <c r="H9" s="1"/>
      <c r="I9" s="72"/>
      <c r="J9" s="70" t="s">
        <v>258</v>
      </c>
      <c r="K9" s="71">
        <v>207895</v>
      </c>
      <c r="L9" s="71">
        <v>123718</v>
      </c>
      <c r="M9" s="71">
        <v>98688</v>
      </c>
    </row>
    <row r="10" spans="2:13" ht="15" x14ac:dyDescent="0.25">
      <c r="B10" s="73" t="s">
        <v>263</v>
      </c>
      <c r="C10" s="147">
        <v>-77393509.400000006</v>
      </c>
      <c r="D10" s="145">
        <v>-77316880.000000015</v>
      </c>
      <c r="E10" s="145">
        <v>-77240250.580000013</v>
      </c>
      <c r="F10" s="1"/>
      <c r="G10" s="1"/>
      <c r="H10" s="1"/>
      <c r="I10" s="72"/>
      <c r="J10" s="70" t="s">
        <v>260</v>
      </c>
      <c r="K10" s="71">
        <v>87601248</v>
      </c>
      <c r="L10" s="71">
        <v>41313514</v>
      </c>
      <c r="M10" s="71">
        <v>55847292</v>
      </c>
    </row>
    <row r="11" spans="2:13" ht="15" x14ac:dyDescent="0.25">
      <c r="B11" s="73" t="s">
        <v>264</v>
      </c>
      <c r="C11" s="17">
        <f>SUM(C8:C10)</f>
        <v>533862721.77999997</v>
      </c>
      <c r="D11" s="17">
        <f>SUM(D8:D10)</f>
        <v>535841782.17999983</v>
      </c>
      <c r="E11" s="17">
        <f>SUM(E8:E10)</f>
        <v>536248842.96999991</v>
      </c>
      <c r="F11" s="1"/>
      <c r="G11" s="1"/>
      <c r="H11" s="1"/>
      <c r="I11" s="1"/>
      <c r="J11" s="5"/>
      <c r="K11" s="71"/>
      <c r="L11" s="71"/>
      <c r="M11" s="71"/>
    </row>
    <row r="12" spans="2:13" ht="15" x14ac:dyDescent="0.25">
      <c r="B12" s="73" t="s">
        <v>265</v>
      </c>
      <c r="C12" s="145">
        <v>32298694.667689998</v>
      </c>
      <c r="D12" s="145">
        <v>32900685.42585199</v>
      </c>
      <c r="E12" s="145">
        <v>33461927.801327992</v>
      </c>
      <c r="F12" s="1"/>
      <c r="G12" s="1"/>
      <c r="H12" s="1"/>
      <c r="I12" s="69" t="s">
        <v>262</v>
      </c>
      <c r="J12" s="70" t="s">
        <v>253</v>
      </c>
      <c r="K12" s="71">
        <v>137100390</v>
      </c>
      <c r="L12" s="71">
        <v>134728486</v>
      </c>
      <c r="M12" s="71">
        <v>134744312</v>
      </c>
    </row>
    <row r="13" spans="2:13" ht="15.75" thickBot="1" x14ac:dyDescent="0.3">
      <c r="B13" s="148" t="s">
        <v>266</v>
      </c>
      <c r="C13" s="149">
        <f>+C12+C11</f>
        <v>566161416.44769001</v>
      </c>
      <c r="D13" s="149">
        <f>+D12+D11</f>
        <v>568742467.60585177</v>
      </c>
      <c r="E13" s="149">
        <f>+E12+E11</f>
        <v>569710770.77132785</v>
      </c>
      <c r="F13" s="1"/>
      <c r="G13" s="1"/>
      <c r="H13" s="1"/>
      <c r="I13" s="72"/>
      <c r="J13" s="70" t="s">
        <v>254</v>
      </c>
      <c r="K13" s="71">
        <v>111572893</v>
      </c>
      <c r="L13" s="71">
        <v>109900480</v>
      </c>
      <c r="M13" s="71">
        <v>110253137</v>
      </c>
    </row>
    <row r="14" spans="2:13" ht="15.75" thickTop="1" x14ac:dyDescent="0.25">
      <c r="B14" s="73"/>
      <c r="C14" s="73"/>
      <c r="D14" s="73"/>
      <c r="E14" s="73"/>
      <c r="F14" s="1"/>
      <c r="G14" s="1"/>
      <c r="H14" s="1"/>
      <c r="I14" s="72"/>
      <c r="J14" s="70" t="s">
        <v>256</v>
      </c>
      <c r="K14" s="71">
        <v>18097074</v>
      </c>
      <c r="L14" s="71">
        <v>17948907</v>
      </c>
      <c r="M14" s="71">
        <v>17626949</v>
      </c>
    </row>
    <row r="15" spans="2:13" ht="15" x14ac:dyDescent="0.25">
      <c r="B15" s="1"/>
      <c r="C15" s="74"/>
      <c r="D15" s="74"/>
      <c r="E15" s="74"/>
      <c r="F15" s="1"/>
      <c r="G15" s="1"/>
      <c r="H15" s="1"/>
      <c r="I15" s="72"/>
      <c r="J15" s="70" t="s">
        <v>258</v>
      </c>
      <c r="K15" s="71">
        <v>2226546</v>
      </c>
      <c r="L15" s="71">
        <v>2170424</v>
      </c>
      <c r="M15" s="71">
        <v>2154000</v>
      </c>
    </row>
    <row r="16" spans="2:13" ht="15" x14ac:dyDescent="0.25">
      <c r="F16" s="1"/>
      <c r="G16" s="1"/>
      <c r="H16" s="1"/>
      <c r="I16" s="72"/>
      <c r="J16" s="70" t="s">
        <v>260</v>
      </c>
      <c r="K16" s="71">
        <v>920966760</v>
      </c>
      <c r="L16" s="71">
        <v>905527816</v>
      </c>
      <c r="M16" s="71">
        <v>913646462</v>
      </c>
    </row>
    <row r="17" spans="2:23" ht="15" x14ac:dyDescent="0.25">
      <c r="B17" s="73" t="s">
        <v>268</v>
      </c>
      <c r="C17" s="73"/>
      <c r="D17" s="73"/>
      <c r="E17" s="73"/>
      <c r="F17" s="1"/>
      <c r="G17" s="1"/>
      <c r="H17" s="1"/>
      <c r="I17" s="1"/>
      <c r="J17" s="1"/>
      <c r="K17" s="10"/>
      <c r="L17" s="10"/>
      <c r="M17" s="10"/>
    </row>
    <row r="18" spans="2:23" ht="15" x14ac:dyDescent="0.25">
      <c r="B18" s="73"/>
      <c r="C18" s="73"/>
      <c r="D18" s="73"/>
      <c r="E18" s="73"/>
      <c r="F18" s="1"/>
      <c r="G18" s="1"/>
      <c r="H18" s="1"/>
      <c r="I18" s="1"/>
      <c r="J18" s="1"/>
      <c r="K18" s="1"/>
      <c r="L18" s="1"/>
      <c r="M18" s="1"/>
    </row>
    <row r="19" spans="2:23" ht="15" x14ac:dyDescent="0.25">
      <c r="B19" s="73" t="s">
        <v>255</v>
      </c>
      <c r="C19" s="143">
        <v>1043246265.44875</v>
      </c>
      <c r="D19" s="17">
        <v>1048367459.2495834</v>
      </c>
      <c r="E19" s="17">
        <v>1053600604.4820834</v>
      </c>
      <c r="F19" s="1"/>
      <c r="G19" s="1"/>
      <c r="H19" s="1"/>
      <c r="I19" s="1" t="s">
        <v>267</v>
      </c>
      <c r="J19" s="1"/>
      <c r="K19" s="142" t="str">
        <f>C4</f>
        <v>April</v>
      </c>
      <c r="L19" s="142" t="str">
        <f>D4</f>
        <v>May</v>
      </c>
      <c r="M19" s="142" t="str">
        <f>E4</f>
        <v>June</v>
      </c>
      <c r="P19" s="150"/>
      <c r="Q19" s="150"/>
      <c r="R19" s="150"/>
      <c r="U19" s="150"/>
      <c r="V19" s="150"/>
      <c r="W19" s="150"/>
    </row>
    <row r="20" spans="2:23" ht="15" x14ac:dyDescent="0.25">
      <c r="B20" s="73" t="s">
        <v>257</v>
      </c>
      <c r="C20" s="144">
        <v>-454275333.45583338</v>
      </c>
      <c r="D20" s="145">
        <v>-456366634.52583337</v>
      </c>
      <c r="E20" s="145">
        <v>-458458712.96833342</v>
      </c>
      <c r="F20" s="1"/>
      <c r="G20" s="1"/>
      <c r="H20" s="1"/>
      <c r="I20" s="1"/>
      <c r="J20" s="70" t="s">
        <v>253</v>
      </c>
      <c r="K20" s="71">
        <v>203170</v>
      </c>
      <c r="L20" s="71">
        <v>202875</v>
      </c>
      <c r="M20" s="71">
        <v>202861</v>
      </c>
      <c r="U20" s="150"/>
      <c r="V20" s="150"/>
      <c r="W20" s="150"/>
    </row>
    <row r="21" spans="2:23" ht="15" x14ac:dyDescent="0.25">
      <c r="B21" s="73" t="s">
        <v>259</v>
      </c>
      <c r="C21" s="28">
        <f>+C20+C19</f>
        <v>588970931.99291658</v>
      </c>
      <c r="D21" s="28">
        <f>+D20+D19</f>
        <v>592000824.72375</v>
      </c>
      <c r="E21" s="28">
        <f>+E20+E19</f>
        <v>595141891.51375008</v>
      </c>
      <c r="F21" s="1"/>
      <c r="G21" s="1"/>
      <c r="H21" s="1"/>
      <c r="I21" s="1"/>
      <c r="J21" s="70" t="s">
        <v>254</v>
      </c>
      <c r="K21" s="71">
        <v>27641</v>
      </c>
      <c r="L21" s="71">
        <v>27571</v>
      </c>
      <c r="M21" s="71">
        <v>27528</v>
      </c>
    </row>
    <row r="22" spans="2:23" ht="15" x14ac:dyDescent="0.25">
      <c r="B22" s="73" t="s">
        <v>261</v>
      </c>
      <c r="C22" s="146">
        <v>-537450.59624999994</v>
      </c>
      <c r="D22" s="17">
        <v>-243620.44499999992</v>
      </c>
      <c r="E22" s="17">
        <v>-91519.881249999904</v>
      </c>
      <c r="F22" s="1"/>
      <c r="G22" s="1"/>
      <c r="H22" s="1"/>
      <c r="I22" s="1"/>
      <c r="J22" s="70" t="s">
        <v>256</v>
      </c>
      <c r="K22" s="71">
        <v>517</v>
      </c>
      <c r="L22" s="71">
        <v>516</v>
      </c>
      <c r="M22" s="71">
        <v>516</v>
      </c>
    </row>
    <row r="23" spans="2:23" ht="15" x14ac:dyDescent="0.25">
      <c r="B23" s="73" t="s">
        <v>263</v>
      </c>
      <c r="C23" s="147">
        <v>-77742387.036249995</v>
      </c>
      <c r="D23" s="145">
        <v>-77736642.487083331</v>
      </c>
      <c r="E23" s="145">
        <v>-77697930.887916669</v>
      </c>
      <c r="F23" s="1"/>
      <c r="G23" s="1"/>
      <c r="H23" s="1"/>
      <c r="I23" s="1"/>
      <c r="J23" s="70" t="s">
        <v>258</v>
      </c>
      <c r="K23" s="71">
        <v>7</v>
      </c>
      <c r="L23" s="71">
        <v>7</v>
      </c>
      <c r="M23" s="71">
        <v>7</v>
      </c>
    </row>
    <row r="24" spans="2:23" ht="15" x14ac:dyDescent="0.25">
      <c r="B24" s="73" t="s">
        <v>264</v>
      </c>
      <c r="C24" s="28">
        <f>SUM(C21:C23)</f>
        <v>510691094.36041653</v>
      </c>
      <c r="D24" s="28">
        <f>SUM(D21:D23)</f>
        <v>514020561.79166663</v>
      </c>
      <c r="E24" s="28">
        <f>SUM(E21:E23)</f>
        <v>517352440.74458337</v>
      </c>
      <c r="F24" s="1"/>
      <c r="G24" s="1"/>
      <c r="H24" s="1"/>
      <c r="I24" s="1"/>
      <c r="J24" s="70" t="s">
        <v>260</v>
      </c>
      <c r="K24" s="71">
        <v>203</v>
      </c>
      <c r="L24" s="71">
        <v>202</v>
      </c>
      <c r="M24" s="71">
        <v>200</v>
      </c>
    </row>
    <row r="25" spans="2:23" ht="15" x14ac:dyDescent="0.25">
      <c r="B25" s="73" t="s">
        <v>265</v>
      </c>
      <c r="C25" s="145">
        <v>30890304.649999999</v>
      </c>
      <c r="D25" s="145">
        <v>31573794.640000001</v>
      </c>
      <c r="E25" s="145">
        <v>32257570.129999999</v>
      </c>
      <c r="F25" s="1"/>
      <c r="G25" s="1"/>
      <c r="H25" s="1"/>
      <c r="I25" s="1"/>
      <c r="J25" s="1"/>
      <c r="K25" s="75" t="s">
        <v>269</v>
      </c>
      <c r="L25" s="75" t="s">
        <v>269</v>
      </c>
      <c r="M25" s="75" t="s">
        <v>269</v>
      </c>
    </row>
    <row r="26" spans="2:23" ht="15.75" thickBot="1" x14ac:dyDescent="0.3">
      <c r="B26" s="148" t="s">
        <v>271</v>
      </c>
      <c r="C26" s="149">
        <f>+C25+C24</f>
        <v>541581399.01041651</v>
      </c>
      <c r="D26" s="151">
        <f>+D25+D24</f>
        <v>545594356.43166661</v>
      </c>
      <c r="E26" s="151">
        <f>+E25+E24</f>
        <v>549610010.87458336</v>
      </c>
      <c r="F26" s="1"/>
      <c r="G26" s="1"/>
      <c r="H26" s="1"/>
      <c r="I26" s="1"/>
      <c r="J26" s="70" t="s">
        <v>270</v>
      </c>
      <c r="K26" s="10">
        <f>SUM(K20:K24)</f>
        <v>231538</v>
      </c>
      <c r="L26" s="10">
        <f t="shared" ref="L26:M26" si="0">SUM(L20:L24)</f>
        <v>231171</v>
      </c>
      <c r="M26" s="10">
        <f t="shared" si="0"/>
        <v>231112</v>
      </c>
    </row>
    <row r="27" spans="2:23" ht="15.75" thickTop="1" x14ac:dyDescent="0.25">
      <c r="B27" s="67"/>
      <c r="C27" s="93"/>
      <c r="D27" s="94"/>
      <c r="E27" s="94"/>
      <c r="F27" s="1"/>
      <c r="G27" s="1"/>
      <c r="H27" s="1"/>
      <c r="I27" s="64"/>
      <c r="J27" s="67"/>
      <c r="K27" s="66"/>
      <c r="L27" s="66"/>
      <c r="M27" s="68"/>
    </row>
    <row r="28" spans="2:23" x14ac:dyDescent="0.2">
      <c r="K28" s="66"/>
      <c r="L28" s="66"/>
      <c r="M28" s="66"/>
    </row>
    <row r="29" spans="2:23" x14ac:dyDescent="0.2">
      <c r="I29" s="95"/>
      <c r="K29" s="66"/>
      <c r="L29" s="66"/>
      <c r="M29" s="66"/>
    </row>
    <row r="30" spans="2:23" x14ac:dyDescent="0.2">
      <c r="I30" s="58"/>
      <c r="K30" s="66"/>
      <c r="L30" s="66"/>
      <c r="M30" s="66"/>
    </row>
    <row r="31" spans="2:23" x14ac:dyDescent="0.2">
      <c r="K31" s="96"/>
      <c r="L31" s="96"/>
      <c r="M31" s="96"/>
    </row>
    <row r="32" spans="2:23" x14ac:dyDescent="0.2">
      <c r="I32" s="95"/>
    </row>
    <row r="33" spans="9:9" x14ac:dyDescent="0.2">
      <c r="I33" s="58"/>
    </row>
    <row r="35" spans="9:9" x14ac:dyDescent="0.2">
      <c r="I35" s="95"/>
    </row>
    <row r="36" spans="9:9" x14ac:dyDescent="0.2">
      <c r="I36" s="58"/>
    </row>
  </sheetData>
  <mergeCells count="2">
    <mergeCell ref="I1:M1"/>
    <mergeCell ref="B1:E1"/>
  </mergeCells>
  <phoneticPr fontId="35" type="noConversion"/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B9E6F79A3E124AB2EFEF8351D050AE" ma:contentTypeVersion="16" ma:contentTypeDescription="" ma:contentTypeScope="" ma:versionID="897e10e1c4fe88ccc709cd03a6e3aa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2023-08-15T07:00:00+00:00</OpenedDate>
    <SignificantOrder xmlns="dc463f71-b30c-4ab2-9473-d307f9d35888">false</SignificantOrder>
    <Date1 xmlns="dc463f71-b30c-4ab2-9473-d307f9d35888">2023-08-15T07:00:00+00:00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230663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CF92BD9-89D5-4EB4-8C1E-522F5A95F082}"/>
</file>

<file path=customXml/itemProps2.xml><?xml version="1.0" encoding="utf-8"?>
<ds:datastoreItem xmlns:ds="http://schemas.openxmlformats.org/officeDocument/2006/customXml" ds:itemID="{C66D0B3D-21C7-4F3C-8E04-DF07BBD915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2B2E10-7EDF-4F86-B7A2-5DB667D62A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86006A7-6828-4E65-8913-B683C59F4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Manager/>
  <Company>Cascade Natural Gas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Doyle, Andrew (UTC)</cp:lastModifiedBy>
  <cp:revision/>
  <cp:lastPrinted>2023-08-14T17:47:40Z</cp:lastPrinted>
  <dcterms:created xsi:type="dcterms:W3CDTF">2004-02-03T00:32:55Z</dcterms:created>
  <dcterms:modified xsi:type="dcterms:W3CDTF">2023-08-15T18:43:04Z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0x0101006E56B4D1795A2E4DB2F0B01679ED314A0036B9E6F79A3E124AB2EFEF8351D050AE</vt:lpwstr>
  </property>
  <property fmtid="{D5CDD505-2E9C-101B-9397-08002B2CF9AE}" pid="3" name="_docset_NoMedatataSyncRequired">
    <vt:lpwstr>False</vt:lpwstr>
  </property>
</Properties>
</file>