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40" windowWidth="18960" windowHeight="8450"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 name="RSA" sheetId="7" r:id="rId7"/>
    <sheet name="Recap" sheetId="8" r:id="rId8"/>
  </sheets>
  <externalReferences>
    <externalReference r:id="rId11"/>
    <externalReference r:id="rId12"/>
    <externalReference r:id="rId13"/>
  </externalReferences>
  <definedNames>
    <definedName name="_xlfn.IFERROR" hidden="1">#NAME?</definedName>
    <definedName name="_xlfn.SINGLE" hidden="1">#NAME?</definedName>
    <definedName name="color">#REF!</definedName>
    <definedName name="_xlnm.Print_Area" localSheetId="4">'Pricing'!$A$1:$L$19</definedName>
    <definedName name="_xlnm.Print_Area" localSheetId="5">'Single Family'!$A$7:$N$102</definedName>
    <definedName name="_xlnm.Print_Area" localSheetId="1">'WUTC_AW of Bellevue_SF'!$A$1:$I$66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Johnson, Carla:</t>
        </r>
        <r>
          <rPr>
            <sz val="9"/>
            <rFont val="Tahoma"/>
            <family val="2"/>
          </rPr>
          <t xml:space="preserve">
RSA Workbook/Single Family/4172 Tons column E</t>
        </r>
      </text>
    </comment>
  </commentList>
</comments>
</file>

<file path=xl/comments8.xml><?xml version="1.0" encoding="utf-8"?>
<comments xmlns="http://schemas.openxmlformats.org/spreadsheetml/2006/main">
  <authors>
    <author>Jody Reid</author>
    <author>Johnson, Carla</author>
    <author>Cramer, Diane</author>
  </authors>
  <commentList>
    <comment ref="L32" authorId="0">
      <text>
        <r>
          <rPr>
            <sz val="8"/>
            <rFont val="Tahoma"/>
            <family val="2"/>
          </rPr>
          <t xml:space="preserve">Customer Count Today x 12 months x Base Pass Back Rate
</t>
        </r>
      </text>
    </comment>
    <comment ref="J32"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J18"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4" authorId="0">
      <text>
        <r>
          <rPr>
            <sz val="8"/>
            <rFont val="Tahoma"/>
            <family val="2"/>
          </rPr>
          <t>TTM Commodity value per customer x # of Customers x 12 months</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List>
</comments>
</file>

<file path=xl/sharedStrings.xml><?xml version="1.0" encoding="utf-8"?>
<sst xmlns="http://schemas.openxmlformats.org/spreadsheetml/2006/main" count="326" uniqueCount="159">
  <si>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</si>
  <si>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</si>
  <si>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</si>
  <si>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</si>
  <si>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</si>
  <si>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</si>
  <si>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</si>
  <si>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</si>
  <si>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</si>
  <si>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</si>
  <si>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</si>
  <si>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</si>
  <si>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</si>
  <si>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</si>
  <si>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</si>
  <si>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</si>
  <si>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</si>
  <si>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</si>
  <si>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</si>
  <si>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</si>
  <si>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</si>
  <si>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</si>
  <si>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</si>
  <si>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</si>
  <si>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</si>
  <si>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</si>
  <si>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</si>
  <si>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</si>
  <si>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</si>
  <si>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</si>
  <si>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</si>
  <si>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</si>
  <si>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</si>
  <si>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</si>
  <si>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</si>
  <si>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</si>
  <si>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</si>
  <si>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</si>
  <si>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</si>
  <si>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</si>
  <si>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</si>
  <si>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</si>
  <si>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</si>
  <si>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</si>
  <si>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</si>
  <si>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</si>
  <si>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</si>
  <si>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</si>
  <si>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</si>
  <si>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</si>
  <si>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</si>
  <si>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</si>
  <si>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</si>
  <si>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</si>
  <si>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</si>
  <si>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</si>
  <si>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</si>
  <si>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</si>
  <si>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</si>
  <si>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</si>
  <si>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</si>
  <si>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</si>
  <si>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</si>
  <si>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</si>
  <si>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</si>
  <si>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</si>
  <si>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</si>
  <si>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</si>
  <si>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</si>
  <si>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</si>
  <si>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</si>
  <si>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</si>
  <si>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</si>
  <si>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</si>
  <si>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</si>
  <si>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</si>
  <si>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</si>
  <si>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 of Revenue Passed Back</t>
  </si>
  <si>
    <t>% Passed Back</t>
  </si>
  <si>
    <t>Check and change values</t>
  </si>
  <si>
    <t>Rabanco Ltd (dba Republic Services)</t>
  </si>
  <si>
    <t xml:space="preserve"> True-up Computation</t>
  </si>
  <si>
    <t xml:space="preserve"> Projected Credit</t>
  </si>
  <si>
    <t>Material Shrinkage</t>
  </si>
  <si>
    <t>Shrinkage</t>
  </si>
  <si>
    <t>Metal</t>
  </si>
  <si>
    <t>Excess Commodity Value</t>
  </si>
  <si>
    <t>Total twelve months</t>
  </si>
  <si>
    <t xml:space="preserve">12 month running average "BASE CREDIT" </t>
  </si>
  <si>
    <t>Allocation to Divisions:</t>
  </si>
  <si>
    <t>SF portion</t>
  </si>
  <si>
    <t>MF portion</t>
  </si>
  <si>
    <t>RSA Rev breakdown:</t>
  </si>
  <si>
    <t>SF $</t>
  </si>
  <si>
    <t>MF $</t>
  </si>
  <si>
    <t>SF %</t>
  </si>
  <si>
    <t>MF %</t>
  </si>
  <si>
    <t>Bellevue</t>
  </si>
  <si>
    <t>Kent</t>
  </si>
  <si>
    <t>SeaTac</t>
  </si>
  <si>
    <t>Underspent RSA per King County report</t>
  </si>
  <si>
    <t>Bellevue SF RSA Unspent</t>
  </si>
  <si>
    <t>Credit per customer</t>
  </si>
  <si>
    <t>Commodity Value versus Credits</t>
  </si>
  <si>
    <t>Unspent RSA dollars</t>
  </si>
  <si>
    <t>Commodity Value Timeframe:  May - April</t>
  </si>
  <si>
    <t>Current Month</t>
  </si>
  <si>
    <t>Plan Spend</t>
  </si>
  <si>
    <t>Invoices</t>
  </si>
  <si>
    <t>Monthly Reporting</t>
  </si>
  <si>
    <t>Labor</t>
  </si>
  <si>
    <t>5% Incentive</t>
  </si>
  <si>
    <t>Plan Value</t>
  </si>
  <si>
    <t>Actual Available Spend</t>
  </si>
  <si>
    <t>Division Spend</t>
  </si>
  <si>
    <t>Forecasted Yr 1</t>
  </si>
  <si>
    <t>Commodity Value</t>
  </si>
  <si>
    <t>Avg Tons / month</t>
  </si>
  <si>
    <t># months forecast</t>
  </si>
  <si>
    <t>Forecasted Yr2 Value</t>
  </si>
  <si>
    <t>Rollover Amount from Yr 1</t>
  </si>
  <si>
    <t>50% RSA Retained</t>
  </si>
  <si>
    <t>50% Passed to Customers</t>
  </si>
  <si>
    <t xml:space="preserve">172 Eastside Single-Family Value </t>
  </si>
  <si>
    <t xml:space="preserve">Eastside Multi-Family Value </t>
  </si>
  <si>
    <t xml:space="preserve">176 Kent-Meridian Single-Family Value </t>
  </si>
  <si>
    <t xml:space="preserve">Kent-Meridian Multi-Family Value </t>
  </si>
  <si>
    <t xml:space="preserve">183 SeaTac Single-Family Value </t>
  </si>
  <si>
    <t xml:space="preserve">SeaTac Multi-Family Value </t>
  </si>
  <si>
    <t>Total Revenue Retained</t>
  </si>
  <si>
    <t>Year 1</t>
  </si>
  <si>
    <t>Year 2</t>
  </si>
  <si>
    <t>Per RSA File</t>
  </si>
  <si>
    <t>Per UTC Filing</t>
  </si>
  <si>
    <t>Commodity Revenue</t>
  </si>
  <si>
    <t>Variance</t>
  </si>
  <si>
    <t>NOTE FOR 2022 Filing.</t>
  </si>
  <si>
    <t xml:space="preserve">Need to break apart the months to match the dates </t>
  </si>
  <si>
    <t>that the credit changes (May to July and then Aug</t>
  </si>
  <si>
    <t>to April)</t>
  </si>
  <si>
    <t>Prior three months</t>
  </si>
  <si>
    <t>Current nine months</t>
  </si>
  <si>
    <t>2021 - 2023</t>
  </si>
  <si>
    <t>2021-2022</t>
  </si>
  <si>
    <t>2022-2023</t>
  </si>
  <si>
    <t>King County RSA Plan Year 2021-2023</t>
  </si>
  <si>
    <t>2022-2021</t>
  </si>
  <si>
    <t>Forecasted Yr 1 Value</t>
  </si>
  <si>
    <t>Forecasted Yr 1 Spend</t>
  </si>
  <si>
    <t>Total Passback at end of 2 year plan year 2023</t>
  </si>
  <si>
    <t>2021/2022 Monthly True-up Amount</t>
  </si>
  <si>
    <t>8/1/22 - 7/31/23 Adjusted Credit</t>
  </si>
  <si>
    <t>Forecast Yr 2 Total</t>
  </si>
  <si>
    <t>To Date Yr2 Spend</t>
  </si>
  <si>
    <t>Forecasted Rollover Amount to Yr 2</t>
  </si>
  <si>
    <t>Actual Yr 1 Spend</t>
  </si>
  <si>
    <t>Rollover Amount to Yr 2</t>
  </si>
  <si>
    <t>Forecasted Available</t>
  </si>
  <si>
    <t>See RSA Tab</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</si>
</sst>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quot;$&quot;#,##0.00"/>
    <numFmt numFmtId="183" formatCode="_(&quot;$&quot;* #,##0.000_);_(&quot;$&quot;* \(#,##0.000\);_(&quot;$&quot;* &quot;-&quot;??_);_(@_)"/>
    <numFmt numFmtId="184" formatCode="_(&quot;$&quot;* #,##0.0000_);_(&quot;$&quot;* \(#,##0.0000\);_(&quot;$&quot;* &quot;-&quot;??_);_(@_)"/>
    <numFmt numFmtId="185" formatCode="[$-409]mmm\-yy;@"/>
    <numFmt numFmtId="186" formatCode="0.000000"/>
    <numFmt numFmtId="187" formatCode="0.00000"/>
    <numFmt numFmtId="188" formatCode="0.0000"/>
    <numFmt numFmtId="189" formatCode="0.000"/>
    <numFmt numFmtId="190" formatCode="#,##0.000_);\(#,##0.000\)"/>
    <numFmt numFmtId="191" formatCode="_(&quot;$&quot;* #,##0.00000_);_(&quot;$&quot;* \(#,##0.00000\);_(&quot;$&quot;* &quot;-&quot;??_);_(@_)"/>
  </numFmts>
  <fonts count="67">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indexed="12"/>
      <name val="Calibri"/>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
      <sz val="11"/>
      <color rgb="FF0000FF"/>
      <name val="Calibri"/>
      <family val="2"/>
    </font>
    <font>
      <sz val="11"/>
      <color theme="1" tint="0.34999001026153564"/>
      <name val="Calibri"/>
      <family val="2"/>
    </font>
    <font>
      <sz val="10"/>
      <color theme="1" tint="0.3499900102615356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right style="hair"/>
      <top style="thin"/>
      <bottom style="hair"/>
    </border>
    <border>
      <left style="thin"/>
      <right style="hair"/>
      <top style="thin"/>
      <bottom style="thin"/>
    </border>
    <border>
      <left style="hair"/>
      <right style="thin"/>
      <top style="thin"/>
      <bottom style="thin"/>
    </border>
    <border>
      <left style="thin"/>
      <right/>
      <top style="thin"/>
      <bottom/>
    </border>
    <border>
      <left/>
      <right style="thin"/>
      <top style="thin"/>
      <bottom/>
    </border>
    <border>
      <left style="thin"/>
      <right>
        <color indexed="63"/>
      </right>
      <top style="thin"/>
      <bottom style="thin"/>
    </border>
    <border>
      <left style="thin"/>
      <right style="hair"/>
      <top style="thin"/>
      <bottom style="hair"/>
    </border>
    <border>
      <left style="thin"/>
      <right style="medium"/>
      <top style="thin"/>
      <bottom style="thin"/>
    </border>
    <border>
      <left style="hair"/>
      <right style="thin"/>
      <top style="hair"/>
      <bottom style="hair"/>
    </border>
    <border>
      <left style="thin"/>
      <right/>
      <top/>
      <bottom/>
    </border>
    <border>
      <left>
        <color indexed="63"/>
      </left>
      <right style="thin"/>
      <top style="thin"/>
      <bottom style="thin"/>
    </border>
    <border>
      <left/>
      <right/>
      <top/>
      <bottom style="medium"/>
    </border>
    <border>
      <left/>
      <right/>
      <top style="thin"/>
      <bottom style="medium"/>
    </border>
    <border>
      <left/>
      <right/>
      <top style="thin"/>
      <bottom style="hair"/>
    </border>
    <border>
      <left style="thin"/>
      <right style="thin"/>
      <top style="thin"/>
      <bottom style="hair"/>
    </border>
    <border>
      <left style="thin"/>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right style="hair"/>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4">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7"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7" fontId="9" fillId="0" borderId="0" xfId="62" applyNumberFormat="1" applyFont="1">
      <alignment/>
      <protection/>
    </xf>
    <xf numFmtId="167" fontId="7" fillId="0" borderId="0" xfId="62" applyNumberFormat="1" applyFont="1">
      <alignment/>
      <protection/>
    </xf>
    <xf numFmtId="169" fontId="7" fillId="0" borderId="0" xfId="62" applyNumberFormat="1" applyFont="1" applyAlignment="1">
      <alignment horizontal="right"/>
      <protection/>
    </xf>
    <xf numFmtId="167" fontId="7" fillId="0" borderId="0" xfId="62" applyNumberFormat="1" applyFont="1" applyFill="1" applyAlignment="1">
      <alignment horizontal="center"/>
      <protection/>
    </xf>
    <xf numFmtId="41" fontId="12" fillId="0" borderId="0" xfId="62" applyNumberFormat="1" applyFont="1">
      <alignment/>
      <protection/>
    </xf>
    <xf numFmtId="41" fontId="13" fillId="0" borderId="0" xfId="62" applyNumberFormat="1" applyFont="1" applyAlignment="1">
      <alignment horizontal="left"/>
      <protection/>
    </xf>
    <xf numFmtId="41" fontId="7" fillId="0" borderId="10" xfId="62" applyNumberFormat="1" applyFont="1" applyBorder="1">
      <alignment/>
      <protection/>
    </xf>
    <xf numFmtId="167" fontId="7" fillId="0" borderId="10" xfId="62" applyNumberFormat="1" applyFont="1" applyBorder="1">
      <alignment/>
      <protection/>
    </xf>
    <xf numFmtId="168" fontId="7" fillId="0" borderId="0" xfId="62" applyNumberFormat="1" applyFont="1">
      <alignment/>
      <protection/>
    </xf>
    <xf numFmtId="17" fontId="7" fillId="0" borderId="0" xfId="62" applyNumberFormat="1" applyFont="1" applyAlignment="1">
      <alignment horizontal="right"/>
      <protection/>
    </xf>
    <xf numFmtId="167" fontId="6" fillId="0" borderId="0" xfId="62" applyNumberFormat="1">
      <alignment/>
      <protection/>
    </xf>
    <xf numFmtId="169" fontId="7" fillId="0" borderId="0" xfId="62" applyNumberFormat="1" applyFont="1">
      <alignment/>
      <protection/>
    </xf>
    <xf numFmtId="41" fontId="7" fillId="0" borderId="11" xfId="62" applyNumberFormat="1" applyFont="1" applyBorder="1">
      <alignment/>
      <protection/>
    </xf>
    <xf numFmtId="167"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8"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41" fontId="7" fillId="0" borderId="14" xfId="62" applyNumberFormat="1" applyFont="1" applyBorder="1">
      <alignment/>
      <protection/>
    </xf>
    <xf numFmtId="41" fontId="7" fillId="0" borderId="15" xfId="62" applyNumberFormat="1" applyFont="1" applyBorder="1">
      <alignment/>
      <protection/>
    </xf>
    <xf numFmtId="168" fontId="7" fillId="0" borderId="11" xfId="62" applyNumberFormat="1" applyFont="1" applyBorder="1">
      <alignment/>
      <protection/>
    </xf>
    <xf numFmtId="168" fontId="7" fillId="0" borderId="15" xfId="62" applyNumberFormat="1" applyFont="1" applyBorder="1">
      <alignment/>
      <protection/>
    </xf>
    <xf numFmtId="167" fontId="7" fillId="0" borderId="0" xfId="62" applyNumberFormat="1" applyFont="1" applyFill="1" applyBorder="1">
      <alignment/>
      <protection/>
    </xf>
    <xf numFmtId="167" fontId="14" fillId="0" borderId="0" xfId="62" applyNumberFormat="1" applyFont="1" applyFill="1" applyBorder="1" applyAlignment="1">
      <alignment horizontal="centerContinuous"/>
      <protection/>
    </xf>
    <xf numFmtId="167" fontId="7" fillId="0" borderId="0" xfId="62" applyNumberFormat="1" applyFont="1" applyFill="1" applyBorder="1" applyAlignment="1">
      <alignment horizontal="centerContinuous"/>
      <protection/>
    </xf>
    <xf numFmtId="167" fontId="7" fillId="0" borderId="0" xfId="62" applyNumberFormat="1" applyFont="1" applyAlignment="1">
      <alignment horizontal="centerContinuous"/>
      <protection/>
    </xf>
    <xf numFmtId="169" fontId="7" fillId="0" borderId="0" xfId="62" applyNumberFormat="1" applyFont="1" applyFill="1" applyBorder="1" applyAlignment="1">
      <alignment horizontal="right"/>
      <protection/>
    </xf>
    <xf numFmtId="41" fontId="12" fillId="0" borderId="0" xfId="62" applyNumberFormat="1" applyFont="1" applyFill="1" applyBorder="1" applyAlignment="1">
      <alignment horizontal="center"/>
      <protection/>
    </xf>
    <xf numFmtId="167" fontId="7" fillId="0" borderId="0" xfId="62" applyNumberFormat="1" applyFont="1" applyFill="1" applyBorder="1" applyAlignment="1">
      <alignment horizontal="center"/>
      <protection/>
    </xf>
    <xf numFmtId="41" fontId="13" fillId="0" borderId="0" xfId="62" applyNumberFormat="1" applyFont="1" applyFill="1" applyBorder="1" applyAlignment="1">
      <alignment horizontal="left"/>
      <protection/>
    </xf>
    <xf numFmtId="41" fontId="7" fillId="0" borderId="0" xfId="62" applyNumberFormat="1" applyFont="1" applyFill="1" applyBorder="1">
      <alignment/>
      <protection/>
    </xf>
    <xf numFmtId="41" fontId="12" fillId="0" borderId="0" xfId="62" applyNumberFormat="1" applyFont="1" applyFill="1" applyBorder="1">
      <alignment/>
      <protection/>
    </xf>
    <xf numFmtId="1" fontId="7" fillId="0" borderId="0" xfId="62" applyNumberFormat="1" applyFont="1" applyFill="1" applyBorder="1">
      <alignment/>
      <protection/>
    </xf>
    <xf numFmtId="0" fontId="6" fillId="0" borderId="0" xfId="62" applyFill="1" applyBorder="1">
      <alignment/>
      <protection/>
    </xf>
    <xf numFmtId="167" fontId="6" fillId="0" borderId="0" xfId="62" applyNumberFormat="1" applyFill="1" applyBorder="1">
      <alignment/>
      <protection/>
    </xf>
    <xf numFmtId="169" fontId="7" fillId="0" borderId="0" xfId="62" applyNumberFormat="1" applyFont="1" applyFill="1" applyBorder="1">
      <alignment/>
      <protection/>
    </xf>
    <xf numFmtId="168" fontId="7" fillId="0" borderId="0" xfId="62" applyNumberFormat="1" applyFont="1" applyFill="1" applyBorder="1">
      <alignment/>
      <protection/>
    </xf>
    <xf numFmtId="167" fontId="7" fillId="0" borderId="13" xfId="62" applyNumberFormat="1" applyFont="1" applyBorder="1">
      <alignment/>
      <protection/>
    </xf>
    <xf numFmtId="167" fontId="7" fillId="0" borderId="15"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62" applyNumberFormat="1" applyFont="1" applyAlignment="1">
      <alignment horizontal="right"/>
      <protection/>
    </xf>
    <xf numFmtId="169" fontId="7" fillId="0" borderId="0" xfId="62" applyNumberFormat="1" applyFont="1" applyAlignment="1">
      <alignment horizontal="right" wrapText="1"/>
      <protection/>
    </xf>
    <xf numFmtId="17" fontId="7" fillId="0" borderId="0" xfId="62" applyNumberFormat="1" applyFont="1" applyFill="1" applyBorder="1" applyAlignment="1">
      <alignment horizontal="right"/>
      <protection/>
    </xf>
    <xf numFmtId="169" fontId="7" fillId="0" borderId="0" xfId="62"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62" applyNumberFormat="1" applyFont="1" applyBorder="1">
      <alignment/>
      <protection/>
    </xf>
    <xf numFmtId="167" fontId="7" fillId="0" borderId="0" xfId="62" applyNumberFormat="1" applyFont="1" applyAlignment="1">
      <alignment horizontal="center"/>
      <protection/>
    </xf>
    <xf numFmtId="167" fontId="12" fillId="0" borderId="0" xfId="62" applyNumberFormat="1" applyFont="1" applyFill="1" applyAlignment="1">
      <alignment horizontal="center"/>
      <protection/>
    </xf>
    <xf numFmtId="169"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1" fontId="7" fillId="0" borderId="0" xfId="62" applyNumberFormat="1" applyFont="1" applyBorder="1">
      <alignment/>
      <protection/>
    </xf>
    <xf numFmtId="0" fontId="6" fillId="0" borderId="0" xfId="62" applyBorder="1">
      <alignment/>
      <protection/>
    </xf>
    <xf numFmtId="167" fontId="6" fillId="0" borderId="0" xfId="62" applyNumberFormat="1" applyBorder="1">
      <alignment/>
      <protection/>
    </xf>
    <xf numFmtId="169" fontId="7" fillId="0" borderId="0" xfId="62" applyNumberFormat="1" applyFont="1" applyBorder="1">
      <alignment/>
      <protection/>
    </xf>
    <xf numFmtId="168" fontId="7" fillId="0" borderId="0" xfId="62" applyNumberFormat="1" applyFont="1" applyBorder="1">
      <alignment/>
      <protection/>
    </xf>
    <xf numFmtId="10" fontId="7" fillId="34" borderId="0" xfId="0" applyNumberFormat="1" applyFont="1" applyFill="1" applyAlignment="1">
      <alignment/>
    </xf>
    <xf numFmtId="10" fontId="7" fillId="34" borderId="0" xfId="65"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69" fontId="7" fillId="0" borderId="0" xfId="62"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62" applyNumberFormat="1" applyFont="1" applyAlignment="1">
      <alignment horizontal="right"/>
      <protection/>
    </xf>
    <xf numFmtId="165" fontId="1" fillId="0" borderId="0" xfId="65" applyNumberFormat="1" applyFont="1" applyAlignment="1">
      <alignment/>
    </xf>
    <xf numFmtId="0" fontId="17" fillId="0" borderId="16" xfId="62" applyFont="1" applyBorder="1" applyAlignment="1">
      <alignment horizontal="center"/>
      <protection/>
    </xf>
    <xf numFmtId="0" fontId="7" fillId="0" borderId="0" xfId="62" applyFont="1" applyBorder="1">
      <alignment/>
      <protection/>
    </xf>
    <xf numFmtId="167" fontId="17" fillId="0" borderId="17" xfId="62" applyNumberFormat="1" applyFont="1" applyBorder="1" applyAlignment="1">
      <alignment horizontal="center"/>
      <protection/>
    </xf>
    <xf numFmtId="167" fontId="18" fillId="0" borderId="17" xfId="62" applyNumberFormat="1" applyFont="1" applyFill="1" applyBorder="1" applyAlignment="1">
      <alignment horizontal="center"/>
      <protection/>
    </xf>
    <xf numFmtId="165" fontId="7" fillId="0" borderId="0" xfId="65" applyNumberFormat="1" applyFont="1" applyAlignment="1">
      <alignment/>
    </xf>
    <xf numFmtId="167" fontId="7" fillId="35" borderId="0" xfId="62" applyNumberFormat="1" applyFont="1" applyFill="1">
      <alignment/>
      <protection/>
    </xf>
    <xf numFmtId="9" fontId="7" fillId="35" borderId="18" xfId="65" applyFont="1" applyFill="1" applyBorder="1" applyAlignment="1">
      <alignment/>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0" borderId="0" xfId="44" applyNumberFormat="1" applyFont="1" applyAlignment="1">
      <alignment/>
    </xf>
    <xf numFmtId="7" fontId="0" fillId="0" borderId="0" xfId="46" applyNumberFormat="1" applyBorder="1" applyAlignment="1">
      <alignment/>
    </xf>
    <xf numFmtId="44" fontId="7" fillId="34" borderId="18" xfId="44" applyNumberFormat="1" applyFont="1" applyFill="1" applyBorder="1" applyAlignment="1">
      <alignment/>
    </xf>
    <xf numFmtId="44" fontId="7" fillId="34" borderId="18" xfId="44" applyNumberFormat="1" applyFont="1" applyFill="1" applyBorder="1" applyAlignment="1">
      <alignment horizontal="center"/>
    </xf>
    <xf numFmtId="44" fontId="61" fillId="34" borderId="18" xfId="44" applyNumberFormat="1" applyFont="1" applyFill="1" applyBorder="1" applyAlignment="1">
      <alignment/>
    </xf>
    <xf numFmtId="44" fontId="61" fillId="34" borderId="18" xfId="44" applyNumberFormat="1" applyFont="1" applyFill="1" applyBorder="1" applyAlignment="1">
      <alignment horizontal="center"/>
    </xf>
    <xf numFmtId="165" fontId="62" fillId="36" borderId="19" xfId="65" applyNumberFormat="1" applyFont="1" applyFill="1" applyBorder="1" applyAlignment="1">
      <alignment horizontal="center"/>
    </xf>
    <xf numFmtId="41" fontId="63" fillId="36" borderId="19" xfId="62" applyNumberFormat="1" applyFont="1" applyFill="1" applyBorder="1" applyAlignment="1">
      <alignment horizontal="center"/>
      <protection/>
    </xf>
    <xf numFmtId="41" fontId="63" fillId="36" borderId="19" xfId="62" applyNumberFormat="1" applyFont="1" applyFill="1" applyBorder="1">
      <alignment/>
      <protection/>
    </xf>
    <xf numFmtId="168" fontId="63" fillId="36" borderId="19" xfId="62" applyNumberFormat="1" applyFont="1" applyFill="1" applyBorder="1">
      <alignment/>
      <protection/>
    </xf>
    <xf numFmtId="165" fontId="7" fillId="0" borderId="0" xfId="65" applyNumberFormat="1" applyFont="1" applyBorder="1" applyAlignment="1">
      <alignment/>
    </xf>
    <xf numFmtId="44" fontId="7" fillId="0" borderId="0" xfId="0" applyNumberFormat="1" applyFont="1" applyBorder="1" applyAlignment="1">
      <alignment/>
    </xf>
    <xf numFmtId="43" fontId="7" fillId="0" borderId="0" xfId="0" applyNumberFormat="1" applyFont="1" applyBorder="1" applyAlignment="1">
      <alignment/>
    </xf>
    <xf numFmtId="182" fontId="0" fillId="0" borderId="0" xfId="0" applyNumberFormat="1" applyAlignment="1">
      <alignment/>
    </xf>
    <xf numFmtId="10" fontId="0" fillId="0" borderId="0" xfId="0" applyNumberFormat="1" applyAlignment="1">
      <alignment/>
    </xf>
    <xf numFmtId="0" fontId="0" fillId="0" borderId="0" xfId="0" applyFont="1" applyAlignment="1">
      <alignment/>
    </xf>
    <xf numFmtId="0" fontId="1" fillId="0" borderId="20" xfId="0" applyFont="1" applyBorder="1" applyAlignment="1">
      <alignment/>
    </xf>
    <xf numFmtId="0" fontId="1" fillId="0" borderId="21" xfId="0" applyFont="1" applyBorder="1" applyAlignment="1">
      <alignment/>
    </xf>
    <xf numFmtId="182" fontId="1" fillId="0" borderId="22" xfId="0" applyNumberFormat="1" applyFont="1" applyBorder="1" applyAlignment="1">
      <alignment/>
    </xf>
    <xf numFmtId="0" fontId="1" fillId="0" borderId="0" xfId="0" applyFont="1" applyAlignment="1">
      <alignment/>
    </xf>
    <xf numFmtId="182" fontId="0" fillId="0" borderId="18" xfId="0" applyNumberFormat="1" applyBorder="1" applyAlignment="1">
      <alignment/>
    </xf>
    <xf numFmtId="182" fontId="0" fillId="32" borderId="18" xfId="0" applyNumberFormat="1" applyFill="1" applyBorder="1" applyAlignment="1">
      <alignment/>
    </xf>
    <xf numFmtId="41" fontId="0" fillId="0" borderId="0" xfId="0" applyNumberFormat="1" applyAlignment="1">
      <alignment/>
    </xf>
    <xf numFmtId="39" fontId="7" fillId="37" borderId="11" xfId="62" applyNumberFormat="1" applyFont="1" applyFill="1" applyBorder="1">
      <alignment/>
      <protection/>
    </xf>
    <xf numFmtId="44" fontId="0" fillId="0" borderId="0" xfId="44" applyFont="1" applyAlignment="1">
      <alignment/>
    </xf>
    <xf numFmtId="182" fontId="1" fillId="0" borderId="0" xfId="0" applyNumberFormat="1" applyFont="1" applyBorder="1" applyAlignment="1">
      <alignment/>
    </xf>
    <xf numFmtId="44" fontId="0" fillId="0" borderId="0" xfId="0" applyNumberFormat="1" applyAlignment="1">
      <alignment/>
    </xf>
    <xf numFmtId="172" fontId="62" fillId="0" borderId="0" xfId="46" applyNumberFormat="1" applyFont="1" applyFill="1" applyBorder="1" applyAlignment="1">
      <alignment/>
    </xf>
    <xf numFmtId="0" fontId="0" fillId="0" borderId="0" xfId="0" applyAlignment="1">
      <alignment wrapText="1"/>
    </xf>
    <xf numFmtId="185" fontId="62" fillId="36" borderId="23" xfId="46" applyNumberFormat="1" applyFont="1" applyFill="1" applyBorder="1" applyAlignment="1">
      <alignment/>
    </xf>
    <xf numFmtId="185" fontId="64" fillId="36" borderId="19" xfId="0" applyNumberFormat="1" applyFont="1" applyFill="1" applyBorder="1" applyAlignment="1">
      <alignment/>
    </xf>
    <xf numFmtId="0" fontId="62" fillId="38" borderId="24" xfId="59" applyFont="1" applyFill="1" applyBorder="1" applyAlignment="1">
      <alignment horizontal="center"/>
      <protection/>
    </xf>
    <xf numFmtId="0" fontId="62" fillId="0" borderId="0" xfId="59" applyFont="1" applyAlignment="1">
      <alignment horizontal="center"/>
      <protection/>
    </xf>
    <xf numFmtId="172" fontId="62" fillId="0" borderId="18" xfId="46" applyNumberFormat="1" applyFont="1" applyFill="1" applyBorder="1" applyAlignment="1">
      <alignment/>
    </xf>
    <xf numFmtId="0" fontId="0" fillId="0" borderId="0" xfId="0" applyAlignment="1">
      <alignment horizontal="center" wrapText="1"/>
    </xf>
    <xf numFmtId="0" fontId="62" fillId="38" borderId="0" xfId="59" applyFont="1" applyFill="1" applyAlignment="1">
      <alignment horizontal="center"/>
      <protection/>
    </xf>
    <xf numFmtId="172" fontId="0" fillId="0" borderId="0" xfId="0" applyNumberFormat="1" applyAlignment="1">
      <alignment/>
    </xf>
    <xf numFmtId="0" fontId="0" fillId="38" borderId="18" xfId="0" applyFill="1" applyBorder="1" applyAlignment="1">
      <alignment/>
    </xf>
    <xf numFmtId="0" fontId="65" fillId="0" borderId="0" xfId="0" applyFont="1" applyAlignment="1">
      <alignment/>
    </xf>
    <xf numFmtId="0" fontId="66" fillId="2" borderId="25" xfId="59" applyFont="1" applyFill="1" applyBorder="1" applyAlignment="1">
      <alignment horizontal="center"/>
      <protection/>
    </xf>
    <xf numFmtId="0" fontId="66" fillId="2" borderId="24" xfId="59" applyFont="1" applyFill="1" applyBorder="1" applyAlignment="1">
      <alignment horizontal="center"/>
      <protection/>
    </xf>
    <xf numFmtId="0" fontId="66" fillId="2" borderId="26" xfId="59" applyFont="1" applyFill="1" applyBorder="1" applyAlignment="1">
      <alignment horizontal="center"/>
      <protection/>
    </xf>
    <xf numFmtId="172" fontId="66" fillId="2" borderId="18" xfId="46" applyNumberFormat="1" applyFont="1" applyFill="1" applyBorder="1" applyAlignment="1">
      <alignment/>
    </xf>
    <xf numFmtId="0" fontId="62" fillId="38" borderId="27" xfId="59" applyFont="1" applyFill="1" applyBorder="1">
      <alignment/>
      <protection/>
    </xf>
    <xf numFmtId="0" fontId="62" fillId="38" borderId="28" xfId="59" applyFont="1" applyFill="1" applyBorder="1">
      <alignment/>
      <protection/>
    </xf>
    <xf numFmtId="0" fontId="62" fillId="0" borderId="0" xfId="59" applyFont="1">
      <alignment/>
      <protection/>
    </xf>
    <xf numFmtId="0" fontId="62" fillId="38" borderId="18" xfId="59" applyFont="1" applyFill="1" applyBorder="1">
      <alignment/>
      <protection/>
    </xf>
    <xf numFmtId="0" fontId="62" fillId="38" borderId="18" xfId="59" applyFont="1" applyFill="1" applyBorder="1" applyAlignment="1">
      <alignment wrapText="1"/>
      <protection/>
    </xf>
    <xf numFmtId="0" fontId="62" fillId="38" borderId="29" xfId="59" applyFont="1" applyFill="1" applyBorder="1" applyAlignment="1">
      <alignment horizontal="center"/>
      <protection/>
    </xf>
    <xf numFmtId="0" fontId="62" fillId="38" borderId="30" xfId="59" applyFont="1" applyFill="1" applyBorder="1" applyAlignment="1">
      <alignment horizontal="center"/>
      <protection/>
    </xf>
    <xf numFmtId="164" fontId="62" fillId="0" borderId="18" xfId="42" applyNumberFormat="1" applyFont="1" applyFill="1" applyBorder="1" applyAlignment="1">
      <alignment/>
    </xf>
    <xf numFmtId="164" fontId="62" fillId="0" borderId="31" xfId="42" applyNumberFormat="1" applyFont="1" applyFill="1" applyBorder="1" applyAlignment="1">
      <alignment wrapText="1"/>
    </xf>
    <xf numFmtId="0" fontId="64" fillId="36" borderId="32" xfId="0" applyFont="1" applyFill="1" applyBorder="1" applyAlignment="1">
      <alignment/>
    </xf>
    <xf numFmtId="0" fontId="64" fillId="36" borderId="18" xfId="0" applyFont="1" applyFill="1" applyBorder="1" applyAlignment="1">
      <alignment wrapText="1"/>
    </xf>
    <xf numFmtId="0" fontId="62" fillId="38" borderId="25" xfId="59" applyFont="1" applyFill="1" applyBorder="1" applyAlignment="1">
      <alignment horizontal="center"/>
      <protection/>
    </xf>
    <xf numFmtId="0" fontId="62" fillId="38" borderId="33" xfId="59" applyFont="1" applyFill="1" applyBorder="1" applyAlignment="1">
      <alignment horizontal="center"/>
      <protection/>
    </xf>
    <xf numFmtId="0" fontId="64" fillId="38" borderId="17" xfId="59" applyFont="1" applyFill="1" applyBorder="1" applyAlignment="1">
      <alignment horizontal="center"/>
      <protection/>
    </xf>
    <xf numFmtId="172" fontId="44" fillId="0" borderId="0" xfId="0" applyNumberFormat="1" applyFont="1" applyAlignment="1">
      <alignment wrapText="1"/>
    </xf>
    <xf numFmtId="0" fontId="64" fillId="38" borderId="0" xfId="59" applyFont="1" applyFill="1" applyAlignment="1">
      <alignment horizontal="center"/>
      <protection/>
    </xf>
    <xf numFmtId="0" fontId="21" fillId="39" borderId="29" xfId="61" applyFont="1" applyFill="1" applyBorder="1">
      <alignment/>
      <protection/>
    </xf>
    <xf numFmtId="172" fontId="0" fillId="39" borderId="10" xfId="61" applyNumberFormat="1" applyFont="1" applyFill="1" applyBorder="1">
      <alignment/>
      <protection/>
    </xf>
    <xf numFmtId="0" fontId="0" fillId="39" borderId="10" xfId="61" applyFont="1" applyFill="1" applyBorder="1">
      <alignment/>
      <protection/>
    </xf>
    <xf numFmtId="172" fontId="0" fillId="39" borderId="34" xfId="47" applyNumberFormat="1" applyFont="1" applyFill="1" applyBorder="1" applyAlignment="1">
      <alignment/>
    </xf>
    <xf numFmtId="0" fontId="0" fillId="0" borderId="0" xfId="61" applyFont="1">
      <alignment/>
      <protection/>
    </xf>
    <xf numFmtId="172" fontId="0" fillId="0" borderId="0" xfId="61" applyNumberFormat="1" applyFont="1">
      <alignment/>
      <protection/>
    </xf>
    <xf numFmtId="0" fontId="0" fillId="0" borderId="0" xfId="61" applyFont="1">
      <alignment/>
      <protection/>
    </xf>
    <xf numFmtId="172" fontId="0" fillId="0" borderId="0" xfId="47" applyNumberFormat="1" applyFont="1" applyAlignment="1">
      <alignment/>
    </xf>
    <xf numFmtId="172" fontId="0" fillId="0" borderId="35" xfId="0" applyNumberFormat="1" applyFont="1" applyBorder="1" applyAlignment="1">
      <alignment horizontal="center"/>
    </xf>
    <xf numFmtId="172" fontId="0" fillId="0" borderId="35" xfId="0" applyNumberFormat="1" applyBorder="1" applyAlignment="1">
      <alignment/>
    </xf>
    <xf numFmtId="172" fontId="0" fillId="0" borderId="35" xfId="44" applyNumberFormat="1" applyFont="1" applyBorder="1" applyAlignment="1">
      <alignment horizontal="center"/>
    </xf>
    <xf numFmtId="44" fontId="0" fillId="0" borderId="0" xfId="0" applyNumberFormat="1" applyFont="1" applyAlignment="1">
      <alignment/>
    </xf>
    <xf numFmtId="44" fontId="0" fillId="0" borderId="0" xfId="0" applyNumberFormat="1" applyFont="1" applyAlignment="1">
      <alignment horizontal="right"/>
    </xf>
    <xf numFmtId="172" fontId="0" fillId="0" borderId="0" xfId="44" applyNumberFormat="1" applyFont="1" applyBorder="1" applyAlignment="1">
      <alignment/>
    </xf>
    <xf numFmtId="0" fontId="1" fillId="0" borderId="0" xfId="0" applyFont="1" applyAlignment="1">
      <alignment horizontal="left"/>
    </xf>
    <xf numFmtId="44" fontId="1" fillId="0" borderId="36" xfId="44" applyFont="1" applyBorder="1" applyAlignment="1">
      <alignment/>
    </xf>
    <xf numFmtId="0" fontId="0" fillId="0" borderId="0" xfId="0" applyFont="1" applyAlignment="1">
      <alignment horizontal="right"/>
    </xf>
    <xf numFmtId="44" fontId="1" fillId="0" borderId="36" xfId="0" applyNumberFormat="1" applyFont="1" applyBorder="1" applyAlignment="1">
      <alignment horizontal="right"/>
    </xf>
    <xf numFmtId="172" fontId="62" fillId="38" borderId="24" xfId="47" applyNumberFormat="1" applyFont="1" applyFill="1" applyBorder="1" applyAlignment="1">
      <alignment horizontal="center"/>
    </xf>
    <xf numFmtId="172" fontId="66" fillId="2" borderId="30" xfId="47" applyNumberFormat="1" applyFont="1" applyFill="1" applyBorder="1" applyAlignment="1">
      <alignment horizontal="center"/>
    </xf>
    <xf numFmtId="172" fontId="66" fillId="2" borderId="37" xfId="47" applyNumberFormat="1" applyFont="1" applyFill="1" applyBorder="1" applyAlignment="1">
      <alignment horizontal="center"/>
    </xf>
    <xf numFmtId="172" fontId="66" fillId="2" borderId="38" xfId="47" applyNumberFormat="1" applyFont="1" applyFill="1" applyBorder="1" applyAlignment="1">
      <alignment horizontal="center"/>
    </xf>
    <xf numFmtId="172" fontId="64" fillId="36" borderId="32" xfId="47" applyNumberFormat="1" applyFont="1" applyFill="1" applyBorder="1" applyAlignment="1">
      <alignment/>
    </xf>
    <xf numFmtId="172" fontId="64" fillId="36" borderId="18" xfId="47" applyNumberFormat="1" applyFont="1" applyFill="1" applyBorder="1" applyAlignment="1">
      <alignment wrapText="1"/>
    </xf>
    <xf numFmtId="172" fontId="62" fillId="38" borderId="34" xfId="47" applyNumberFormat="1" applyFont="1" applyFill="1" applyBorder="1" applyAlignment="1">
      <alignment horizontal="center"/>
    </xf>
    <xf numFmtId="172" fontId="62" fillId="38" borderId="18" xfId="47" applyNumberFormat="1" applyFont="1" applyFill="1" applyBorder="1" applyAlignment="1">
      <alignment horizontal="center" wrapText="1"/>
    </xf>
    <xf numFmtId="172" fontId="44" fillId="0" borderId="0" xfId="47" applyNumberFormat="1" applyFont="1" applyFill="1" applyBorder="1" applyAlignment="1">
      <alignment horizontal="center" wrapText="1"/>
    </xf>
    <xf numFmtId="172" fontId="62" fillId="0" borderId="0" xfId="47" applyNumberFormat="1" applyFont="1" applyFill="1" applyBorder="1" applyAlignment="1">
      <alignment horizontal="center" wrapText="1"/>
    </xf>
    <xf numFmtId="44" fontId="0" fillId="36" borderId="0" xfId="0" applyNumberFormat="1" applyFont="1" applyFill="1" applyAlignment="1">
      <alignment horizontal="right"/>
    </xf>
    <xf numFmtId="44" fontId="0" fillId="36" borderId="0" xfId="44" applyFont="1" applyFill="1" applyAlignment="1">
      <alignment/>
    </xf>
    <xf numFmtId="182" fontId="0" fillId="0" borderId="0" xfId="0" applyNumberFormat="1" applyBorder="1" applyAlignment="1">
      <alignment/>
    </xf>
    <xf numFmtId="0" fontId="0" fillId="0" borderId="0" xfId="0" applyFont="1" applyBorder="1" applyAlignment="1">
      <alignment/>
    </xf>
    <xf numFmtId="44" fontId="0" fillId="0" borderId="18" xfId="44" applyFont="1" applyBorder="1" applyAlignment="1">
      <alignment/>
    </xf>
    <xf numFmtId="10" fontId="0" fillId="0" borderId="18" xfId="0" applyNumberFormat="1" applyBorder="1" applyAlignment="1">
      <alignment/>
    </xf>
    <xf numFmtId="44" fontId="0" fillId="0" borderId="18" xfId="0" applyNumberFormat="1" applyBorder="1" applyAlignment="1">
      <alignment/>
    </xf>
    <xf numFmtId="189" fontId="0" fillId="0" borderId="0" xfId="0" applyNumberFormat="1" applyAlignment="1">
      <alignment/>
    </xf>
    <xf numFmtId="167" fontId="18" fillId="0" borderId="33" xfId="62" applyNumberFormat="1" applyFont="1" applyFill="1" applyBorder="1" applyAlignment="1">
      <alignment horizontal="center"/>
      <protection/>
    </xf>
    <xf numFmtId="41" fontId="13" fillId="0" borderId="33" xfId="62" applyNumberFormat="1" applyFont="1" applyBorder="1">
      <alignment/>
      <protection/>
    </xf>
    <xf numFmtId="168" fontId="9" fillId="0" borderId="33" xfId="62" applyNumberFormat="1" applyFont="1" applyBorder="1">
      <alignment/>
      <protection/>
    </xf>
    <xf numFmtId="41" fontId="7" fillId="0" borderId="39" xfId="62" applyNumberFormat="1" applyFont="1" applyBorder="1">
      <alignment/>
      <protection/>
    </xf>
    <xf numFmtId="167" fontId="7" fillId="0" borderId="40" xfId="62" applyNumberFormat="1" applyFont="1" applyBorder="1">
      <alignment/>
      <protection/>
    </xf>
    <xf numFmtId="167" fontId="9" fillId="0" borderId="40" xfId="62" applyNumberFormat="1" applyFont="1" applyBorder="1">
      <alignment/>
      <protection/>
    </xf>
    <xf numFmtId="0" fontId="6" fillId="0" borderId="40" xfId="62" applyBorder="1">
      <alignment/>
      <protection/>
    </xf>
    <xf numFmtId="167" fontId="7" fillId="0" borderId="41" xfId="62" applyNumberFormat="1" applyFont="1" applyBorder="1">
      <alignment/>
      <protection/>
    </xf>
    <xf numFmtId="41" fontId="7" fillId="37" borderId="42" xfId="62" applyNumberFormat="1" applyFont="1" applyFill="1" applyBorder="1">
      <alignment/>
      <protection/>
    </xf>
    <xf numFmtId="0" fontId="62" fillId="38" borderId="33" xfId="59" applyFont="1" applyFill="1" applyBorder="1" applyAlignment="1">
      <alignment horizontal="center" wrapText="1"/>
      <protection/>
    </xf>
    <xf numFmtId="0" fontId="62" fillId="38" borderId="18" xfId="59" applyFont="1" applyFill="1" applyBorder="1" applyAlignment="1">
      <alignment horizontal="center"/>
      <protection/>
    </xf>
    <xf numFmtId="0" fontId="66" fillId="2" borderId="10" xfId="59" applyFont="1" applyFill="1" applyBorder="1" applyAlignment="1">
      <alignment horizontal="center"/>
      <protection/>
    </xf>
    <xf numFmtId="44" fontId="0" fillId="0" borderId="0" xfId="0" applyNumberFormat="1" applyAlignment="1">
      <alignment wrapText="1"/>
    </xf>
    <xf numFmtId="172" fontId="62" fillId="37" borderId="18" xfId="46" applyNumberFormat="1" applyFont="1" applyFill="1" applyBorder="1" applyAlignment="1">
      <alignment/>
    </xf>
    <xf numFmtId="0" fontId="62" fillId="38" borderId="10" xfId="59" applyFont="1" applyFill="1" applyBorder="1" applyAlignment="1">
      <alignment horizontal="center"/>
      <protection/>
    </xf>
    <xf numFmtId="0" fontId="62" fillId="38" borderId="43" xfId="59" applyFont="1" applyFill="1" applyBorder="1" applyAlignment="1">
      <alignment horizontal="center"/>
      <protection/>
    </xf>
    <xf numFmtId="0" fontId="62" fillId="38" borderId="18" xfId="59" applyFont="1" applyFill="1" applyBorder="1" applyAlignment="1">
      <alignment horizontal="center"/>
      <protection/>
    </xf>
    <xf numFmtId="0" fontId="66" fillId="2" borderId="29" xfId="59" applyFont="1" applyFill="1" applyBorder="1" applyAlignment="1">
      <alignment horizontal="center"/>
      <protection/>
    </xf>
    <xf numFmtId="0" fontId="66" fillId="2" borderId="10" xfId="59" applyFont="1" applyFill="1" applyBorder="1" applyAlignment="1">
      <alignment horizontal="center"/>
      <protection/>
    </xf>
    <xf numFmtId="0" fontId="66" fillId="2" borderId="34" xfId="59" applyFont="1" applyFill="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2" xfId="59"/>
    <cellStyle name="Normal 2" xfId="60"/>
    <cellStyle name="Normal 2 3" xfId="61"/>
    <cellStyle name="Normal_98REC_CR"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114300</xdr:rowOff>
    </xdr:from>
    <xdr:to>
      <xdr:col>7</xdr:col>
      <xdr:colOff>28575</xdr:colOff>
      <xdr:row>35</xdr:row>
      <xdr:rowOff>123825</xdr:rowOff>
    </xdr:to>
    <xdr:sp>
      <xdr:nvSpPr>
        <xdr:cNvPr id="1" name="Straight Arrow Connector 2"/>
        <xdr:cNvSpPr>
          <a:spLocks/>
        </xdr:cNvSpPr>
      </xdr:nvSpPr>
      <xdr:spPr>
        <a:xfrm flipH="1" flipV="1">
          <a:off x="4791075" y="5000625"/>
          <a:ext cx="51435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36</xdr:row>
      <xdr:rowOff>76200</xdr:rowOff>
    </xdr:from>
    <xdr:to>
      <xdr:col>7</xdr:col>
      <xdr:colOff>19050</xdr:colOff>
      <xdr:row>37</xdr:row>
      <xdr:rowOff>76200</xdr:rowOff>
    </xdr:to>
    <xdr:sp>
      <xdr:nvSpPr>
        <xdr:cNvPr id="2" name="Straight Arrow Connector 4"/>
        <xdr:cNvSpPr>
          <a:spLocks/>
        </xdr:cNvSpPr>
      </xdr:nvSpPr>
      <xdr:spPr>
        <a:xfrm flipH="1">
          <a:off x="4743450" y="5391150"/>
          <a:ext cx="55245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vision\Accounting%20II\WUTC%20Filings\Commodity%20Credits\Filing%20June%202023\4172_4176_4183%20RSA%20King%20Co%20Workbook_21-23%20cop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sheetDataSet>
      <sheetData sheetId="8">
        <row r="18">
          <cell r="E18">
            <v>341.35999999999996</v>
          </cell>
          <cell r="L18">
            <v>607.5808333333333</v>
          </cell>
          <cell r="S18">
            <v>125.14249999999998</v>
          </cell>
        </row>
        <row r="35">
          <cell r="E35">
            <v>317.3516984360953</v>
          </cell>
          <cell r="L35">
            <v>579.9581818181819</v>
          </cell>
          <cell r="S35">
            <v>121.65454545454546</v>
          </cell>
        </row>
      </sheetData>
      <sheetData sheetId="9">
        <row r="18">
          <cell r="E18">
            <v>31.340000000000003</v>
          </cell>
          <cell r="L18">
            <v>6.215</v>
          </cell>
          <cell r="S18">
            <v>7.114166666666667</v>
          </cell>
        </row>
        <row r="36">
          <cell r="E36">
            <v>33.63464270398988</v>
          </cell>
          <cell r="L36">
            <v>4.729090909090909</v>
          </cell>
          <cell r="S36">
            <v>7.867046502618859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0.5" thickTop="1">
      <c r="B42" s="14"/>
      <c r="C42" s="14"/>
      <c r="D42" s="14"/>
      <c r="E42" s="14"/>
      <c r="F42" s="14"/>
      <c r="G42" s="14"/>
      <c r="H42" s="14"/>
      <c r="I42" s="14"/>
      <c r="J42" s="14"/>
      <c r="K42" s="14"/>
    </row>
    <row r="43" spans="2:11" s="16" customFormat="1" ht="9.75">
      <c r="B43" s="14"/>
      <c r="C43" s="14"/>
      <c r="D43" s="14"/>
      <c r="E43" s="14"/>
      <c r="F43" s="14"/>
      <c r="G43" s="14"/>
      <c r="H43" s="14"/>
      <c r="I43" s="14"/>
      <c r="J43" s="14"/>
      <c r="K43" s="14"/>
    </row>
    <row r="44" spans="2:11" s="16" customFormat="1" ht="10.5" thickBot="1">
      <c r="B44" s="14"/>
      <c r="C44" s="14"/>
      <c r="D44" s="14"/>
      <c r="E44" s="14"/>
      <c r="F44" s="32" t="s">
        <v>18</v>
      </c>
      <c r="G44" s="38">
        <f>+G31-G41</f>
        <v>108069</v>
      </c>
      <c r="H44" s="14"/>
      <c r="I44" s="14"/>
      <c r="J44" s="14"/>
      <c r="K44" s="14"/>
    </row>
    <row r="45" spans="2:25" s="16" customFormat="1" ht="10.5" thickTop="1">
      <c r="B45" s="14"/>
      <c r="C45" s="14"/>
      <c r="D45" s="14"/>
      <c r="E45" s="14"/>
      <c r="F45" s="14"/>
      <c r="G45" s="14"/>
      <c r="H45" s="14"/>
      <c r="I45" s="14"/>
      <c r="J45" s="14"/>
      <c r="K45" s="14"/>
      <c r="Y45" s="14"/>
    </row>
    <row r="46" spans="2:11" s="16" customFormat="1" ht="9.75">
      <c r="B46" s="14"/>
      <c r="C46" s="14"/>
      <c r="D46" s="14"/>
      <c r="E46" s="14"/>
      <c r="F46" s="14"/>
      <c r="G46" s="14"/>
      <c r="H46" s="14"/>
      <c r="I46" s="14"/>
      <c r="J46" s="14"/>
      <c r="K46" s="14"/>
    </row>
    <row r="47" spans="2:11" s="16" customFormat="1" ht="10.5" thickBot="1">
      <c r="B47" s="29" t="s">
        <v>39</v>
      </c>
      <c r="C47" s="30"/>
      <c r="D47" s="30"/>
      <c r="E47" s="30"/>
      <c r="F47" s="30"/>
      <c r="G47" s="14"/>
      <c r="H47" s="14"/>
      <c r="I47" s="14"/>
      <c r="J47" s="14"/>
      <c r="K47" s="14"/>
    </row>
    <row r="48" spans="2:27" s="16" customFormat="1" ht="10.5"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9.75">
      <c r="B49" s="14" t="s">
        <v>19</v>
      </c>
      <c r="C49" s="14"/>
      <c r="D49" s="14"/>
      <c r="E49" s="14"/>
      <c r="F49" s="14"/>
      <c r="G49" s="14"/>
      <c r="H49" s="14"/>
      <c r="I49" s="14"/>
      <c r="J49" s="14"/>
      <c r="K49" s="14"/>
    </row>
    <row r="50" spans="2:11" s="16" customFormat="1" ht="9.75">
      <c r="B50" s="14"/>
      <c r="C50" s="14"/>
      <c r="D50" s="14"/>
      <c r="E50" s="14"/>
      <c r="F50" s="32" t="s">
        <v>20</v>
      </c>
      <c r="G50" s="14">
        <f>+J26</f>
        <v>200360</v>
      </c>
      <c r="H50" s="20" t="s">
        <v>12</v>
      </c>
      <c r="I50" s="14"/>
      <c r="J50" s="14"/>
      <c r="K50" s="14"/>
    </row>
    <row r="51" spans="2:11" s="16" customFormat="1" ht="9.75">
      <c r="B51" s="14"/>
      <c r="C51" s="14"/>
      <c r="D51" s="14"/>
      <c r="E51" s="14"/>
      <c r="F51" s="32" t="s">
        <v>18</v>
      </c>
      <c r="G51" s="14">
        <f>+G44</f>
        <v>108069</v>
      </c>
      <c r="H51" s="14"/>
      <c r="I51" s="14"/>
      <c r="J51" s="14"/>
      <c r="K51" s="14"/>
    </row>
    <row r="52" spans="2:11" s="16" customFormat="1" ht="9.75">
      <c r="B52" s="14"/>
      <c r="C52" s="14"/>
      <c r="D52" s="14"/>
      <c r="E52" s="14"/>
      <c r="F52" s="32"/>
      <c r="G52" s="14"/>
      <c r="H52" s="14"/>
      <c r="I52" s="14"/>
      <c r="J52" s="14"/>
      <c r="K52" s="14"/>
    </row>
    <row r="53" spans="2:11" s="16" customFormat="1" ht="10.5" thickBot="1">
      <c r="B53" s="14"/>
      <c r="C53" s="14"/>
      <c r="D53" s="14"/>
      <c r="E53" s="14"/>
      <c r="F53" s="32" t="s">
        <v>40</v>
      </c>
      <c r="G53" s="39">
        <f>ROUND(G51/G50,3)</f>
        <v>0.539</v>
      </c>
      <c r="H53" s="14"/>
      <c r="I53" s="23">
        <f>+G53</f>
        <v>0.539</v>
      </c>
      <c r="J53" s="14"/>
      <c r="K53" s="14"/>
    </row>
    <row r="54" spans="2:25" s="16" customFormat="1" ht="10.5" thickTop="1">
      <c r="B54" s="14"/>
      <c r="C54" s="14"/>
      <c r="D54" s="14"/>
      <c r="E54" s="14"/>
      <c r="F54" s="32"/>
      <c r="G54" s="14"/>
      <c r="H54" s="14"/>
      <c r="I54" s="23"/>
      <c r="J54" s="14"/>
      <c r="K54" s="14"/>
      <c r="Y54" s="14"/>
    </row>
    <row r="55" spans="2:11" s="16" customFormat="1" ht="9.75">
      <c r="B55" s="14" t="s">
        <v>42</v>
      </c>
      <c r="C55" s="14"/>
      <c r="D55" s="14"/>
      <c r="E55" s="14"/>
      <c r="F55" s="32"/>
      <c r="G55" s="14"/>
      <c r="H55" s="14"/>
      <c r="I55" s="23"/>
      <c r="J55" s="14"/>
      <c r="K55" s="14"/>
    </row>
    <row r="56" spans="2:11" s="16" customFormat="1" ht="10.5" thickBot="1">
      <c r="B56" s="31"/>
      <c r="C56" s="14"/>
      <c r="D56" s="14"/>
      <c r="E56" s="14"/>
      <c r="F56" s="32" t="s">
        <v>41</v>
      </c>
      <c r="G56" s="40">
        <f>+F26</f>
        <v>2.313</v>
      </c>
      <c r="H56" s="14"/>
      <c r="I56" s="23">
        <f>+G56</f>
        <v>2.313</v>
      </c>
      <c r="J56" s="20" t="s">
        <v>11</v>
      </c>
      <c r="K56" s="14"/>
    </row>
    <row r="57" spans="2:25" s="14" customFormat="1" ht="10.5" thickTop="1">
      <c r="B57" s="31"/>
      <c r="I57" s="23"/>
      <c r="X57" s="16"/>
      <c r="Y57" s="16"/>
    </row>
    <row r="58" spans="2:11" s="16" customFormat="1" ht="10.5" thickBot="1">
      <c r="B58" s="14"/>
      <c r="C58" s="14"/>
      <c r="D58" s="14"/>
      <c r="E58" s="14"/>
      <c r="F58" s="14"/>
      <c r="G58" s="32" t="s">
        <v>43</v>
      </c>
      <c r="H58" s="27"/>
      <c r="I58" s="39">
        <f>+I53+I56</f>
        <v>2.8520000000000003</v>
      </c>
      <c r="J58" s="14"/>
      <c r="K58" s="14"/>
    </row>
    <row r="59" s="16" customFormat="1" ht="10.5" thickTop="1">
      <c r="I59" s="23"/>
    </row>
    <row r="60" s="16" customFormat="1" ht="9.75"/>
    <row r="61" s="16" customFormat="1" ht="9.75"/>
    <row r="62" spans="1:6" s="16" customFormat="1" ht="9.75">
      <c r="A62" s="41"/>
      <c r="B62" s="41"/>
      <c r="C62" s="41"/>
      <c r="D62" s="41"/>
      <c r="E62" s="41"/>
      <c r="F62" s="41"/>
    </row>
    <row r="63" spans="1:25" s="16" customFormat="1" ht="17.25">
      <c r="A63" s="42"/>
      <c r="B63" s="43"/>
      <c r="C63" s="43"/>
      <c r="D63" s="43"/>
      <c r="E63" s="42"/>
      <c r="F63" s="43"/>
      <c r="G63" s="44"/>
      <c r="H63" s="44"/>
      <c r="I63" s="44"/>
      <c r="J63" s="44"/>
      <c r="K63" s="44"/>
      <c r="Y63" s="14"/>
    </row>
    <row r="64" spans="1:6" s="16" customFormat="1" ht="9.75">
      <c r="A64" s="78"/>
      <c r="B64" s="46"/>
      <c r="C64" s="48"/>
      <c r="D64" s="47"/>
      <c r="E64" s="41"/>
      <c r="F64" s="41"/>
    </row>
    <row r="65" spans="1:6" s="16" customFormat="1" ht="9.75">
      <c r="A65" s="78"/>
      <c r="B65" s="46"/>
      <c r="C65" s="49"/>
      <c r="D65" s="47"/>
      <c r="E65" s="41"/>
      <c r="F65" s="41"/>
    </row>
    <row r="66" spans="1:25" s="14" customFormat="1" ht="9.75">
      <c r="A66" s="78"/>
      <c r="B66" s="49"/>
      <c r="C66" s="49"/>
      <c r="D66" s="41"/>
      <c r="E66" s="49"/>
      <c r="F66" s="41"/>
      <c r="X66" s="16"/>
      <c r="Y66" s="16"/>
    </row>
    <row r="67" spans="1:6" s="16" customFormat="1" ht="9.75">
      <c r="A67" s="78"/>
      <c r="B67" s="49"/>
      <c r="C67" s="48"/>
      <c r="D67" s="41"/>
      <c r="E67" s="41"/>
      <c r="F67" s="41"/>
    </row>
    <row r="68" spans="1:6" s="16" customFormat="1" ht="9.75">
      <c r="A68" s="78"/>
      <c r="B68" s="49"/>
      <c r="C68" s="49"/>
      <c r="D68" s="41"/>
      <c r="E68" s="41"/>
      <c r="F68" s="41"/>
    </row>
    <row r="69" spans="1:6" s="16" customFormat="1" ht="9.75">
      <c r="A69" s="78"/>
      <c r="B69" s="50"/>
      <c r="C69" s="49"/>
      <c r="D69" s="41"/>
      <c r="E69" s="41"/>
      <c r="F69" s="41"/>
    </row>
    <row r="70" spans="1:6" s="16" customFormat="1" ht="9.75">
      <c r="A70" s="78"/>
      <c r="B70" s="50"/>
      <c r="C70" s="49"/>
      <c r="D70" s="41"/>
      <c r="E70" s="41"/>
      <c r="F70" s="41"/>
    </row>
    <row r="71" spans="1:6" s="16" customFormat="1" ht="9.75">
      <c r="A71" s="78"/>
      <c r="B71" s="50"/>
      <c r="C71" s="49"/>
      <c r="D71" s="41"/>
      <c r="E71" s="41"/>
      <c r="F71" s="41"/>
    </row>
    <row r="72" spans="1:6" s="16" customFormat="1" ht="9.75">
      <c r="A72" s="78"/>
      <c r="B72" s="50"/>
      <c r="C72" s="49"/>
      <c r="D72" s="41"/>
      <c r="E72" s="41"/>
      <c r="F72" s="41"/>
    </row>
    <row r="73" spans="1:25" s="16" customFormat="1" ht="9.75">
      <c r="A73" s="78"/>
      <c r="B73" s="50"/>
      <c r="C73" s="49"/>
      <c r="D73" s="41"/>
      <c r="E73" s="41"/>
      <c r="F73" s="41"/>
      <c r="Y73" s="14"/>
    </row>
    <row r="74" spans="1:6" s="16" customFormat="1" ht="9.75">
      <c r="A74" s="78"/>
      <c r="B74" s="50"/>
      <c r="C74" s="49"/>
      <c r="D74" s="41"/>
      <c r="E74" s="41"/>
      <c r="F74" s="41"/>
    </row>
    <row r="75" spans="1:6" s="16" customFormat="1" ht="9.75">
      <c r="A75" s="78"/>
      <c r="B75" s="50"/>
      <c r="C75" s="49"/>
      <c r="D75" s="41"/>
      <c r="E75" s="41"/>
      <c r="F75" s="41"/>
    </row>
    <row r="76" spans="1:6" s="16" customFormat="1" ht="9.75">
      <c r="A76" s="78"/>
      <c r="B76" s="50"/>
      <c r="C76" s="49"/>
      <c r="D76" s="41"/>
      <c r="E76" s="41"/>
      <c r="F76" s="41"/>
    </row>
    <row r="77" spans="1:27" s="16" customFormat="1" ht="9.7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9.75">
      <c r="A78" s="78"/>
      <c r="B78" s="50"/>
      <c r="C78" s="49"/>
      <c r="D78" s="41"/>
      <c r="E78" s="41"/>
      <c r="F78" s="41"/>
    </row>
    <row r="79" spans="1:6" s="16" customFormat="1" ht="9.75">
      <c r="A79" s="45"/>
      <c r="B79" s="49"/>
      <c r="C79" s="49"/>
      <c r="D79" s="41"/>
      <c r="E79" s="41"/>
      <c r="F79" s="41"/>
    </row>
    <row r="80" spans="1:6" s="16" customFormat="1" ht="9.75">
      <c r="A80" s="79"/>
      <c r="B80" s="49"/>
      <c r="C80" s="48"/>
      <c r="D80" s="41"/>
      <c r="E80" s="41"/>
      <c r="F80" s="41"/>
    </row>
    <row r="81" spans="1:6" s="16" customFormat="1" ht="12.75">
      <c r="A81" s="52"/>
      <c r="B81" s="52"/>
      <c r="C81" s="52"/>
      <c r="D81" s="53"/>
      <c r="E81" s="41"/>
      <c r="F81" s="52"/>
    </row>
    <row r="82" spans="1:25" s="16" customFormat="1" ht="9.75">
      <c r="A82" s="54"/>
      <c r="B82" s="49"/>
      <c r="C82" s="48"/>
      <c r="D82" s="41"/>
      <c r="E82" s="41"/>
      <c r="F82" s="55"/>
      <c r="Y82" s="14"/>
    </row>
    <row r="83" s="16" customFormat="1" ht="9.75"/>
    <row r="84" s="16" customFormat="1" ht="9.75"/>
    <row r="85" s="16" customFormat="1" ht="9.75"/>
    <row r="86" s="16" customFormat="1" ht="9.75">
      <c r="B86" s="8"/>
    </row>
    <row r="87" spans="2:25" s="14" customFormat="1" ht="9.75">
      <c r="B87" s="31"/>
      <c r="X87" s="16"/>
      <c r="Y87" s="16"/>
    </row>
    <row r="88" s="16" customFormat="1" ht="9.75"/>
    <row r="89" s="16" customFormat="1" ht="9.75"/>
    <row r="90" s="16" customFormat="1" ht="9.75"/>
    <row r="91" s="16" customFormat="1" ht="9.75"/>
    <row r="92" s="16" customFormat="1" ht="9.75"/>
    <row r="93" s="16" customFormat="1" ht="9.75"/>
    <row r="94" s="16" customFormat="1" ht="9.75"/>
    <row r="95" s="16" customFormat="1" ht="9.75"/>
    <row r="96" s="16" customFormat="1" ht="10.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0"/>
  <sheetViews>
    <sheetView showGridLines="0" tabSelected="1" zoomScaleSheetLayoutView="100" zoomScalePageLayoutView="0" workbookViewId="0" topLeftCell="A1">
      <pane ySplit="4" topLeftCell="A5" activePane="bottomLeft" state="frozen"/>
      <selection pane="topLeft" activeCell="G25" sqref="G25"/>
      <selection pane="bottomLeft" activeCell="L29" sqref="L29"/>
    </sheetView>
  </sheetViews>
  <sheetFormatPr defaultColWidth="9.140625" defaultRowHeight="12.75"/>
  <cols>
    <col min="1" max="1" width="20.7109375" style="5" customWidth="1"/>
    <col min="2" max="2" width="14.0039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2" width="8.57421875" style="5" customWidth="1"/>
    <col min="13" max="13" width="9.57421875" style="5" customWidth="1"/>
    <col min="14" max="14" width="9.57421875" style="5" hidden="1" customWidth="1"/>
    <col min="15" max="15" width="15.28125" style="5" hidden="1"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80</v>
      </c>
      <c r="B1" s="2"/>
      <c r="C1" s="2"/>
      <c r="D1" s="2"/>
      <c r="E1" s="2"/>
      <c r="F1" s="2"/>
      <c r="G1" s="3"/>
      <c r="H1" s="2"/>
      <c r="I1" s="2"/>
      <c r="J1" s="1"/>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2023</v>
      </c>
      <c r="B3" s="2"/>
      <c r="C3" s="2"/>
      <c r="D3" s="2"/>
      <c r="E3" s="2"/>
      <c r="F3" s="3"/>
      <c r="G3" s="3"/>
      <c r="H3" s="2"/>
      <c r="I3" s="2"/>
      <c r="J3" s="2"/>
      <c r="K3" s="2"/>
      <c r="L3" s="2"/>
      <c r="M3" s="2"/>
      <c r="N3" s="2"/>
      <c r="O3" s="2"/>
      <c r="P3" s="2"/>
      <c r="Q3" s="2"/>
      <c r="R3" s="2"/>
      <c r="S3" s="2"/>
      <c r="T3" s="2"/>
      <c r="U3" s="2"/>
      <c r="V3" s="2"/>
      <c r="W3" s="3"/>
      <c r="X3" s="3"/>
      <c r="Y3" s="3"/>
      <c r="Z3" s="3"/>
      <c r="AA3" s="3"/>
    </row>
    <row r="4" spans="1:22" ht="12.75">
      <c r="A4" s="6"/>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9" t="str">
        <f>"Total "&amp;F5</f>
        <v>Total Commodity</v>
      </c>
      <c r="P5" s="140"/>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1" t="str">
        <f>+F6</f>
        <v>Revenue</v>
      </c>
      <c r="P6" s="112"/>
    </row>
    <row r="7" spans="1:16" s="16" customFormat="1" ht="11.25">
      <c r="A7" s="15" t="s">
        <v>5</v>
      </c>
      <c r="B7" s="12" t="s">
        <v>6</v>
      </c>
      <c r="C7" s="12"/>
      <c r="D7" s="12" t="s">
        <v>3</v>
      </c>
      <c r="E7" s="12"/>
      <c r="F7" s="12" t="s">
        <v>7</v>
      </c>
      <c r="G7" s="12"/>
      <c r="H7" s="12"/>
      <c r="I7" s="12"/>
      <c r="J7" s="12" t="s">
        <v>6</v>
      </c>
      <c r="K7" s="12"/>
      <c r="O7" s="141" t="str">
        <f>+F7</f>
        <v>per Customer</v>
      </c>
      <c r="P7" s="112"/>
    </row>
    <row r="8" spans="1:16" s="16" customFormat="1" ht="11.25">
      <c r="A8" s="127">
        <f>'Single Family'!$C$6</f>
        <v>44682</v>
      </c>
      <c r="B8" s="156">
        <v>11234</v>
      </c>
      <c r="C8" s="113"/>
      <c r="D8" s="114">
        <f>VLOOKUP(A8,Value!$A$6:$O$17,15,)</f>
        <v>7849.579297664003</v>
      </c>
      <c r="E8" s="113"/>
      <c r="F8" s="16">
        <f aca="true" t="shared" si="0" ref="F8:F16">ROUND(D8/B8,2)</f>
        <v>0.7</v>
      </c>
      <c r="G8" s="113"/>
      <c r="H8" s="113"/>
      <c r="I8" s="113"/>
      <c r="J8" s="14">
        <f aca="true" t="shared" si="1" ref="J8:J18">+B8</f>
        <v>11234</v>
      </c>
      <c r="K8" s="13">
        <f aca="true" t="shared" si="2" ref="K8:K18">YEAR(A8)</f>
        <v>2022</v>
      </c>
      <c r="O8" s="142">
        <f>VLOOKUP(A8,Value!$A$6:$O$17,13,FALSE)</f>
        <v>15699.158595328006</v>
      </c>
      <c r="P8" s="112"/>
    </row>
    <row r="9" spans="1:16" s="16" customFormat="1" ht="11.25">
      <c r="A9" s="17">
        <f aca="true" t="shared" si="3" ref="A9:A18">EOMONTH(A8,1)</f>
        <v>44742</v>
      </c>
      <c r="B9" s="157">
        <v>11199</v>
      </c>
      <c r="C9" s="20"/>
      <c r="D9" s="114">
        <f>VLOOKUP(A9,Value!$A$6:$O$17,15,)</f>
        <v>8224.795588880002</v>
      </c>
      <c r="E9" s="14"/>
      <c r="F9" s="16">
        <f t="shared" si="0"/>
        <v>0.73</v>
      </c>
      <c r="G9" s="14"/>
      <c r="H9" s="14"/>
      <c r="I9" s="14"/>
      <c r="J9" s="14">
        <f t="shared" si="1"/>
        <v>11199</v>
      </c>
      <c r="K9" s="13">
        <f t="shared" si="2"/>
        <v>2022</v>
      </c>
      <c r="O9" s="142">
        <f>VLOOKUP(A9,Value!$A$6:$O$17,13,FALSE)</f>
        <v>16449.591177760005</v>
      </c>
      <c r="P9" s="112"/>
    </row>
    <row r="10" spans="1:16" s="16" customFormat="1" ht="11.25">
      <c r="A10" s="17">
        <f t="shared" si="3"/>
        <v>44773</v>
      </c>
      <c r="B10" s="157">
        <v>11197</v>
      </c>
      <c r="C10" s="14"/>
      <c r="D10" s="114">
        <f>VLOOKUP(A10,Value!$A$6:$O$17,15,)</f>
        <v>4649.682009685004</v>
      </c>
      <c r="E10" s="14"/>
      <c r="F10" s="16">
        <f t="shared" si="0"/>
        <v>0.42</v>
      </c>
      <c r="G10" s="14"/>
      <c r="H10" s="14"/>
      <c r="I10" s="14"/>
      <c r="J10" s="14">
        <f t="shared" si="1"/>
        <v>11197</v>
      </c>
      <c r="K10" s="13">
        <f t="shared" si="2"/>
        <v>2022</v>
      </c>
      <c r="O10" s="142">
        <f>VLOOKUP(A10,Value!$A$6:$O$17,13,FALSE)</f>
        <v>9299.364019370008</v>
      </c>
      <c r="P10" s="112"/>
    </row>
    <row r="11" spans="1:16" s="16" customFormat="1" ht="11.25">
      <c r="A11" s="17"/>
      <c r="B11" s="14"/>
      <c r="C11" s="14"/>
      <c r="D11" s="114"/>
      <c r="E11" s="14"/>
      <c r="G11" s="23"/>
      <c r="H11" s="14"/>
      <c r="I11" s="14"/>
      <c r="J11" s="14"/>
      <c r="K11" s="13"/>
      <c r="O11" s="142"/>
      <c r="P11" s="112"/>
    </row>
    <row r="12" spans="1:16" s="16" customFormat="1" ht="11.25">
      <c r="A12" s="17" t="s">
        <v>140</v>
      </c>
      <c r="B12" s="14">
        <f>SUM(B8:B10)</f>
        <v>33630</v>
      </c>
      <c r="C12" s="14"/>
      <c r="D12" s="14">
        <f>SUM(D8:D10)</f>
        <v>20724.056896229013</v>
      </c>
      <c r="E12" s="14"/>
      <c r="G12" s="23"/>
      <c r="H12" s="14"/>
      <c r="I12" s="14"/>
      <c r="J12" s="14"/>
      <c r="K12" s="13"/>
      <c r="O12" s="142"/>
      <c r="P12" s="112"/>
    </row>
    <row r="13" spans="1:16" s="16" customFormat="1" ht="11.25">
      <c r="A13" s="17"/>
      <c r="B13" s="14"/>
      <c r="C13" s="14"/>
      <c r="D13" s="114"/>
      <c r="E13" s="14"/>
      <c r="G13" s="23"/>
      <c r="H13" s="14"/>
      <c r="I13" s="14"/>
      <c r="J13" s="14"/>
      <c r="K13" s="13"/>
      <c r="O13" s="142"/>
      <c r="P13" s="112"/>
    </row>
    <row r="14" spans="1:16" s="16" customFormat="1" ht="11.25">
      <c r="A14" s="17">
        <f>EOMONTH(A10,1)</f>
        <v>44804</v>
      </c>
      <c r="B14" s="157">
        <v>11221</v>
      </c>
      <c r="C14" s="14"/>
      <c r="D14" s="114">
        <f>VLOOKUP(A14,Value!$A$6:$O$17,15,)</f>
        <v>3248.560102868998</v>
      </c>
      <c r="E14" s="14"/>
      <c r="F14" s="16">
        <f t="shared" si="0"/>
        <v>0.29</v>
      </c>
      <c r="G14" s="23"/>
      <c r="H14" s="14"/>
      <c r="I14" s="14"/>
      <c r="J14" s="14">
        <f t="shared" si="1"/>
        <v>11221</v>
      </c>
      <c r="K14" s="13">
        <f t="shared" si="2"/>
        <v>2022</v>
      </c>
      <c r="O14" s="142">
        <f>VLOOKUP(A14,Value!$A$6:$O$17,13,FALSE)</f>
        <v>6497.120205737996</v>
      </c>
      <c r="P14" s="112"/>
    </row>
    <row r="15" spans="1:16" s="16" customFormat="1" ht="11.25">
      <c r="A15" s="17">
        <f t="shared" si="3"/>
        <v>44834</v>
      </c>
      <c r="B15" s="157">
        <v>11255</v>
      </c>
      <c r="C15" s="14"/>
      <c r="D15" s="114">
        <f>VLOOKUP(A15,Value!$A$6:$O$17,15,)</f>
        <v>-2199.335418566</v>
      </c>
      <c r="E15" s="14"/>
      <c r="F15" s="16">
        <f t="shared" si="0"/>
        <v>-0.2</v>
      </c>
      <c r="G15" s="23"/>
      <c r="H15" s="14"/>
      <c r="I15" s="14"/>
      <c r="J15" s="14">
        <f t="shared" si="1"/>
        <v>11255</v>
      </c>
      <c r="K15" s="13">
        <f t="shared" si="2"/>
        <v>2022</v>
      </c>
      <c r="O15" s="142">
        <f>VLOOKUP(A15,Value!$A$6:$O$17,13,FALSE)</f>
        <v>-4398.670837132</v>
      </c>
      <c r="P15" s="112"/>
    </row>
    <row r="16" spans="1:16" s="16" customFormat="1" ht="11.25">
      <c r="A16" s="17">
        <f t="shared" si="3"/>
        <v>44865</v>
      </c>
      <c r="B16" s="157">
        <v>11282</v>
      </c>
      <c r="C16" s="14"/>
      <c r="D16" s="114">
        <f>VLOOKUP(A16,Value!$A$6:$O$17,15,)</f>
        <v>-3026.902546343</v>
      </c>
      <c r="E16" s="14"/>
      <c r="F16" s="16">
        <f t="shared" si="0"/>
        <v>-0.27</v>
      </c>
      <c r="G16" s="23"/>
      <c r="H16" s="14"/>
      <c r="I16" s="14"/>
      <c r="J16" s="14">
        <f t="shared" si="1"/>
        <v>11282</v>
      </c>
      <c r="K16" s="13">
        <f t="shared" si="2"/>
        <v>2022</v>
      </c>
      <c r="O16" s="142">
        <f>VLOOKUP(A16,Value!$A$6:$O$17,13,FALSE)</f>
        <v>-6053.805092686</v>
      </c>
      <c r="P16" s="112"/>
    </row>
    <row r="17" spans="1:16" s="16" customFormat="1" ht="11.25">
      <c r="A17" s="17">
        <f>EOMONTH(A16,1)</f>
        <v>44895</v>
      </c>
      <c r="B17" s="157">
        <v>11305</v>
      </c>
      <c r="C17" s="14"/>
      <c r="D17" s="114">
        <f>VLOOKUP(A17,Value!$A$6:$O$17,15,)</f>
        <v>-1281.3569680799997</v>
      </c>
      <c r="E17" s="14"/>
      <c r="F17" s="16">
        <f aca="true" t="shared" si="4" ref="F17:F22">ROUND(D17/B17,2)</f>
        <v>-0.11</v>
      </c>
      <c r="G17" s="23"/>
      <c r="H17" s="14"/>
      <c r="I17" s="14"/>
      <c r="J17" s="14">
        <f t="shared" si="1"/>
        <v>11305</v>
      </c>
      <c r="K17" s="13">
        <f t="shared" si="2"/>
        <v>2022</v>
      </c>
      <c r="O17" s="142">
        <f>VLOOKUP(A17,Value!$A$6:$O$17,13,FALSE)</f>
        <v>-2562.7139361599993</v>
      </c>
      <c r="P17" s="112"/>
    </row>
    <row r="18" spans="1:16" s="16" customFormat="1" ht="11.25">
      <c r="A18" s="17">
        <f t="shared" si="3"/>
        <v>44926</v>
      </c>
      <c r="B18" s="157">
        <v>11312</v>
      </c>
      <c r="C18" s="14"/>
      <c r="D18" s="114">
        <f>VLOOKUP(A18,Value!$A$6:$O$17,15,)</f>
        <v>-1541.408673384</v>
      </c>
      <c r="E18" s="14"/>
      <c r="F18" s="16">
        <f t="shared" si="4"/>
        <v>-0.14</v>
      </c>
      <c r="G18" s="23"/>
      <c r="H18" s="14"/>
      <c r="I18" s="14"/>
      <c r="J18" s="14">
        <f t="shared" si="1"/>
        <v>11312</v>
      </c>
      <c r="K18" s="13">
        <f t="shared" si="2"/>
        <v>2022</v>
      </c>
      <c r="O18" s="142">
        <f>VLOOKUP(A18,Value!$A$6:$O$17,13,FALSE)</f>
        <v>-3082.817346768</v>
      </c>
      <c r="P18" s="112"/>
    </row>
    <row r="19" spans="1:25" s="16" customFormat="1" ht="12" thickBot="1">
      <c r="A19" s="17">
        <f>EOMONTH(A18,1)</f>
        <v>44957</v>
      </c>
      <c r="B19" s="157">
        <v>11336</v>
      </c>
      <c r="C19" s="14"/>
      <c r="D19" s="114">
        <f>VLOOKUP(A19,Value!$A$6:$O$17,15,)</f>
        <v>485.8958072079995</v>
      </c>
      <c r="E19" s="14"/>
      <c r="F19" s="16">
        <f t="shared" si="4"/>
        <v>0.04</v>
      </c>
      <c r="G19" s="23"/>
      <c r="H19" s="14"/>
      <c r="I19" s="14"/>
      <c r="J19" s="14">
        <f>+B19</f>
        <v>11336</v>
      </c>
      <c r="K19" s="13">
        <f>YEAR(A19)</f>
        <v>2023</v>
      </c>
      <c r="O19" s="142">
        <f>VLOOKUP(A19,Value!$A$6:$O$17,13,FALSE)</f>
        <v>971.791614415999</v>
      </c>
      <c r="P19" s="112"/>
      <c r="X19" s="14"/>
      <c r="Y19" s="14"/>
    </row>
    <row r="20" spans="1:27" s="16" customFormat="1" ht="11.25">
      <c r="A20" s="17">
        <f>EOMONTH(A19,1)</f>
        <v>44985</v>
      </c>
      <c r="B20" s="157">
        <v>11339</v>
      </c>
      <c r="C20" s="14"/>
      <c r="D20" s="114">
        <f>VLOOKUP(A20,Value!$A$6:$O$17,15,)</f>
        <v>2259.654563754002</v>
      </c>
      <c r="E20" s="14"/>
      <c r="F20" s="16">
        <f t="shared" si="4"/>
        <v>0.2</v>
      </c>
      <c r="G20" s="23"/>
      <c r="H20" s="14"/>
      <c r="I20" s="14"/>
      <c r="J20" s="14">
        <f>+B20</f>
        <v>11339</v>
      </c>
      <c r="K20" s="13">
        <f>YEAR(A20)</f>
        <v>2023</v>
      </c>
      <c r="L20" s="14"/>
      <c r="M20" s="14"/>
      <c r="N20" s="14"/>
      <c r="O20" s="244">
        <f>VLOOKUP(A20,Value!$A$6:$O$17,13,FALSE)</f>
        <v>4519.309127508004</v>
      </c>
      <c r="P20" s="252" t="s">
        <v>136</v>
      </c>
      <c r="Q20" s="14"/>
      <c r="R20" s="14"/>
      <c r="S20" s="14"/>
      <c r="T20" s="14"/>
      <c r="U20" s="14"/>
      <c r="V20" s="14"/>
      <c r="W20" s="14"/>
      <c r="Y20" s="14"/>
      <c r="AA20" s="14"/>
    </row>
    <row r="21" spans="1:16" s="16" customFormat="1" ht="11.25">
      <c r="A21" s="17">
        <f>EOMONTH(A20,1)</f>
        <v>45016</v>
      </c>
      <c r="B21" s="157">
        <v>11361</v>
      </c>
      <c r="C21" s="14"/>
      <c r="D21" s="114">
        <f>VLOOKUP(A21,Value!$A$6:$O$17,15,)</f>
        <v>2508.215587808093</v>
      </c>
      <c r="E21" s="14"/>
      <c r="F21" s="16">
        <f t="shared" si="4"/>
        <v>0.22</v>
      </c>
      <c r="G21" s="23"/>
      <c r="H21" s="20"/>
      <c r="I21" s="14"/>
      <c r="J21" s="14">
        <f>+B21</f>
        <v>11361</v>
      </c>
      <c r="K21" s="13">
        <f>YEAR(A21)</f>
        <v>2023</v>
      </c>
      <c r="O21" s="244">
        <f>VLOOKUP(A21,Value!$A$6:$O$17,13,FALSE)</f>
        <v>5016.431175616186</v>
      </c>
      <c r="P21" s="248" t="s">
        <v>137</v>
      </c>
    </row>
    <row r="22" spans="1:16" s="16" customFormat="1" ht="11.25">
      <c r="A22" s="17">
        <f>EOMONTH(A21,1)</f>
        <v>45046</v>
      </c>
      <c r="B22" s="157">
        <v>11366</v>
      </c>
      <c r="C22" s="14"/>
      <c r="D22" s="114">
        <f>VLOOKUP(A22,Value!$A$6:$O$17,15,)</f>
        <v>2267.652989044135</v>
      </c>
      <c r="E22" s="14"/>
      <c r="F22" s="16">
        <f t="shared" si="4"/>
        <v>0.2</v>
      </c>
      <c r="G22" s="23"/>
      <c r="H22" s="20"/>
      <c r="I22" s="14"/>
      <c r="J22" s="14">
        <f>+B22</f>
        <v>11366</v>
      </c>
      <c r="K22" s="13">
        <f>YEAR(A22)</f>
        <v>2023</v>
      </c>
      <c r="O22" s="244">
        <f>VLOOKUP(A22,Value!$A$6:$O$17,13,FALSE)</f>
        <v>4535.30597808827</v>
      </c>
      <c r="P22" s="248" t="s">
        <v>138</v>
      </c>
    </row>
    <row r="23" spans="1:16" s="16" customFormat="1" ht="11.25">
      <c r="A23" s="17"/>
      <c r="B23" s="14"/>
      <c r="C23" s="14"/>
      <c r="E23" s="14"/>
      <c r="G23" s="14"/>
      <c r="H23" s="14"/>
      <c r="I23" s="14"/>
      <c r="J23" s="14"/>
      <c r="K23" s="13"/>
      <c r="O23" s="245"/>
      <c r="P23" s="248" t="s">
        <v>139</v>
      </c>
    </row>
    <row r="24" spans="1:16" s="16" customFormat="1" ht="11.25">
      <c r="A24" s="17" t="s">
        <v>141</v>
      </c>
      <c r="B24" s="21">
        <f>SUM(B14:B22)</f>
        <v>101777</v>
      </c>
      <c r="C24" s="20"/>
      <c r="D24" s="22">
        <f>SUM(D14:D22)</f>
        <v>2720.9754443102283</v>
      </c>
      <c r="G24" s="14"/>
      <c r="H24" s="14"/>
      <c r="I24" s="14"/>
      <c r="J24" s="14"/>
      <c r="K24" s="13"/>
      <c r="O24" s="245"/>
      <c r="P24" s="249"/>
    </row>
    <row r="25" spans="4:16" ht="12.75">
      <c r="D25" s="25"/>
      <c r="O25" s="245">
        <f>SUM(O8:O24)</f>
        <v>46890.06468107848</v>
      </c>
      <c r="P25" s="250"/>
    </row>
    <row r="26" spans="1:16" s="16" customFormat="1" ht="12" thickBot="1">
      <c r="A26" s="26" t="s">
        <v>87</v>
      </c>
      <c r="B26" s="27">
        <f>B12+B24</f>
        <v>135407</v>
      </c>
      <c r="C26" s="20"/>
      <c r="D26" s="28">
        <f>D12+D24</f>
        <v>23445.03234053924</v>
      </c>
      <c r="E26" s="20" t="s">
        <v>10</v>
      </c>
      <c r="F26" s="23">
        <f>ROUND(D26/B26,3)</f>
        <v>0.173</v>
      </c>
      <c r="G26" s="20" t="s">
        <v>11</v>
      </c>
      <c r="H26" s="14"/>
      <c r="I26" s="14"/>
      <c r="J26" s="27">
        <f>SUM(J8:J25)</f>
        <v>135407</v>
      </c>
      <c r="K26" s="20" t="s">
        <v>12</v>
      </c>
      <c r="O26" s="246">
        <f>ROUND(O25/J26,3)</f>
        <v>0.346</v>
      </c>
      <c r="P26" s="248"/>
    </row>
    <row r="27" spans="2:16" s="16" customFormat="1" ht="12" thickTop="1">
      <c r="B27" s="14"/>
      <c r="C27" s="14"/>
      <c r="D27" s="14"/>
      <c r="E27" s="14"/>
      <c r="F27" s="14"/>
      <c r="G27" s="14"/>
      <c r="H27" s="14"/>
      <c r="I27" s="14"/>
      <c r="J27" s="14"/>
      <c r="K27" s="14"/>
      <c r="O27" s="247">
        <f>+J22</f>
        <v>11366</v>
      </c>
      <c r="P27" s="248"/>
    </row>
    <row r="28" spans="2:16" s="16" customFormat="1" ht="11.25">
      <c r="B28" s="14"/>
      <c r="C28" s="14"/>
      <c r="D28" s="14"/>
      <c r="E28" s="14"/>
      <c r="F28" s="23"/>
      <c r="H28" s="14"/>
      <c r="I28" s="14"/>
      <c r="J28" s="14"/>
      <c r="K28" s="14"/>
      <c r="O28" s="112"/>
      <c r="P28" s="248"/>
    </row>
    <row r="29" spans="2:16" s="16" customFormat="1" ht="12" thickBot="1">
      <c r="B29" s="14"/>
      <c r="C29" s="14"/>
      <c r="D29" s="14"/>
      <c r="E29" s="14"/>
      <c r="F29" s="14"/>
      <c r="G29" s="14"/>
      <c r="H29" s="14"/>
      <c r="I29" s="14"/>
      <c r="J29" s="14"/>
      <c r="K29" s="14"/>
      <c r="O29" s="112"/>
      <c r="P29" s="251"/>
    </row>
    <row r="30" spans="2:11" s="16" customFormat="1" ht="12" thickBot="1">
      <c r="B30" s="29" t="s">
        <v>103</v>
      </c>
      <c r="C30" s="30"/>
      <c r="D30" s="30"/>
      <c r="E30" s="30"/>
      <c r="F30" s="14"/>
      <c r="G30" s="14"/>
      <c r="H30" s="14"/>
      <c r="I30" s="14"/>
      <c r="J30" s="14"/>
      <c r="K30" s="14"/>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ROUND(D26,0)</f>
        <v>23445</v>
      </c>
      <c r="H32" s="20" t="s">
        <v>10</v>
      </c>
      <c r="I32" s="14"/>
      <c r="J32" s="14"/>
      <c r="K32" s="14"/>
    </row>
    <row r="33" spans="1:27" s="13" customFormat="1" ht="11.25">
      <c r="A33" s="33"/>
      <c r="B33" s="31"/>
      <c r="C33" s="14"/>
      <c r="D33" s="14"/>
      <c r="E33" s="14"/>
      <c r="F33" s="14"/>
      <c r="G33" s="14"/>
      <c r="H33" s="20"/>
      <c r="I33" s="14"/>
      <c r="J33" s="14"/>
      <c r="K33" s="14"/>
      <c r="O33" s="16">
        <f>12*O27*O26</f>
        <v>47191.632</v>
      </c>
      <c r="W33" s="14"/>
      <c r="X33" s="16"/>
      <c r="Y33" s="16"/>
      <c r="AA33" s="14"/>
    </row>
    <row r="34" spans="2:15" s="16" customFormat="1" ht="11.25">
      <c r="B34" s="14" t="s">
        <v>15</v>
      </c>
      <c r="C34" s="14"/>
      <c r="D34" s="14"/>
      <c r="E34" s="14"/>
      <c r="F34" s="158">
        <v>0.1400000000000001</v>
      </c>
      <c r="G34" s="14"/>
      <c r="H34" s="14"/>
      <c r="I34" s="14"/>
      <c r="J34" s="14"/>
      <c r="K34" s="14"/>
      <c r="O34" s="16">
        <f>12*O27*G57</f>
        <v>23595.815999999995</v>
      </c>
    </row>
    <row r="35" spans="2:15" s="16" customFormat="1" ht="11.25">
      <c r="B35" s="14"/>
      <c r="C35" s="14"/>
      <c r="D35" s="14"/>
      <c r="E35" s="14"/>
      <c r="F35" s="35">
        <f>B12</f>
        <v>33630</v>
      </c>
      <c r="G35" s="20"/>
      <c r="H35" s="14"/>
      <c r="I35" s="14"/>
      <c r="J35" s="14"/>
      <c r="K35" s="14"/>
      <c r="O35" s="143">
        <f>+O34/O33</f>
        <v>0.49999999999999994</v>
      </c>
    </row>
    <row r="36" spans="2:11" s="16" customFormat="1" ht="11.25">
      <c r="B36" s="14"/>
      <c r="C36" s="14" t="s">
        <v>16</v>
      </c>
      <c r="D36" s="14"/>
      <c r="E36" s="14"/>
      <c r="F36" s="21">
        <f>ROUND(F34*F35,0)</f>
        <v>4708</v>
      </c>
      <c r="G36" s="20"/>
      <c r="H36" s="14"/>
      <c r="I36" s="14"/>
      <c r="J36" s="14"/>
      <c r="K36" s="14"/>
    </row>
    <row r="37" spans="2:11" s="16" customFormat="1" ht="11.25">
      <c r="B37" s="14"/>
      <c r="C37" s="14" t="str">
        <f>"Customers from "&amp;TEXT($A$8,"mm/yy")&amp;" - "&amp;TEXT($A$10,"mm/yy")</f>
        <v>Customers from 05/22 - 07/22</v>
      </c>
      <c r="D37" s="14"/>
      <c r="E37" s="14"/>
      <c r="F37" s="35"/>
      <c r="G37" s="20"/>
      <c r="H37" s="14" t="s">
        <v>79</v>
      </c>
      <c r="I37" s="14"/>
      <c r="J37" s="14"/>
      <c r="K37" s="14"/>
    </row>
    <row r="38" spans="2:11" s="16" customFormat="1" ht="11.25">
      <c r="B38" s="14" t="s">
        <v>15</v>
      </c>
      <c r="C38" s="14"/>
      <c r="D38" s="14"/>
      <c r="E38" s="14"/>
      <c r="F38" s="158">
        <v>0.7200000000000002</v>
      </c>
      <c r="G38" s="14"/>
      <c r="H38" s="14"/>
      <c r="I38" s="14"/>
      <c r="J38" s="14"/>
      <c r="K38" s="14"/>
    </row>
    <row r="39" spans="2:11" s="16" customFormat="1" ht="11.25">
      <c r="B39" s="14"/>
      <c r="C39" s="14" t="str">
        <f>"Customers from "&amp;TEXT($A$14,"mm/yy")&amp;" - "&amp;TEXT($A$22,"mm/yy")</f>
        <v>Customers from 08/22 - 04/23</v>
      </c>
      <c r="D39" s="14"/>
      <c r="E39" s="14"/>
      <c r="F39" s="14">
        <f>B24</f>
        <v>101777</v>
      </c>
      <c r="G39" s="20"/>
      <c r="H39" s="14"/>
      <c r="I39" s="14"/>
      <c r="J39" s="14"/>
      <c r="K39" s="14"/>
    </row>
    <row r="40" spans="2:16" s="16" customFormat="1" ht="11.25">
      <c r="B40" s="14"/>
      <c r="C40" s="14" t="s">
        <v>16</v>
      </c>
      <c r="D40" s="14"/>
      <c r="E40" s="14"/>
      <c r="F40" s="21">
        <f>ROUND(F38*F39,0)</f>
        <v>73279</v>
      </c>
      <c r="G40" s="20"/>
      <c r="H40" s="14"/>
      <c r="I40" s="14"/>
      <c r="J40" s="14"/>
      <c r="K40" s="14"/>
      <c r="L40" s="14"/>
      <c r="M40" s="14"/>
      <c r="N40" s="14"/>
      <c r="O40" s="14"/>
      <c r="P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+F40+F36</f>
        <v>77987</v>
      </c>
      <c r="G42" s="37">
        <f>+F42</f>
        <v>77987</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tr">
        <f>IF(G45&lt;=0,"Excess","Deficient")&amp;" Commodity Credits"</f>
        <v>Excess Commodity Credits</v>
      </c>
      <c r="G45" s="38">
        <f>+G32-G42</f>
        <v>-54542</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2024 Recycle Adjustment Calculation</v>
      </c>
      <c r="C48" s="30"/>
      <c r="D48" s="30"/>
      <c r="E48" s="30"/>
      <c r="F48" s="30"/>
      <c r="G48" s="14"/>
      <c r="H48" s="14"/>
      <c r="I48" s="14"/>
      <c r="J48" s="14"/>
      <c r="K48" s="14"/>
    </row>
    <row r="49" spans="2:27" s="16" customFormat="1" ht="10.5"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9.75">
      <c r="B50" s="14" t="s">
        <v>81</v>
      </c>
      <c r="C50" s="14"/>
      <c r="D50" s="14"/>
      <c r="E50" s="14"/>
      <c r="F50" s="14"/>
      <c r="G50" s="14"/>
      <c r="H50" s="14"/>
      <c r="I50" s="14"/>
      <c r="J50" s="14"/>
      <c r="K50" s="14"/>
    </row>
    <row r="51" spans="2:11" s="16" customFormat="1" ht="9.75">
      <c r="B51" s="14"/>
      <c r="C51" s="14"/>
      <c r="D51" s="14"/>
      <c r="E51" s="14"/>
      <c r="F51" s="32" t="s">
        <v>20</v>
      </c>
      <c r="G51" s="14">
        <f>+J26</f>
        <v>135407</v>
      </c>
      <c r="H51" s="20" t="s">
        <v>12</v>
      </c>
      <c r="I51" s="14"/>
      <c r="J51" s="14"/>
      <c r="K51" s="14"/>
    </row>
    <row r="52" spans="2:11" s="16" customFormat="1" ht="9.75">
      <c r="B52" s="14"/>
      <c r="C52" s="14"/>
      <c r="D52" s="14"/>
      <c r="E52" s="14"/>
      <c r="F52" s="32" t="s">
        <v>86</v>
      </c>
      <c r="G52" s="14">
        <f>+G45</f>
        <v>-54542</v>
      </c>
      <c r="H52" s="14"/>
      <c r="I52" s="14"/>
      <c r="J52" s="14"/>
      <c r="K52" s="14"/>
    </row>
    <row r="53" spans="2:11" s="16" customFormat="1" ht="9.75">
      <c r="B53" s="14"/>
      <c r="C53" s="14"/>
      <c r="D53" s="14"/>
      <c r="E53" s="14"/>
      <c r="F53" s="32"/>
      <c r="G53" s="14"/>
      <c r="H53" s="14"/>
      <c r="I53" s="14"/>
      <c r="J53" s="14"/>
      <c r="K53" s="14"/>
    </row>
    <row r="54" spans="2:11" s="16" customFormat="1" ht="10.5" thickBot="1">
      <c r="B54" s="14"/>
      <c r="C54" s="14"/>
      <c r="D54" s="14"/>
      <c r="E54" s="14"/>
      <c r="F54" s="32" t="s">
        <v>150</v>
      </c>
      <c r="G54" s="39">
        <f>ROUND(G52/G51,3)</f>
        <v>-0.403</v>
      </c>
      <c r="H54" s="14"/>
      <c r="I54" s="23">
        <f>+G54</f>
        <v>-0.403</v>
      </c>
      <c r="J54" s="14"/>
      <c r="K54" s="14"/>
    </row>
    <row r="55" spans="2:25" s="16" customFormat="1" ht="10.5" thickTop="1">
      <c r="B55" s="14"/>
      <c r="C55" s="14"/>
      <c r="D55" s="14"/>
      <c r="E55" s="14"/>
      <c r="F55" s="32"/>
      <c r="G55" s="14"/>
      <c r="H55" s="14"/>
      <c r="I55" s="23"/>
      <c r="J55" s="14"/>
      <c r="K55" s="14"/>
      <c r="Y55" s="14"/>
    </row>
    <row r="56" spans="2:14" s="16" customFormat="1" ht="9.75">
      <c r="B56" s="14" t="s">
        <v>82</v>
      </c>
      <c r="C56" s="14"/>
      <c r="D56" s="14"/>
      <c r="E56" s="14"/>
      <c r="F56" s="32"/>
      <c r="G56" s="14"/>
      <c r="H56" s="14"/>
      <c r="I56" s="23"/>
      <c r="J56" s="14"/>
      <c r="K56" s="14"/>
      <c r="N56" s="144" t="s">
        <v>77</v>
      </c>
    </row>
    <row r="57" spans="2:14" s="16" customFormat="1" ht="10.5" thickBot="1">
      <c r="B57" s="31"/>
      <c r="C57" s="14"/>
      <c r="D57" s="14"/>
      <c r="E57" s="14"/>
      <c r="F57" s="32" t="s">
        <v>88</v>
      </c>
      <c r="G57" s="40">
        <f>+F26/Value!$P$18*N57</f>
        <v>0.17299999999999996</v>
      </c>
      <c r="H57" s="14"/>
      <c r="I57" s="23">
        <f>F26</f>
        <v>0.173</v>
      </c>
      <c r="J57" s="20" t="s">
        <v>11</v>
      </c>
      <c r="K57" s="14"/>
      <c r="N57" s="145">
        <f>+'[2]WUTC_AW of Kent_MF'!$O$56</f>
        <v>0.5</v>
      </c>
    </row>
    <row r="58" spans="2:25" s="14" customFormat="1" ht="10.5" thickTop="1">
      <c r="B58" s="31"/>
      <c r="I58" s="23"/>
      <c r="X58" s="16"/>
      <c r="Y58" s="16"/>
    </row>
    <row r="59" spans="2:11" s="16" customFormat="1" ht="10.5" thickBot="1">
      <c r="B59" s="14"/>
      <c r="C59" s="14"/>
      <c r="D59" s="14"/>
      <c r="E59" s="14"/>
      <c r="F59" s="14"/>
      <c r="G59" s="32" t="s">
        <v>151</v>
      </c>
      <c r="H59" s="27"/>
      <c r="I59" s="28">
        <f>+I54+I57</f>
        <v>-0.23000000000000004</v>
      </c>
      <c r="J59" s="14"/>
      <c r="K59" s="14"/>
    </row>
    <row r="60" s="16" customFormat="1" ht="10.5" thickTop="1"/>
    <row r="61" s="16" customFormat="1" ht="9.75"/>
    <row r="62" spans="2:12" s="16" customFormat="1" ht="9.75">
      <c r="B62" s="137" t="s">
        <v>149</v>
      </c>
      <c r="G62" s="137" t="s">
        <v>104</v>
      </c>
      <c r="I62" s="149">
        <f>RSA!E24</f>
        <v>0.12442141103682837</v>
      </c>
      <c r="J62" s="16" t="s">
        <v>158</v>
      </c>
      <c r="L62" s="23"/>
    </row>
    <row r="63" spans="1:25" s="14" customFormat="1" ht="9.75">
      <c r="A63" s="115"/>
      <c r="B63" s="35"/>
      <c r="C63" s="35"/>
      <c r="D63" s="112"/>
      <c r="E63" s="35"/>
      <c r="F63" s="112"/>
      <c r="X63" s="16"/>
      <c r="Y63" s="16"/>
    </row>
    <row r="64" spans="1:9" s="16" customFormat="1" ht="10.5" thickBot="1">
      <c r="A64" s="115"/>
      <c r="B64" s="116"/>
      <c r="C64" s="35"/>
      <c r="D64" s="112"/>
      <c r="E64" s="112"/>
      <c r="F64" s="112"/>
      <c r="G64" s="32" t="str">
        <f>G59</f>
        <v>8/1/22 - 7/31/23 Adjusted Credit</v>
      </c>
      <c r="H64" s="27"/>
      <c r="I64" s="172">
        <f>+I59+I62</f>
        <v>-0.10557858896317167</v>
      </c>
    </row>
    <row r="65" spans="1:6" s="16" customFormat="1" ht="10.5" thickTop="1">
      <c r="A65" s="115"/>
      <c r="B65" s="116"/>
      <c r="C65" s="35"/>
      <c r="D65" s="112"/>
      <c r="E65" s="112"/>
      <c r="F65" s="112"/>
    </row>
    <row r="66" spans="1:6" s="16" customFormat="1" ht="9.75">
      <c r="A66" s="115"/>
      <c r="B66" s="116"/>
      <c r="C66" s="35"/>
      <c r="D66" s="112"/>
      <c r="E66" s="112"/>
      <c r="F66" s="112"/>
    </row>
    <row r="67" spans="1:25" s="16" customFormat="1" ht="9.75">
      <c r="A67" s="115"/>
      <c r="B67" s="116"/>
      <c r="C67" s="35"/>
      <c r="D67" s="112"/>
      <c r="E67" s="112"/>
      <c r="F67" s="112"/>
      <c r="Y67" s="14"/>
    </row>
    <row r="68" spans="1:6" s="16" customFormat="1" ht="9.75">
      <c r="A68" s="115"/>
      <c r="B68" s="116"/>
      <c r="C68" s="35"/>
      <c r="D68" s="112"/>
      <c r="E68" s="112"/>
      <c r="F68" s="112"/>
    </row>
    <row r="69" spans="1:6" s="16" customFormat="1" ht="9.75">
      <c r="A69" s="115"/>
      <c r="B69" s="116"/>
      <c r="C69" s="35"/>
      <c r="D69" s="112"/>
      <c r="E69" s="112"/>
      <c r="F69" s="112"/>
    </row>
    <row r="70" spans="1:6" s="16" customFormat="1" ht="9.75">
      <c r="A70" s="115"/>
      <c r="B70" s="116"/>
      <c r="C70" s="35"/>
      <c r="D70" s="112"/>
      <c r="E70" s="112"/>
      <c r="F70" s="112"/>
    </row>
    <row r="71" spans="1:27" s="16" customFormat="1" ht="9.75">
      <c r="A71" s="115"/>
      <c r="B71" s="116"/>
      <c r="C71" s="35"/>
      <c r="D71" s="112"/>
      <c r="E71" s="118"/>
      <c r="F71" s="112"/>
      <c r="G71" s="14"/>
      <c r="H71" s="13"/>
      <c r="I71" s="14"/>
      <c r="J71" s="14"/>
      <c r="K71" s="13"/>
      <c r="L71" s="14"/>
      <c r="M71" s="14"/>
      <c r="N71" s="14"/>
      <c r="O71" s="14"/>
      <c r="P71" s="14"/>
      <c r="Q71" s="14"/>
      <c r="R71" s="14"/>
      <c r="S71" s="14"/>
      <c r="T71" s="14"/>
      <c r="U71" s="14"/>
      <c r="V71" s="13"/>
      <c r="W71" s="14"/>
      <c r="AA71" s="14"/>
    </row>
    <row r="72" spans="1:6" s="16" customFormat="1" ht="9.75">
      <c r="A72" s="115"/>
      <c r="B72" s="116"/>
      <c r="C72" s="35"/>
      <c r="D72" s="112"/>
      <c r="E72" s="112"/>
      <c r="F72" s="112"/>
    </row>
    <row r="73" spans="1:6" s="16" customFormat="1" ht="9.75">
      <c r="A73" s="115"/>
      <c r="B73" s="35"/>
      <c r="C73" s="35"/>
      <c r="D73" s="112"/>
      <c r="E73" s="112"/>
      <c r="F73" s="112"/>
    </row>
    <row r="74" spans="1:6" s="16" customFormat="1" ht="9.75">
      <c r="A74" s="115"/>
      <c r="B74" s="35"/>
      <c r="C74" s="117"/>
      <c r="D74" s="112"/>
      <c r="E74" s="112"/>
      <c r="F74" s="112"/>
    </row>
    <row r="75" spans="1:6" s="16" customFormat="1" ht="12.75">
      <c r="A75" s="119"/>
      <c r="B75" s="119"/>
      <c r="C75" s="119"/>
      <c r="D75" s="120"/>
      <c r="E75" s="112"/>
      <c r="F75" s="119"/>
    </row>
    <row r="76" spans="1:25" s="16" customFormat="1" ht="9.75">
      <c r="A76" s="121"/>
      <c r="B76" s="35"/>
      <c r="C76" s="117"/>
      <c r="D76" s="112"/>
      <c r="E76" s="112"/>
      <c r="F76" s="122"/>
      <c r="Y76" s="14"/>
    </row>
    <row r="77" s="16" customFormat="1" ht="9.75"/>
    <row r="78" s="16" customFormat="1" ht="9.75"/>
    <row r="79" s="16" customFormat="1" ht="9.75"/>
    <row r="80" s="16" customFormat="1" ht="9.75">
      <c r="B80" s="8"/>
    </row>
    <row r="81" spans="2:25" s="14" customFormat="1" ht="9.75">
      <c r="B81" s="31"/>
      <c r="X81" s="16"/>
      <c r="Y81" s="16"/>
    </row>
    <row r="82" s="16" customFormat="1" ht="9.75"/>
    <row r="83" s="16" customFormat="1" ht="9.75"/>
    <row r="84" s="16" customFormat="1" ht="9.75"/>
    <row r="85" s="16" customFormat="1" ht="9.75"/>
    <row r="86" s="16" customFormat="1" ht="9.75"/>
    <row r="87" s="16" customFormat="1" ht="9.75"/>
    <row r="88" s="16" customFormat="1" ht="9.75"/>
    <row r="89" s="16" customFormat="1" ht="9.75"/>
    <row r="90" s="16" customFormat="1" ht="10.5">
      <c r="A90" s="6"/>
    </row>
    <row r="91" s="16" customFormat="1" ht="12.75">
      <c r="AA91" s="5"/>
    </row>
    <row r="92" s="16" customFormat="1" ht="12.75">
      <c r="AA92" s="5"/>
    </row>
    <row r="93" s="16" customFormat="1" ht="12.75">
      <c r="AA93" s="5"/>
    </row>
    <row r="94" s="16" customFormat="1" ht="12.75">
      <c r="AA94" s="5"/>
    </row>
    <row r="95" spans="7:27" s="16" customFormat="1" ht="12.75">
      <c r="G95" s="56"/>
      <c r="I95" s="56"/>
      <c r="J95" s="56"/>
      <c r="L95" s="56"/>
      <c r="M95" s="56"/>
      <c r="N95" s="56"/>
      <c r="O95" s="56"/>
      <c r="P95" s="56"/>
      <c r="Q95" s="56"/>
      <c r="R95" s="56"/>
      <c r="S95" s="56"/>
      <c r="T95" s="56"/>
      <c r="U95" s="56"/>
      <c r="V95" s="56"/>
      <c r="W95" s="56"/>
      <c r="X95" s="56"/>
      <c r="Y95" s="56"/>
      <c r="AA95" s="5"/>
    </row>
    <row r="96" s="16" customFormat="1" ht="12.75">
      <c r="AA96" s="5"/>
    </row>
    <row r="97" spans="7:27" s="16" customFormat="1" ht="13.5" thickBot="1">
      <c r="G97" s="57"/>
      <c r="I97" s="57"/>
      <c r="J97" s="57"/>
      <c r="L97" s="57"/>
      <c r="M97" s="57"/>
      <c r="N97" s="57"/>
      <c r="O97" s="57"/>
      <c r="P97" s="57"/>
      <c r="Q97" s="57"/>
      <c r="R97" s="57"/>
      <c r="S97" s="57"/>
      <c r="T97" s="57"/>
      <c r="U97" s="57"/>
      <c r="V97" s="57"/>
      <c r="W97" s="57"/>
      <c r="X97" s="57"/>
      <c r="Y97" s="57"/>
      <c r="AA97" s="5"/>
    </row>
    <row r="98" ht="13.5" thickTop="1"/>
    <row r="99" spans="23:25" ht="12.75">
      <c r="W99" s="58"/>
      <c r="X99" s="58"/>
      <c r="Y99" s="58"/>
    </row>
    <row r="100" spans="23:27" ht="12.75">
      <c r="W100" s="58"/>
      <c r="AA100" s="58"/>
    </row>
  </sheetData>
  <sheetProtection/>
  <printOptions horizontalCentered="1"/>
  <pageMargins left="0.25" right="0.25" top="0.25" bottom="0.25" header="0" footer="0"/>
  <pageSetup fitToHeight="1" fitToWidth="1" horizontalDpi="600" verticalDpi="600" orientation="portrait"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showGridLines="0" zoomScaleSheetLayoutView="100" zoomScalePageLayoutView="0" workbookViewId="0" topLeftCell="A1">
      <selection activeCell="P6" sqref="P6"/>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s>
  <sheetData>
    <row r="1" spans="1:2" ht="12.75">
      <c r="A1" s="59" t="s">
        <v>105</v>
      </c>
      <c r="B1" s="60"/>
    </row>
    <row r="2" spans="1:2" ht="12.75">
      <c r="A2" s="61" t="str">
        <f>'WUTC_AW of Bellevue_SF'!A1</f>
        <v>Rabanco Ltd (dba Republic Services)</v>
      </c>
      <c r="B2" s="61"/>
    </row>
    <row r="3" spans="1:15" ht="12.75">
      <c r="A3" s="61"/>
      <c r="B3" s="61"/>
      <c r="O3" s="73"/>
    </row>
    <row r="4" spans="1:15" ht="12.75">
      <c r="A4" s="61"/>
      <c r="B4" s="61"/>
      <c r="O4" s="73" t="str">
        <f>+TEXT(P18,"00.0%")&amp;" of"</f>
        <v>50.0% of</v>
      </c>
    </row>
    <row r="5" spans="2:16" ht="12.75">
      <c r="B5" s="70"/>
      <c r="C5" s="63" t="s">
        <v>21</v>
      </c>
      <c r="D5" s="63" t="s">
        <v>22</v>
      </c>
      <c r="E5" s="63" t="s">
        <v>84</v>
      </c>
      <c r="F5" s="63" t="s">
        <v>50</v>
      </c>
      <c r="G5" s="63" t="s">
        <v>85</v>
      </c>
      <c r="H5" s="63" t="s">
        <v>24</v>
      </c>
      <c r="I5" s="63" t="s">
        <v>25</v>
      </c>
      <c r="J5" s="63" t="s">
        <v>26</v>
      </c>
      <c r="K5" s="63" t="s">
        <v>27</v>
      </c>
      <c r="L5" s="63" t="s">
        <v>28</v>
      </c>
      <c r="M5" s="63" t="s">
        <v>29</v>
      </c>
      <c r="O5" s="73" t="s">
        <v>29</v>
      </c>
      <c r="P5" s="63" t="s">
        <v>78</v>
      </c>
    </row>
    <row r="6" spans="1:17" ht="15.75" customHeight="1">
      <c r="A6" s="65">
        <f>+Pricing!A6</f>
        <v>44682</v>
      </c>
      <c r="B6" s="66"/>
      <c r="C6" s="71">
        <f>'Commodity Tonnages'!C6*Pricing!C6</f>
        <v>9710.982240000003</v>
      </c>
      <c r="D6" s="74">
        <f>'Commodity Tonnages'!D6*Pricing!D6</f>
        <v>-3126.1920540000006</v>
      </c>
      <c r="E6" s="74">
        <f>'Commodity Tonnages'!E6*Pricing!E6</f>
        <v>0</v>
      </c>
      <c r="F6" s="74">
        <f>'Commodity Tonnages'!F6*Pricing!F6</f>
        <v>637.3426550400002</v>
      </c>
      <c r="G6" s="74">
        <f>'Commodity Tonnages'!G6*Pricing!G6</f>
        <v>105.44022700800001</v>
      </c>
      <c r="H6" s="74">
        <f>'Commodity Tonnages'!H6*Pricing!H6</f>
        <v>786.8318041600003</v>
      </c>
      <c r="I6" s="74">
        <f>'Commodity Tonnages'!I6*Pricing!I6</f>
        <v>3040.822768640001</v>
      </c>
      <c r="J6" s="74">
        <f>'Commodity Tonnages'!J6*Pricing!J6</f>
        <v>3040.822768640001</v>
      </c>
      <c r="K6" s="74">
        <f>'Commodity Tonnages'!K6*Pricing!K6</f>
        <v>9931.215870720003</v>
      </c>
      <c r="L6" s="74">
        <f>'Commodity Tonnages'!L6*Pricing!L6</f>
        <v>-8428.107684880002</v>
      </c>
      <c r="M6" s="129">
        <f>SUM(C6:L6)</f>
        <v>15699.158595328006</v>
      </c>
      <c r="O6" s="98">
        <f>M6*P6</f>
        <v>7849.579297664003</v>
      </c>
      <c r="P6" s="155">
        <v>0.5</v>
      </c>
      <c r="Q6" s="148"/>
    </row>
    <row r="7" spans="1:17" ht="15.75" customHeight="1">
      <c r="A7" s="65">
        <f>+Pricing!A7</f>
        <v>44742</v>
      </c>
      <c r="B7" s="66"/>
      <c r="C7" s="71">
        <f>'Commodity Tonnages'!C7*Pricing!C7</f>
        <v>9848.190877120001</v>
      </c>
      <c r="D7" s="74">
        <f>'Commodity Tonnages'!D7*Pricing!D7</f>
        <v>-3704.0943175</v>
      </c>
      <c r="E7" s="74">
        <f>'Commodity Tonnages'!E7*Pricing!E7</f>
        <v>0</v>
      </c>
      <c r="F7" s="74">
        <f>'Commodity Tonnages'!F7*Pricing!F7</f>
        <v>625.6864370400001</v>
      </c>
      <c r="G7" s="74">
        <f>'Commodity Tonnages'!G7*Pricing!G7</f>
        <v>99.73642184</v>
      </c>
      <c r="H7" s="74">
        <f>'Commodity Tonnages'!H7*Pricing!H7</f>
        <v>878.6739240000002</v>
      </c>
      <c r="I7" s="74">
        <f>'Commodity Tonnages'!I7*Pricing!I7</f>
        <v>3353.5149716800015</v>
      </c>
      <c r="J7" s="74">
        <f>'Commodity Tonnages'!J7*Pricing!J7</f>
        <v>3353.5149716800015</v>
      </c>
      <c r="K7" s="74">
        <f>'Commodity Tonnages'!K7*Pricing!K7</f>
        <v>11515.923640800003</v>
      </c>
      <c r="L7" s="74">
        <f>'Commodity Tonnages'!L7*Pricing!L7</f>
        <v>-9521.5557489</v>
      </c>
      <c r="M7" s="129">
        <f aca="true" t="shared" si="0" ref="M7:M17">SUM(C7:L7)</f>
        <v>16449.591177760005</v>
      </c>
      <c r="O7" s="98">
        <f aca="true" t="shared" si="1" ref="O7:O17">M7*P7</f>
        <v>8224.795588880002</v>
      </c>
      <c r="P7" s="155">
        <v>0.5</v>
      </c>
      <c r="Q7" s="148"/>
    </row>
    <row r="8" spans="1:17" ht="15.75" customHeight="1">
      <c r="A8" s="65">
        <f>+Pricing!A8</f>
        <v>44773</v>
      </c>
      <c r="B8" s="66"/>
      <c r="C8" s="71">
        <f>'Commodity Tonnages'!C8*Pricing!C8</f>
        <v>6485.451889728002</v>
      </c>
      <c r="D8" s="74">
        <f>'Commodity Tonnages'!D8*Pricing!D8</f>
        <v>-3194.02124725</v>
      </c>
      <c r="E8" s="74">
        <f>'Commodity Tonnages'!E8*Pricing!E8</f>
        <v>0</v>
      </c>
      <c r="F8" s="74">
        <f>'Commodity Tonnages'!F8*Pricing!F8</f>
        <v>370.054858824</v>
      </c>
      <c r="G8" s="74">
        <f>'Commodity Tonnages'!G8*Pricing!G8</f>
        <v>51.59973229600001</v>
      </c>
      <c r="H8" s="74">
        <f>'Commodity Tonnages'!H8*Pricing!H8</f>
        <v>1261.2843972800003</v>
      </c>
      <c r="I8" s="74">
        <f>'Commodity Tonnages'!I8*Pricing!I8</f>
        <v>1352.7414538360003</v>
      </c>
      <c r="J8" s="74">
        <f>'Commodity Tonnages'!J8*Pricing!J8</f>
        <v>1352.7414538360003</v>
      </c>
      <c r="K8" s="74">
        <f>'Commodity Tonnages'!K8*Pricing!K8</f>
        <v>8987.025110400004</v>
      </c>
      <c r="L8" s="74">
        <f>'Commodity Tonnages'!L8*Pricing!L8</f>
        <v>-7367.513629580001</v>
      </c>
      <c r="M8" s="129">
        <f t="shared" si="0"/>
        <v>9299.364019370008</v>
      </c>
      <c r="O8" s="98">
        <f t="shared" si="1"/>
        <v>4649.682009685004</v>
      </c>
      <c r="P8" s="155">
        <v>0.5</v>
      </c>
      <c r="Q8" s="148"/>
    </row>
    <row r="9" spans="1:17" ht="15.75" customHeight="1">
      <c r="A9" s="65">
        <f>+Pricing!A9</f>
        <v>44804</v>
      </c>
      <c r="B9" s="66"/>
      <c r="C9" s="71">
        <f>'Commodity Tonnages'!C9*Pricing!C9</f>
        <v>6669.051816719999</v>
      </c>
      <c r="D9" s="74">
        <f>'Commodity Tonnages'!D9*Pricing!D9</f>
        <v>-3167.4900915</v>
      </c>
      <c r="E9" s="74">
        <f>'Commodity Tonnages'!E9*Pricing!E9</f>
        <v>0</v>
      </c>
      <c r="F9" s="74">
        <f>'Commodity Tonnages'!F9*Pricing!F9</f>
        <v>348.25252089599996</v>
      </c>
      <c r="G9" s="74">
        <f>'Commodity Tonnages'!G9*Pricing!G9</f>
        <v>49.537613807999996</v>
      </c>
      <c r="H9" s="74">
        <f>'Commodity Tonnages'!H9*Pricing!H9</f>
        <v>-49.576617299999995</v>
      </c>
      <c r="I9" s="74">
        <f>'Commodity Tonnages'!I9*Pricing!I9</f>
        <v>796.3733913569998</v>
      </c>
      <c r="J9" s="74">
        <f>'Commodity Tonnages'!J9*Pricing!J9</f>
        <v>796.3733913569998</v>
      </c>
      <c r="K9" s="74">
        <f>'Commodity Tonnages'!K9*Pricing!K9</f>
        <v>8307.318303359998</v>
      </c>
      <c r="L9" s="74">
        <f>'Commodity Tonnages'!L9*Pricing!L9</f>
        <v>-7252.72012296</v>
      </c>
      <c r="M9" s="129">
        <f>SUM(C9:L9)</f>
        <v>6497.120205737996</v>
      </c>
      <c r="O9" s="98">
        <f t="shared" si="1"/>
        <v>3248.560102868998</v>
      </c>
      <c r="P9" s="155">
        <v>0.5</v>
      </c>
      <c r="Q9" s="148"/>
    </row>
    <row r="10" spans="1:17" ht="15.75" customHeight="1">
      <c r="A10" s="65">
        <f>+Pricing!A10</f>
        <v>44834</v>
      </c>
      <c r="B10" s="66"/>
      <c r="C10" s="71">
        <f>'Commodity Tonnages'!C10*Pricing!C10</f>
        <v>6022.95834592</v>
      </c>
      <c r="D10" s="74">
        <f>'Commodity Tonnages'!D10*Pricing!D10</f>
        <v>-3188.173989</v>
      </c>
      <c r="E10" s="74">
        <f>'Commodity Tonnages'!E10*Pricing!E10</f>
        <v>0</v>
      </c>
      <c r="F10" s="74">
        <f>'Commodity Tonnages'!F10*Pricing!F10</f>
        <v>335.200085136</v>
      </c>
      <c r="G10" s="74">
        <f>'Commodity Tonnages'!G10*Pricing!G10</f>
        <v>53.86668720000001</v>
      </c>
      <c r="H10" s="74">
        <f>'Commodity Tonnages'!H10*Pricing!H10</f>
        <v>-5775.010092400001</v>
      </c>
      <c r="I10" s="74">
        <f>'Commodity Tonnages'!I10*Pricing!I10</f>
        <v>328.59235443600005</v>
      </c>
      <c r="J10" s="74">
        <f>'Commodity Tonnages'!J10*Pricing!J10</f>
        <v>328.59235443600005</v>
      </c>
      <c r="K10" s="74">
        <f>'Commodity Tonnages'!K10*Pricing!K10</f>
        <v>4588.98957072</v>
      </c>
      <c r="L10" s="74">
        <f>'Commodity Tonnages'!L10*Pricing!L10</f>
        <v>-7093.68615358</v>
      </c>
      <c r="M10" s="129">
        <f t="shared" si="0"/>
        <v>-4398.670837132</v>
      </c>
      <c r="O10" s="98">
        <f t="shared" si="1"/>
        <v>-2199.335418566</v>
      </c>
      <c r="P10" s="155">
        <v>0.5</v>
      </c>
      <c r="Q10" s="148"/>
    </row>
    <row r="11" spans="1:17" ht="15.75" customHeight="1">
      <c r="A11" s="65">
        <f>+Pricing!A11</f>
        <v>44865</v>
      </c>
      <c r="B11" s="66"/>
      <c r="C11" s="71">
        <f>'Commodity Tonnages'!C11*Pricing!C11</f>
        <v>5424.070591888</v>
      </c>
      <c r="D11" s="74">
        <f>'Commodity Tonnages'!D11*Pricing!D11</f>
        <v>-3043.9785447499994</v>
      </c>
      <c r="E11" s="74">
        <f>'Commodity Tonnages'!E11*Pricing!E11</f>
        <v>0</v>
      </c>
      <c r="F11" s="74">
        <f>'Commodity Tonnages'!F11*Pricing!F11</f>
        <v>215.67608680799995</v>
      </c>
      <c r="G11" s="74">
        <f>'Commodity Tonnages'!G11*Pricing!G11</f>
        <v>51.81544066399999</v>
      </c>
      <c r="H11" s="74">
        <f>'Commodity Tonnages'!H11*Pricing!H11</f>
        <v>-5670.5239513</v>
      </c>
      <c r="I11" s="74">
        <f>'Commodity Tonnages'!I11*Pricing!I11</f>
        <v>817.019581872</v>
      </c>
      <c r="J11" s="74">
        <f>'Commodity Tonnages'!J11*Pricing!J11</f>
        <v>817.019581872</v>
      </c>
      <c r="K11" s="74">
        <f>'Commodity Tonnages'!K11*Pricing!K11</f>
        <v>2498.3391888</v>
      </c>
      <c r="L11" s="74">
        <f>'Commodity Tonnages'!L11*Pricing!L11</f>
        <v>-7163.24306854</v>
      </c>
      <c r="M11" s="129">
        <f t="shared" si="0"/>
        <v>-6053.805092686</v>
      </c>
      <c r="O11" s="98">
        <f t="shared" si="1"/>
        <v>-3026.902546343</v>
      </c>
      <c r="P11" s="155">
        <v>0.5</v>
      </c>
      <c r="Q11" s="148"/>
    </row>
    <row r="12" spans="1:17" ht="15.75" customHeight="1">
      <c r="A12" s="65">
        <f>+Pricing!A12</f>
        <v>44895</v>
      </c>
      <c r="B12" s="66"/>
      <c r="C12" s="71">
        <f>'Commodity Tonnages'!C12*Pricing!C12</f>
        <v>7048.87159872</v>
      </c>
      <c r="D12" s="74">
        <f>'Commodity Tonnages'!D12*Pricing!D12</f>
        <v>-3003.4853099999996</v>
      </c>
      <c r="E12" s="74">
        <f>'Commodity Tonnages'!E12*Pricing!E12</f>
        <v>0</v>
      </c>
      <c r="F12" s="74">
        <f>'Commodity Tonnages'!F12*Pricing!F12</f>
        <v>237.73209264</v>
      </c>
      <c r="G12" s="74">
        <f>'Commodity Tonnages'!G12*Pricing!G12</f>
        <v>63.15544368</v>
      </c>
      <c r="H12" s="74">
        <f>'Commodity Tonnages'!H12*Pricing!H12</f>
        <v>-4440.076368</v>
      </c>
      <c r="I12" s="74">
        <f>'Commodity Tonnages'!I12*Pricing!I12</f>
        <v>874.5091152000001</v>
      </c>
      <c r="J12" s="74">
        <f>'Commodity Tonnages'!J12*Pricing!J12</f>
        <v>874.5091152000001</v>
      </c>
      <c r="K12" s="74">
        <f>'Commodity Tonnages'!K12*Pricing!K12</f>
        <v>4255.1677728</v>
      </c>
      <c r="L12" s="74">
        <f>'Commodity Tonnages'!L12*Pricing!L12</f>
        <v>-8473.0973964</v>
      </c>
      <c r="M12" s="129">
        <f t="shared" si="0"/>
        <v>-2562.7139361599993</v>
      </c>
      <c r="O12" s="98">
        <f t="shared" si="1"/>
        <v>-1281.3569680799997</v>
      </c>
      <c r="P12" s="155">
        <v>0.5</v>
      </c>
      <c r="Q12" s="148"/>
    </row>
    <row r="13" spans="1:17" ht="15.75" customHeight="1">
      <c r="A13" s="65">
        <f>+Pricing!A13</f>
        <v>44926</v>
      </c>
      <c r="B13" s="66"/>
      <c r="C13" s="71">
        <f>'Commodity Tonnages'!C13*Pricing!C13</f>
        <v>6339.963290688001</v>
      </c>
      <c r="D13" s="74">
        <f>'Commodity Tonnages'!D13*Pricing!D13</f>
        <v>-3385.5029399999994</v>
      </c>
      <c r="E13" s="74">
        <f>'Commodity Tonnages'!E13*Pricing!E13</f>
        <v>0</v>
      </c>
      <c r="F13" s="74">
        <f>'Commodity Tonnages'!F13*Pricing!F13</f>
        <v>298.703073312</v>
      </c>
      <c r="G13" s="74">
        <f>'Commodity Tonnages'!G13*Pricing!G13</f>
        <v>36.371796672</v>
      </c>
      <c r="H13" s="74">
        <f>'Commodity Tonnages'!H13*Pricing!H13</f>
        <v>-4241.0287236</v>
      </c>
      <c r="I13" s="74">
        <f>'Commodity Tonnages'!I13*Pricing!I13</f>
        <v>716.0067209999999</v>
      </c>
      <c r="J13" s="74">
        <f>'Commodity Tonnages'!J13*Pricing!J13</f>
        <v>716.0067209999999</v>
      </c>
      <c r="K13" s="74">
        <f>'Commodity Tonnages'!K13*Pricing!K13</f>
        <v>3483.74164032</v>
      </c>
      <c r="L13" s="74">
        <f>'Commodity Tonnages'!L13*Pricing!L13</f>
        <v>-7047.07892616</v>
      </c>
      <c r="M13" s="129">
        <f t="shared" si="0"/>
        <v>-3082.817346768</v>
      </c>
      <c r="O13" s="98">
        <f t="shared" si="1"/>
        <v>-1541.408673384</v>
      </c>
      <c r="P13" s="155">
        <v>0.5</v>
      </c>
      <c r="Q13" s="148"/>
    </row>
    <row r="14" spans="1:17" ht="15.75" customHeight="1">
      <c r="A14" s="65">
        <f>+Pricing!A14</f>
        <v>44957</v>
      </c>
      <c r="B14" s="66"/>
      <c r="C14" s="71">
        <f>'Commodity Tonnages'!C14*Pricing!C14</f>
        <v>7077.1545903999995</v>
      </c>
      <c r="D14" s="74">
        <f>'Commodity Tonnages'!D14*Pricing!D14</f>
        <v>-3157.0701648</v>
      </c>
      <c r="E14" s="74">
        <f>'Commodity Tonnages'!E14*Pricing!E14</f>
        <v>0</v>
      </c>
      <c r="F14" s="74">
        <f>'Commodity Tonnages'!F14*Pricing!F14</f>
        <v>444.758405504</v>
      </c>
      <c r="G14" s="74">
        <f>'Commodity Tonnages'!G14*Pricing!G14</f>
        <v>33.54431744</v>
      </c>
      <c r="H14" s="74">
        <f>'Commodity Tonnages'!H14*Pricing!H14</f>
        <v>-1060.27765024</v>
      </c>
      <c r="I14" s="74">
        <f>'Commodity Tonnages'!I14*Pricing!I14</f>
        <v>801.3769983599999</v>
      </c>
      <c r="J14" s="74">
        <f>'Commodity Tonnages'!J14*Pricing!J14</f>
        <v>801.3769983599999</v>
      </c>
      <c r="K14" s="74">
        <f>'Commodity Tonnages'!K14*Pricing!K14</f>
        <v>5068.188412992</v>
      </c>
      <c r="L14" s="74">
        <f>'Commodity Tonnages'!L14*Pricing!L14</f>
        <v>-9037.260293599998</v>
      </c>
      <c r="M14" s="129">
        <f t="shared" si="0"/>
        <v>971.791614415999</v>
      </c>
      <c r="O14" s="98">
        <f t="shared" si="1"/>
        <v>485.8958072079995</v>
      </c>
      <c r="P14" s="155">
        <v>0.5</v>
      </c>
      <c r="Q14" s="148"/>
    </row>
    <row r="15" spans="1:17" ht="15.75" customHeight="1">
      <c r="A15" s="65">
        <f>+Pricing!A15</f>
        <v>44985</v>
      </c>
      <c r="B15" s="66"/>
      <c r="C15" s="71">
        <f>'Commodity Tonnages'!C15*Pricing!C15</f>
        <v>6014.313034168001</v>
      </c>
      <c r="D15" s="74">
        <f>'Commodity Tonnages'!D15*Pricing!D15</f>
        <v>-2336.5063515</v>
      </c>
      <c r="E15" s="74">
        <f>'Commodity Tonnages'!E15*Pricing!E15</f>
        <v>0</v>
      </c>
      <c r="F15" s="74">
        <f>'Commodity Tonnages'!F15*Pricing!F15</f>
        <v>390.2688535440001</v>
      </c>
      <c r="G15" s="74">
        <f>'Commodity Tonnages'!G15*Pricing!G15</f>
        <v>32.96300728000001</v>
      </c>
      <c r="H15" s="74">
        <f>'Commodity Tonnages'!H15*Pricing!H15</f>
        <v>316.087460888</v>
      </c>
      <c r="I15" s="74">
        <f>'Commodity Tonnages'!I15*Pricing!I15</f>
        <v>995.3047751880002</v>
      </c>
      <c r="J15" s="74">
        <f>'Commodity Tonnages'!J15*Pricing!J15</f>
        <v>995.3047751880002</v>
      </c>
      <c r="K15" s="74">
        <f>'Commodity Tonnages'!K15*Pricing!K15</f>
        <v>5565.139218432001</v>
      </c>
      <c r="L15" s="74">
        <f>'Commodity Tonnages'!L15*Pricing!L15</f>
        <v>-7453.565645679999</v>
      </c>
      <c r="M15" s="129">
        <f t="shared" si="0"/>
        <v>4519.309127508004</v>
      </c>
      <c r="O15" s="98">
        <f t="shared" si="1"/>
        <v>2259.654563754002</v>
      </c>
      <c r="P15" s="155">
        <v>0.5</v>
      </c>
      <c r="Q15" s="148"/>
    </row>
    <row r="16" spans="1:17" ht="15.75" customHeight="1">
      <c r="A16" s="65">
        <f>+Pricing!A16</f>
        <v>45016</v>
      </c>
      <c r="B16" s="66"/>
      <c r="C16" s="71">
        <f>'Commodity Tonnages'!C16*Pricing!C16</f>
        <v>6104.355690543572</v>
      </c>
      <c r="D16" s="74">
        <f>'Commodity Tonnages'!D16*Pricing!D16</f>
        <v>-2591.819278520395</v>
      </c>
      <c r="E16" s="74">
        <f>'Commodity Tonnages'!E16*Pricing!E16</f>
        <v>0</v>
      </c>
      <c r="F16" s="74">
        <f>'Commodity Tonnages'!F16*Pricing!F16</f>
        <v>556.9973319291647</v>
      </c>
      <c r="G16" s="74">
        <f>'Commodity Tonnages'!G16*Pricing!G16</f>
        <v>40.55969115222336</v>
      </c>
      <c r="H16" s="74">
        <f>'Commodity Tonnages'!H16*Pricing!H16</f>
        <v>1111.6695071219965</v>
      </c>
      <c r="I16" s="74">
        <f>'Commodity Tonnages'!I16*Pricing!I16</f>
        <v>920.456515809469</v>
      </c>
      <c r="J16" s="74">
        <f>'Commodity Tonnages'!J16*Pricing!J16</f>
        <v>920.456515809469</v>
      </c>
      <c r="K16" s="74">
        <f>'Commodity Tonnages'!K16*Pricing!K16</f>
        <v>6184.822192736532</v>
      </c>
      <c r="L16" s="74">
        <f>'Commodity Tonnages'!L16*Pricing!L16</f>
        <v>-8231.066990965845</v>
      </c>
      <c r="M16" s="129">
        <f t="shared" si="0"/>
        <v>5016.431175616186</v>
      </c>
      <c r="O16" s="98">
        <f t="shared" si="1"/>
        <v>2508.215587808093</v>
      </c>
      <c r="P16" s="155">
        <v>0.5</v>
      </c>
      <c r="Q16" s="148"/>
    </row>
    <row r="17" spans="1:17" ht="15.75" customHeight="1">
      <c r="A17" s="65">
        <f>+Pricing!A17</f>
        <v>45046</v>
      </c>
      <c r="B17" s="66"/>
      <c r="C17" s="71">
        <f>'Commodity Tonnages'!C17*Pricing!C17</f>
        <v>5343.392671126969</v>
      </c>
      <c r="D17" s="74">
        <f>'Commodity Tonnages'!D17*Pricing!D17</f>
        <v>-3195.6906898287248</v>
      </c>
      <c r="E17" s="74">
        <f>'Commodity Tonnages'!E17*Pricing!E17</f>
        <v>0</v>
      </c>
      <c r="F17" s="74">
        <f>'Commodity Tonnages'!F17*Pricing!F17</f>
        <v>412.0912352015698</v>
      </c>
      <c r="G17" s="74">
        <f>'Commodity Tonnages'!G17*Pricing!G17</f>
        <v>31.347065998762133</v>
      </c>
      <c r="H17" s="74">
        <f>'Commodity Tonnages'!H17*Pricing!H17</f>
        <v>2129.7224584535775</v>
      </c>
      <c r="I17" s="74">
        <f>'Commodity Tonnages'!I17*Pricing!I17</f>
        <v>1208.0700260849749</v>
      </c>
      <c r="J17" s="74">
        <f>'Commodity Tonnages'!J17*Pricing!J17</f>
        <v>1208.0700260849749</v>
      </c>
      <c r="K17" s="74">
        <f>'Commodity Tonnages'!K17*Pricing!K17</f>
        <v>5183.203172639636</v>
      </c>
      <c r="L17" s="74">
        <f>'Commodity Tonnages'!L17*Pricing!L17</f>
        <v>-7784.899987673469</v>
      </c>
      <c r="M17" s="129">
        <f t="shared" si="0"/>
        <v>4535.30597808827</v>
      </c>
      <c r="O17" s="98">
        <f t="shared" si="1"/>
        <v>2267.652989044135</v>
      </c>
      <c r="P17" s="155">
        <v>0.5</v>
      </c>
      <c r="Q17" s="148"/>
    </row>
    <row r="18" spans="1:16" ht="15.75" customHeight="1">
      <c r="A18" s="69" t="s">
        <v>31</v>
      </c>
      <c r="B18" s="66"/>
      <c r="C18" s="130">
        <f aca="true" t="shared" si="2" ref="C18:L18">SUM(C6:C17)</f>
        <v>82088.75663702255</v>
      </c>
      <c r="D18" s="131">
        <f t="shared" si="2"/>
        <v>-37094.02497864912</v>
      </c>
      <c r="E18" s="131">
        <f t="shared" si="2"/>
        <v>0</v>
      </c>
      <c r="F18" s="130">
        <f t="shared" si="2"/>
        <v>4872.763635874735</v>
      </c>
      <c r="G18" s="130">
        <f t="shared" si="2"/>
        <v>649.9374450389855</v>
      </c>
      <c r="H18" s="130">
        <f t="shared" si="2"/>
        <v>-14752.223850936427</v>
      </c>
      <c r="I18" s="130">
        <f t="shared" si="2"/>
        <v>15204.788673463447</v>
      </c>
      <c r="J18" s="130">
        <f t="shared" si="2"/>
        <v>15204.788673463447</v>
      </c>
      <c r="K18" s="130">
        <f t="shared" si="2"/>
        <v>75569.07409472017</v>
      </c>
      <c r="L18" s="131">
        <f t="shared" si="2"/>
        <v>-94853.79564891932</v>
      </c>
      <c r="M18" s="132">
        <f>SUM(C18:L18)</f>
        <v>46890.06468107847</v>
      </c>
      <c r="O18" s="133">
        <f>SUM(O6:O17)</f>
        <v>23445.03234053924</v>
      </c>
      <c r="P18" s="138">
        <f>+O18/M18</f>
        <v>0.5000000000000001</v>
      </c>
    </row>
    <row r="19" spans="1:15" ht="12">
      <c r="A19" s="66"/>
      <c r="B19" s="66"/>
      <c r="C19" s="71"/>
      <c r="D19" s="71"/>
      <c r="E19" s="71"/>
      <c r="F19" s="71"/>
      <c r="G19" s="71"/>
      <c r="H19" s="71"/>
      <c r="I19" s="71"/>
      <c r="J19" s="71"/>
      <c r="K19" s="71"/>
      <c r="L19" s="71"/>
      <c r="M19" s="71"/>
      <c r="O19" s="80"/>
    </row>
    <row r="20" spans="1:15" ht="12">
      <c r="A20" s="66"/>
      <c r="B20" s="66"/>
      <c r="C20" s="66"/>
      <c r="D20" s="66"/>
      <c r="E20" s="66"/>
      <c r="F20" s="66"/>
      <c r="G20" s="66"/>
      <c r="H20" s="66"/>
      <c r="I20" s="66"/>
      <c r="J20" s="66"/>
      <c r="K20" s="66"/>
      <c r="L20" s="66"/>
      <c r="M20" s="67"/>
      <c r="O20" s="81"/>
    </row>
    <row r="21" spans="1:15" ht="12">
      <c r="A21" s="66"/>
      <c r="B21" s="66"/>
      <c r="C21" s="66"/>
      <c r="D21" s="66"/>
      <c r="E21" s="66"/>
      <c r="F21" s="66"/>
      <c r="G21" s="66"/>
      <c r="H21" s="66"/>
      <c r="I21" s="66"/>
      <c r="J21" s="66"/>
      <c r="K21" s="66"/>
      <c r="L21" s="66"/>
      <c r="M21" s="67"/>
      <c r="O21" s="82"/>
    </row>
    <row r="22" spans="1:13" ht="12">
      <c r="A22" s="66"/>
      <c r="B22" s="66"/>
      <c r="C22" s="66"/>
      <c r="D22" s="66"/>
      <c r="E22" s="66"/>
      <c r="F22" s="66"/>
      <c r="G22" s="66"/>
      <c r="H22" s="66"/>
      <c r="I22" s="66"/>
      <c r="J22" s="66"/>
      <c r="K22" s="66"/>
      <c r="L22" s="66"/>
      <c r="M22" s="67"/>
    </row>
    <row r="23" spans="1:13" ht="12">
      <c r="A23" s="66"/>
      <c r="B23" s="66"/>
      <c r="C23" s="66"/>
      <c r="D23" s="66"/>
      <c r="E23" s="66"/>
      <c r="F23" s="66"/>
      <c r="G23" s="66"/>
      <c r="H23" s="66"/>
      <c r="I23" s="66"/>
      <c r="J23" s="66"/>
      <c r="K23" s="66"/>
      <c r="L23" s="66"/>
      <c r="M23" s="67"/>
    </row>
    <row r="24" spans="1:13" ht="12">
      <c r="A24" s="66"/>
      <c r="B24" s="66"/>
      <c r="C24" s="66"/>
      <c r="D24" s="66"/>
      <c r="E24" s="66"/>
      <c r="F24" s="66"/>
      <c r="G24" s="66"/>
      <c r="H24" s="66"/>
      <c r="I24" s="66"/>
      <c r="J24" s="66"/>
      <c r="K24" s="66"/>
      <c r="L24" s="66"/>
      <c r="M24" s="67"/>
    </row>
    <row r="25" spans="1:13" ht="12">
      <c r="A25" s="66"/>
      <c r="B25" s="66"/>
      <c r="C25" s="66"/>
      <c r="D25" s="66"/>
      <c r="E25" s="66"/>
      <c r="F25" s="66"/>
      <c r="G25" s="66"/>
      <c r="H25" s="66"/>
      <c r="I25" s="66"/>
      <c r="J25" s="66"/>
      <c r="K25" s="66"/>
      <c r="L25" s="66"/>
      <c r="M25" s="67"/>
    </row>
    <row r="26" spans="1:13" ht="12">
      <c r="A26" s="66"/>
      <c r="B26" s="66"/>
      <c r="C26" s="66"/>
      <c r="D26" s="66"/>
      <c r="E26" s="66"/>
      <c r="F26" s="66"/>
      <c r="G26" s="66"/>
      <c r="H26" s="66"/>
      <c r="I26" s="66"/>
      <c r="J26" s="66"/>
      <c r="K26" s="66"/>
      <c r="L26" s="66"/>
      <c r="M26" s="67"/>
    </row>
    <row r="27" spans="1:13" ht="12">
      <c r="A27" s="66"/>
      <c r="B27" s="66"/>
      <c r="C27" s="66"/>
      <c r="D27" s="66"/>
      <c r="E27" s="66"/>
      <c r="F27" s="66"/>
      <c r="G27" s="66"/>
      <c r="H27" s="66"/>
      <c r="I27" s="66"/>
      <c r="J27" s="66"/>
      <c r="K27" s="66"/>
      <c r="L27" s="66"/>
      <c r="M27" s="67"/>
    </row>
    <row r="28" spans="1:13" ht="12">
      <c r="A28" s="66"/>
      <c r="B28" s="66"/>
      <c r="C28" s="66"/>
      <c r="D28" s="66"/>
      <c r="E28" s="66"/>
      <c r="F28" s="66"/>
      <c r="G28" s="66"/>
      <c r="H28" s="66"/>
      <c r="I28" s="66"/>
      <c r="J28" s="66"/>
      <c r="K28" s="66"/>
      <c r="L28" s="66"/>
      <c r="M28" s="66"/>
    </row>
    <row r="29" spans="1:13" ht="12">
      <c r="A29" s="66"/>
      <c r="B29" s="66"/>
      <c r="C29" s="66"/>
      <c r="D29" s="66"/>
      <c r="E29" s="66"/>
      <c r="F29" s="66"/>
      <c r="G29" s="66"/>
      <c r="H29" s="66"/>
      <c r="I29" s="66"/>
      <c r="J29" s="66"/>
      <c r="K29" s="66"/>
      <c r="L29" s="66"/>
      <c r="M29" s="66"/>
    </row>
    <row r="30" spans="1:13" ht="12">
      <c r="A30" s="66"/>
      <c r="B30" s="66"/>
      <c r="C30" s="66"/>
      <c r="D30" s="66"/>
      <c r="E30" s="66"/>
      <c r="F30" s="66"/>
      <c r="G30" s="66"/>
      <c r="H30" s="66"/>
      <c r="I30" s="66"/>
      <c r="J30" s="66"/>
      <c r="K30" s="66"/>
      <c r="L30" s="66"/>
      <c r="M30" s="66"/>
    </row>
    <row r="31" spans="1:13" ht="12">
      <c r="A31" s="66"/>
      <c r="B31" s="66"/>
      <c r="C31" s="66"/>
      <c r="D31" s="66"/>
      <c r="E31" s="66"/>
      <c r="F31" s="66"/>
      <c r="G31" s="66"/>
      <c r="H31" s="66"/>
      <c r="I31" s="66"/>
      <c r="J31" s="66"/>
      <c r="K31" s="66"/>
      <c r="L31" s="66"/>
      <c r="M31" s="66"/>
    </row>
    <row r="32" spans="1:13" ht="12">
      <c r="A32" s="66"/>
      <c r="B32" s="66"/>
      <c r="C32" s="66"/>
      <c r="D32" s="66"/>
      <c r="E32" s="66"/>
      <c r="F32" s="66"/>
      <c r="G32" s="66"/>
      <c r="H32" s="66"/>
      <c r="I32" s="66"/>
      <c r="J32" s="66"/>
      <c r="K32" s="66"/>
      <c r="L32" s="66"/>
      <c r="M32" s="66"/>
    </row>
    <row r="33" spans="1:13" ht="12">
      <c r="A33" s="66"/>
      <c r="B33" s="66"/>
      <c r="C33" s="66"/>
      <c r="D33" s="66"/>
      <c r="E33" s="66"/>
      <c r="F33" s="66"/>
      <c r="G33" s="66"/>
      <c r="H33" s="66"/>
      <c r="I33" s="66"/>
      <c r="J33" s="66"/>
      <c r="K33" s="66"/>
      <c r="L33" s="66"/>
      <c r="M33" s="66"/>
    </row>
    <row r="34" spans="1:13" ht="12">
      <c r="A34" s="66"/>
      <c r="B34" s="66"/>
      <c r="C34" s="66"/>
      <c r="D34" s="66"/>
      <c r="E34" s="66"/>
      <c r="F34" s="66"/>
      <c r="G34" s="66"/>
      <c r="H34" s="66"/>
      <c r="I34" s="66"/>
      <c r="J34" s="66"/>
      <c r="K34" s="66"/>
      <c r="L34" s="66"/>
      <c r="M34" s="66"/>
    </row>
    <row r="35" spans="1:13" ht="12">
      <c r="A35" s="66"/>
      <c r="B35" s="66"/>
      <c r="C35" s="66"/>
      <c r="D35" s="66"/>
      <c r="E35" s="66"/>
      <c r="F35" s="66"/>
      <c r="G35" s="66"/>
      <c r="H35" s="66"/>
      <c r="I35" s="66"/>
      <c r="J35" s="66"/>
      <c r="K35" s="66"/>
      <c r="L35" s="66"/>
      <c r="M35" s="66"/>
    </row>
    <row r="36" spans="1:13" ht="12">
      <c r="A36" s="66"/>
      <c r="B36" s="66"/>
      <c r="C36" s="66"/>
      <c r="D36" s="66"/>
      <c r="E36" s="66"/>
      <c r="F36" s="66"/>
      <c r="G36" s="66"/>
      <c r="H36" s="66"/>
      <c r="I36" s="66"/>
      <c r="J36" s="66"/>
      <c r="K36" s="66"/>
      <c r="L36" s="66"/>
      <c r="M36" s="66"/>
    </row>
    <row r="37" spans="1:13" ht="12">
      <c r="A37" s="66"/>
      <c r="B37" s="66"/>
      <c r="C37" s="66"/>
      <c r="D37" s="66"/>
      <c r="E37" s="66"/>
      <c r="F37" s="66"/>
      <c r="G37" s="66"/>
      <c r="H37" s="66"/>
      <c r="I37" s="66"/>
      <c r="J37" s="66"/>
      <c r="K37" s="66"/>
      <c r="L37" s="66"/>
      <c r="M37" s="66"/>
    </row>
    <row r="38" spans="1:13" ht="12">
      <c r="A38" s="66"/>
      <c r="B38" s="66"/>
      <c r="C38" s="66"/>
      <c r="D38" s="66"/>
      <c r="E38" s="66"/>
      <c r="F38" s="66"/>
      <c r="G38" s="66"/>
      <c r="H38" s="66"/>
      <c r="I38" s="66"/>
      <c r="J38" s="66"/>
      <c r="K38" s="66"/>
      <c r="L38" s="66"/>
      <c r="M38" s="66"/>
    </row>
    <row r="39" spans="1:13" ht="12">
      <c r="A39" s="66"/>
      <c r="B39" s="66"/>
      <c r="C39" s="66"/>
      <c r="D39" s="66"/>
      <c r="E39" s="66"/>
      <c r="F39" s="66"/>
      <c r="G39" s="66"/>
      <c r="H39" s="66"/>
      <c r="I39" s="66"/>
      <c r="J39" s="66"/>
      <c r="K39" s="66"/>
      <c r="L39" s="66"/>
      <c r="M39" s="66"/>
    </row>
    <row r="40" spans="1:13" ht="12">
      <c r="A40" s="66"/>
      <c r="B40" s="66"/>
      <c r="C40" s="66"/>
      <c r="D40" s="66"/>
      <c r="E40" s="66"/>
      <c r="F40" s="66"/>
      <c r="G40" s="66"/>
      <c r="H40" s="66"/>
      <c r="I40" s="66"/>
      <c r="J40" s="66"/>
      <c r="K40" s="66"/>
      <c r="L40" s="66"/>
      <c r="M40" s="66"/>
    </row>
    <row r="41" spans="1:13" ht="12">
      <c r="A41" s="66"/>
      <c r="B41" s="66"/>
      <c r="C41" s="66"/>
      <c r="D41" s="66"/>
      <c r="E41" s="66"/>
      <c r="F41" s="66"/>
      <c r="G41" s="66"/>
      <c r="H41" s="66"/>
      <c r="I41" s="66"/>
      <c r="J41" s="66"/>
      <c r="K41" s="66"/>
      <c r="L41" s="66"/>
      <c r="M41" s="66"/>
    </row>
    <row r="42" spans="1:13" ht="12">
      <c r="A42" s="66"/>
      <c r="B42" s="66"/>
      <c r="C42" s="66"/>
      <c r="D42" s="66"/>
      <c r="E42" s="66"/>
      <c r="F42" s="66"/>
      <c r="G42" s="66"/>
      <c r="H42" s="66"/>
      <c r="I42" s="66"/>
      <c r="J42" s="66"/>
      <c r="K42" s="66"/>
      <c r="L42" s="66"/>
      <c r="M42" s="66"/>
    </row>
    <row r="43" spans="1:13" ht="12">
      <c r="A43" s="66"/>
      <c r="B43" s="66"/>
      <c r="C43" s="66"/>
      <c r="D43" s="66"/>
      <c r="E43" s="66"/>
      <c r="F43" s="66"/>
      <c r="G43" s="66"/>
      <c r="H43" s="66"/>
      <c r="I43" s="66"/>
      <c r="J43" s="66"/>
      <c r="K43" s="66"/>
      <c r="L43" s="66"/>
      <c r="M43" s="66"/>
    </row>
    <row r="44" spans="1:13" ht="12">
      <c r="A44" s="66"/>
      <c r="B44" s="66"/>
      <c r="C44" s="66"/>
      <c r="D44" s="66"/>
      <c r="E44" s="66"/>
      <c r="F44" s="66"/>
      <c r="G44" s="66"/>
      <c r="H44" s="66"/>
      <c r="I44" s="66"/>
      <c r="J44" s="66"/>
      <c r="K44" s="66"/>
      <c r="L44" s="66"/>
      <c r="M44" s="66"/>
    </row>
    <row r="45" spans="1:13" ht="12">
      <c r="A45" s="66"/>
      <c r="B45" s="66"/>
      <c r="C45" s="66"/>
      <c r="D45" s="66"/>
      <c r="E45" s="66"/>
      <c r="F45" s="66"/>
      <c r="G45" s="66"/>
      <c r="H45" s="66"/>
      <c r="I45" s="66"/>
      <c r="J45" s="66"/>
      <c r="K45" s="66"/>
      <c r="L45" s="66"/>
      <c r="M45" s="66"/>
    </row>
    <row r="46" spans="1:13" ht="12">
      <c r="A46" s="66"/>
      <c r="B46" s="66"/>
      <c r="C46" s="66"/>
      <c r="D46" s="66"/>
      <c r="E46" s="66"/>
      <c r="F46" s="66"/>
      <c r="G46" s="66"/>
      <c r="H46" s="66"/>
      <c r="I46" s="66"/>
      <c r="J46" s="66"/>
      <c r="K46" s="66"/>
      <c r="L46" s="66"/>
      <c r="M46" s="66"/>
    </row>
    <row r="47" spans="1:13" ht="12">
      <c r="A47" s="66"/>
      <c r="B47" s="66"/>
      <c r="C47" s="66"/>
      <c r="D47" s="66"/>
      <c r="E47" s="66"/>
      <c r="F47" s="66"/>
      <c r="G47" s="66"/>
      <c r="H47" s="66"/>
      <c r="I47" s="66"/>
      <c r="J47" s="66"/>
      <c r="K47" s="66"/>
      <c r="L47" s="66"/>
      <c r="M47" s="66"/>
    </row>
    <row r="48" spans="1:13" ht="12">
      <c r="A48" s="66"/>
      <c r="B48" s="66"/>
      <c r="C48" s="66"/>
      <c r="D48" s="66"/>
      <c r="E48" s="66"/>
      <c r="F48" s="66"/>
      <c r="G48" s="66"/>
      <c r="H48" s="66"/>
      <c r="I48" s="66"/>
      <c r="J48" s="66"/>
      <c r="K48" s="66"/>
      <c r="L48" s="66"/>
      <c r="M48" s="66"/>
    </row>
    <row r="49" spans="1:13" ht="12">
      <c r="A49" s="66"/>
      <c r="B49" s="66"/>
      <c r="C49" s="66"/>
      <c r="D49" s="66"/>
      <c r="E49" s="66"/>
      <c r="F49" s="66"/>
      <c r="G49" s="66"/>
      <c r="H49" s="66"/>
      <c r="I49" s="66"/>
      <c r="J49" s="66"/>
      <c r="K49" s="66"/>
      <c r="L49" s="66"/>
      <c r="M49" s="66"/>
    </row>
    <row r="50" spans="1:13" ht="12">
      <c r="A50" s="66"/>
      <c r="B50" s="66"/>
      <c r="C50" s="66"/>
      <c r="D50" s="66"/>
      <c r="E50" s="66"/>
      <c r="F50" s="66"/>
      <c r="G50" s="66"/>
      <c r="H50" s="66"/>
      <c r="I50" s="66"/>
      <c r="J50" s="66"/>
      <c r="K50" s="66"/>
      <c r="L50" s="66"/>
      <c r="M50" s="66"/>
    </row>
    <row r="51" spans="1:13" ht="12">
      <c r="A51" s="66"/>
      <c r="B51" s="66"/>
      <c r="C51" s="66"/>
      <c r="D51" s="66"/>
      <c r="E51" s="66"/>
      <c r="F51" s="66"/>
      <c r="G51" s="66"/>
      <c r="H51" s="66"/>
      <c r="I51" s="66"/>
      <c r="J51" s="66"/>
      <c r="K51" s="66"/>
      <c r="L51" s="66"/>
      <c r="M51" s="66"/>
    </row>
    <row r="52" spans="1:13" ht="12">
      <c r="A52" s="66"/>
      <c r="B52" s="66"/>
      <c r="C52" s="66"/>
      <c r="D52" s="66"/>
      <c r="E52" s="66"/>
      <c r="F52" s="66"/>
      <c r="G52" s="66"/>
      <c r="H52" s="66"/>
      <c r="I52" s="66"/>
      <c r="J52" s="66"/>
      <c r="K52" s="66"/>
      <c r="L52" s="66"/>
      <c r="M52" s="66"/>
    </row>
    <row r="53" spans="1:13" ht="12">
      <c r="A53" s="66"/>
      <c r="B53" s="66"/>
      <c r="C53" s="66"/>
      <c r="D53" s="66"/>
      <c r="E53" s="66"/>
      <c r="F53" s="66"/>
      <c r="G53" s="66"/>
      <c r="H53" s="66"/>
      <c r="I53" s="66"/>
      <c r="J53" s="66"/>
      <c r="K53" s="66"/>
      <c r="L53" s="66"/>
      <c r="M53" s="66"/>
    </row>
    <row r="54" spans="1:13" ht="12">
      <c r="A54" s="66"/>
      <c r="B54" s="66"/>
      <c r="C54" s="66"/>
      <c r="D54" s="66"/>
      <c r="E54" s="66"/>
      <c r="F54" s="66"/>
      <c r="G54" s="66"/>
      <c r="H54" s="66"/>
      <c r="I54" s="66"/>
      <c r="J54" s="66"/>
      <c r="K54" s="66"/>
      <c r="L54" s="66"/>
      <c r="M54" s="66"/>
    </row>
    <row r="55" spans="1:13" ht="12">
      <c r="A55" s="66"/>
      <c r="B55" s="66"/>
      <c r="C55" s="66"/>
      <c r="D55" s="66"/>
      <c r="E55" s="66"/>
      <c r="F55" s="66"/>
      <c r="G55" s="66"/>
      <c r="H55" s="66"/>
      <c r="I55" s="66"/>
      <c r="J55" s="66"/>
      <c r="K55" s="66"/>
      <c r="L55" s="66"/>
      <c r="M55" s="66"/>
    </row>
    <row r="56" spans="1:13" ht="12">
      <c r="A56" s="66"/>
      <c r="B56" s="66"/>
      <c r="C56" s="66"/>
      <c r="D56" s="66"/>
      <c r="E56" s="66"/>
      <c r="F56" s="66"/>
      <c r="G56" s="66"/>
      <c r="H56" s="66"/>
      <c r="I56" s="66"/>
      <c r="J56" s="66"/>
      <c r="K56" s="66"/>
      <c r="L56" s="66"/>
      <c r="M56" s="66"/>
    </row>
    <row r="57" spans="1:13" ht="12">
      <c r="A57" s="66"/>
      <c r="B57" s="66"/>
      <c r="C57" s="66"/>
      <c r="D57" s="66"/>
      <c r="E57" s="66"/>
      <c r="F57" s="66"/>
      <c r="G57" s="66"/>
      <c r="H57" s="66"/>
      <c r="I57" s="66"/>
      <c r="J57" s="66"/>
      <c r="K57" s="66"/>
      <c r="L57" s="66"/>
      <c r="M57" s="66"/>
    </row>
    <row r="58" spans="1:13" ht="12">
      <c r="A58" s="66"/>
      <c r="B58" s="66"/>
      <c r="C58" s="66"/>
      <c r="D58" s="66"/>
      <c r="E58" s="66"/>
      <c r="F58" s="66"/>
      <c r="G58" s="66"/>
      <c r="H58" s="66"/>
      <c r="I58" s="66"/>
      <c r="J58" s="66"/>
      <c r="K58" s="66"/>
      <c r="L58" s="66"/>
      <c r="M58" s="66"/>
    </row>
    <row r="59" spans="1:13" ht="12">
      <c r="A59" s="66"/>
      <c r="B59" s="66"/>
      <c r="C59" s="66"/>
      <c r="D59" s="66"/>
      <c r="E59" s="66"/>
      <c r="F59" s="66"/>
      <c r="G59" s="66"/>
      <c r="H59" s="66"/>
      <c r="I59" s="66"/>
      <c r="J59" s="66"/>
      <c r="K59" s="66"/>
      <c r="L59" s="66"/>
      <c r="M59" s="66"/>
    </row>
    <row r="60" spans="1:13" ht="12">
      <c r="A60" s="66"/>
      <c r="B60" s="66"/>
      <c r="C60" s="66"/>
      <c r="D60" s="66"/>
      <c r="E60" s="66"/>
      <c r="F60" s="66"/>
      <c r="G60" s="66"/>
      <c r="H60" s="66"/>
      <c r="I60" s="66"/>
      <c r="J60" s="66"/>
      <c r="K60" s="66"/>
      <c r="L60" s="66"/>
      <c r="M60" s="66"/>
    </row>
    <row r="61" spans="1:13" ht="12">
      <c r="A61" s="66"/>
      <c r="B61" s="66"/>
      <c r="C61" s="66"/>
      <c r="D61" s="66"/>
      <c r="E61" s="66"/>
      <c r="F61" s="66"/>
      <c r="G61" s="66"/>
      <c r="H61" s="66"/>
      <c r="I61" s="66"/>
      <c r="J61" s="66"/>
      <c r="K61" s="66"/>
      <c r="L61" s="66"/>
      <c r="M61" s="66"/>
    </row>
    <row r="62" spans="1:13" ht="12">
      <c r="A62" s="66"/>
      <c r="B62" s="66"/>
      <c r="C62" s="66"/>
      <c r="D62" s="66"/>
      <c r="E62" s="66"/>
      <c r="F62" s="66"/>
      <c r="G62" s="66"/>
      <c r="H62" s="66"/>
      <c r="I62" s="66"/>
      <c r="J62" s="66"/>
      <c r="K62" s="66"/>
      <c r="L62" s="66"/>
      <c r="M62" s="66"/>
    </row>
    <row r="63" spans="1:13" ht="12">
      <c r="A63" s="66"/>
      <c r="B63" s="66"/>
      <c r="C63" s="66"/>
      <c r="D63" s="66"/>
      <c r="E63" s="66"/>
      <c r="F63" s="66"/>
      <c r="G63" s="66"/>
      <c r="H63" s="66"/>
      <c r="I63" s="66"/>
      <c r="J63" s="66"/>
      <c r="K63" s="66"/>
      <c r="L63" s="66"/>
      <c r="M63" s="66"/>
    </row>
    <row r="64" spans="1:13" ht="12">
      <c r="A64" s="66"/>
      <c r="B64" s="66"/>
      <c r="C64" s="66"/>
      <c r="D64" s="66"/>
      <c r="E64" s="66"/>
      <c r="F64" s="66"/>
      <c r="G64" s="66"/>
      <c r="H64" s="66"/>
      <c r="I64" s="66"/>
      <c r="J64" s="66"/>
      <c r="K64" s="66"/>
      <c r="L64" s="66"/>
      <c r="M64" s="66"/>
    </row>
    <row r="65" spans="1:13" ht="12">
      <c r="A65" s="66"/>
      <c r="B65" s="66"/>
      <c r="C65" s="66"/>
      <c r="D65" s="66"/>
      <c r="E65" s="66"/>
      <c r="F65" s="66"/>
      <c r="G65" s="66"/>
      <c r="H65" s="66"/>
      <c r="I65" s="66"/>
      <c r="J65" s="66"/>
      <c r="K65" s="66"/>
      <c r="L65" s="66"/>
      <c r="M65" s="66"/>
    </row>
    <row r="66" spans="1:13" ht="12">
      <c r="A66" s="66"/>
      <c r="B66" s="66"/>
      <c r="C66" s="66"/>
      <c r="D66" s="66"/>
      <c r="E66" s="66"/>
      <c r="F66" s="66"/>
      <c r="G66" s="66"/>
      <c r="H66" s="66"/>
      <c r="I66" s="66"/>
      <c r="J66" s="66"/>
      <c r="K66" s="66"/>
      <c r="L66" s="66"/>
      <c r="M66" s="66"/>
    </row>
    <row r="67" spans="1:13" ht="12">
      <c r="A67" s="66"/>
      <c r="B67" s="66"/>
      <c r="C67" s="66"/>
      <c r="D67" s="66"/>
      <c r="E67" s="66"/>
      <c r="F67" s="66"/>
      <c r="G67" s="66"/>
      <c r="H67" s="66"/>
      <c r="I67" s="66"/>
      <c r="J67" s="66"/>
      <c r="K67" s="66"/>
      <c r="L67" s="66"/>
      <c r="M67" s="66"/>
    </row>
    <row r="68" spans="1:13" ht="12">
      <c r="A68" s="66"/>
      <c r="B68" s="66"/>
      <c r="C68" s="66"/>
      <c r="D68" s="66"/>
      <c r="E68" s="66"/>
      <c r="F68" s="66"/>
      <c r="G68" s="66"/>
      <c r="H68" s="66"/>
      <c r="I68" s="66"/>
      <c r="J68" s="66"/>
      <c r="K68" s="66"/>
      <c r="L68" s="66"/>
      <c r="M68" s="66"/>
    </row>
    <row r="69" spans="1:13" ht="12">
      <c r="A69" s="66"/>
      <c r="B69" s="66"/>
      <c r="C69" s="66"/>
      <c r="D69" s="66"/>
      <c r="E69" s="66"/>
      <c r="F69" s="66"/>
      <c r="G69" s="66"/>
      <c r="H69" s="66"/>
      <c r="I69" s="66"/>
      <c r="J69" s="66"/>
      <c r="K69" s="66"/>
      <c r="L69" s="66"/>
      <c r="M69" s="66"/>
    </row>
    <row r="70" spans="1:13" ht="12">
      <c r="A70" s="66"/>
      <c r="B70" s="66"/>
      <c r="C70" s="66"/>
      <c r="D70" s="66"/>
      <c r="E70" s="66"/>
      <c r="F70" s="66"/>
      <c r="G70" s="66"/>
      <c r="H70" s="66"/>
      <c r="I70" s="66"/>
      <c r="J70" s="66"/>
      <c r="K70" s="66"/>
      <c r="L70" s="66"/>
      <c r="M70" s="66"/>
    </row>
    <row r="71" spans="1:13" ht="12">
      <c r="A71" s="66"/>
      <c r="B71" s="66"/>
      <c r="C71" s="66"/>
      <c r="D71" s="66"/>
      <c r="E71" s="66"/>
      <c r="F71" s="66"/>
      <c r="G71" s="66"/>
      <c r="H71" s="66"/>
      <c r="I71" s="66"/>
      <c r="J71" s="66"/>
      <c r="K71" s="66"/>
      <c r="L71" s="66"/>
      <c r="M71" s="66"/>
    </row>
    <row r="72" spans="1:13" ht="12">
      <c r="A72" s="66"/>
      <c r="B72" s="66"/>
      <c r="C72" s="66"/>
      <c r="D72" s="66"/>
      <c r="E72" s="66"/>
      <c r="F72" s="66"/>
      <c r="G72" s="66"/>
      <c r="H72" s="66"/>
      <c r="I72" s="66"/>
      <c r="J72" s="66"/>
      <c r="K72" s="66"/>
      <c r="L72" s="66"/>
      <c r="M72" s="66"/>
    </row>
    <row r="73" spans="1:13" ht="12">
      <c r="A73" s="66"/>
      <c r="B73" s="66"/>
      <c r="C73" s="66"/>
      <c r="D73" s="66"/>
      <c r="E73" s="66"/>
      <c r="F73" s="66"/>
      <c r="G73" s="66"/>
      <c r="H73" s="66"/>
      <c r="I73" s="66"/>
      <c r="J73" s="66"/>
      <c r="K73" s="66"/>
      <c r="L73" s="66"/>
      <c r="M73" s="66"/>
    </row>
    <row r="74" spans="1:13" ht="12">
      <c r="A74" s="66"/>
      <c r="B74" s="66"/>
      <c r="C74" s="66"/>
      <c r="D74" s="66"/>
      <c r="E74" s="66"/>
      <c r="F74" s="66"/>
      <c r="G74" s="66"/>
      <c r="H74" s="66"/>
      <c r="I74" s="66"/>
      <c r="J74" s="66"/>
      <c r="K74" s="66"/>
      <c r="L74" s="66"/>
      <c r="M74" s="66"/>
    </row>
    <row r="75" spans="1:13" ht="12">
      <c r="A75" s="66"/>
      <c r="B75" s="66"/>
      <c r="C75" s="66"/>
      <c r="D75" s="66"/>
      <c r="E75" s="66"/>
      <c r="F75" s="66"/>
      <c r="G75" s="66"/>
      <c r="H75" s="66"/>
      <c r="I75" s="66"/>
      <c r="J75" s="66"/>
      <c r="K75" s="66"/>
      <c r="L75" s="66"/>
      <c r="M75" s="66"/>
    </row>
    <row r="76" spans="1:13" ht="12">
      <c r="A76" s="66"/>
      <c r="B76" s="66"/>
      <c r="C76" s="66"/>
      <c r="D76" s="66"/>
      <c r="E76" s="66"/>
      <c r="F76" s="66"/>
      <c r="G76" s="66"/>
      <c r="H76" s="66"/>
      <c r="I76" s="66"/>
      <c r="J76" s="66"/>
      <c r="K76" s="66"/>
      <c r="L76" s="66"/>
      <c r="M76" s="66"/>
    </row>
    <row r="77" spans="1:13" ht="12">
      <c r="A77" s="66"/>
      <c r="B77" s="66"/>
      <c r="C77" s="66"/>
      <c r="D77" s="66"/>
      <c r="E77" s="66"/>
      <c r="F77" s="66"/>
      <c r="G77" s="66"/>
      <c r="H77" s="66"/>
      <c r="I77" s="66"/>
      <c r="J77" s="66"/>
      <c r="K77" s="66"/>
      <c r="L77" s="66"/>
      <c r="M77" s="66"/>
    </row>
    <row r="78" spans="1:13" ht="12">
      <c r="A78" s="66"/>
      <c r="B78" s="66"/>
      <c r="C78" s="66"/>
      <c r="D78" s="66"/>
      <c r="E78" s="66"/>
      <c r="F78" s="66"/>
      <c r="G78" s="66"/>
      <c r="H78" s="66"/>
      <c r="I78" s="66"/>
      <c r="J78" s="66"/>
      <c r="K78" s="66"/>
      <c r="L78" s="66"/>
      <c r="M78" s="66"/>
    </row>
    <row r="79" spans="1:13" ht="12">
      <c r="A79" s="66"/>
      <c r="B79" s="66"/>
      <c r="C79" s="66"/>
      <c r="D79" s="66"/>
      <c r="E79" s="66"/>
      <c r="F79" s="66"/>
      <c r="G79" s="66"/>
      <c r="H79" s="66"/>
      <c r="I79" s="66"/>
      <c r="J79" s="66"/>
      <c r="K79" s="66"/>
      <c r="L79" s="66"/>
      <c r="M79" s="66"/>
    </row>
    <row r="80" spans="1:13" ht="12">
      <c r="A80" s="66"/>
      <c r="B80" s="66"/>
      <c r="C80" s="66"/>
      <c r="D80" s="66"/>
      <c r="E80" s="66"/>
      <c r="F80" s="66"/>
      <c r="G80" s="66"/>
      <c r="H80" s="66"/>
      <c r="I80" s="66"/>
      <c r="J80" s="66"/>
      <c r="K80" s="66"/>
      <c r="L80" s="66"/>
      <c r="M80" s="66"/>
    </row>
    <row r="81" spans="1:13" ht="12">
      <c r="A81" s="66"/>
      <c r="B81" s="66"/>
      <c r="C81" s="66"/>
      <c r="D81" s="66"/>
      <c r="E81" s="66"/>
      <c r="F81" s="66"/>
      <c r="G81" s="66"/>
      <c r="H81" s="66"/>
      <c r="I81" s="66"/>
      <c r="J81" s="66"/>
      <c r="K81" s="66"/>
      <c r="L81" s="66"/>
      <c r="M81" s="66"/>
    </row>
    <row r="82" spans="1:13" ht="12">
      <c r="A82" s="66"/>
      <c r="B82" s="66"/>
      <c r="C82" s="66"/>
      <c r="D82" s="66"/>
      <c r="E82" s="66"/>
      <c r="F82" s="66"/>
      <c r="G82" s="66"/>
      <c r="H82" s="66"/>
      <c r="I82" s="66"/>
      <c r="J82" s="66"/>
      <c r="K82" s="66"/>
      <c r="L82" s="66"/>
      <c r="M82" s="66"/>
    </row>
    <row r="83" spans="1:13" ht="12">
      <c r="A83" s="66"/>
      <c r="B83" s="66"/>
      <c r="C83" s="66"/>
      <c r="D83" s="66"/>
      <c r="E83" s="66"/>
      <c r="F83" s="66"/>
      <c r="G83" s="66"/>
      <c r="H83" s="66"/>
      <c r="I83" s="66"/>
      <c r="J83" s="66"/>
      <c r="K83" s="66"/>
      <c r="L83" s="66"/>
      <c r="M83" s="66"/>
    </row>
    <row r="84" spans="1:13" ht="12">
      <c r="A84" s="66"/>
      <c r="B84" s="66"/>
      <c r="C84" s="66"/>
      <c r="D84" s="66"/>
      <c r="E84" s="66"/>
      <c r="F84" s="66"/>
      <c r="G84" s="66"/>
      <c r="H84" s="66"/>
      <c r="I84" s="66"/>
      <c r="J84" s="66"/>
      <c r="K84" s="66"/>
      <c r="L84" s="66"/>
      <c r="M84" s="66"/>
    </row>
    <row r="85" spans="1:13" ht="12">
      <c r="A85" s="66"/>
      <c r="B85" s="66"/>
      <c r="C85" s="66"/>
      <c r="D85" s="66"/>
      <c r="E85" s="66"/>
      <c r="F85" s="66"/>
      <c r="G85" s="66"/>
      <c r="H85" s="66"/>
      <c r="I85" s="66"/>
      <c r="J85" s="66"/>
      <c r="K85" s="66"/>
      <c r="L85" s="66"/>
      <c r="M85" s="66"/>
    </row>
    <row r="86" spans="1:13" ht="12">
      <c r="A86" s="66"/>
      <c r="B86" s="66"/>
      <c r="C86" s="66"/>
      <c r="D86" s="66"/>
      <c r="E86" s="66"/>
      <c r="F86" s="66"/>
      <c r="G86" s="66"/>
      <c r="H86" s="66"/>
      <c r="I86" s="66"/>
      <c r="J86" s="66"/>
      <c r="K86" s="66"/>
      <c r="L86" s="66"/>
      <c r="M86" s="66"/>
    </row>
    <row r="87" spans="1:13" ht="12">
      <c r="A87" s="66"/>
      <c r="B87" s="66"/>
      <c r="C87" s="66"/>
      <c r="D87" s="66"/>
      <c r="E87" s="66"/>
      <c r="F87" s="66"/>
      <c r="G87" s="66"/>
      <c r="H87" s="66"/>
      <c r="I87" s="66"/>
      <c r="J87" s="66"/>
      <c r="K87" s="66"/>
      <c r="L87" s="66"/>
      <c r="M87" s="66"/>
    </row>
    <row r="88" spans="1:13" ht="12">
      <c r="A88" s="66"/>
      <c r="B88" s="66"/>
      <c r="C88" s="66"/>
      <c r="D88" s="66"/>
      <c r="E88" s="66"/>
      <c r="F88" s="66"/>
      <c r="G88" s="66"/>
      <c r="H88" s="66"/>
      <c r="I88" s="66"/>
      <c r="J88" s="66"/>
      <c r="K88" s="66"/>
      <c r="L88" s="66"/>
      <c r="M88" s="66"/>
    </row>
    <row r="89" spans="1:13" ht="12">
      <c r="A89" s="66"/>
      <c r="B89" s="66"/>
      <c r="C89" s="66"/>
      <c r="D89" s="66"/>
      <c r="E89" s="66"/>
      <c r="F89" s="66"/>
      <c r="G89" s="66"/>
      <c r="H89" s="66"/>
      <c r="I89" s="66"/>
      <c r="J89" s="66"/>
      <c r="K89" s="66"/>
      <c r="L89" s="66"/>
      <c r="M89" s="66"/>
    </row>
    <row r="90" spans="1:13" ht="12">
      <c r="A90" s="66"/>
      <c r="B90" s="66"/>
      <c r="C90" s="66"/>
      <c r="D90" s="66"/>
      <c r="E90" s="66"/>
      <c r="F90" s="66"/>
      <c r="G90" s="66"/>
      <c r="H90" s="66"/>
      <c r="I90" s="66"/>
      <c r="J90" s="66"/>
      <c r="K90" s="66"/>
      <c r="L90" s="66"/>
      <c r="M90" s="66"/>
    </row>
    <row r="91" spans="1:13" ht="12">
      <c r="A91" s="66"/>
      <c r="B91" s="66"/>
      <c r="C91" s="66"/>
      <c r="D91" s="66"/>
      <c r="E91" s="66"/>
      <c r="F91" s="66"/>
      <c r="G91" s="66"/>
      <c r="H91" s="66"/>
      <c r="I91" s="66"/>
      <c r="J91" s="66"/>
      <c r="K91" s="66"/>
      <c r="L91" s="66"/>
      <c r="M91" s="66"/>
    </row>
    <row r="92" spans="1:13" ht="12">
      <c r="A92" s="66"/>
      <c r="B92" s="66"/>
      <c r="C92" s="66"/>
      <c r="D92" s="66"/>
      <c r="E92" s="66"/>
      <c r="F92" s="66"/>
      <c r="G92" s="66"/>
      <c r="H92" s="66"/>
      <c r="I92" s="66"/>
      <c r="J92" s="66"/>
      <c r="K92" s="66"/>
      <c r="L92" s="66"/>
      <c r="M92" s="66"/>
    </row>
    <row r="93" spans="1:13" ht="12">
      <c r="A93" s="66"/>
      <c r="B93" s="66"/>
      <c r="C93" s="66"/>
      <c r="D93" s="66"/>
      <c r="E93" s="66"/>
      <c r="F93" s="66"/>
      <c r="G93" s="66"/>
      <c r="H93" s="66"/>
      <c r="I93" s="66"/>
      <c r="J93" s="66"/>
      <c r="K93" s="66"/>
      <c r="L93" s="66"/>
      <c r="M93" s="66"/>
    </row>
    <row r="94" spans="1:13" ht="12">
      <c r="A94" s="66"/>
      <c r="B94" s="66"/>
      <c r="C94" s="66"/>
      <c r="D94" s="66"/>
      <c r="E94" s="66"/>
      <c r="F94" s="66"/>
      <c r="G94" s="66"/>
      <c r="H94" s="66"/>
      <c r="I94" s="66"/>
      <c r="J94" s="66"/>
      <c r="K94" s="66"/>
      <c r="L94" s="66"/>
      <c r="M94" s="66"/>
    </row>
    <row r="95" spans="1:13" ht="12">
      <c r="A95" s="66"/>
      <c r="B95" s="66"/>
      <c r="C95" s="66"/>
      <c r="D95" s="66"/>
      <c r="E95" s="66"/>
      <c r="F95" s="66"/>
      <c r="G95" s="66"/>
      <c r="H95" s="66"/>
      <c r="I95" s="66"/>
      <c r="J95" s="66"/>
      <c r="K95" s="66"/>
      <c r="L95" s="66"/>
      <c r="M95" s="66"/>
    </row>
    <row r="96" spans="1:13" ht="12">
      <c r="A96" s="66"/>
      <c r="B96" s="66"/>
      <c r="C96" s="66"/>
      <c r="D96" s="66"/>
      <c r="E96" s="66"/>
      <c r="F96" s="66"/>
      <c r="G96" s="66"/>
      <c r="H96" s="66"/>
      <c r="I96" s="66"/>
      <c r="J96" s="66"/>
      <c r="K96" s="66"/>
      <c r="L96" s="66"/>
      <c r="M96" s="66"/>
    </row>
    <row r="97" spans="1:13" ht="12">
      <c r="A97" s="66"/>
      <c r="B97" s="66"/>
      <c r="C97" s="66"/>
      <c r="D97" s="66"/>
      <c r="E97" s="66"/>
      <c r="F97" s="66"/>
      <c r="G97" s="66"/>
      <c r="H97" s="66"/>
      <c r="I97" s="66"/>
      <c r="J97" s="66"/>
      <c r="K97" s="66"/>
      <c r="L97" s="66"/>
      <c r="M97" s="66"/>
    </row>
    <row r="98" spans="1:13" ht="12">
      <c r="A98" s="66"/>
      <c r="B98" s="66"/>
      <c r="C98" s="66"/>
      <c r="D98" s="66"/>
      <c r="E98" s="66"/>
      <c r="F98" s="66"/>
      <c r="G98" s="66"/>
      <c r="H98" s="66"/>
      <c r="I98" s="66"/>
      <c r="J98" s="66"/>
      <c r="K98" s="66"/>
      <c r="L98" s="66"/>
      <c r="M98" s="66"/>
    </row>
    <row r="99" spans="1:13" ht="12">
      <c r="A99" s="66"/>
      <c r="B99" s="66"/>
      <c r="C99" s="66"/>
      <c r="D99" s="66"/>
      <c r="E99" s="66"/>
      <c r="F99" s="66"/>
      <c r="G99" s="66"/>
      <c r="H99" s="66"/>
      <c r="I99" s="66"/>
      <c r="J99" s="66"/>
      <c r="K99" s="66"/>
      <c r="L99" s="66"/>
      <c r="M99" s="66"/>
    </row>
    <row r="100" spans="1:13" ht="12">
      <c r="A100" s="66"/>
      <c r="B100" s="66"/>
      <c r="C100" s="66"/>
      <c r="D100" s="66"/>
      <c r="E100" s="66"/>
      <c r="F100" s="66"/>
      <c r="G100" s="66"/>
      <c r="H100" s="66"/>
      <c r="I100" s="66"/>
      <c r="J100" s="66"/>
      <c r="K100" s="66"/>
      <c r="L100" s="66"/>
      <c r="M100" s="66"/>
    </row>
    <row r="101" spans="1:13" ht="12">
      <c r="A101" s="66"/>
      <c r="B101" s="66"/>
      <c r="C101" s="66"/>
      <c r="D101" s="66"/>
      <c r="E101" s="66"/>
      <c r="F101" s="66"/>
      <c r="G101" s="66"/>
      <c r="H101" s="66"/>
      <c r="I101" s="66"/>
      <c r="J101" s="66"/>
      <c r="K101" s="66"/>
      <c r="L101" s="66"/>
      <c r="M101" s="66"/>
    </row>
    <row r="102" spans="1:13" ht="12">
      <c r="A102" s="66"/>
      <c r="B102" s="66"/>
      <c r="C102" s="66"/>
      <c r="D102" s="66"/>
      <c r="E102" s="66"/>
      <c r="F102" s="66"/>
      <c r="G102" s="66"/>
      <c r="H102" s="66"/>
      <c r="I102" s="66"/>
      <c r="J102" s="66"/>
      <c r="K102" s="66"/>
      <c r="L102" s="66"/>
      <c r="M102" s="66"/>
    </row>
    <row r="103" spans="1:13" ht="12">
      <c r="A103" s="66"/>
      <c r="B103" s="66"/>
      <c r="C103" s="66"/>
      <c r="D103" s="66"/>
      <c r="E103" s="66"/>
      <c r="F103" s="66"/>
      <c r="G103" s="66"/>
      <c r="H103" s="66"/>
      <c r="I103" s="66"/>
      <c r="J103" s="66"/>
      <c r="K103" s="66"/>
      <c r="L103" s="66"/>
      <c r="M103" s="66"/>
    </row>
    <row r="104" spans="1:13" ht="12">
      <c r="A104" s="66"/>
      <c r="B104" s="66"/>
      <c r="C104" s="66"/>
      <c r="D104" s="66"/>
      <c r="E104" s="66"/>
      <c r="F104" s="66"/>
      <c r="G104" s="66"/>
      <c r="H104" s="66"/>
      <c r="I104" s="66"/>
      <c r="J104" s="66"/>
      <c r="K104" s="66"/>
      <c r="L104" s="66"/>
      <c r="M104" s="66"/>
    </row>
    <row r="105" spans="1:13" ht="12">
      <c r="A105" s="66"/>
      <c r="B105" s="66"/>
      <c r="C105" s="66"/>
      <c r="D105" s="66"/>
      <c r="E105" s="66"/>
      <c r="F105" s="66"/>
      <c r="G105" s="66"/>
      <c r="H105" s="66"/>
      <c r="I105" s="66"/>
      <c r="J105" s="66"/>
      <c r="K105" s="66"/>
      <c r="L105" s="66"/>
      <c r="M105" s="66"/>
    </row>
    <row r="106" spans="1:13" ht="12">
      <c r="A106" s="66"/>
      <c r="B106" s="66"/>
      <c r="C106" s="66"/>
      <c r="D106" s="66"/>
      <c r="E106" s="66"/>
      <c r="F106" s="66"/>
      <c r="G106" s="66"/>
      <c r="H106" s="66"/>
      <c r="I106" s="66"/>
      <c r="J106" s="66"/>
      <c r="K106" s="66"/>
      <c r="L106" s="66"/>
      <c r="M106" s="66"/>
    </row>
    <row r="107" spans="1:13" ht="12">
      <c r="A107" s="66"/>
      <c r="B107" s="66"/>
      <c r="C107" s="66"/>
      <c r="D107" s="66"/>
      <c r="E107" s="66"/>
      <c r="F107" s="66"/>
      <c r="G107" s="66"/>
      <c r="H107" s="66"/>
      <c r="I107" s="66"/>
      <c r="J107" s="66"/>
      <c r="K107" s="66"/>
      <c r="L107" s="66"/>
      <c r="M107" s="66"/>
    </row>
    <row r="108" spans="1:13" ht="12">
      <c r="A108" s="66"/>
      <c r="B108" s="66"/>
      <c r="C108" s="66"/>
      <c r="D108" s="66"/>
      <c r="E108" s="66"/>
      <c r="F108" s="66"/>
      <c r="G108" s="66"/>
      <c r="H108" s="66"/>
      <c r="I108" s="66"/>
      <c r="J108" s="66"/>
      <c r="K108" s="66"/>
      <c r="L108" s="66"/>
      <c r="M108" s="66"/>
    </row>
    <row r="109" spans="1:13" ht="12">
      <c r="A109" s="66"/>
      <c r="B109" s="66"/>
      <c r="C109" s="66"/>
      <c r="D109" s="66"/>
      <c r="E109" s="66"/>
      <c r="F109" s="66"/>
      <c r="G109" s="66"/>
      <c r="H109" s="66"/>
      <c r="I109" s="66"/>
      <c r="J109" s="66"/>
      <c r="K109" s="66"/>
      <c r="L109" s="66"/>
      <c r="M109" s="66"/>
    </row>
    <row r="110" spans="1:13" ht="12">
      <c r="A110" s="66"/>
      <c r="B110" s="66"/>
      <c r="C110" s="66"/>
      <c r="D110" s="66"/>
      <c r="E110" s="66"/>
      <c r="F110" s="66"/>
      <c r="G110" s="66"/>
      <c r="H110" s="66"/>
      <c r="I110" s="66"/>
      <c r="J110" s="66"/>
      <c r="K110" s="66"/>
      <c r="L110" s="66"/>
      <c r="M110" s="66"/>
    </row>
    <row r="111" spans="1:13" ht="12">
      <c r="A111" s="66"/>
      <c r="B111" s="66"/>
      <c r="C111" s="66"/>
      <c r="D111" s="66"/>
      <c r="E111" s="66"/>
      <c r="F111" s="66"/>
      <c r="G111" s="66"/>
      <c r="H111" s="66"/>
      <c r="I111" s="66"/>
      <c r="J111" s="66"/>
      <c r="K111" s="66"/>
      <c r="L111" s="66"/>
      <c r="M111" s="66"/>
    </row>
    <row r="112" spans="1:13" ht="12">
      <c r="A112" s="66"/>
      <c r="B112" s="66"/>
      <c r="C112" s="66"/>
      <c r="D112" s="66"/>
      <c r="E112" s="66"/>
      <c r="F112" s="66"/>
      <c r="G112" s="66"/>
      <c r="H112" s="66"/>
      <c r="I112" s="66"/>
      <c r="J112" s="66"/>
      <c r="K112" s="66"/>
      <c r="L112" s="66"/>
      <c r="M112" s="66"/>
    </row>
    <row r="113" spans="1:13" ht="12">
      <c r="A113" s="66"/>
      <c r="B113" s="66"/>
      <c r="C113" s="66"/>
      <c r="D113" s="66"/>
      <c r="E113" s="66"/>
      <c r="F113" s="66"/>
      <c r="G113" s="66"/>
      <c r="H113" s="66"/>
      <c r="I113" s="66"/>
      <c r="J113" s="66"/>
      <c r="K113" s="66"/>
      <c r="L113" s="66"/>
      <c r="M113" s="66"/>
    </row>
    <row r="114" spans="1:13" ht="12">
      <c r="A114" s="66"/>
      <c r="B114" s="66"/>
      <c r="C114" s="66"/>
      <c r="D114" s="66"/>
      <c r="E114" s="66"/>
      <c r="F114" s="66"/>
      <c r="G114" s="66"/>
      <c r="H114" s="66"/>
      <c r="I114" s="66"/>
      <c r="J114" s="66"/>
      <c r="K114" s="66"/>
      <c r="L114" s="66"/>
      <c r="M114" s="66"/>
    </row>
    <row r="115" spans="1:13" ht="12">
      <c r="A115" s="66"/>
      <c r="B115" s="66"/>
      <c r="C115" s="66"/>
      <c r="D115" s="66"/>
      <c r="E115" s="66"/>
      <c r="F115" s="66"/>
      <c r="G115" s="66"/>
      <c r="H115" s="66"/>
      <c r="I115" s="66"/>
      <c r="J115" s="66"/>
      <c r="K115" s="66"/>
      <c r="L115" s="66"/>
      <c r="M115" s="66"/>
    </row>
    <row r="116" spans="1:13" ht="12">
      <c r="A116" s="66"/>
      <c r="B116" s="66"/>
      <c r="C116" s="66"/>
      <c r="D116" s="66"/>
      <c r="E116" s="66"/>
      <c r="F116" s="66"/>
      <c r="G116" s="66"/>
      <c r="H116" s="66"/>
      <c r="I116" s="66"/>
      <c r="J116" s="66"/>
      <c r="K116" s="66"/>
      <c r="L116" s="66"/>
      <c r="M116" s="66"/>
    </row>
    <row r="117" spans="1:13" ht="12">
      <c r="A117" s="66"/>
      <c r="B117" s="66"/>
      <c r="C117" s="66"/>
      <c r="D117" s="66"/>
      <c r="E117" s="66"/>
      <c r="F117" s="66"/>
      <c r="G117" s="66"/>
      <c r="H117" s="66"/>
      <c r="I117" s="66"/>
      <c r="J117" s="66"/>
      <c r="K117" s="66"/>
      <c r="L117" s="66"/>
      <c r="M117" s="66"/>
    </row>
    <row r="118" spans="1:13" ht="12">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zoomScaleSheetLayoutView="10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2022 through April 2023)</v>
      </c>
      <c r="B1" s="60"/>
    </row>
    <row r="2" spans="1:2" ht="12.75">
      <c r="A2" s="61" t="str">
        <f>'WUTC_AW of Bellevue_SF'!A1</f>
        <v>Rabanco Ltd (dba Republic Services)</v>
      </c>
      <c r="B2" s="61"/>
    </row>
    <row r="3" spans="1:2" ht="12.75">
      <c r="A3" s="61"/>
      <c r="B3" s="61"/>
    </row>
    <row r="4" spans="1:2" ht="12.75">
      <c r="A4" s="61"/>
      <c r="B4" s="61"/>
    </row>
    <row r="5" spans="1:14" ht="12.75">
      <c r="A5" s="60"/>
      <c r="B5" s="62"/>
      <c r="C5" s="63" t="s">
        <v>21</v>
      </c>
      <c r="D5" s="63" t="s">
        <v>22</v>
      </c>
      <c r="E5" s="63" t="s">
        <v>84</v>
      </c>
      <c r="F5" s="63" t="s">
        <v>50</v>
      </c>
      <c r="G5" s="63" t="s">
        <v>85</v>
      </c>
      <c r="H5" s="63" t="s">
        <v>24</v>
      </c>
      <c r="I5" s="63" t="s">
        <v>25</v>
      </c>
      <c r="J5" s="63" t="s">
        <v>26</v>
      </c>
      <c r="K5" s="63" t="s">
        <v>27</v>
      </c>
      <c r="L5" s="63" t="s">
        <v>28</v>
      </c>
      <c r="M5" s="63"/>
      <c r="N5" s="63" t="s">
        <v>29</v>
      </c>
    </row>
    <row r="6" spans="1:16" ht="15.75" customHeight="1">
      <c r="A6" s="128">
        <f>'Single Family'!$C$6</f>
        <v>44682</v>
      </c>
      <c r="B6" s="66" t="s">
        <v>64</v>
      </c>
      <c r="C6" s="108">
        <f>'Single Family'!C32</f>
        <v>6.107536000000001</v>
      </c>
      <c r="D6" s="109">
        <f>'Single Family'!C34</f>
        <v>60.90380000000001</v>
      </c>
      <c r="E6" s="108">
        <f>'Single Family'!C35</f>
        <v>0</v>
      </c>
      <c r="F6" s="108">
        <f>'Single Family'!C30</f>
        <v>5.043864000000001</v>
      </c>
      <c r="G6" s="108">
        <f>'Single Family'!C33</f>
        <v>0.6519280000000001</v>
      </c>
      <c r="H6" s="108">
        <f>'Single Family'!C37</f>
        <v>113.57272000000003</v>
      </c>
      <c r="I6" s="108">
        <f>'Single Family'!C31/2</f>
        <v>8.440752000000002</v>
      </c>
      <c r="J6" s="108">
        <f>'Single Family'!C31/2</f>
        <v>8.440752000000002</v>
      </c>
      <c r="K6" s="108">
        <f>'Single Family'!C28</f>
        <v>89.55432000000002</v>
      </c>
      <c r="L6" s="108">
        <f>'Single Family'!C36</f>
        <v>50.40432800000001</v>
      </c>
      <c r="M6" s="64"/>
      <c r="N6" s="134">
        <f aca="true" t="shared" si="0" ref="N6:N17">SUM(C6:L6)</f>
        <v>343.12000000000006</v>
      </c>
      <c r="O6" s="75"/>
      <c r="P6" s="68"/>
    </row>
    <row r="7" spans="1:16" ht="15.75" customHeight="1">
      <c r="A7" s="65">
        <f aca="true" t="shared" si="1" ref="A7:A17">EOMONTH(A6,1)</f>
        <v>44742</v>
      </c>
      <c r="B7" s="66" t="s">
        <v>65</v>
      </c>
      <c r="C7" s="108">
        <f>'Single Family'!D32</f>
        <v>6.908180000000001</v>
      </c>
      <c r="D7" s="109">
        <f>'Single Family'!D34</f>
        <v>68.88775</v>
      </c>
      <c r="E7" s="108">
        <f>'Single Family'!D35</f>
        <v>0</v>
      </c>
      <c r="F7" s="108">
        <f>'Single Family'!D30</f>
        <v>5.70507</v>
      </c>
      <c r="G7" s="108">
        <f>'Single Family'!D33</f>
        <v>0.73739</v>
      </c>
      <c r="H7" s="108">
        <f>'Single Family'!D37</f>
        <v>128.46110000000002</v>
      </c>
      <c r="I7" s="108">
        <f>'Single Family'!D31/2</f>
        <v>9.547260000000001</v>
      </c>
      <c r="J7" s="108">
        <f>'Single Family'!D31/2</f>
        <v>9.547260000000001</v>
      </c>
      <c r="K7" s="108">
        <f>'Single Family'!D28</f>
        <v>101.29410000000001</v>
      </c>
      <c r="L7" s="108">
        <f>'Single Family'!D36</f>
        <v>57.01189</v>
      </c>
      <c r="M7" s="64"/>
      <c r="N7" s="134">
        <f t="shared" si="0"/>
        <v>388.1</v>
      </c>
      <c r="P7" s="68"/>
    </row>
    <row r="8" spans="1:16" ht="15.75" customHeight="1">
      <c r="A8" s="65">
        <f t="shared" si="1"/>
        <v>44773</v>
      </c>
      <c r="B8" s="66" t="s">
        <v>66</v>
      </c>
      <c r="C8" s="108">
        <f>'Single Family'!E32</f>
        <v>5.305646000000001</v>
      </c>
      <c r="D8" s="109">
        <f>'Single Family'!E34</f>
        <v>52.907425</v>
      </c>
      <c r="E8" s="108">
        <f>'Single Family'!E35</f>
        <v>0</v>
      </c>
      <c r="F8" s="108">
        <f>'Single Family'!E30</f>
        <v>4.381629</v>
      </c>
      <c r="G8" s="108">
        <f>'Single Family'!E33</f>
        <v>0.5663330000000001</v>
      </c>
      <c r="H8" s="108">
        <f>'Single Family'!E37</f>
        <v>98.66117000000003</v>
      </c>
      <c r="I8" s="108">
        <f>'Single Family'!E31/2</f>
        <v>7.332522000000002</v>
      </c>
      <c r="J8" s="108">
        <f>'Single Family'!E31/2</f>
        <v>7.332522000000002</v>
      </c>
      <c r="K8" s="108">
        <f>'Single Family'!E28</f>
        <v>77.79627000000002</v>
      </c>
      <c r="L8" s="108">
        <f>'Single Family'!E36</f>
        <v>43.78648300000001</v>
      </c>
      <c r="M8" s="64"/>
      <c r="N8" s="134">
        <f t="shared" si="0"/>
        <v>298.0700000000001</v>
      </c>
      <c r="P8" s="68"/>
    </row>
    <row r="9" spans="1:16" ht="15.75" customHeight="1">
      <c r="A9" s="65">
        <f t="shared" si="1"/>
        <v>44804</v>
      </c>
      <c r="B9" s="66" t="s">
        <v>67</v>
      </c>
      <c r="C9" s="108">
        <f>'Single Family'!F32</f>
        <v>5.440925999999999</v>
      </c>
      <c r="D9" s="109">
        <f>'Single Family'!F34</f>
        <v>54.25642499999999</v>
      </c>
      <c r="E9" s="108">
        <f>'Single Family'!F35</f>
        <v>0</v>
      </c>
      <c r="F9" s="108">
        <f>'Single Family'!F30</f>
        <v>4.493348999999999</v>
      </c>
      <c r="G9" s="108">
        <f>'Single Family'!F33</f>
        <v>0.5807729999999999</v>
      </c>
      <c r="H9" s="108">
        <f>'Single Family'!F37</f>
        <v>101.17676999999999</v>
      </c>
      <c r="I9" s="108">
        <f>'Single Family'!F31/2</f>
        <v>7.519481999999999</v>
      </c>
      <c r="J9" s="108">
        <f>'Single Family'!F31/2</f>
        <v>7.519481999999999</v>
      </c>
      <c r="K9" s="108">
        <f>'Single Family'!F28</f>
        <v>79.77986999999999</v>
      </c>
      <c r="L9" s="108">
        <f>'Single Family'!F36</f>
        <v>44.902922999999994</v>
      </c>
      <c r="M9" s="64"/>
      <c r="N9" s="134">
        <f t="shared" si="0"/>
        <v>305.66999999999996</v>
      </c>
      <c r="P9" s="68"/>
    </row>
    <row r="10" spans="1:16" ht="15.75" customHeight="1">
      <c r="A10" s="65">
        <f t="shared" si="1"/>
        <v>44834</v>
      </c>
      <c r="B10" s="66" t="s">
        <v>68</v>
      </c>
      <c r="C10" s="108">
        <f>'Single Family'!G32</f>
        <v>5.323268</v>
      </c>
      <c r="D10" s="109">
        <f>'Single Family'!G34</f>
        <v>53.083149999999996</v>
      </c>
      <c r="E10" s="108">
        <f>'Single Family'!G35</f>
        <v>0</v>
      </c>
      <c r="F10" s="108">
        <f>'Single Family'!G30</f>
        <v>4.396182</v>
      </c>
      <c r="G10" s="108">
        <f>'Single Family'!G33</f>
        <v>0.568214</v>
      </c>
      <c r="H10" s="108">
        <f>'Single Family'!G37</f>
        <v>98.98886</v>
      </c>
      <c r="I10" s="108">
        <f>'Single Family'!G31/2</f>
        <v>7.356876</v>
      </c>
      <c r="J10" s="108">
        <f>'Single Family'!G31/2</f>
        <v>7.356876</v>
      </c>
      <c r="K10" s="108">
        <f>'Single Family'!G28</f>
        <v>78.05466</v>
      </c>
      <c r="L10" s="108">
        <f>'Single Family'!G36</f>
        <v>43.931914</v>
      </c>
      <c r="M10" s="64"/>
      <c r="N10" s="134">
        <f t="shared" si="0"/>
        <v>299.06</v>
      </c>
      <c r="P10" s="68"/>
    </row>
    <row r="11" spans="1:16" ht="15.75" customHeight="1">
      <c r="A11" s="65">
        <f t="shared" si="1"/>
        <v>44865</v>
      </c>
      <c r="B11" s="66" t="s">
        <v>69</v>
      </c>
      <c r="C11" s="108">
        <f>'Single Family'!H32</f>
        <v>5.245838</v>
      </c>
      <c r="D11" s="109">
        <f>'Single Family'!H34</f>
        <v>52.311024999999994</v>
      </c>
      <c r="E11" s="108">
        <f>'Single Family'!H35</f>
        <v>0</v>
      </c>
      <c r="F11" s="108">
        <f>'Single Family'!H30</f>
        <v>4.332236999999999</v>
      </c>
      <c r="G11" s="108">
        <f>'Single Family'!H33</f>
        <v>0.5599489999999999</v>
      </c>
      <c r="H11" s="108">
        <f>'Single Family'!H37</f>
        <v>97.54901</v>
      </c>
      <c r="I11" s="108">
        <f>'Single Family'!H31/2</f>
        <v>7.249866</v>
      </c>
      <c r="J11" s="108">
        <f>'Single Family'!H31/2</f>
        <v>7.249866</v>
      </c>
      <c r="K11" s="108">
        <f>'Single Family'!H28</f>
        <v>76.91931</v>
      </c>
      <c r="L11" s="108">
        <f>'Single Family'!H36</f>
        <v>43.292899</v>
      </c>
      <c r="M11" s="64"/>
      <c r="N11" s="134">
        <f t="shared" si="0"/>
        <v>294.71</v>
      </c>
      <c r="P11" s="68"/>
    </row>
    <row r="12" spans="1:16" ht="15.75" customHeight="1">
      <c r="A12" s="65">
        <f t="shared" si="1"/>
        <v>44895</v>
      </c>
      <c r="B12" s="66" t="s">
        <v>70</v>
      </c>
      <c r="C12" s="108">
        <f>'Single Family'!I32</f>
        <v>6.20508</v>
      </c>
      <c r="D12" s="109">
        <f>'Single Family'!I34</f>
        <v>61.87649999999999</v>
      </c>
      <c r="E12" s="108">
        <f>'Single Family'!I35</f>
        <v>0</v>
      </c>
      <c r="F12" s="108">
        <f>'Single Family'!I30</f>
        <v>5.12442</v>
      </c>
      <c r="G12" s="108">
        <f>'Single Family'!I33</f>
        <v>0.6623399999999999</v>
      </c>
      <c r="H12" s="108">
        <f>'Single Family'!I37</f>
        <v>115.3866</v>
      </c>
      <c r="I12" s="108">
        <f>'Single Family'!I31/2</f>
        <v>8.57556</v>
      </c>
      <c r="J12" s="108">
        <f>'Single Family'!I31/2</f>
        <v>8.57556</v>
      </c>
      <c r="K12" s="108">
        <f>'Single Family'!I28</f>
        <v>90.9846</v>
      </c>
      <c r="L12" s="108">
        <f>'Single Family'!I36</f>
        <v>51.20934</v>
      </c>
      <c r="M12" s="64"/>
      <c r="N12" s="134">
        <f t="shared" si="0"/>
        <v>348.59999999999997</v>
      </c>
      <c r="P12" s="68"/>
    </row>
    <row r="13" spans="1:16" ht="15.75" customHeight="1">
      <c r="A13" s="65">
        <f t="shared" si="1"/>
        <v>44926</v>
      </c>
      <c r="B13" s="66" t="s">
        <v>71</v>
      </c>
      <c r="C13" s="108">
        <f>'Single Family'!J32</f>
        <v>5.354952</v>
      </c>
      <c r="D13" s="109">
        <f>'Single Family'!J34</f>
        <v>53.39909999999999</v>
      </c>
      <c r="E13" s="108">
        <f>'Single Family'!J35</f>
        <v>0</v>
      </c>
      <c r="F13" s="108">
        <f>'Single Family'!J30</f>
        <v>4.4223479999999995</v>
      </c>
      <c r="G13" s="108">
        <f>'Single Family'!J33</f>
        <v>0.571596</v>
      </c>
      <c r="H13" s="108">
        <f>'Single Family'!J37</f>
        <v>99.57804</v>
      </c>
      <c r="I13" s="108">
        <f>'Single Family'!J31/2</f>
        <v>7.400664</v>
      </c>
      <c r="J13" s="108">
        <f>'Single Family'!J31/2</f>
        <v>7.400664</v>
      </c>
      <c r="K13" s="108">
        <f>'Single Family'!J28</f>
        <v>78.51924</v>
      </c>
      <c r="L13" s="108">
        <f>'Single Family'!J36</f>
        <v>44.193396</v>
      </c>
      <c r="M13" s="64"/>
      <c r="N13" s="134">
        <f t="shared" si="0"/>
        <v>300.84000000000003</v>
      </c>
      <c r="P13" s="68"/>
    </row>
    <row r="14" spans="1:16" ht="15.75" customHeight="1">
      <c r="A14" s="65">
        <f t="shared" si="1"/>
        <v>44957</v>
      </c>
      <c r="B14" s="66" t="s">
        <v>72</v>
      </c>
      <c r="C14" s="108">
        <f>'Single Family'!K32</f>
        <v>5.580471999999999</v>
      </c>
      <c r="D14" s="109">
        <f>'Single Family'!K34</f>
        <v>53.13144</v>
      </c>
      <c r="E14" s="108">
        <f>'Single Family'!K35</f>
        <v>0</v>
      </c>
      <c r="F14" s="108">
        <f>'Single Family'!K30</f>
        <v>5.045815999999999</v>
      </c>
      <c r="G14" s="108">
        <f>'Single Family'!K33</f>
        <v>0.33415999999999996</v>
      </c>
      <c r="H14" s="108">
        <f>'Single Family'!K37</f>
        <v>110.90770399999998</v>
      </c>
      <c r="I14" s="108">
        <f>'Single Family'!K31/2</f>
        <v>7.819343999999999</v>
      </c>
      <c r="J14" s="108">
        <f>'Single Family'!K31/2</f>
        <v>7.819343999999999</v>
      </c>
      <c r="K14" s="108">
        <f>'Single Family'!K28</f>
        <v>86.915016</v>
      </c>
      <c r="L14" s="108">
        <f>'Single Family'!K36</f>
        <v>56.60670399999999</v>
      </c>
      <c r="M14" s="64"/>
      <c r="N14" s="134">
        <f t="shared" si="0"/>
        <v>334.15999999999997</v>
      </c>
      <c r="P14" s="68"/>
    </row>
    <row r="15" spans="1:16" ht="15.75" customHeight="1">
      <c r="A15" s="65">
        <f t="shared" si="1"/>
        <v>44985</v>
      </c>
      <c r="B15" s="66" t="s">
        <v>73</v>
      </c>
      <c r="C15" s="108">
        <f>'Single Family'!L32</f>
        <v>4.591331</v>
      </c>
      <c r="D15" s="109">
        <f>'Single Family'!L34</f>
        <v>43.71387</v>
      </c>
      <c r="E15" s="108">
        <f>'Single Family'!L35</f>
        <v>0</v>
      </c>
      <c r="F15" s="108">
        <f>'Single Family'!L30</f>
        <v>4.151443</v>
      </c>
      <c r="G15" s="108">
        <f>'Single Family'!L33</f>
        <v>0.27493</v>
      </c>
      <c r="H15" s="108">
        <f>'Single Family'!L37</f>
        <v>91.24926699999999</v>
      </c>
      <c r="I15" s="108">
        <f>'Single Family'!L31/2</f>
        <v>6.433362000000001</v>
      </c>
      <c r="J15" s="108">
        <f>'Single Family'!L31/2</f>
        <v>6.433362000000001</v>
      </c>
      <c r="K15" s="108">
        <f>'Single Family'!L28</f>
        <v>71.509293</v>
      </c>
      <c r="L15" s="108">
        <f>'Single Family'!L36</f>
        <v>46.573142</v>
      </c>
      <c r="M15" s="64"/>
      <c r="N15" s="134">
        <f t="shared" si="0"/>
        <v>274.93</v>
      </c>
      <c r="P15" s="68"/>
    </row>
    <row r="16" spans="1:16" ht="15.75" customHeight="1">
      <c r="A16" s="65">
        <f t="shared" si="1"/>
        <v>45016</v>
      </c>
      <c r="B16" s="66" t="s">
        <v>74</v>
      </c>
      <c r="C16" s="108">
        <f>'Single Family'!M32</f>
        <v>5.070265002710716</v>
      </c>
      <c r="D16" s="109">
        <f>'Single Family'!M34</f>
        <v>48.27378056473077</v>
      </c>
      <c r="E16" s="108">
        <f>'Single Family'!M35</f>
        <v>0</v>
      </c>
      <c r="F16" s="108">
        <f>'Single Family'!M30</f>
        <v>4.5844911102354375</v>
      </c>
      <c r="G16" s="108">
        <f>'Single Family'!M33</f>
        <v>0.3036086827970489</v>
      </c>
      <c r="H16" s="108">
        <f>'Single Family'!M37</f>
        <v>100.76772182034051</v>
      </c>
      <c r="I16" s="108">
        <f>'Single Family'!M31/2</f>
        <v>7.104443177450944</v>
      </c>
      <c r="J16" s="108">
        <f>'Single Family'!M31/2</f>
        <v>7.104443177450944</v>
      </c>
      <c r="K16" s="108">
        <f>'Single Family'!M28</f>
        <v>78.96861839551241</v>
      </c>
      <c r="L16" s="108">
        <f>'Single Family'!M36</f>
        <v>51.43131086582007</v>
      </c>
      <c r="M16" s="64"/>
      <c r="N16" s="134">
        <f t="shared" si="0"/>
        <v>303.60868279704886</v>
      </c>
      <c r="P16" s="68"/>
    </row>
    <row r="17" spans="1:16" ht="15.75" customHeight="1">
      <c r="A17" s="65">
        <f t="shared" si="1"/>
        <v>45046</v>
      </c>
      <c r="B17" s="66" t="s">
        <v>75</v>
      </c>
      <c r="C17" s="108">
        <f>'Single Family'!N32</f>
        <v>4.419328714284862</v>
      </c>
      <c r="D17" s="109">
        <f>'Single Family'!N34</f>
        <v>42.076243447382815</v>
      </c>
      <c r="E17" s="108">
        <f>'Single Family'!N35</f>
        <v>0</v>
      </c>
      <c r="F17" s="108">
        <f>'Single Family'!N30</f>
        <v>3.995919975191702</v>
      </c>
      <c r="G17" s="108">
        <f>'Single Family'!N33</f>
        <v>0.26463046193322526</v>
      </c>
      <c r="H17" s="108">
        <f>'Single Family'!N37</f>
        <v>87.83085031563746</v>
      </c>
      <c r="I17" s="108">
        <f>'Single Family'!N31/2</f>
        <v>6.192352809237471</v>
      </c>
      <c r="J17" s="108">
        <f>'Single Family'!N31/2</f>
        <v>6.192352809237471</v>
      </c>
      <c r="K17" s="108">
        <f>'Single Family'!N28</f>
        <v>68.83038314883188</v>
      </c>
      <c r="L17" s="108">
        <f>'Single Family'!N36</f>
        <v>44.82840025148836</v>
      </c>
      <c r="M17" s="64"/>
      <c r="N17" s="134">
        <f t="shared" si="0"/>
        <v>264.63046193322526</v>
      </c>
      <c r="P17" s="68"/>
    </row>
    <row r="18" spans="1:15" ht="15.75" customHeight="1">
      <c r="A18" s="69" t="s">
        <v>31</v>
      </c>
      <c r="B18" s="66"/>
      <c r="C18" s="135">
        <f aca="true" t="shared" si="2" ref="C18:L18">SUM(C6:C17)</f>
        <v>65.55282271699556</v>
      </c>
      <c r="D18" s="135">
        <f t="shared" si="2"/>
        <v>644.8205090121136</v>
      </c>
      <c r="E18" s="135">
        <f t="shared" si="2"/>
        <v>0</v>
      </c>
      <c r="F18" s="135">
        <f t="shared" si="2"/>
        <v>55.676769085427146</v>
      </c>
      <c r="G18" s="135">
        <f t="shared" si="2"/>
        <v>6.075852144730273</v>
      </c>
      <c r="H18" s="135">
        <f t="shared" si="2"/>
        <v>1244.1298131359779</v>
      </c>
      <c r="I18" s="135">
        <f t="shared" si="2"/>
        <v>90.97248398668842</v>
      </c>
      <c r="J18" s="135">
        <f t="shared" si="2"/>
        <v>90.97248398668842</v>
      </c>
      <c r="K18" s="135">
        <f t="shared" si="2"/>
        <v>979.1256805443443</v>
      </c>
      <c r="L18" s="135">
        <f t="shared" si="2"/>
        <v>578.1727301173084</v>
      </c>
      <c r="M18" s="64"/>
      <c r="N18" s="136">
        <f>SUM(N6:N17)</f>
        <v>3755.499144730274</v>
      </c>
      <c r="O18" s="67"/>
    </row>
    <row r="19" spans="1:14" ht="12">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
      <c r="A21" s="65"/>
      <c r="B21" s="66"/>
      <c r="C21" s="66"/>
      <c r="D21" s="66"/>
      <c r="E21" s="66"/>
      <c r="F21" s="66"/>
      <c r="G21" s="66"/>
      <c r="H21" s="66"/>
      <c r="I21" s="66"/>
      <c r="J21" s="66"/>
      <c r="K21" s="66"/>
      <c r="L21" s="66"/>
      <c r="M21" s="64"/>
      <c r="N21" s="67"/>
    </row>
    <row r="22" spans="1:14" ht="12">
      <c r="A22" s="65"/>
      <c r="B22" s="66"/>
      <c r="C22" s="66"/>
      <c r="D22" s="66"/>
      <c r="E22" s="66"/>
      <c r="F22" s="66"/>
      <c r="G22" s="66"/>
      <c r="H22" s="66"/>
      <c r="I22" s="66"/>
      <c r="J22" s="66"/>
      <c r="K22" s="66"/>
      <c r="L22" s="66"/>
      <c r="M22" s="64"/>
      <c r="N22" s="67"/>
    </row>
    <row r="23" spans="1:14" ht="12">
      <c r="A23" s="66"/>
      <c r="B23" s="66"/>
      <c r="C23" s="66"/>
      <c r="D23" s="66"/>
      <c r="E23" s="66"/>
      <c r="F23" s="66"/>
      <c r="G23" s="66"/>
      <c r="H23" s="66"/>
      <c r="I23" s="66"/>
      <c r="J23" s="66"/>
      <c r="K23" s="66"/>
      <c r="L23" s="66"/>
      <c r="M23" s="64"/>
      <c r="N23" s="67"/>
    </row>
    <row r="24" spans="1:14" ht="12">
      <c r="A24" s="66"/>
      <c r="B24" s="66"/>
      <c r="C24" s="66"/>
      <c r="D24" s="66"/>
      <c r="E24" s="66"/>
      <c r="F24" s="66"/>
      <c r="G24" s="66"/>
      <c r="H24" s="66"/>
      <c r="I24" s="66"/>
      <c r="J24" s="66"/>
      <c r="K24" s="66"/>
      <c r="L24" s="66"/>
      <c r="M24" s="64"/>
      <c r="N24" s="67"/>
    </row>
    <row r="25" spans="1:14" ht="12">
      <c r="A25" s="66"/>
      <c r="B25" s="66"/>
      <c r="C25" s="66"/>
      <c r="E25" s="66"/>
      <c r="F25" s="66"/>
      <c r="G25" s="66"/>
      <c r="H25" s="66"/>
      <c r="I25" s="66"/>
      <c r="J25" s="66"/>
      <c r="K25" s="66"/>
      <c r="L25" s="66"/>
      <c r="M25" s="64"/>
      <c r="N25" s="67"/>
    </row>
    <row r="26" spans="1:14" ht="12">
      <c r="A26" s="66"/>
      <c r="B26" s="66"/>
      <c r="C26" s="66"/>
      <c r="D26" s="66"/>
      <c r="E26" s="66"/>
      <c r="F26" s="66"/>
      <c r="G26" s="66"/>
      <c r="H26" s="66"/>
      <c r="I26" s="66"/>
      <c r="J26" s="66"/>
      <c r="K26" s="66"/>
      <c r="L26" s="66"/>
      <c r="M26" s="64"/>
      <c r="N26" s="67"/>
    </row>
    <row r="27" spans="1:14" ht="12">
      <c r="A27" s="66"/>
      <c r="B27" s="66"/>
      <c r="C27" s="66"/>
      <c r="D27" s="66"/>
      <c r="E27" s="66"/>
      <c r="F27" s="66"/>
      <c r="G27" s="66"/>
      <c r="H27" s="66"/>
      <c r="I27" s="66"/>
      <c r="J27" s="66"/>
      <c r="K27" s="66"/>
      <c r="L27" s="66"/>
      <c r="M27" s="64"/>
      <c r="N27" s="67"/>
    </row>
    <row r="28" spans="1:14" ht="12">
      <c r="A28" s="66"/>
      <c r="B28" s="66"/>
      <c r="C28" s="66"/>
      <c r="D28" s="66"/>
      <c r="E28" s="66"/>
      <c r="F28" s="66"/>
      <c r="G28" s="66"/>
      <c r="H28" s="66"/>
      <c r="I28" s="66"/>
      <c r="J28" s="66"/>
      <c r="K28" s="66"/>
      <c r="L28" s="66"/>
      <c r="M28" s="64"/>
      <c r="N28" s="66"/>
    </row>
    <row r="29" spans="1:14" ht="12">
      <c r="A29" s="66"/>
      <c r="B29" s="66"/>
      <c r="C29" s="66"/>
      <c r="D29" s="66"/>
      <c r="E29" s="66"/>
      <c r="F29" s="66"/>
      <c r="G29" s="66"/>
      <c r="H29" s="66"/>
      <c r="I29" s="66"/>
      <c r="J29" s="66"/>
      <c r="K29" s="66"/>
      <c r="L29" s="66"/>
      <c r="M29" s="64"/>
      <c r="N29" s="66"/>
    </row>
    <row r="30" spans="1:14" ht="12">
      <c r="A30" s="66"/>
      <c r="B30" s="66"/>
      <c r="C30" s="66"/>
      <c r="D30" s="66"/>
      <c r="E30" s="66"/>
      <c r="F30" s="66"/>
      <c r="G30" s="66"/>
      <c r="H30" s="66"/>
      <c r="I30" s="66"/>
      <c r="J30" s="66"/>
      <c r="K30" s="66"/>
      <c r="L30" s="66"/>
      <c r="M30" s="64"/>
      <c r="N30" s="66"/>
    </row>
    <row r="31" spans="1:14" ht="12">
      <c r="A31" s="66"/>
      <c r="B31" s="66"/>
      <c r="C31" s="66"/>
      <c r="D31" s="66"/>
      <c r="E31" s="66"/>
      <c r="F31" s="66"/>
      <c r="G31" s="66"/>
      <c r="H31" s="66"/>
      <c r="I31" s="66"/>
      <c r="J31" s="66"/>
      <c r="K31" s="66"/>
      <c r="L31" s="66"/>
      <c r="M31" s="64"/>
      <c r="N31" s="66"/>
    </row>
    <row r="32" spans="1:14" ht="12">
      <c r="A32" s="66"/>
      <c r="B32" s="66"/>
      <c r="C32" s="66"/>
      <c r="D32" s="66"/>
      <c r="E32" s="66"/>
      <c r="F32" s="66"/>
      <c r="G32" s="66"/>
      <c r="H32" s="66"/>
      <c r="I32" s="66"/>
      <c r="J32" s="66"/>
      <c r="K32" s="66"/>
      <c r="L32" s="66"/>
      <c r="M32" s="64"/>
      <c r="N32" s="66"/>
    </row>
    <row r="33" spans="1:14" ht="12">
      <c r="A33" s="66"/>
      <c r="B33" s="66"/>
      <c r="C33" s="66"/>
      <c r="D33" s="66"/>
      <c r="E33" s="66"/>
      <c r="F33" s="66"/>
      <c r="G33" s="66"/>
      <c r="H33" s="66"/>
      <c r="I33" s="66"/>
      <c r="J33" s="66"/>
      <c r="K33" s="66"/>
      <c r="L33" s="66"/>
      <c r="M33" s="64"/>
      <c r="N33" s="66"/>
    </row>
    <row r="34" spans="1:14" ht="12">
      <c r="A34" s="66"/>
      <c r="B34" s="66"/>
      <c r="C34" s="66"/>
      <c r="D34" s="66"/>
      <c r="E34" s="66"/>
      <c r="F34" s="66"/>
      <c r="G34" s="66"/>
      <c r="H34" s="66"/>
      <c r="I34" s="66"/>
      <c r="J34" s="66"/>
      <c r="K34" s="66"/>
      <c r="L34" s="66"/>
      <c r="M34" s="64"/>
      <c r="N34" s="66"/>
    </row>
    <row r="35" spans="1:14" ht="12">
      <c r="A35" s="66"/>
      <c r="B35" s="66"/>
      <c r="C35" s="66"/>
      <c r="D35" s="66"/>
      <c r="E35" s="66"/>
      <c r="F35" s="66"/>
      <c r="G35" s="66"/>
      <c r="H35" s="66"/>
      <c r="I35" s="66"/>
      <c r="J35" s="66"/>
      <c r="K35" s="66"/>
      <c r="L35" s="66"/>
      <c r="M35" s="64"/>
      <c r="N35" s="66"/>
    </row>
    <row r="36" spans="1:14" ht="12">
      <c r="A36" s="66"/>
      <c r="B36" s="66"/>
      <c r="C36" s="66"/>
      <c r="D36" s="66"/>
      <c r="E36" s="66"/>
      <c r="F36" s="66"/>
      <c r="G36" s="66"/>
      <c r="H36" s="66"/>
      <c r="I36" s="66"/>
      <c r="J36" s="66"/>
      <c r="K36" s="66"/>
      <c r="L36" s="66"/>
      <c r="M36" s="64"/>
      <c r="N36" s="66"/>
    </row>
    <row r="37" spans="1:14" ht="12">
      <c r="A37" s="66"/>
      <c r="B37" s="66"/>
      <c r="C37" s="66"/>
      <c r="D37" s="66"/>
      <c r="E37" s="66"/>
      <c r="F37" s="66"/>
      <c r="G37" s="66"/>
      <c r="H37" s="66"/>
      <c r="I37" s="66"/>
      <c r="J37" s="66"/>
      <c r="K37" s="66"/>
      <c r="L37" s="66"/>
      <c r="M37" s="64"/>
      <c r="N37" s="66"/>
    </row>
    <row r="38" spans="1:14" ht="12">
      <c r="A38" s="66"/>
      <c r="B38" s="66"/>
      <c r="C38" s="66"/>
      <c r="D38" s="66"/>
      <c r="E38" s="66"/>
      <c r="F38" s="66"/>
      <c r="G38" s="66"/>
      <c r="H38" s="66"/>
      <c r="I38" s="66"/>
      <c r="J38" s="66"/>
      <c r="K38" s="66"/>
      <c r="L38" s="66"/>
      <c r="M38" s="64"/>
      <c r="N38" s="66"/>
    </row>
    <row r="39" spans="1:14" ht="12">
      <c r="A39" s="66"/>
      <c r="B39" s="66"/>
      <c r="C39" s="66"/>
      <c r="D39" s="66"/>
      <c r="E39" s="66"/>
      <c r="F39" s="66"/>
      <c r="G39" s="66"/>
      <c r="H39" s="66"/>
      <c r="I39" s="66"/>
      <c r="J39" s="66"/>
      <c r="K39" s="66"/>
      <c r="L39" s="66"/>
      <c r="M39" s="66"/>
      <c r="N39" s="66"/>
    </row>
    <row r="40" spans="1:14" ht="12">
      <c r="A40" s="66"/>
      <c r="B40" s="66"/>
      <c r="C40" s="66"/>
      <c r="D40" s="66"/>
      <c r="E40" s="66"/>
      <c r="F40" s="66"/>
      <c r="G40" s="66"/>
      <c r="H40" s="66"/>
      <c r="I40" s="66"/>
      <c r="J40" s="66"/>
      <c r="K40" s="66"/>
      <c r="L40" s="66"/>
      <c r="M40" s="66"/>
      <c r="N40" s="66"/>
    </row>
    <row r="41" spans="1:14" ht="12">
      <c r="A41" s="66"/>
      <c r="B41" s="66"/>
      <c r="C41" s="66"/>
      <c r="D41" s="66"/>
      <c r="E41" s="66"/>
      <c r="F41" s="66"/>
      <c r="G41" s="66"/>
      <c r="H41" s="66"/>
      <c r="I41" s="66"/>
      <c r="J41" s="66"/>
      <c r="K41" s="66"/>
      <c r="L41" s="66"/>
      <c r="M41" s="66"/>
      <c r="N41" s="66"/>
    </row>
    <row r="42" spans="1:14" ht="12">
      <c r="A42" s="66"/>
      <c r="B42" s="66"/>
      <c r="C42" s="66"/>
      <c r="D42" s="66"/>
      <c r="E42" s="66"/>
      <c r="F42" s="66"/>
      <c r="G42" s="66"/>
      <c r="H42" s="66"/>
      <c r="I42" s="66"/>
      <c r="J42" s="66"/>
      <c r="K42" s="66"/>
      <c r="L42" s="66"/>
      <c r="M42" s="66"/>
      <c r="N42" s="66"/>
    </row>
    <row r="43" spans="1:14" ht="12">
      <c r="A43" s="66"/>
      <c r="B43" s="66"/>
      <c r="C43" s="66"/>
      <c r="D43" s="66"/>
      <c r="E43" s="66"/>
      <c r="F43" s="66"/>
      <c r="G43" s="66"/>
      <c r="H43" s="66"/>
      <c r="I43" s="66"/>
      <c r="J43" s="66"/>
      <c r="K43" s="66"/>
      <c r="L43" s="66"/>
      <c r="M43" s="66"/>
      <c r="N43" s="66"/>
    </row>
    <row r="44" spans="1:14" ht="12">
      <c r="A44" s="66"/>
      <c r="B44" s="66"/>
      <c r="C44" s="66"/>
      <c r="D44" s="66"/>
      <c r="E44" s="66"/>
      <c r="F44" s="66"/>
      <c r="G44" s="66"/>
      <c r="H44" s="66"/>
      <c r="I44" s="66"/>
      <c r="J44" s="66"/>
      <c r="K44" s="66"/>
      <c r="L44" s="66"/>
      <c r="M44" s="66"/>
      <c r="N44" s="66"/>
    </row>
    <row r="45" spans="1:14" ht="12">
      <c r="A45" s="66"/>
      <c r="B45" s="66"/>
      <c r="C45" s="66"/>
      <c r="D45" s="66"/>
      <c r="E45" s="66"/>
      <c r="F45" s="66"/>
      <c r="G45" s="66"/>
      <c r="H45" s="66"/>
      <c r="I45" s="66"/>
      <c r="J45" s="66"/>
      <c r="K45" s="66"/>
      <c r="L45" s="66"/>
      <c r="M45" s="66"/>
      <c r="N45" s="66"/>
    </row>
    <row r="46" spans="1:14" ht="12">
      <c r="A46" s="66"/>
      <c r="B46" s="66"/>
      <c r="C46" s="66"/>
      <c r="D46" s="66"/>
      <c r="E46" s="66"/>
      <c r="F46" s="66"/>
      <c r="G46" s="66"/>
      <c r="H46" s="66"/>
      <c r="I46" s="66"/>
      <c r="J46" s="66"/>
      <c r="K46" s="66"/>
      <c r="L46" s="66"/>
      <c r="M46" s="66"/>
      <c r="N46" s="66"/>
    </row>
    <row r="47" spans="1:14" ht="12">
      <c r="A47" s="66"/>
      <c r="B47" s="66"/>
      <c r="C47" s="66"/>
      <c r="D47" s="66"/>
      <c r="E47" s="66"/>
      <c r="F47" s="66"/>
      <c r="G47" s="66"/>
      <c r="H47" s="66"/>
      <c r="I47" s="66"/>
      <c r="J47" s="66"/>
      <c r="K47" s="66"/>
      <c r="L47" s="66"/>
      <c r="M47" s="66"/>
      <c r="N47" s="66"/>
    </row>
    <row r="48" spans="1:14" ht="12">
      <c r="A48" s="66"/>
      <c r="B48" s="66"/>
      <c r="C48" s="66"/>
      <c r="D48" s="66"/>
      <c r="E48" s="66"/>
      <c r="F48" s="66"/>
      <c r="G48" s="66"/>
      <c r="H48" s="66"/>
      <c r="I48" s="66"/>
      <c r="J48" s="66"/>
      <c r="K48" s="66"/>
      <c r="L48" s="66"/>
      <c r="M48" s="66"/>
      <c r="N48" s="66"/>
    </row>
    <row r="49" spans="1:14" ht="12">
      <c r="A49" s="66"/>
      <c r="B49" s="66"/>
      <c r="C49" s="66"/>
      <c r="D49" s="66"/>
      <c r="E49" s="66"/>
      <c r="F49" s="66"/>
      <c r="G49" s="66"/>
      <c r="H49" s="66"/>
      <c r="I49" s="66"/>
      <c r="J49" s="66"/>
      <c r="K49" s="66"/>
      <c r="L49" s="66"/>
      <c r="M49" s="66"/>
      <c r="N49" s="66"/>
    </row>
    <row r="50" spans="1:14" ht="12">
      <c r="A50" s="66"/>
      <c r="B50" s="66"/>
      <c r="C50" s="66"/>
      <c r="D50" s="66"/>
      <c r="E50" s="66"/>
      <c r="F50" s="66"/>
      <c r="G50" s="66"/>
      <c r="H50" s="66"/>
      <c r="I50" s="66"/>
      <c r="J50" s="66"/>
      <c r="K50" s="66"/>
      <c r="L50" s="66"/>
      <c r="M50" s="66"/>
      <c r="N50" s="66"/>
    </row>
    <row r="51" spans="1:14" ht="12">
      <c r="A51" s="66"/>
      <c r="B51" s="66"/>
      <c r="C51" s="66"/>
      <c r="D51" s="66"/>
      <c r="E51" s="66"/>
      <c r="F51" s="66"/>
      <c r="G51" s="66"/>
      <c r="H51" s="66"/>
      <c r="I51" s="66"/>
      <c r="J51" s="66"/>
      <c r="K51" s="66"/>
      <c r="L51" s="66"/>
      <c r="M51" s="66"/>
      <c r="N51" s="66"/>
    </row>
    <row r="52" spans="1:14" ht="12">
      <c r="A52" s="66"/>
      <c r="B52" s="66"/>
      <c r="C52" s="66"/>
      <c r="D52" s="66"/>
      <c r="E52" s="66"/>
      <c r="F52" s="66"/>
      <c r="G52" s="66"/>
      <c r="H52" s="66"/>
      <c r="I52" s="66"/>
      <c r="J52" s="66"/>
      <c r="K52" s="66"/>
      <c r="L52" s="66"/>
      <c r="M52" s="66"/>
      <c r="N52" s="66"/>
    </row>
    <row r="53" spans="1:14" ht="12">
      <c r="A53" s="66"/>
      <c r="B53" s="66"/>
      <c r="C53" s="66"/>
      <c r="D53" s="66"/>
      <c r="E53" s="66"/>
      <c r="F53" s="66"/>
      <c r="G53" s="66"/>
      <c r="H53" s="66"/>
      <c r="I53" s="66"/>
      <c r="J53" s="66"/>
      <c r="K53" s="66"/>
      <c r="L53" s="66"/>
      <c r="M53" s="66"/>
      <c r="N53" s="66"/>
    </row>
    <row r="54" spans="1:14" ht="12">
      <c r="A54" s="66"/>
      <c r="B54" s="66"/>
      <c r="C54" s="66"/>
      <c r="D54" s="66"/>
      <c r="E54" s="66"/>
      <c r="F54" s="66"/>
      <c r="G54" s="66"/>
      <c r="H54" s="66"/>
      <c r="I54" s="66"/>
      <c r="J54" s="66"/>
      <c r="K54" s="66"/>
      <c r="L54" s="66"/>
      <c r="M54" s="66"/>
      <c r="N54" s="66"/>
    </row>
    <row r="55" spans="1:14" ht="12">
      <c r="A55" s="66"/>
      <c r="B55" s="66"/>
      <c r="C55" s="66"/>
      <c r="D55" s="66"/>
      <c r="E55" s="66"/>
      <c r="F55" s="66"/>
      <c r="G55" s="66"/>
      <c r="H55" s="66"/>
      <c r="I55" s="66"/>
      <c r="J55" s="66"/>
      <c r="K55" s="66"/>
      <c r="L55" s="66"/>
      <c r="M55" s="66"/>
      <c r="N55" s="66"/>
    </row>
    <row r="56" spans="1:14" ht="12">
      <c r="A56" s="66"/>
      <c r="B56" s="66"/>
      <c r="C56" s="66"/>
      <c r="D56" s="66"/>
      <c r="E56" s="66"/>
      <c r="F56" s="66"/>
      <c r="G56" s="66"/>
      <c r="H56" s="66"/>
      <c r="I56" s="66"/>
      <c r="J56" s="66"/>
      <c r="K56" s="66"/>
      <c r="L56" s="66"/>
      <c r="M56" s="66"/>
      <c r="N56" s="66"/>
    </row>
    <row r="57" spans="1:14" ht="12">
      <c r="A57" s="66"/>
      <c r="B57" s="66"/>
      <c r="C57" s="66"/>
      <c r="D57" s="66"/>
      <c r="E57" s="66"/>
      <c r="F57" s="66"/>
      <c r="G57" s="66"/>
      <c r="H57" s="66"/>
      <c r="I57" s="66"/>
      <c r="J57" s="66"/>
      <c r="K57" s="66"/>
      <c r="L57" s="66"/>
      <c r="M57" s="66"/>
      <c r="N57" s="66"/>
    </row>
    <row r="58" spans="1:14" ht="12">
      <c r="A58" s="66"/>
      <c r="B58" s="66"/>
      <c r="C58" s="66"/>
      <c r="D58" s="66"/>
      <c r="E58" s="66"/>
      <c r="F58" s="66"/>
      <c r="G58" s="66"/>
      <c r="H58" s="66"/>
      <c r="I58" s="66"/>
      <c r="J58" s="66"/>
      <c r="K58" s="66"/>
      <c r="L58" s="66"/>
      <c r="M58" s="66"/>
      <c r="N58" s="66"/>
    </row>
    <row r="59" spans="1:14" ht="12">
      <c r="A59" s="66"/>
      <c r="B59" s="66"/>
      <c r="C59" s="66"/>
      <c r="D59" s="66"/>
      <c r="E59" s="66"/>
      <c r="F59" s="66"/>
      <c r="G59" s="66"/>
      <c r="H59" s="66"/>
      <c r="I59" s="66"/>
      <c r="J59" s="66"/>
      <c r="K59" s="66"/>
      <c r="L59" s="66"/>
      <c r="M59" s="66"/>
      <c r="N59" s="66"/>
    </row>
    <row r="60" spans="1:14" ht="12">
      <c r="A60" s="66"/>
      <c r="B60" s="66"/>
      <c r="C60" s="66"/>
      <c r="D60" s="66"/>
      <c r="E60" s="66"/>
      <c r="F60" s="66"/>
      <c r="G60" s="66"/>
      <c r="H60" s="66"/>
      <c r="I60" s="66"/>
      <c r="J60" s="66"/>
      <c r="K60" s="66"/>
      <c r="L60" s="66"/>
      <c r="M60" s="66"/>
      <c r="N60" s="66"/>
    </row>
    <row r="61" spans="1:14" ht="12">
      <c r="A61" s="66"/>
      <c r="B61" s="66"/>
      <c r="C61" s="66"/>
      <c r="D61" s="66"/>
      <c r="E61" s="66"/>
      <c r="F61" s="66"/>
      <c r="G61" s="66"/>
      <c r="H61" s="66"/>
      <c r="I61" s="66"/>
      <c r="J61" s="66"/>
      <c r="K61" s="66"/>
      <c r="L61" s="66"/>
      <c r="M61" s="66"/>
      <c r="N61" s="66"/>
    </row>
    <row r="62" spans="1:14" ht="12">
      <c r="A62" s="66"/>
      <c r="B62" s="66"/>
      <c r="C62" s="66"/>
      <c r="D62" s="66"/>
      <c r="E62" s="66"/>
      <c r="F62" s="66"/>
      <c r="G62" s="66"/>
      <c r="H62" s="66"/>
      <c r="I62" s="66"/>
      <c r="J62" s="66"/>
      <c r="K62" s="66"/>
      <c r="L62" s="66"/>
      <c r="M62" s="66"/>
      <c r="N62" s="66"/>
    </row>
    <row r="63" spans="1:14" ht="12">
      <c r="A63" s="66"/>
      <c r="B63" s="66"/>
      <c r="C63" s="66"/>
      <c r="D63" s="66"/>
      <c r="E63" s="66"/>
      <c r="F63" s="66"/>
      <c r="G63" s="66"/>
      <c r="H63" s="66"/>
      <c r="I63" s="66"/>
      <c r="J63" s="66"/>
      <c r="K63" s="66"/>
      <c r="L63" s="66"/>
      <c r="M63" s="66"/>
      <c r="N63" s="66"/>
    </row>
    <row r="64" spans="1:14" ht="12">
      <c r="A64" s="66"/>
      <c r="B64" s="66"/>
      <c r="C64" s="66"/>
      <c r="D64" s="66"/>
      <c r="E64" s="66"/>
      <c r="F64" s="66"/>
      <c r="G64" s="66"/>
      <c r="H64" s="66"/>
      <c r="I64" s="66"/>
      <c r="J64" s="66"/>
      <c r="K64" s="66"/>
      <c r="L64" s="66"/>
      <c r="M64" s="66"/>
      <c r="N64" s="66"/>
    </row>
    <row r="65" spans="1:14" ht="12">
      <c r="A65" s="66"/>
      <c r="B65" s="66"/>
      <c r="C65" s="66"/>
      <c r="D65" s="66"/>
      <c r="E65" s="66"/>
      <c r="F65" s="66"/>
      <c r="G65" s="66"/>
      <c r="H65" s="66"/>
      <c r="I65" s="66"/>
      <c r="J65" s="66"/>
      <c r="K65" s="66"/>
      <c r="L65" s="66"/>
      <c r="M65" s="66"/>
      <c r="N65" s="66"/>
    </row>
    <row r="66" spans="1:14" ht="12">
      <c r="A66" s="66"/>
      <c r="B66" s="66"/>
      <c r="C66" s="66"/>
      <c r="D66" s="66"/>
      <c r="E66" s="66"/>
      <c r="F66" s="66"/>
      <c r="G66" s="66"/>
      <c r="H66" s="66"/>
      <c r="I66" s="66"/>
      <c r="J66" s="66"/>
      <c r="K66" s="66"/>
      <c r="L66" s="66"/>
      <c r="M66" s="66"/>
      <c r="N66" s="66"/>
    </row>
    <row r="67" spans="1:14" ht="12">
      <c r="A67" s="66"/>
      <c r="B67" s="66"/>
      <c r="C67" s="66"/>
      <c r="D67" s="66"/>
      <c r="E67" s="66"/>
      <c r="F67" s="66"/>
      <c r="G67" s="66"/>
      <c r="H67" s="66"/>
      <c r="I67" s="66"/>
      <c r="J67" s="66"/>
      <c r="K67" s="66"/>
      <c r="L67" s="66"/>
      <c r="M67" s="66"/>
      <c r="N67" s="66"/>
    </row>
    <row r="68" spans="1:14" ht="12">
      <c r="A68" s="66"/>
      <c r="B68" s="66"/>
      <c r="C68" s="66"/>
      <c r="D68" s="66"/>
      <c r="E68" s="66"/>
      <c r="F68" s="66"/>
      <c r="G68" s="66"/>
      <c r="H68" s="66"/>
      <c r="I68" s="66"/>
      <c r="J68" s="66"/>
      <c r="K68" s="66"/>
      <c r="L68" s="66"/>
      <c r="M68" s="66"/>
      <c r="N68" s="66"/>
    </row>
    <row r="69" spans="1:14" ht="12">
      <c r="A69" s="66"/>
      <c r="B69" s="66"/>
      <c r="C69" s="66"/>
      <c r="D69" s="66"/>
      <c r="E69" s="66"/>
      <c r="F69" s="66"/>
      <c r="G69" s="66"/>
      <c r="H69" s="66"/>
      <c r="I69" s="66"/>
      <c r="J69" s="66"/>
      <c r="K69" s="66"/>
      <c r="L69" s="66"/>
      <c r="M69" s="66"/>
      <c r="N69" s="66"/>
    </row>
    <row r="70" spans="1:14" ht="12">
      <c r="A70" s="66"/>
      <c r="B70" s="66"/>
      <c r="C70" s="66"/>
      <c r="D70" s="66"/>
      <c r="E70" s="66"/>
      <c r="F70" s="66"/>
      <c r="G70" s="66"/>
      <c r="H70" s="66"/>
      <c r="I70" s="66"/>
      <c r="J70" s="66"/>
      <c r="K70" s="66"/>
      <c r="L70" s="66"/>
      <c r="M70" s="66"/>
      <c r="N70" s="66"/>
    </row>
    <row r="71" spans="1:14" ht="12">
      <c r="A71" s="66"/>
      <c r="B71" s="66"/>
      <c r="C71" s="66"/>
      <c r="D71" s="66"/>
      <c r="E71" s="66"/>
      <c r="F71" s="66"/>
      <c r="G71" s="66"/>
      <c r="H71" s="66"/>
      <c r="I71" s="66"/>
      <c r="J71" s="66"/>
      <c r="K71" s="66"/>
      <c r="L71" s="66"/>
      <c r="M71" s="66"/>
      <c r="N71" s="66"/>
    </row>
    <row r="72" spans="1:14" ht="12">
      <c r="A72" s="66"/>
      <c r="B72" s="66"/>
      <c r="C72" s="66"/>
      <c r="D72" s="66"/>
      <c r="E72" s="66"/>
      <c r="F72" s="66"/>
      <c r="G72" s="66"/>
      <c r="H72" s="66"/>
      <c r="I72" s="66"/>
      <c r="J72" s="66"/>
      <c r="K72" s="66"/>
      <c r="L72" s="66"/>
      <c r="M72" s="66"/>
      <c r="N72" s="66"/>
    </row>
    <row r="73" spans="1:14" ht="12">
      <c r="A73" s="66"/>
      <c r="B73" s="66"/>
      <c r="C73" s="66"/>
      <c r="D73" s="66"/>
      <c r="E73" s="66"/>
      <c r="F73" s="66"/>
      <c r="G73" s="66"/>
      <c r="H73" s="66"/>
      <c r="I73" s="66"/>
      <c r="J73" s="66"/>
      <c r="K73" s="66"/>
      <c r="L73" s="66"/>
      <c r="M73" s="66"/>
      <c r="N73" s="66"/>
    </row>
    <row r="74" spans="1:14" ht="12">
      <c r="A74" s="66"/>
      <c r="B74" s="66"/>
      <c r="C74" s="66"/>
      <c r="D74" s="66"/>
      <c r="E74" s="66"/>
      <c r="F74" s="66"/>
      <c r="G74" s="66"/>
      <c r="H74" s="66"/>
      <c r="I74" s="66"/>
      <c r="J74" s="66"/>
      <c r="K74" s="66"/>
      <c r="L74" s="66"/>
      <c r="M74" s="66"/>
      <c r="N74" s="66"/>
    </row>
    <row r="75" spans="1:14" ht="12">
      <c r="A75" s="66"/>
      <c r="B75" s="66"/>
      <c r="C75" s="66"/>
      <c r="D75" s="66"/>
      <c r="E75" s="66"/>
      <c r="F75" s="66"/>
      <c r="G75" s="66"/>
      <c r="H75" s="66"/>
      <c r="I75" s="66"/>
      <c r="J75" s="66"/>
      <c r="K75" s="66"/>
      <c r="L75" s="66"/>
      <c r="M75" s="66"/>
      <c r="N75" s="66"/>
    </row>
    <row r="76" spans="1:14" ht="12">
      <c r="A76" s="66"/>
      <c r="B76" s="66"/>
      <c r="C76" s="66"/>
      <c r="D76" s="66"/>
      <c r="E76" s="66"/>
      <c r="F76" s="66"/>
      <c r="G76" s="66"/>
      <c r="H76" s="66"/>
      <c r="I76" s="66"/>
      <c r="J76" s="66"/>
      <c r="K76" s="66"/>
      <c r="L76" s="66"/>
      <c r="M76" s="66"/>
      <c r="N76" s="66"/>
    </row>
    <row r="77" spans="1:14" ht="12">
      <c r="A77" s="66"/>
      <c r="B77" s="66"/>
      <c r="C77" s="66"/>
      <c r="D77" s="66"/>
      <c r="E77" s="66"/>
      <c r="F77" s="66"/>
      <c r="G77" s="66"/>
      <c r="H77" s="66"/>
      <c r="I77" s="66"/>
      <c r="J77" s="66"/>
      <c r="K77" s="66"/>
      <c r="L77" s="66"/>
      <c r="M77" s="66"/>
      <c r="N77" s="66"/>
    </row>
    <row r="78" spans="1:14" ht="12">
      <c r="A78" s="66"/>
      <c r="B78" s="66"/>
      <c r="C78" s="66"/>
      <c r="D78" s="66"/>
      <c r="E78" s="66"/>
      <c r="F78" s="66"/>
      <c r="G78" s="66"/>
      <c r="H78" s="66"/>
      <c r="I78" s="66"/>
      <c r="J78" s="66"/>
      <c r="K78" s="66"/>
      <c r="L78" s="66"/>
      <c r="M78" s="66"/>
      <c r="N78" s="66"/>
    </row>
    <row r="79" spans="1:14" ht="12">
      <c r="A79" s="66"/>
      <c r="B79" s="66"/>
      <c r="C79" s="66"/>
      <c r="D79" s="66"/>
      <c r="E79" s="66"/>
      <c r="F79" s="66"/>
      <c r="G79" s="66"/>
      <c r="H79" s="66"/>
      <c r="I79" s="66"/>
      <c r="J79" s="66"/>
      <c r="K79" s="66"/>
      <c r="L79" s="66"/>
      <c r="M79" s="66"/>
      <c r="N79" s="66"/>
    </row>
    <row r="80" spans="1:14" ht="12">
      <c r="A80" s="66"/>
      <c r="B80" s="66"/>
      <c r="C80" s="66"/>
      <c r="D80" s="66"/>
      <c r="E80" s="66"/>
      <c r="F80" s="66"/>
      <c r="G80" s="66"/>
      <c r="H80" s="66"/>
      <c r="I80" s="66"/>
      <c r="J80" s="66"/>
      <c r="K80" s="66"/>
      <c r="L80" s="66"/>
      <c r="M80" s="66"/>
      <c r="N80" s="66"/>
    </row>
    <row r="81" spans="1:14" ht="12">
      <c r="A81" s="66"/>
      <c r="B81" s="66"/>
      <c r="C81" s="66"/>
      <c r="D81" s="66"/>
      <c r="E81" s="66"/>
      <c r="F81" s="66"/>
      <c r="G81" s="66"/>
      <c r="H81" s="66"/>
      <c r="I81" s="66"/>
      <c r="J81" s="66"/>
      <c r="K81" s="66"/>
      <c r="L81" s="66"/>
      <c r="M81" s="66"/>
      <c r="N81" s="66"/>
    </row>
    <row r="82" spans="1:14" ht="12">
      <c r="A82" s="66"/>
      <c r="B82" s="66"/>
      <c r="C82" s="66"/>
      <c r="D82" s="66"/>
      <c r="E82" s="66"/>
      <c r="F82" s="66"/>
      <c r="G82" s="66"/>
      <c r="H82" s="66"/>
      <c r="I82" s="66"/>
      <c r="J82" s="66"/>
      <c r="K82" s="66"/>
      <c r="L82" s="66"/>
      <c r="M82" s="66"/>
      <c r="N82" s="66"/>
    </row>
    <row r="83" spans="1:14" ht="12">
      <c r="A83" s="66"/>
      <c r="B83" s="66"/>
      <c r="C83" s="66"/>
      <c r="D83" s="66"/>
      <c r="E83" s="66"/>
      <c r="F83" s="66"/>
      <c r="G83" s="66"/>
      <c r="H83" s="66"/>
      <c r="I83" s="66"/>
      <c r="J83" s="66"/>
      <c r="K83" s="66"/>
      <c r="L83" s="66"/>
      <c r="M83" s="66"/>
      <c r="N83" s="66"/>
    </row>
    <row r="84" spans="1:14" ht="12">
      <c r="A84" s="66"/>
      <c r="B84" s="66"/>
      <c r="C84" s="66"/>
      <c r="D84" s="66"/>
      <c r="E84" s="66"/>
      <c r="F84" s="66"/>
      <c r="G84" s="66"/>
      <c r="H84" s="66"/>
      <c r="I84" s="66"/>
      <c r="J84" s="66"/>
      <c r="K84" s="66"/>
      <c r="L84" s="66"/>
      <c r="M84" s="66"/>
      <c r="N84" s="66"/>
    </row>
    <row r="85" spans="1:14" ht="12">
      <c r="A85" s="66"/>
      <c r="B85" s="66"/>
      <c r="C85" s="66"/>
      <c r="D85" s="66"/>
      <c r="E85" s="66"/>
      <c r="F85" s="66"/>
      <c r="G85" s="66"/>
      <c r="H85" s="66"/>
      <c r="I85" s="66"/>
      <c r="J85" s="66"/>
      <c r="K85" s="66"/>
      <c r="L85" s="66"/>
      <c r="M85" s="66"/>
      <c r="N85" s="66"/>
    </row>
    <row r="86" spans="1:14" ht="12">
      <c r="A86" s="66"/>
      <c r="B86" s="66"/>
      <c r="C86" s="66"/>
      <c r="D86" s="66"/>
      <c r="E86" s="66"/>
      <c r="F86" s="66"/>
      <c r="G86" s="66"/>
      <c r="H86" s="66"/>
      <c r="I86" s="66"/>
      <c r="J86" s="66"/>
      <c r="K86" s="66"/>
      <c r="L86" s="66"/>
      <c r="M86" s="66"/>
      <c r="N86" s="66"/>
    </row>
    <row r="87" spans="1:14" ht="12">
      <c r="A87" s="66"/>
      <c r="B87" s="66"/>
      <c r="C87" s="66"/>
      <c r="D87" s="66"/>
      <c r="E87" s="66"/>
      <c r="F87" s="66"/>
      <c r="G87" s="66"/>
      <c r="H87" s="66"/>
      <c r="I87" s="66"/>
      <c r="J87" s="66"/>
      <c r="K87" s="66"/>
      <c r="L87" s="66"/>
      <c r="M87" s="66"/>
      <c r="N87" s="66"/>
    </row>
    <row r="88" spans="1:14" ht="12">
      <c r="A88" s="66"/>
      <c r="B88" s="66"/>
      <c r="C88" s="66"/>
      <c r="D88" s="66"/>
      <c r="E88" s="66"/>
      <c r="F88" s="66"/>
      <c r="G88" s="66"/>
      <c r="H88" s="66"/>
      <c r="I88" s="66"/>
      <c r="J88" s="66"/>
      <c r="K88" s="66"/>
      <c r="L88" s="66"/>
      <c r="M88" s="66"/>
      <c r="N88" s="66"/>
    </row>
    <row r="89" spans="1:14" ht="12">
      <c r="A89" s="66"/>
      <c r="B89" s="66"/>
      <c r="C89" s="66"/>
      <c r="D89" s="66"/>
      <c r="E89" s="66"/>
      <c r="F89" s="66"/>
      <c r="G89" s="66"/>
      <c r="H89" s="66"/>
      <c r="I89" s="66"/>
      <c r="J89" s="66"/>
      <c r="K89" s="66"/>
      <c r="L89" s="66"/>
      <c r="M89" s="66"/>
      <c r="N89" s="66"/>
    </row>
    <row r="90" spans="1:14" ht="12">
      <c r="A90" s="66"/>
      <c r="B90" s="66"/>
      <c r="C90" s="66"/>
      <c r="D90" s="66"/>
      <c r="E90" s="66"/>
      <c r="F90" s="66"/>
      <c r="G90" s="66"/>
      <c r="H90" s="66"/>
      <c r="I90" s="66"/>
      <c r="J90" s="66"/>
      <c r="K90" s="66"/>
      <c r="L90" s="66"/>
      <c r="M90" s="66"/>
      <c r="N90" s="66"/>
    </row>
    <row r="91" spans="1:14" ht="12">
      <c r="A91" s="66"/>
      <c r="B91" s="66"/>
      <c r="C91" s="66"/>
      <c r="D91" s="66"/>
      <c r="E91" s="66"/>
      <c r="F91" s="66"/>
      <c r="G91" s="66"/>
      <c r="H91" s="66"/>
      <c r="I91" s="66"/>
      <c r="J91" s="66"/>
      <c r="K91" s="66"/>
      <c r="L91" s="66"/>
      <c r="M91" s="66"/>
      <c r="N91" s="66"/>
    </row>
    <row r="92" spans="1:14" ht="12">
      <c r="A92" s="66"/>
      <c r="B92" s="66"/>
      <c r="C92" s="66"/>
      <c r="D92" s="66"/>
      <c r="E92" s="66"/>
      <c r="F92" s="66"/>
      <c r="G92" s="66"/>
      <c r="H92" s="66"/>
      <c r="I92" s="66"/>
      <c r="J92" s="66"/>
      <c r="K92" s="66"/>
      <c r="L92" s="66"/>
      <c r="M92" s="66"/>
      <c r="N92" s="66"/>
    </row>
    <row r="93" spans="1:14" ht="12">
      <c r="A93" s="66"/>
      <c r="B93" s="66"/>
      <c r="C93" s="66"/>
      <c r="D93" s="66"/>
      <c r="E93" s="66"/>
      <c r="F93" s="66"/>
      <c r="G93" s="66"/>
      <c r="H93" s="66"/>
      <c r="I93" s="66"/>
      <c r="J93" s="66"/>
      <c r="K93" s="66"/>
      <c r="L93" s="66"/>
      <c r="M93" s="66"/>
      <c r="N93" s="66"/>
    </row>
    <row r="94" spans="1:14" ht="12">
      <c r="A94" s="66"/>
      <c r="B94" s="66"/>
      <c r="C94" s="66"/>
      <c r="D94" s="66"/>
      <c r="E94" s="66"/>
      <c r="F94" s="66"/>
      <c r="G94" s="66"/>
      <c r="H94" s="66"/>
      <c r="I94" s="66"/>
      <c r="J94" s="66"/>
      <c r="K94" s="66"/>
      <c r="L94" s="66"/>
      <c r="M94" s="66"/>
      <c r="N94" s="66"/>
    </row>
    <row r="95" spans="1:14" ht="12">
      <c r="A95" s="66"/>
      <c r="B95" s="66"/>
      <c r="C95" s="66"/>
      <c r="D95" s="66"/>
      <c r="E95" s="66"/>
      <c r="F95" s="66"/>
      <c r="G95" s="66"/>
      <c r="H95" s="66"/>
      <c r="I95" s="66"/>
      <c r="J95" s="66"/>
      <c r="K95" s="66"/>
      <c r="L95" s="66"/>
      <c r="M95" s="66"/>
      <c r="N95" s="66"/>
    </row>
    <row r="96" spans="1:14" ht="12">
      <c r="A96" s="66"/>
      <c r="B96" s="66"/>
      <c r="C96" s="66"/>
      <c r="D96" s="66"/>
      <c r="E96" s="66"/>
      <c r="F96" s="66"/>
      <c r="G96" s="66"/>
      <c r="H96" s="66"/>
      <c r="I96" s="66"/>
      <c r="J96" s="66"/>
      <c r="K96" s="66"/>
      <c r="L96" s="66"/>
      <c r="M96" s="66"/>
      <c r="N96" s="66"/>
    </row>
    <row r="97" spans="1:14" ht="12">
      <c r="A97" s="66"/>
      <c r="B97" s="66"/>
      <c r="C97" s="66"/>
      <c r="D97" s="66"/>
      <c r="E97" s="66"/>
      <c r="F97" s="66"/>
      <c r="G97" s="66"/>
      <c r="H97" s="66"/>
      <c r="I97" s="66"/>
      <c r="J97" s="66"/>
      <c r="K97" s="66"/>
      <c r="L97" s="66"/>
      <c r="M97" s="66"/>
      <c r="N97" s="66"/>
    </row>
    <row r="98" spans="1:14" ht="12">
      <c r="A98" s="66"/>
      <c r="B98" s="66"/>
      <c r="C98" s="66"/>
      <c r="D98" s="66"/>
      <c r="E98" s="66"/>
      <c r="F98" s="66"/>
      <c r="G98" s="66"/>
      <c r="H98" s="66"/>
      <c r="I98" s="66"/>
      <c r="J98" s="66"/>
      <c r="K98" s="66"/>
      <c r="L98" s="66"/>
      <c r="M98" s="66"/>
      <c r="N98" s="66"/>
    </row>
    <row r="99" spans="1:14" ht="12">
      <c r="A99" s="66"/>
      <c r="B99" s="66"/>
      <c r="C99" s="66"/>
      <c r="D99" s="66"/>
      <c r="E99" s="66"/>
      <c r="F99" s="66"/>
      <c r="G99" s="66"/>
      <c r="H99" s="66"/>
      <c r="I99" s="66"/>
      <c r="J99" s="66"/>
      <c r="K99" s="66"/>
      <c r="L99" s="66"/>
      <c r="M99" s="66"/>
      <c r="N99" s="66"/>
    </row>
    <row r="100" spans="1:14" ht="12">
      <c r="A100" s="66"/>
      <c r="B100" s="66"/>
      <c r="C100" s="66"/>
      <c r="D100" s="66"/>
      <c r="E100" s="66"/>
      <c r="F100" s="66"/>
      <c r="G100" s="66"/>
      <c r="H100" s="66"/>
      <c r="I100" s="66"/>
      <c r="J100" s="66"/>
      <c r="K100" s="66"/>
      <c r="L100" s="66"/>
      <c r="M100" s="66"/>
      <c r="N100" s="66"/>
    </row>
    <row r="101" spans="1:14" ht="12">
      <c r="A101" s="66"/>
      <c r="B101" s="66"/>
      <c r="C101" s="66"/>
      <c r="D101" s="66"/>
      <c r="E101" s="66"/>
      <c r="F101" s="66"/>
      <c r="G101" s="66"/>
      <c r="H101" s="66"/>
      <c r="I101" s="66"/>
      <c r="J101" s="66"/>
      <c r="K101" s="66"/>
      <c r="L101" s="66"/>
      <c r="M101" s="66"/>
      <c r="N101" s="66"/>
    </row>
    <row r="102" spans="1:14" ht="12">
      <c r="A102" s="66"/>
      <c r="B102" s="66"/>
      <c r="C102" s="66"/>
      <c r="D102" s="66"/>
      <c r="E102" s="66"/>
      <c r="F102" s="66"/>
      <c r="G102" s="66"/>
      <c r="H102" s="66"/>
      <c r="I102" s="66"/>
      <c r="J102" s="66"/>
      <c r="K102" s="66"/>
      <c r="L102" s="66"/>
      <c r="M102" s="66"/>
      <c r="N102" s="66"/>
    </row>
    <row r="103" spans="1:14" ht="12">
      <c r="A103" s="66"/>
      <c r="B103" s="66"/>
      <c r="C103" s="66"/>
      <c r="D103" s="66"/>
      <c r="E103" s="66"/>
      <c r="F103" s="66"/>
      <c r="G103" s="66"/>
      <c r="H103" s="66"/>
      <c r="I103" s="66"/>
      <c r="J103" s="66"/>
      <c r="K103" s="66"/>
      <c r="L103" s="66"/>
      <c r="M103" s="66"/>
      <c r="N103" s="66"/>
    </row>
    <row r="104" spans="1:14" ht="12">
      <c r="A104" s="66"/>
      <c r="B104" s="66"/>
      <c r="C104" s="66"/>
      <c r="D104" s="66"/>
      <c r="E104" s="66"/>
      <c r="F104" s="66"/>
      <c r="G104" s="66"/>
      <c r="H104" s="66"/>
      <c r="I104" s="66"/>
      <c r="J104" s="66"/>
      <c r="K104" s="66"/>
      <c r="L104" s="66"/>
      <c r="M104" s="66"/>
      <c r="N104" s="66"/>
    </row>
    <row r="105" spans="1:14" ht="12">
      <c r="A105" s="66"/>
      <c r="B105" s="66"/>
      <c r="C105" s="66"/>
      <c r="D105" s="66"/>
      <c r="E105" s="66"/>
      <c r="F105" s="66"/>
      <c r="G105" s="66"/>
      <c r="H105" s="66"/>
      <c r="I105" s="66"/>
      <c r="J105" s="66"/>
      <c r="K105" s="66"/>
      <c r="L105" s="66"/>
      <c r="M105" s="66"/>
      <c r="N105" s="66"/>
    </row>
    <row r="106" spans="1:14" ht="12">
      <c r="A106" s="66"/>
      <c r="B106" s="66"/>
      <c r="C106" s="66"/>
      <c r="D106" s="66"/>
      <c r="E106" s="66"/>
      <c r="F106" s="66"/>
      <c r="G106" s="66"/>
      <c r="H106" s="66"/>
      <c r="I106" s="66"/>
      <c r="J106" s="66"/>
      <c r="K106" s="66"/>
      <c r="L106" s="66"/>
      <c r="M106" s="66"/>
      <c r="N106" s="66"/>
    </row>
    <row r="107" spans="1:14" ht="12">
      <c r="A107" s="66"/>
      <c r="B107" s="66"/>
      <c r="C107" s="66"/>
      <c r="D107" s="66"/>
      <c r="E107" s="66"/>
      <c r="F107" s="66"/>
      <c r="G107" s="66"/>
      <c r="H107" s="66"/>
      <c r="I107" s="66"/>
      <c r="J107" s="66"/>
      <c r="K107" s="66"/>
      <c r="L107" s="66"/>
      <c r="M107" s="66"/>
      <c r="N107" s="66"/>
    </row>
    <row r="108" spans="1:14" ht="12">
      <c r="A108" s="66"/>
      <c r="B108" s="66"/>
      <c r="C108" s="66"/>
      <c r="D108" s="66"/>
      <c r="E108" s="66"/>
      <c r="F108" s="66"/>
      <c r="G108" s="66"/>
      <c r="H108" s="66"/>
      <c r="I108" s="66"/>
      <c r="J108" s="66"/>
      <c r="K108" s="66"/>
      <c r="L108" s="66"/>
      <c r="M108" s="66"/>
      <c r="N108" s="66"/>
    </row>
    <row r="109" spans="1:14" ht="12">
      <c r="A109" s="66"/>
      <c r="B109" s="66"/>
      <c r="C109" s="66"/>
      <c r="D109" s="66"/>
      <c r="E109" s="66"/>
      <c r="F109" s="66"/>
      <c r="G109" s="66"/>
      <c r="H109" s="66"/>
      <c r="I109" s="66"/>
      <c r="J109" s="66"/>
      <c r="K109" s="66"/>
      <c r="L109" s="66"/>
      <c r="M109" s="66"/>
      <c r="N109" s="66"/>
    </row>
    <row r="110" spans="1:14" ht="12">
      <c r="A110" s="66"/>
      <c r="B110" s="66"/>
      <c r="C110" s="66"/>
      <c r="D110" s="66"/>
      <c r="E110" s="66"/>
      <c r="F110" s="66"/>
      <c r="G110" s="66"/>
      <c r="H110" s="66"/>
      <c r="I110" s="66"/>
      <c r="J110" s="66"/>
      <c r="K110" s="66"/>
      <c r="L110" s="66"/>
      <c r="M110" s="66"/>
      <c r="N110" s="66"/>
    </row>
    <row r="111" spans="1:14" ht="12">
      <c r="A111" s="66"/>
      <c r="B111" s="66"/>
      <c r="C111" s="66"/>
      <c r="D111" s="66"/>
      <c r="E111" s="66"/>
      <c r="F111" s="66"/>
      <c r="G111" s="66"/>
      <c r="H111" s="66"/>
      <c r="I111" s="66"/>
      <c r="J111" s="66"/>
      <c r="K111" s="66"/>
      <c r="L111" s="66"/>
      <c r="M111" s="66"/>
      <c r="N111" s="66"/>
    </row>
    <row r="112" spans="1:14" ht="12">
      <c r="A112" s="66"/>
      <c r="B112" s="66"/>
      <c r="C112" s="66"/>
      <c r="D112" s="66"/>
      <c r="E112" s="66"/>
      <c r="F112" s="66"/>
      <c r="G112" s="66"/>
      <c r="H112" s="66"/>
      <c r="I112" s="66"/>
      <c r="J112" s="66"/>
      <c r="K112" s="66"/>
      <c r="L112" s="66"/>
      <c r="M112" s="66"/>
      <c r="N112" s="66"/>
    </row>
    <row r="113" spans="1:14" ht="12">
      <c r="A113" s="66"/>
      <c r="B113" s="66"/>
      <c r="C113" s="66"/>
      <c r="D113" s="66"/>
      <c r="E113" s="66"/>
      <c r="F113" s="66"/>
      <c r="G113" s="66"/>
      <c r="H113" s="66"/>
      <c r="I113" s="66"/>
      <c r="J113" s="66"/>
      <c r="K113" s="66"/>
      <c r="L113" s="66"/>
      <c r="M113" s="66"/>
      <c r="N113" s="66"/>
    </row>
    <row r="114" spans="1:14" ht="12">
      <c r="A114" s="66"/>
      <c r="B114" s="66"/>
      <c r="C114" s="66"/>
      <c r="D114" s="66"/>
      <c r="E114" s="66"/>
      <c r="F114" s="66"/>
      <c r="G114" s="66"/>
      <c r="H114" s="66"/>
      <c r="I114" s="66"/>
      <c r="J114" s="66"/>
      <c r="K114" s="66"/>
      <c r="L114" s="66"/>
      <c r="M114" s="66"/>
      <c r="N114" s="66"/>
    </row>
    <row r="115" spans="1:14" ht="12">
      <c r="A115" s="66"/>
      <c r="B115" s="66"/>
      <c r="C115" s="66"/>
      <c r="D115" s="66"/>
      <c r="E115" s="66"/>
      <c r="F115" s="66"/>
      <c r="G115" s="66"/>
      <c r="H115" s="66"/>
      <c r="I115" s="66"/>
      <c r="J115" s="66"/>
      <c r="K115" s="66"/>
      <c r="L115" s="66"/>
      <c r="M115" s="66"/>
      <c r="N115" s="66"/>
    </row>
    <row r="116" spans="1:14" ht="12">
      <c r="A116" s="66"/>
      <c r="B116" s="66"/>
      <c r="C116" s="66"/>
      <c r="D116" s="66"/>
      <c r="E116" s="66"/>
      <c r="F116" s="66"/>
      <c r="G116" s="66"/>
      <c r="H116" s="66"/>
      <c r="I116" s="66"/>
      <c r="J116" s="66"/>
      <c r="K116" s="66"/>
      <c r="L116" s="66"/>
      <c r="M116" s="66"/>
      <c r="N116" s="66"/>
    </row>
    <row r="117" spans="1:14" ht="12">
      <c r="A117" s="66"/>
      <c r="B117" s="66"/>
      <c r="C117" s="66"/>
      <c r="D117" s="66"/>
      <c r="E117" s="66"/>
      <c r="F117" s="66"/>
      <c r="G117" s="66"/>
      <c r="H117" s="66"/>
      <c r="I117" s="66"/>
      <c r="J117" s="66"/>
      <c r="K117" s="66"/>
      <c r="L117" s="66"/>
      <c r="M117" s="66"/>
      <c r="N117" s="66"/>
    </row>
    <row r="118" spans="1:14" ht="12">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SheetLayoutView="100" zoomScalePageLayoutView="0" workbookViewId="0" topLeftCell="A1">
      <selection activeCell="A6" sqref="A6"/>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2022 through April 2023)</v>
      </c>
      <c r="B1" s="60"/>
    </row>
    <row r="2" spans="1:2" ht="12.75">
      <c r="A2" s="61" t="str">
        <f>Value!A2</f>
        <v>Rabanco Ltd (dba Republic Services)</v>
      </c>
      <c r="B2" s="61"/>
    </row>
    <row r="3" spans="1:2" ht="12.75">
      <c r="A3" s="61"/>
      <c r="B3" s="61"/>
    </row>
    <row r="4" spans="1:2" ht="12.75">
      <c r="A4" s="61"/>
      <c r="B4" s="61"/>
    </row>
    <row r="5" spans="2:13" ht="12.75">
      <c r="B5" s="70"/>
      <c r="C5" s="63" t="s">
        <v>21</v>
      </c>
      <c r="D5" s="63" t="s">
        <v>22</v>
      </c>
      <c r="E5" s="63" t="s">
        <v>84</v>
      </c>
      <c r="F5" s="63" t="s">
        <v>50</v>
      </c>
      <c r="G5" s="63" t="s">
        <v>85</v>
      </c>
      <c r="H5" s="63" t="s">
        <v>24</v>
      </c>
      <c r="I5" s="63" t="s">
        <v>25</v>
      </c>
      <c r="J5" s="63" t="s">
        <v>26</v>
      </c>
      <c r="K5" s="63" t="s">
        <v>27</v>
      </c>
      <c r="L5" s="63" t="s">
        <v>28</v>
      </c>
      <c r="M5" s="63"/>
    </row>
    <row r="6" spans="1:13" ht="15.75" customHeight="1">
      <c r="A6" s="128">
        <f>'Single Family'!$C$6</f>
        <v>44682</v>
      </c>
      <c r="B6" s="66" t="s">
        <v>64</v>
      </c>
      <c r="C6" s="106">
        <f>'Single Family'!C74</f>
        <v>1590</v>
      </c>
      <c r="D6" s="107">
        <f>'Single Family'!C76</f>
        <v>-51.33</v>
      </c>
      <c r="E6" s="107">
        <f>'Single Family'!C77</f>
        <v>0</v>
      </c>
      <c r="F6" s="108">
        <f>'Single Family'!C72</f>
        <v>126.36</v>
      </c>
      <c r="G6" s="106">
        <f>'Single Family'!C75</f>
        <v>161.736</v>
      </c>
      <c r="H6" s="106">
        <f>'Single Family'!C79</f>
        <v>6.928000000000001</v>
      </c>
      <c r="I6" s="106">
        <f>'Single Family'!C73</f>
        <v>360.25495934959355</v>
      </c>
      <c r="J6" s="106">
        <f>'Single Family'!C73</f>
        <v>360.25495934959355</v>
      </c>
      <c r="K6" s="106">
        <f>'Single Family'!C70</f>
        <v>110.89600000000002</v>
      </c>
      <c r="L6" s="107">
        <f>'Single Family'!C78</f>
        <v>-167.21</v>
      </c>
      <c r="M6" s="70"/>
    </row>
    <row r="7" spans="1:13" ht="15.75" customHeight="1">
      <c r="A7" s="65">
        <f>+'Commodity Tonnages'!A7</f>
        <v>44742</v>
      </c>
      <c r="B7" s="66" t="s">
        <v>65</v>
      </c>
      <c r="C7" s="106">
        <f>'Single Family'!D74</f>
        <v>1425.584</v>
      </c>
      <c r="D7" s="107">
        <f>'Single Family'!D76</f>
        <v>-53.77</v>
      </c>
      <c r="E7" s="107">
        <f>'Single Family'!D77</f>
        <v>0</v>
      </c>
      <c r="F7" s="108">
        <f>'Single Family'!D72</f>
        <v>109.67200000000001</v>
      </c>
      <c r="G7" s="106">
        <f>'Single Family'!D75</f>
        <v>135.256</v>
      </c>
      <c r="H7" s="106">
        <f>'Single Family'!D79</f>
        <v>6.840000000000001</v>
      </c>
      <c r="I7" s="106">
        <f>'Single Family'!D73</f>
        <v>351.2541788617887</v>
      </c>
      <c r="J7" s="106">
        <f>'Single Family'!D73</f>
        <v>351.2541788617887</v>
      </c>
      <c r="K7" s="106">
        <f>'Single Family'!D70</f>
        <v>113.68800000000002</v>
      </c>
      <c r="L7" s="107">
        <f>'Single Family'!D78</f>
        <v>-167.01</v>
      </c>
      <c r="M7" s="70"/>
    </row>
    <row r="8" spans="1:13" ht="15.75" customHeight="1">
      <c r="A8" s="65">
        <f>+'Commodity Tonnages'!A8</f>
        <v>44773</v>
      </c>
      <c r="B8" s="66" t="s">
        <v>66</v>
      </c>
      <c r="C8" s="106">
        <f>'Single Family'!E74</f>
        <v>1222.3680000000002</v>
      </c>
      <c r="D8" s="107">
        <f>'Single Family'!E76</f>
        <v>-60.37</v>
      </c>
      <c r="E8" s="107">
        <f>'Single Family'!E77</f>
        <v>0</v>
      </c>
      <c r="F8" s="108">
        <f>'Single Family'!E72</f>
        <v>84.456</v>
      </c>
      <c r="G8" s="106">
        <f>'Single Family'!E75</f>
        <v>91.11200000000001</v>
      </c>
      <c r="H8" s="106">
        <f>'Single Family'!E79</f>
        <v>12.784</v>
      </c>
      <c r="I8" s="106">
        <f>'Single Family'!E73</f>
        <v>184.48515447154472</v>
      </c>
      <c r="J8" s="106">
        <f>'Single Family'!E73</f>
        <v>184.48515447154472</v>
      </c>
      <c r="K8" s="106">
        <f>'Single Family'!E70</f>
        <v>115.52000000000001</v>
      </c>
      <c r="L8" s="107">
        <f>'Single Family'!E78</f>
        <v>-168.26</v>
      </c>
      <c r="M8" s="67"/>
    </row>
    <row r="9" spans="1:13" ht="15.75" customHeight="1">
      <c r="A9" s="65">
        <f>+'Commodity Tonnages'!A9</f>
        <v>44804</v>
      </c>
      <c r="B9" s="66" t="s">
        <v>67</v>
      </c>
      <c r="C9" s="106">
        <f>'Single Family'!F74</f>
        <v>1225.72</v>
      </c>
      <c r="D9" s="107">
        <f>'Single Family'!F76</f>
        <v>-58.38</v>
      </c>
      <c r="E9" s="107">
        <f>'Single Family'!F77</f>
        <v>0</v>
      </c>
      <c r="F9" s="108">
        <f>'Single Family'!F72</f>
        <v>77.504</v>
      </c>
      <c r="G9" s="106">
        <f>'Single Family'!F75</f>
        <v>85.296</v>
      </c>
      <c r="H9" s="106">
        <f>'Single Family'!F79</f>
        <v>-0.49</v>
      </c>
      <c r="I9" s="106">
        <f>'Single Family'!F73</f>
        <v>105.90801219512194</v>
      </c>
      <c r="J9" s="106">
        <f>'Single Family'!F73</f>
        <v>105.90801219512194</v>
      </c>
      <c r="K9" s="106">
        <f>'Single Family'!F70</f>
        <v>104.128</v>
      </c>
      <c r="L9" s="107">
        <f>'Single Family'!F78</f>
        <v>-161.52</v>
      </c>
      <c r="M9" s="67"/>
    </row>
    <row r="10" spans="1:13" ht="15.75" customHeight="1">
      <c r="A10" s="65">
        <f>+'Commodity Tonnages'!A10</f>
        <v>44834</v>
      </c>
      <c r="B10" s="66" t="s">
        <v>68</v>
      </c>
      <c r="C10" s="106">
        <f>'Single Family'!G74</f>
        <v>1131.44</v>
      </c>
      <c r="D10" s="107">
        <f>'Single Family'!G76</f>
        <v>-60.06</v>
      </c>
      <c r="E10" s="107">
        <f>'Single Family'!G77</f>
        <v>0</v>
      </c>
      <c r="F10" s="108">
        <f>'Single Family'!G72</f>
        <v>76.248</v>
      </c>
      <c r="G10" s="106">
        <f>'Single Family'!G75</f>
        <v>94.80000000000001</v>
      </c>
      <c r="H10" s="106">
        <f>'Single Family'!G79</f>
        <v>-58.34</v>
      </c>
      <c r="I10" s="106">
        <f>'Single Family'!G73</f>
        <v>44.66465853658537</v>
      </c>
      <c r="J10" s="106">
        <f>'Single Family'!G73</f>
        <v>44.66465853658537</v>
      </c>
      <c r="K10" s="106">
        <f>'Single Family'!G70</f>
        <v>58.792</v>
      </c>
      <c r="L10" s="107">
        <f>'Single Family'!G78</f>
        <v>-161.47</v>
      </c>
      <c r="M10" s="67"/>
    </row>
    <row r="11" spans="1:13" ht="15.75" customHeight="1">
      <c r="A11" s="65">
        <f>+'Commodity Tonnages'!A11</f>
        <v>44865</v>
      </c>
      <c r="B11" s="66" t="s">
        <v>69</v>
      </c>
      <c r="C11" s="106">
        <f>'Single Family'!H74</f>
        <v>1033.976</v>
      </c>
      <c r="D11" s="107">
        <f>'Single Family'!H76</f>
        <v>-58.19</v>
      </c>
      <c r="E11" s="107">
        <f>'Single Family'!H77</f>
        <v>0</v>
      </c>
      <c r="F11" s="108">
        <f>'Single Family'!H72</f>
        <v>49.784</v>
      </c>
      <c r="G11" s="106">
        <f>'Single Family'!H75</f>
        <v>92.536</v>
      </c>
      <c r="H11" s="106">
        <f>'Single Family'!H79</f>
        <v>-58.13</v>
      </c>
      <c r="I11" s="106">
        <f>'Single Family'!H73</f>
        <v>112.69443902439025</v>
      </c>
      <c r="J11" s="106">
        <f>'Single Family'!H73</f>
        <v>112.69443902439025</v>
      </c>
      <c r="K11" s="106">
        <f>'Single Family'!H70</f>
        <v>32.480000000000004</v>
      </c>
      <c r="L11" s="107">
        <f>'Single Family'!H78</f>
        <v>-165.46</v>
      </c>
      <c r="M11" s="67"/>
    </row>
    <row r="12" spans="1:13" ht="15.75" customHeight="1">
      <c r="A12" s="65">
        <f>+'Commodity Tonnages'!A12</f>
        <v>44895</v>
      </c>
      <c r="B12" s="66" t="s">
        <v>70</v>
      </c>
      <c r="C12" s="106">
        <f>'Single Family'!I74</f>
        <v>1135.9840000000002</v>
      </c>
      <c r="D12" s="107">
        <f>'Single Family'!I76</f>
        <v>-48.54</v>
      </c>
      <c r="E12" s="107">
        <f>'Single Family'!I77</f>
        <v>0</v>
      </c>
      <c r="F12" s="108">
        <f>'Single Family'!I72</f>
        <v>46.392</v>
      </c>
      <c r="G12" s="106">
        <f>'Single Family'!I75</f>
        <v>95.352</v>
      </c>
      <c r="H12" s="106">
        <f>'Single Family'!I79</f>
        <v>-38.48</v>
      </c>
      <c r="I12" s="106">
        <f>'Single Family'!I73</f>
        <v>101.97691056910571</v>
      </c>
      <c r="J12" s="106">
        <f>'Single Family'!I73</f>
        <v>101.97691056910571</v>
      </c>
      <c r="K12" s="106">
        <f>'Single Family'!I70</f>
        <v>46.768</v>
      </c>
      <c r="L12" s="107">
        <f>'Single Family'!I78</f>
        <v>-165.46</v>
      </c>
      <c r="M12" s="67"/>
    </row>
    <row r="13" spans="1:13" ht="15.75" customHeight="1">
      <c r="A13" s="65">
        <f>+'Commodity Tonnages'!A13</f>
        <v>44926</v>
      </c>
      <c r="B13" s="66" t="s">
        <v>71</v>
      </c>
      <c r="C13" s="106">
        <f>'Single Family'!J74</f>
        <v>1183.9440000000002</v>
      </c>
      <c r="D13" s="107">
        <f>'Single Family'!J76</f>
        <v>-63.4</v>
      </c>
      <c r="E13" s="107">
        <f>'Single Family'!J77</f>
        <v>0</v>
      </c>
      <c r="F13" s="108">
        <f>'Single Family'!J72</f>
        <v>67.54400000000001</v>
      </c>
      <c r="G13" s="106">
        <f>'Single Family'!J75</f>
        <v>63.632000000000005</v>
      </c>
      <c r="H13" s="106">
        <f>'Single Family'!J79</f>
        <v>-42.59</v>
      </c>
      <c r="I13" s="106">
        <f>'Single Family'!J73</f>
        <v>96.74898373983739</v>
      </c>
      <c r="J13" s="106">
        <f>'Single Family'!J73</f>
        <v>96.74898373983739</v>
      </c>
      <c r="K13" s="106">
        <f>'Single Family'!J70</f>
        <v>44.368</v>
      </c>
      <c r="L13" s="107">
        <f>'Single Family'!J78</f>
        <v>-159.46</v>
      </c>
      <c r="M13" s="67"/>
    </row>
    <row r="14" spans="1:13" ht="15.75" customHeight="1">
      <c r="A14" s="65">
        <f>+'Commodity Tonnages'!A14</f>
        <v>44957</v>
      </c>
      <c r="B14" s="66" t="s">
        <v>72</v>
      </c>
      <c r="C14" s="106">
        <f>'Single Family'!K74</f>
        <v>1268.2</v>
      </c>
      <c r="D14" s="107">
        <f>'Single Family'!K76</f>
        <v>-59.42</v>
      </c>
      <c r="E14" s="107">
        <f>'Single Family'!K77</f>
        <v>0</v>
      </c>
      <c r="F14" s="108">
        <f>'Single Family'!K72</f>
        <v>88.144</v>
      </c>
      <c r="G14" s="106">
        <f>'Single Family'!K75</f>
        <v>100.38400000000001</v>
      </c>
      <c r="H14" s="106">
        <f>'Single Family'!K79</f>
        <v>-9.56</v>
      </c>
      <c r="I14" s="106">
        <f>'Single Family'!K73</f>
        <v>102.48647435897436</v>
      </c>
      <c r="J14" s="106">
        <f>'Single Family'!K73</f>
        <v>102.48647435897436</v>
      </c>
      <c r="K14" s="106">
        <f>'Single Family'!K70</f>
        <v>58.312000000000005</v>
      </c>
      <c r="L14" s="107">
        <f>'Single Family'!K78</f>
        <v>-159.65</v>
      </c>
      <c r="M14" s="67"/>
    </row>
    <row r="15" spans="1:13" ht="15.75" customHeight="1">
      <c r="A15" s="65">
        <f>+'Commodity Tonnages'!A15</f>
        <v>44985</v>
      </c>
      <c r="B15" s="66" t="s">
        <v>73</v>
      </c>
      <c r="C15" s="106">
        <f>'Single Family'!L74</f>
        <v>1309.928</v>
      </c>
      <c r="D15" s="107">
        <f>'Single Family'!L76</f>
        <v>-53.45</v>
      </c>
      <c r="E15" s="107">
        <f>'Single Family'!L77</f>
        <v>0</v>
      </c>
      <c r="F15" s="108">
        <f>'Single Family'!L72</f>
        <v>94.00800000000001</v>
      </c>
      <c r="G15" s="106">
        <f>'Single Family'!L75</f>
        <v>119.89600000000002</v>
      </c>
      <c r="H15" s="106">
        <f>'Single Family'!L79</f>
        <v>3.4640000000000004</v>
      </c>
      <c r="I15" s="106">
        <f>'Single Family'!L73</f>
        <v>154.70989743589746</v>
      </c>
      <c r="J15" s="106">
        <f>'Single Family'!L73</f>
        <v>154.70989743589746</v>
      </c>
      <c r="K15" s="106">
        <f>'Single Family'!L70</f>
        <v>77.82400000000001</v>
      </c>
      <c r="L15" s="107">
        <f>'Single Family'!$L$78</f>
        <v>-160.04</v>
      </c>
      <c r="M15" s="67"/>
    </row>
    <row r="16" spans="1:13" ht="15.75" customHeight="1">
      <c r="A16" s="65">
        <f>+'Commodity Tonnages'!A16</f>
        <v>45016</v>
      </c>
      <c r="B16" s="66" t="s">
        <v>74</v>
      </c>
      <c r="C16" s="106">
        <f>'Single Family'!M74</f>
        <v>1203.952</v>
      </c>
      <c r="D16" s="107">
        <f>'Single Family'!M76</f>
        <v>-53.69</v>
      </c>
      <c r="E16" s="107">
        <f>'Single Family'!M77</f>
        <v>0</v>
      </c>
      <c r="F16" s="108">
        <f>'Single Family'!M72</f>
        <v>121.49600000000001</v>
      </c>
      <c r="G16" s="106">
        <f>'Single Family'!M75</f>
        <v>133.592</v>
      </c>
      <c r="H16" s="106">
        <f>'Single Family'!M79</f>
        <v>11.032</v>
      </c>
      <c r="I16" s="106">
        <f>'Single Family'!M73</f>
        <v>129.56068376068376</v>
      </c>
      <c r="J16" s="106">
        <f>'Single Family'!M73</f>
        <v>129.56068376068376</v>
      </c>
      <c r="K16" s="106">
        <f>'Single Family'!M70</f>
        <v>78.32000000000001</v>
      </c>
      <c r="L16" s="107">
        <f>'Single Family'!$M$78</f>
        <v>-160.04</v>
      </c>
      <c r="M16" s="67"/>
    </row>
    <row r="17" spans="1:13" ht="15.75" customHeight="1">
      <c r="A17" s="65">
        <f>+'Commodity Tonnages'!A17</f>
        <v>45046</v>
      </c>
      <c r="B17" s="66" t="s">
        <v>75</v>
      </c>
      <c r="C17" s="106">
        <f>'Single Family'!N74</f>
        <v>1209.096</v>
      </c>
      <c r="D17" s="107">
        <f>'Single Family'!N76</f>
        <v>-75.95</v>
      </c>
      <c r="E17" s="107">
        <f>'Single Family'!N77</f>
        <v>0</v>
      </c>
      <c r="F17" s="108">
        <f>'Single Family'!N72</f>
        <v>103.128</v>
      </c>
      <c r="G17" s="106">
        <f>'Single Family'!N75</f>
        <v>118.456</v>
      </c>
      <c r="H17" s="106">
        <f>'Single Family'!N79</f>
        <v>24.248</v>
      </c>
      <c r="I17" s="106">
        <f>'Single Family'!N73</f>
        <v>195.09063247863247</v>
      </c>
      <c r="J17" s="106">
        <f>'Single Family'!N73</f>
        <v>195.09063247863247</v>
      </c>
      <c r="K17" s="106">
        <f>'Single Family'!N70</f>
        <v>75.304</v>
      </c>
      <c r="L17" s="107">
        <f>'Single Family'!$N$78</f>
        <v>-173.66</v>
      </c>
      <c r="M17" s="67"/>
    </row>
    <row r="18" spans="1:13" ht="12">
      <c r="A18" s="66"/>
      <c r="B18" s="66"/>
      <c r="C18" s="67"/>
      <c r="D18" s="67"/>
      <c r="E18" s="67"/>
      <c r="F18" s="67"/>
      <c r="G18" s="67"/>
      <c r="H18" s="67"/>
      <c r="I18" s="67"/>
      <c r="J18" s="67"/>
      <c r="K18" s="67"/>
      <c r="L18" s="66"/>
      <c r="M18" s="67"/>
    </row>
    <row r="19" spans="1:14" ht="12">
      <c r="A19" s="69"/>
      <c r="B19" s="66"/>
      <c r="C19" s="67"/>
      <c r="D19" s="67"/>
      <c r="E19" s="67"/>
      <c r="F19" s="67"/>
      <c r="G19" s="67"/>
      <c r="H19" s="67"/>
      <c r="I19" s="67"/>
      <c r="J19" s="67"/>
      <c r="K19" s="67"/>
      <c r="L19" s="67"/>
      <c r="M19" s="67"/>
      <c r="N19" s="67" t="s">
        <v>30</v>
      </c>
    </row>
    <row r="20" spans="1:13" ht="12">
      <c r="A20" s="66"/>
      <c r="B20" s="66"/>
      <c r="C20" s="66"/>
      <c r="D20" s="66"/>
      <c r="E20" s="66"/>
      <c r="F20" s="66"/>
      <c r="G20" s="66"/>
      <c r="H20" s="66"/>
      <c r="I20" s="66"/>
      <c r="J20" s="66"/>
      <c r="K20" s="66"/>
      <c r="L20" s="66"/>
      <c r="M20" s="67"/>
    </row>
    <row r="21" spans="1:13" ht="12">
      <c r="A21" s="66"/>
      <c r="B21" s="66"/>
      <c r="C21" s="66"/>
      <c r="D21" s="66"/>
      <c r="E21" s="66"/>
      <c r="F21" s="66"/>
      <c r="G21" s="66"/>
      <c r="H21" s="66"/>
      <c r="I21" s="66"/>
      <c r="J21" s="66"/>
      <c r="K21" s="66"/>
      <c r="L21" s="66"/>
      <c r="M21" s="67"/>
    </row>
    <row r="22" spans="1:13" ht="12">
      <c r="A22" s="66"/>
      <c r="B22" s="66"/>
      <c r="C22" s="66"/>
      <c r="D22" s="66"/>
      <c r="F22" s="66"/>
      <c r="G22" s="66"/>
      <c r="H22" s="66"/>
      <c r="I22" s="66"/>
      <c r="J22" s="66"/>
      <c r="K22" s="66"/>
      <c r="L22" s="66"/>
      <c r="M22" s="67"/>
    </row>
    <row r="23" spans="1:13" ht="12">
      <c r="A23" s="66"/>
      <c r="B23" s="66"/>
      <c r="C23" s="66"/>
      <c r="D23" s="66"/>
      <c r="F23" s="66"/>
      <c r="G23" s="66"/>
      <c r="H23" s="66"/>
      <c r="I23" s="66"/>
      <c r="J23" s="66"/>
      <c r="K23" s="66"/>
      <c r="L23" s="66"/>
      <c r="M23" s="67"/>
    </row>
    <row r="24" spans="1:13" ht="12">
      <c r="A24" s="66"/>
      <c r="B24" s="66"/>
      <c r="C24" s="66"/>
      <c r="D24" s="66"/>
      <c r="G24" s="66"/>
      <c r="H24" s="66"/>
      <c r="I24" s="66"/>
      <c r="J24" s="66"/>
      <c r="K24" s="66"/>
      <c r="L24" s="66"/>
      <c r="M24" s="67"/>
    </row>
    <row r="25" spans="1:13" ht="12">
      <c r="A25" s="66"/>
      <c r="B25" s="66"/>
      <c r="C25" s="66"/>
      <c r="D25" s="66"/>
      <c r="F25" s="66"/>
      <c r="G25" s="66"/>
      <c r="H25" s="66"/>
      <c r="I25" s="66"/>
      <c r="J25" s="66"/>
      <c r="K25" s="66"/>
      <c r="L25" s="66"/>
      <c r="M25" s="67"/>
    </row>
    <row r="26" spans="1:13" ht="12">
      <c r="A26" s="66"/>
      <c r="B26" s="66"/>
      <c r="C26" s="66"/>
      <c r="D26" s="66"/>
      <c r="F26" s="66"/>
      <c r="G26" s="66"/>
      <c r="H26" s="66"/>
      <c r="I26" s="66"/>
      <c r="J26" s="66"/>
      <c r="K26" s="66"/>
      <c r="L26" s="66"/>
      <c r="M26" s="67"/>
    </row>
    <row r="27" spans="1:13" ht="12">
      <c r="A27" s="66"/>
      <c r="B27" s="66"/>
      <c r="C27" s="66"/>
      <c r="D27" s="66"/>
      <c r="F27" s="66"/>
      <c r="G27" s="66"/>
      <c r="H27" s="66"/>
      <c r="I27" s="66"/>
      <c r="J27" s="66"/>
      <c r="K27" s="66"/>
      <c r="L27" s="66"/>
      <c r="M27" s="67"/>
    </row>
    <row r="28" spans="1:13" ht="12">
      <c r="A28" s="66"/>
      <c r="B28" s="66"/>
      <c r="C28" s="66"/>
      <c r="D28" s="66"/>
      <c r="F28" s="66"/>
      <c r="G28" s="66"/>
      <c r="H28" s="66"/>
      <c r="I28" s="66"/>
      <c r="J28" s="66"/>
      <c r="K28" s="66"/>
      <c r="L28" s="66"/>
      <c r="M28" s="67"/>
    </row>
    <row r="29" spans="1:13" ht="12">
      <c r="A29" s="66"/>
      <c r="B29" s="66"/>
      <c r="C29" s="66"/>
      <c r="D29" s="66"/>
      <c r="F29" s="66"/>
      <c r="G29" s="66"/>
      <c r="H29" s="66"/>
      <c r="I29" s="66"/>
      <c r="J29" s="66"/>
      <c r="K29" s="66"/>
      <c r="L29" s="66"/>
      <c r="M29" s="67"/>
    </row>
    <row r="30" spans="1:13" ht="12">
      <c r="A30" s="66"/>
      <c r="B30" s="66"/>
      <c r="C30" s="66"/>
      <c r="D30" s="66"/>
      <c r="F30" s="66"/>
      <c r="G30" s="66"/>
      <c r="H30" s="66"/>
      <c r="I30" s="66"/>
      <c r="J30" s="66"/>
      <c r="K30" s="66"/>
      <c r="L30" s="66"/>
      <c r="M30" s="66"/>
    </row>
    <row r="31" spans="1:13" ht="12">
      <c r="A31" s="66"/>
      <c r="B31" s="66"/>
      <c r="C31" s="66"/>
      <c r="D31" s="66"/>
      <c r="F31" s="66"/>
      <c r="G31" s="66"/>
      <c r="H31" s="66"/>
      <c r="I31" s="66"/>
      <c r="J31" s="66"/>
      <c r="K31" s="66"/>
      <c r="L31" s="66"/>
      <c r="M31" s="66"/>
    </row>
    <row r="32" spans="1:13" ht="12">
      <c r="A32" s="66"/>
      <c r="B32" s="66"/>
      <c r="C32" s="66"/>
      <c r="D32" s="66"/>
      <c r="F32" s="66"/>
      <c r="G32" s="66"/>
      <c r="H32" s="66"/>
      <c r="I32" s="66"/>
      <c r="J32" s="66"/>
      <c r="K32" s="66"/>
      <c r="L32" s="66"/>
      <c r="M32" s="66"/>
    </row>
    <row r="33" spans="1:13" ht="12">
      <c r="A33" s="66"/>
      <c r="B33" s="66"/>
      <c r="C33" s="66"/>
      <c r="D33" s="66"/>
      <c r="F33" s="66"/>
      <c r="G33" s="66"/>
      <c r="H33" s="66"/>
      <c r="I33" s="66"/>
      <c r="J33" s="66"/>
      <c r="K33" s="66"/>
      <c r="L33" s="66"/>
      <c r="M33" s="66"/>
    </row>
    <row r="34" spans="1:13" ht="12">
      <c r="A34" s="66"/>
      <c r="B34" s="66"/>
      <c r="C34" s="66"/>
      <c r="D34" s="66"/>
      <c r="E34" s="66"/>
      <c r="F34" s="66"/>
      <c r="G34" s="66"/>
      <c r="H34" s="66"/>
      <c r="I34" s="66"/>
      <c r="J34" s="66"/>
      <c r="K34" s="66"/>
      <c r="L34" s="66"/>
      <c r="M34" s="66"/>
    </row>
    <row r="35" spans="1:13" ht="12">
      <c r="A35" s="66"/>
      <c r="B35" s="66"/>
      <c r="C35" s="66"/>
      <c r="D35" s="66"/>
      <c r="E35" s="66"/>
      <c r="F35" s="66"/>
      <c r="G35" s="66"/>
      <c r="H35" s="66"/>
      <c r="I35" s="66"/>
      <c r="J35" s="66"/>
      <c r="K35" s="66"/>
      <c r="L35" s="66"/>
      <c r="M35" s="66"/>
    </row>
    <row r="36" spans="1:13" ht="12">
      <c r="A36" s="66"/>
      <c r="B36" s="66"/>
      <c r="C36" s="66"/>
      <c r="D36" s="66"/>
      <c r="E36" s="66"/>
      <c r="F36" s="66"/>
      <c r="G36" s="66"/>
      <c r="H36" s="66"/>
      <c r="I36" s="66"/>
      <c r="J36" s="66"/>
      <c r="K36" s="66"/>
      <c r="L36" s="66"/>
      <c r="M36" s="66"/>
    </row>
    <row r="37" spans="1:13" ht="12">
      <c r="A37" s="66"/>
      <c r="B37" s="66"/>
      <c r="C37" s="66"/>
      <c r="D37" s="66"/>
      <c r="E37" s="66"/>
      <c r="F37" s="66"/>
      <c r="G37" s="66"/>
      <c r="H37" s="66"/>
      <c r="I37" s="66"/>
      <c r="J37" s="66"/>
      <c r="K37" s="66"/>
      <c r="L37" s="66"/>
      <c r="M37" s="66"/>
    </row>
    <row r="38" spans="1:13" ht="12">
      <c r="A38" s="66"/>
      <c r="B38" s="66"/>
      <c r="C38" s="66"/>
      <c r="D38" s="66"/>
      <c r="E38" s="66"/>
      <c r="F38" s="66"/>
      <c r="G38" s="66"/>
      <c r="H38" s="66"/>
      <c r="I38" s="66"/>
      <c r="J38" s="66"/>
      <c r="K38" s="66"/>
      <c r="L38" s="66"/>
      <c r="M38" s="66"/>
    </row>
    <row r="39" spans="1:13" ht="12">
      <c r="A39" s="66"/>
      <c r="B39" s="66"/>
      <c r="C39" s="66"/>
      <c r="D39" s="66"/>
      <c r="E39" s="66"/>
      <c r="F39" s="66"/>
      <c r="G39" s="66"/>
      <c r="H39" s="66"/>
      <c r="I39" s="66"/>
      <c r="J39" s="66"/>
      <c r="K39" s="66"/>
      <c r="L39" s="66"/>
      <c r="M39" s="66"/>
    </row>
    <row r="40" spans="1:13" ht="12">
      <c r="A40" s="66"/>
      <c r="B40" s="66"/>
      <c r="C40" s="66"/>
      <c r="D40" s="66"/>
      <c r="E40" s="66"/>
      <c r="F40" s="66"/>
      <c r="G40" s="66"/>
      <c r="H40" s="66"/>
      <c r="I40" s="66"/>
      <c r="J40" s="66"/>
      <c r="K40" s="66"/>
      <c r="L40" s="66"/>
      <c r="M40" s="66"/>
    </row>
    <row r="41" spans="1:13" ht="12">
      <c r="A41" s="66"/>
      <c r="B41" s="66"/>
      <c r="C41" s="66"/>
      <c r="D41" s="66"/>
      <c r="E41" s="66"/>
      <c r="F41" s="66"/>
      <c r="G41" s="66"/>
      <c r="H41" s="66"/>
      <c r="I41" s="66"/>
      <c r="J41" s="66"/>
      <c r="K41" s="66"/>
      <c r="L41" s="66"/>
      <c r="M41" s="66"/>
    </row>
    <row r="42" spans="1:13" ht="12">
      <c r="A42" s="66"/>
      <c r="B42" s="66"/>
      <c r="C42" s="66"/>
      <c r="D42" s="66"/>
      <c r="E42" s="66"/>
      <c r="F42" s="66"/>
      <c r="G42" s="66"/>
      <c r="H42" s="66"/>
      <c r="I42" s="66"/>
      <c r="J42" s="66"/>
      <c r="K42" s="66"/>
      <c r="L42" s="66"/>
      <c r="M42" s="66"/>
    </row>
    <row r="43" spans="1:13" ht="12">
      <c r="A43" s="66"/>
      <c r="B43" s="66"/>
      <c r="C43" s="66"/>
      <c r="D43" s="66"/>
      <c r="E43" s="66"/>
      <c r="F43" s="66"/>
      <c r="G43" s="66"/>
      <c r="H43" s="66"/>
      <c r="I43" s="66"/>
      <c r="J43" s="66"/>
      <c r="K43" s="66"/>
      <c r="L43" s="66"/>
      <c r="M43" s="66"/>
    </row>
    <row r="44" spans="1:13" ht="12">
      <c r="A44" s="66"/>
      <c r="B44" s="66"/>
      <c r="C44" s="66"/>
      <c r="D44" s="66"/>
      <c r="E44" s="66"/>
      <c r="F44" s="66"/>
      <c r="G44" s="66"/>
      <c r="H44" s="66"/>
      <c r="I44" s="66"/>
      <c r="J44" s="66"/>
      <c r="K44" s="66"/>
      <c r="L44" s="66"/>
      <c r="M44" s="66"/>
    </row>
    <row r="45" spans="1:13" ht="12">
      <c r="A45" s="66"/>
      <c r="B45" s="66"/>
      <c r="C45" s="66"/>
      <c r="D45" s="66"/>
      <c r="E45" s="66"/>
      <c r="F45" s="66"/>
      <c r="G45" s="66"/>
      <c r="H45" s="66"/>
      <c r="I45" s="66"/>
      <c r="J45" s="66"/>
      <c r="K45" s="66"/>
      <c r="L45" s="66"/>
      <c r="M45" s="66"/>
    </row>
    <row r="46" spans="1:13" ht="12">
      <c r="A46" s="66"/>
      <c r="B46" s="66"/>
      <c r="C46" s="66"/>
      <c r="D46" s="66"/>
      <c r="E46" s="66"/>
      <c r="F46" s="66"/>
      <c r="G46" s="66"/>
      <c r="H46" s="66"/>
      <c r="I46" s="66"/>
      <c r="J46" s="66"/>
      <c r="K46" s="66"/>
      <c r="L46" s="66"/>
      <c r="M46" s="66"/>
    </row>
    <row r="47" spans="1:13" ht="12">
      <c r="A47" s="66"/>
      <c r="B47" s="66"/>
      <c r="C47" s="66"/>
      <c r="D47" s="66"/>
      <c r="E47" s="66"/>
      <c r="F47" s="66"/>
      <c r="G47" s="66"/>
      <c r="H47" s="66"/>
      <c r="I47" s="66"/>
      <c r="J47" s="66"/>
      <c r="K47" s="66"/>
      <c r="L47" s="66"/>
      <c r="M47" s="66"/>
    </row>
    <row r="48" spans="1:13" ht="12">
      <c r="A48" s="66"/>
      <c r="B48" s="66"/>
      <c r="C48" s="66"/>
      <c r="D48" s="66"/>
      <c r="E48" s="66"/>
      <c r="F48" s="66"/>
      <c r="G48" s="66"/>
      <c r="H48" s="66"/>
      <c r="I48" s="66"/>
      <c r="J48" s="66"/>
      <c r="K48" s="66"/>
      <c r="L48" s="66"/>
      <c r="M48" s="66"/>
    </row>
    <row r="49" spans="1:13" ht="12">
      <c r="A49" s="66"/>
      <c r="B49" s="66"/>
      <c r="C49" s="66"/>
      <c r="D49" s="66"/>
      <c r="E49" s="66"/>
      <c r="F49" s="66"/>
      <c r="G49" s="66"/>
      <c r="H49" s="66"/>
      <c r="I49" s="66"/>
      <c r="J49" s="66"/>
      <c r="K49" s="66"/>
      <c r="L49" s="66"/>
      <c r="M49" s="66"/>
    </row>
    <row r="50" spans="1:13" ht="12">
      <c r="A50" s="66"/>
      <c r="B50" s="66"/>
      <c r="C50" s="66"/>
      <c r="D50" s="66"/>
      <c r="E50" s="66"/>
      <c r="F50" s="66"/>
      <c r="G50" s="66"/>
      <c r="H50" s="66"/>
      <c r="I50" s="66"/>
      <c r="J50" s="66"/>
      <c r="K50" s="66"/>
      <c r="L50" s="66"/>
      <c r="M50" s="66"/>
    </row>
    <row r="51" spans="1:13" ht="12">
      <c r="A51" s="66"/>
      <c r="B51" s="66"/>
      <c r="C51" s="66"/>
      <c r="D51" s="66"/>
      <c r="E51" s="66"/>
      <c r="F51" s="66"/>
      <c r="G51" s="66"/>
      <c r="H51" s="66"/>
      <c r="I51" s="66"/>
      <c r="J51" s="66"/>
      <c r="K51" s="66"/>
      <c r="L51" s="66"/>
      <c r="M51" s="66"/>
    </row>
    <row r="52" spans="1:13" ht="12">
      <c r="A52" s="66"/>
      <c r="B52" s="66"/>
      <c r="C52" s="66"/>
      <c r="D52" s="66"/>
      <c r="E52" s="66"/>
      <c r="F52" s="66"/>
      <c r="G52" s="66"/>
      <c r="H52" s="66"/>
      <c r="I52" s="66"/>
      <c r="J52" s="66"/>
      <c r="K52" s="66"/>
      <c r="L52" s="66"/>
      <c r="M52" s="66"/>
    </row>
    <row r="53" spans="1:13" ht="12">
      <c r="A53" s="66"/>
      <c r="B53" s="66"/>
      <c r="C53" s="66"/>
      <c r="D53" s="66"/>
      <c r="E53" s="66"/>
      <c r="F53" s="66"/>
      <c r="G53" s="66"/>
      <c r="H53" s="66"/>
      <c r="I53" s="66"/>
      <c r="J53" s="66"/>
      <c r="K53" s="66"/>
      <c r="L53" s="66"/>
      <c r="M53" s="66"/>
    </row>
    <row r="54" spans="1:13" ht="12">
      <c r="A54" s="66"/>
      <c r="B54" s="66"/>
      <c r="C54" s="66"/>
      <c r="D54" s="66"/>
      <c r="E54" s="66"/>
      <c r="F54" s="66"/>
      <c r="G54" s="66"/>
      <c r="H54" s="66"/>
      <c r="I54" s="66"/>
      <c r="J54" s="66"/>
      <c r="K54" s="66"/>
      <c r="L54" s="66"/>
      <c r="M54" s="66"/>
    </row>
    <row r="55" spans="1:13" ht="12">
      <c r="A55" s="66"/>
      <c r="B55" s="66"/>
      <c r="C55" s="66"/>
      <c r="D55" s="66"/>
      <c r="E55" s="66"/>
      <c r="F55" s="66"/>
      <c r="G55" s="66"/>
      <c r="H55" s="66"/>
      <c r="I55" s="66"/>
      <c r="J55" s="66"/>
      <c r="K55" s="66"/>
      <c r="L55" s="66"/>
      <c r="M55" s="66"/>
    </row>
    <row r="56" spans="1:13" ht="12">
      <c r="A56" s="66"/>
      <c r="B56" s="66"/>
      <c r="C56" s="66"/>
      <c r="D56" s="66"/>
      <c r="E56" s="66"/>
      <c r="F56" s="66"/>
      <c r="G56" s="66"/>
      <c r="H56" s="66"/>
      <c r="I56" s="66"/>
      <c r="J56" s="66"/>
      <c r="K56" s="66"/>
      <c r="L56" s="66"/>
      <c r="M56" s="66"/>
    </row>
    <row r="57" spans="1:13" ht="12">
      <c r="A57" s="66"/>
      <c r="B57" s="66"/>
      <c r="C57" s="66"/>
      <c r="D57" s="66"/>
      <c r="E57" s="66"/>
      <c r="F57" s="66"/>
      <c r="G57" s="66"/>
      <c r="H57" s="66"/>
      <c r="I57" s="66"/>
      <c r="J57" s="66"/>
      <c r="K57" s="66"/>
      <c r="L57" s="66"/>
      <c r="M57" s="66"/>
    </row>
    <row r="58" spans="1:13" ht="12">
      <c r="A58" s="66"/>
      <c r="B58" s="66"/>
      <c r="C58" s="66"/>
      <c r="D58" s="66"/>
      <c r="E58" s="66"/>
      <c r="F58" s="66"/>
      <c r="G58" s="66"/>
      <c r="H58" s="66"/>
      <c r="I58" s="66"/>
      <c r="J58" s="66"/>
      <c r="K58" s="66"/>
      <c r="L58" s="66"/>
      <c r="M58" s="66"/>
    </row>
    <row r="59" spans="1:13" ht="12">
      <c r="A59" s="66"/>
      <c r="B59" s="66"/>
      <c r="C59" s="66"/>
      <c r="D59" s="66"/>
      <c r="E59" s="66"/>
      <c r="F59" s="66"/>
      <c r="G59" s="66"/>
      <c r="H59" s="66"/>
      <c r="I59" s="66"/>
      <c r="J59" s="66"/>
      <c r="K59" s="66"/>
      <c r="L59" s="66"/>
      <c r="M59" s="66"/>
    </row>
    <row r="60" spans="1:13" ht="12">
      <c r="A60" s="66"/>
      <c r="B60" s="66"/>
      <c r="C60" s="66"/>
      <c r="D60" s="66"/>
      <c r="E60" s="66"/>
      <c r="F60" s="66"/>
      <c r="G60" s="66"/>
      <c r="H60" s="66"/>
      <c r="I60" s="66"/>
      <c r="J60" s="66"/>
      <c r="K60" s="66"/>
      <c r="L60" s="66"/>
      <c r="M60" s="66"/>
    </row>
    <row r="61" spans="1:13" ht="12">
      <c r="A61" s="66"/>
      <c r="B61" s="66"/>
      <c r="C61" s="66"/>
      <c r="D61" s="66"/>
      <c r="E61" s="66"/>
      <c r="F61" s="66"/>
      <c r="G61" s="66"/>
      <c r="H61" s="66"/>
      <c r="I61" s="66"/>
      <c r="J61" s="66"/>
      <c r="K61" s="66"/>
      <c r="L61" s="66"/>
      <c r="M61" s="66"/>
    </row>
    <row r="62" spans="1:13" ht="12">
      <c r="A62" s="66"/>
      <c r="B62" s="66"/>
      <c r="C62" s="66"/>
      <c r="D62" s="66"/>
      <c r="E62" s="66"/>
      <c r="F62" s="66"/>
      <c r="G62" s="66"/>
      <c r="H62" s="66"/>
      <c r="I62" s="66"/>
      <c r="J62" s="66"/>
      <c r="K62" s="66"/>
      <c r="L62" s="66"/>
      <c r="M62" s="66"/>
    </row>
    <row r="63" spans="1:13" ht="12">
      <c r="A63" s="66"/>
      <c r="B63" s="66"/>
      <c r="C63" s="66"/>
      <c r="D63" s="66"/>
      <c r="E63" s="66"/>
      <c r="F63" s="66"/>
      <c r="G63" s="66"/>
      <c r="H63" s="66"/>
      <c r="I63" s="66"/>
      <c r="J63" s="66"/>
      <c r="K63" s="66"/>
      <c r="L63" s="66"/>
      <c r="M63" s="66"/>
    </row>
    <row r="64" spans="1:13" ht="12">
      <c r="A64" s="66"/>
      <c r="B64" s="66"/>
      <c r="C64" s="66"/>
      <c r="D64" s="66"/>
      <c r="E64" s="66"/>
      <c r="F64" s="66"/>
      <c r="G64" s="66"/>
      <c r="H64" s="66"/>
      <c r="I64" s="66"/>
      <c r="J64" s="66"/>
      <c r="K64" s="66"/>
      <c r="L64" s="66"/>
      <c r="M64" s="66"/>
    </row>
    <row r="65" spans="1:13" ht="12">
      <c r="A65" s="66"/>
      <c r="B65" s="66"/>
      <c r="C65" s="66"/>
      <c r="D65" s="66"/>
      <c r="E65" s="66"/>
      <c r="F65" s="66"/>
      <c r="G65" s="66"/>
      <c r="H65" s="66"/>
      <c r="I65" s="66"/>
      <c r="J65" s="66"/>
      <c r="K65" s="66"/>
      <c r="L65" s="66"/>
      <c r="M65" s="66"/>
    </row>
    <row r="66" spans="1:13" ht="12">
      <c r="A66" s="66"/>
      <c r="B66" s="66"/>
      <c r="C66" s="66"/>
      <c r="D66" s="66"/>
      <c r="E66" s="66"/>
      <c r="F66" s="66"/>
      <c r="G66" s="66"/>
      <c r="H66" s="66"/>
      <c r="I66" s="66"/>
      <c r="J66" s="66"/>
      <c r="K66" s="66"/>
      <c r="L66" s="66"/>
      <c r="M66" s="66"/>
    </row>
    <row r="67" spans="1:13" ht="12">
      <c r="A67" s="66"/>
      <c r="B67" s="66"/>
      <c r="C67" s="66"/>
      <c r="D67" s="66"/>
      <c r="E67" s="66"/>
      <c r="F67" s="66"/>
      <c r="G67" s="66"/>
      <c r="H67" s="66"/>
      <c r="I67" s="66"/>
      <c r="J67" s="66"/>
      <c r="K67" s="66"/>
      <c r="L67" s="66"/>
      <c r="M67" s="66"/>
    </row>
    <row r="68" spans="1:13" ht="12">
      <c r="A68" s="66"/>
      <c r="B68" s="66"/>
      <c r="C68" s="66"/>
      <c r="D68" s="66"/>
      <c r="E68" s="66"/>
      <c r="F68" s="66"/>
      <c r="G68" s="66"/>
      <c r="H68" s="66"/>
      <c r="I68" s="66"/>
      <c r="J68" s="66"/>
      <c r="K68" s="66"/>
      <c r="L68" s="66"/>
      <c r="M68" s="66"/>
    </row>
    <row r="69" spans="1:13" ht="12">
      <c r="A69" s="66"/>
      <c r="B69" s="66"/>
      <c r="C69" s="66"/>
      <c r="D69" s="66"/>
      <c r="E69" s="66"/>
      <c r="F69" s="66"/>
      <c r="G69" s="66"/>
      <c r="H69" s="66"/>
      <c r="I69" s="66"/>
      <c r="J69" s="66"/>
      <c r="K69" s="66"/>
      <c r="L69" s="66"/>
      <c r="M69" s="66"/>
    </row>
    <row r="70" spans="1:13" ht="12">
      <c r="A70" s="66"/>
      <c r="B70" s="66"/>
      <c r="C70" s="66"/>
      <c r="D70" s="66"/>
      <c r="E70" s="66"/>
      <c r="F70" s="66"/>
      <c r="G70" s="66"/>
      <c r="H70" s="66"/>
      <c r="I70" s="66"/>
      <c r="J70" s="66"/>
      <c r="K70" s="66"/>
      <c r="L70" s="66"/>
      <c r="M70" s="66"/>
    </row>
    <row r="71" spans="1:13" ht="12">
      <c r="A71" s="66"/>
      <c r="B71" s="66"/>
      <c r="C71" s="66"/>
      <c r="D71" s="66"/>
      <c r="E71" s="66"/>
      <c r="F71" s="66"/>
      <c r="G71" s="66"/>
      <c r="H71" s="66"/>
      <c r="I71" s="66"/>
      <c r="J71" s="66"/>
      <c r="K71" s="66"/>
      <c r="L71" s="66"/>
      <c r="M71" s="66"/>
    </row>
    <row r="72" spans="1:13" ht="12">
      <c r="A72" s="66"/>
      <c r="B72" s="66"/>
      <c r="C72" s="66"/>
      <c r="D72" s="66"/>
      <c r="E72" s="66"/>
      <c r="F72" s="66"/>
      <c r="G72" s="66"/>
      <c r="H72" s="66"/>
      <c r="I72" s="66"/>
      <c r="J72" s="66"/>
      <c r="K72" s="66"/>
      <c r="L72" s="66"/>
      <c r="M72" s="66"/>
    </row>
    <row r="73" spans="1:13" ht="12">
      <c r="A73" s="66"/>
      <c r="B73" s="66"/>
      <c r="C73" s="66"/>
      <c r="D73" s="66"/>
      <c r="E73" s="66"/>
      <c r="F73" s="66"/>
      <c r="G73" s="66"/>
      <c r="H73" s="66"/>
      <c r="I73" s="66"/>
      <c r="J73" s="66"/>
      <c r="K73" s="66"/>
      <c r="L73" s="66"/>
      <c r="M73" s="66"/>
    </row>
    <row r="74" spans="1:13" ht="12">
      <c r="A74" s="66"/>
      <c r="B74" s="66"/>
      <c r="C74" s="66"/>
      <c r="D74" s="66"/>
      <c r="E74" s="66"/>
      <c r="F74" s="66"/>
      <c r="G74" s="66"/>
      <c r="H74" s="66"/>
      <c r="I74" s="66"/>
      <c r="J74" s="66"/>
      <c r="K74" s="66"/>
      <c r="L74" s="66"/>
      <c r="M74" s="66"/>
    </row>
    <row r="75" spans="1:13" ht="12">
      <c r="A75" s="66"/>
      <c r="B75" s="66"/>
      <c r="C75" s="66"/>
      <c r="D75" s="66"/>
      <c r="E75" s="66"/>
      <c r="F75" s="66"/>
      <c r="G75" s="66"/>
      <c r="H75" s="66"/>
      <c r="I75" s="66"/>
      <c r="J75" s="66"/>
      <c r="K75" s="66"/>
      <c r="L75" s="66"/>
      <c r="M75" s="66"/>
    </row>
    <row r="76" spans="1:13" ht="12">
      <c r="A76" s="66"/>
      <c r="B76" s="66"/>
      <c r="C76" s="66"/>
      <c r="D76" s="66"/>
      <c r="E76" s="66"/>
      <c r="F76" s="66"/>
      <c r="G76" s="66"/>
      <c r="H76" s="66"/>
      <c r="I76" s="66"/>
      <c r="J76" s="66"/>
      <c r="K76" s="66"/>
      <c r="L76" s="66"/>
      <c r="M76" s="66"/>
    </row>
    <row r="77" spans="1:13" ht="12">
      <c r="A77" s="66"/>
      <c r="B77" s="66"/>
      <c r="C77" s="66"/>
      <c r="D77" s="66"/>
      <c r="E77" s="66"/>
      <c r="F77" s="66"/>
      <c r="G77" s="66"/>
      <c r="H77" s="66"/>
      <c r="I77" s="66"/>
      <c r="J77" s="66"/>
      <c r="K77" s="66"/>
      <c r="L77" s="66"/>
      <c r="M77" s="66"/>
    </row>
    <row r="78" spans="1:13" ht="12">
      <c r="A78" s="66"/>
      <c r="B78" s="66"/>
      <c r="C78" s="66"/>
      <c r="D78" s="66"/>
      <c r="E78" s="66"/>
      <c r="F78" s="66"/>
      <c r="G78" s="66"/>
      <c r="H78" s="66"/>
      <c r="I78" s="66"/>
      <c r="J78" s="66"/>
      <c r="K78" s="66"/>
      <c r="L78" s="66"/>
      <c r="M78" s="66"/>
    </row>
    <row r="79" spans="1:13" ht="12">
      <c r="A79" s="66"/>
      <c r="B79" s="66"/>
      <c r="C79" s="66"/>
      <c r="D79" s="66"/>
      <c r="E79" s="66"/>
      <c r="F79" s="66"/>
      <c r="G79" s="66"/>
      <c r="H79" s="66"/>
      <c r="I79" s="66"/>
      <c r="J79" s="66"/>
      <c r="K79" s="66"/>
      <c r="L79" s="66"/>
      <c r="M79" s="66"/>
    </row>
    <row r="80" spans="1:13" ht="12">
      <c r="A80" s="66"/>
      <c r="B80" s="66"/>
      <c r="C80" s="66"/>
      <c r="D80" s="66"/>
      <c r="E80" s="66"/>
      <c r="F80" s="66"/>
      <c r="G80" s="66"/>
      <c r="H80" s="66"/>
      <c r="I80" s="66"/>
      <c r="J80" s="66"/>
      <c r="K80" s="66"/>
      <c r="L80" s="66"/>
      <c r="M80" s="66"/>
    </row>
    <row r="81" spans="1:13" ht="12">
      <c r="A81" s="66"/>
      <c r="B81" s="66"/>
      <c r="C81" s="66"/>
      <c r="D81" s="66"/>
      <c r="E81" s="66"/>
      <c r="F81" s="66"/>
      <c r="G81" s="66"/>
      <c r="H81" s="66"/>
      <c r="I81" s="66"/>
      <c r="J81" s="66"/>
      <c r="K81" s="66"/>
      <c r="L81" s="66"/>
      <c r="M81" s="66"/>
    </row>
    <row r="82" spans="1:13" ht="12">
      <c r="A82" s="66"/>
      <c r="B82" s="66"/>
      <c r="C82" s="66"/>
      <c r="D82" s="66"/>
      <c r="E82" s="66"/>
      <c r="F82" s="66"/>
      <c r="G82" s="66"/>
      <c r="H82" s="66"/>
      <c r="I82" s="66"/>
      <c r="J82" s="66"/>
      <c r="K82" s="66"/>
      <c r="L82" s="66"/>
      <c r="M82" s="66"/>
    </row>
    <row r="83" spans="1:13" ht="12">
      <c r="A83" s="66"/>
      <c r="B83" s="66"/>
      <c r="C83" s="66"/>
      <c r="D83" s="66"/>
      <c r="E83" s="66"/>
      <c r="F83" s="66"/>
      <c r="G83" s="66"/>
      <c r="H83" s="66"/>
      <c r="I83" s="66"/>
      <c r="J83" s="66"/>
      <c r="K83" s="66"/>
      <c r="L83" s="66"/>
      <c r="M83" s="66"/>
    </row>
    <row r="84" spans="1:13" ht="12">
      <c r="A84" s="66"/>
      <c r="B84" s="66"/>
      <c r="C84" s="66"/>
      <c r="D84" s="66"/>
      <c r="E84" s="66"/>
      <c r="F84" s="66"/>
      <c r="G84" s="66"/>
      <c r="H84" s="66"/>
      <c r="I84" s="66"/>
      <c r="J84" s="66"/>
      <c r="K84" s="66"/>
      <c r="L84" s="66"/>
      <c r="M84" s="66"/>
    </row>
    <row r="85" spans="1:13" ht="12">
      <c r="A85" s="66"/>
      <c r="B85" s="66"/>
      <c r="C85" s="66"/>
      <c r="D85" s="66"/>
      <c r="E85" s="66"/>
      <c r="F85" s="66"/>
      <c r="G85" s="66"/>
      <c r="H85" s="66"/>
      <c r="I85" s="66"/>
      <c r="J85" s="66"/>
      <c r="K85" s="66"/>
      <c r="L85" s="66"/>
      <c r="M85" s="66"/>
    </row>
    <row r="86" spans="1:13" ht="12">
      <c r="A86" s="66"/>
      <c r="B86" s="66"/>
      <c r="C86" s="66"/>
      <c r="D86" s="66"/>
      <c r="E86" s="66"/>
      <c r="F86" s="66"/>
      <c r="G86" s="66"/>
      <c r="H86" s="66"/>
      <c r="I86" s="66"/>
      <c r="J86" s="66"/>
      <c r="K86" s="66"/>
      <c r="L86" s="66"/>
      <c r="M86" s="66"/>
    </row>
    <row r="87" spans="1:13" ht="12">
      <c r="A87" s="66"/>
      <c r="B87" s="66"/>
      <c r="C87" s="66"/>
      <c r="D87" s="66"/>
      <c r="E87" s="66"/>
      <c r="F87" s="66"/>
      <c r="G87" s="66"/>
      <c r="H87" s="66"/>
      <c r="I87" s="66"/>
      <c r="J87" s="66"/>
      <c r="K87" s="66"/>
      <c r="L87" s="66"/>
      <c r="M87" s="66"/>
    </row>
    <row r="88" spans="1:13" ht="12">
      <c r="A88" s="66"/>
      <c r="B88" s="66"/>
      <c r="C88" s="66"/>
      <c r="D88" s="66"/>
      <c r="E88" s="66"/>
      <c r="F88" s="66"/>
      <c r="G88" s="66"/>
      <c r="H88" s="66"/>
      <c r="I88" s="66"/>
      <c r="J88" s="66"/>
      <c r="K88" s="66"/>
      <c r="L88" s="66"/>
      <c r="M88" s="66"/>
    </row>
    <row r="89" spans="1:13" ht="12">
      <c r="A89" s="66"/>
      <c r="B89" s="66"/>
      <c r="C89" s="66"/>
      <c r="D89" s="66"/>
      <c r="E89" s="66"/>
      <c r="F89" s="66"/>
      <c r="G89" s="66"/>
      <c r="H89" s="66"/>
      <c r="I89" s="66"/>
      <c r="J89" s="66"/>
      <c r="K89" s="66"/>
      <c r="L89" s="66"/>
      <c r="M89" s="66"/>
    </row>
    <row r="90" spans="1:13" ht="12">
      <c r="A90" s="66"/>
      <c r="B90" s="66"/>
      <c r="C90" s="66"/>
      <c r="D90" s="66"/>
      <c r="E90" s="66"/>
      <c r="F90" s="66"/>
      <c r="G90" s="66"/>
      <c r="H90" s="66"/>
      <c r="I90" s="66"/>
      <c r="J90" s="66"/>
      <c r="K90" s="66"/>
      <c r="L90" s="66"/>
      <c r="M90" s="66"/>
    </row>
    <row r="91" spans="1:13" ht="12">
      <c r="A91" s="66"/>
      <c r="B91" s="66"/>
      <c r="C91" s="66"/>
      <c r="D91" s="66"/>
      <c r="E91" s="66"/>
      <c r="F91" s="66"/>
      <c r="G91" s="66"/>
      <c r="H91" s="66"/>
      <c r="I91" s="66"/>
      <c r="J91" s="66"/>
      <c r="K91" s="66"/>
      <c r="L91" s="66"/>
      <c r="M91" s="66"/>
    </row>
    <row r="92" spans="1:13" ht="12">
      <c r="A92" s="66"/>
      <c r="B92" s="66"/>
      <c r="C92" s="66"/>
      <c r="D92" s="66"/>
      <c r="E92" s="66"/>
      <c r="F92" s="66"/>
      <c r="G92" s="66"/>
      <c r="H92" s="66"/>
      <c r="I92" s="66"/>
      <c r="J92" s="66"/>
      <c r="K92" s="66"/>
      <c r="L92" s="66"/>
      <c r="M92" s="66"/>
    </row>
    <row r="93" spans="1:13" ht="12">
      <c r="A93" s="66"/>
      <c r="B93" s="66"/>
      <c r="C93" s="66"/>
      <c r="D93" s="66"/>
      <c r="E93" s="66"/>
      <c r="F93" s="66"/>
      <c r="G93" s="66"/>
      <c r="H93" s="66"/>
      <c r="I93" s="66"/>
      <c r="J93" s="66"/>
      <c r="K93" s="66"/>
      <c r="L93" s="66"/>
      <c r="M93" s="66"/>
    </row>
    <row r="94" spans="1:13" ht="12">
      <c r="A94" s="66"/>
      <c r="B94" s="66"/>
      <c r="C94" s="66"/>
      <c r="D94" s="66"/>
      <c r="E94" s="66"/>
      <c r="F94" s="66"/>
      <c r="G94" s="66"/>
      <c r="H94" s="66"/>
      <c r="I94" s="66"/>
      <c r="J94" s="66"/>
      <c r="K94" s="66"/>
      <c r="L94" s="66"/>
      <c r="M94" s="66"/>
    </row>
    <row r="95" spans="1:13" ht="12">
      <c r="A95" s="66"/>
      <c r="B95" s="66"/>
      <c r="C95" s="66"/>
      <c r="D95" s="66"/>
      <c r="E95" s="66"/>
      <c r="F95" s="66"/>
      <c r="G95" s="66"/>
      <c r="H95" s="66"/>
      <c r="I95" s="66"/>
      <c r="J95" s="66"/>
      <c r="K95" s="66"/>
      <c r="L95" s="66"/>
      <c r="M95" s="66"/>
    </row>
    <row r="96" spans="1:13" ht="12">
      <c r="A96" s="66"/>
      <c r="B96" s="66"/>
      <c r="C96" s="66"/>
      <c r="D96" s="66"/>
      <c r="E96" s="66"/>
      <c r="F96" s="66"/>
      <c r="G96" s="66"/>
      <c r="H96" s="66"/>
      <c r="I96" s="66"/>
      <c r="J96" s="66"/>
      <c r="K96" s="66"/>
      <c r="L96" s="66"/>
      <c r="M96" s="66"/>
    </row>
    <row r="97" spans="1:13" ht="12">
      <c r="A97" s="66"/>
      <c r="B97" s="66"/>
      <c r="C97" s="66"/>
      <c r="D97" s="66"/>
      <c r="E97" s="66"/>
      <c r="F97" s="66"/>
      <c r="G97" s="66"/>
      <c r="H97" s="66"/>
      <c r="I97" s="66"/>
      <c r="J97" s="66"/>
      <c r="K97" s="66"/>
      <c r="L97" s="66"/>
      <c r="M97" s="66"/>
    </row>
    <row r="98" spans="1:13" ht="12">
      <c r="A98" s="66"/>
      <c r="B98" s="66"/>
      <c r="C98" s="66"/>
      <c r="D98" s="66"/>
      <c r="E98" s="66"/>
      <c r="F98" s="66"/>
      <c r="G98" s="66"/>
      <c r="H98" s="66"/>
      <c r="I98" s="66"/>
      <c r="J98" s="66"/>
      <c r="K98" s="66"/>
      <c r="L98" s="66"/>
      <c r="M98" s="66"/>
    </row>
    <row r="99" spans="1:13" ht="12">
      <c r="A99" s="66"/>
      <c r="B99" s="66"/>
      <c r="C99" s="66"/>
      <c r="D99" s="66"/>
      <c r="E99" s="66"/>
      <c r="F99" s="66"/>
      <c r="G99" s="66"/>
      <c r="H99" s="66"/>
      <c r="I99" s="66"/>
      <c r="J99" s="66"/>
      <c r="K99" s="66"/>
      <c r="L99" s="66"/>
      <c r="M99" s="66"/>
    </row>
    <row r="100" spans="1:13" ht="12">
      <c r="A100" s="66"/>
      <c r="B100" s="66"/>
      <c r="C100" s="66"/>
      <c r="D100" s="66"/>
      <c r="E100" s="66"/>
      <c r="F100" s="66"/>
      <c r="G100" s="66"/>
      <c r="H100" s="66"/>
      <c r="I100" s="66"/>
      <c r="J100" s="66"/>
      <c r="K100" s="66"/>
      <c r="L100" s="66"/>
      <c r="M100" s="66"/>
    </row>
    <row r="101" spans="1:13" ht="12">
      <c r="A101" s="66"/>
      <c r="B101" s="66"/>
      <c r="C101" s="66"/>
      <c r="D101" s="66"/>
      <c r="E101" s="66"/>
      <c r="F101" s="66"/>
      <c r="G101" s="66"/>
      <c r="H101" s="66"/>
      <c r="I101" s="66"/>
      <c r="J101" s="66"/>
      <c r="K101" s="66"/>
      <c r="L101" s="66"/>
      <c r="M101" s="66"/>
    </row>
    <row r="102" spans="1:13" ht="12">
      <c r="A102" s="66"/>
      <c r="B102" s="66"/>
      <c r="C102" s="66"/>
      <c r="D102" s="66"/>
      <c r="E102" s="66"/>
      <c r="F102" s="66"/>
      <c r="G102" s="66"/>
      <c r="H102" s="66"/>
      <c r="I102" s="66"/>
      <c r="J102" s="66"/>
      <c r="K102" s="66"/>
      <c r="L102" s="66"/>
      <c r="M102" s="66"/>
    </row>
    <row r="103" spans="1:13" ht="12">
      <c r="A103" s="66"/>
      <c r="B103" s="66"/>
      <c r="C103" s="66"/>
      <c r="D103" s="66"/>
      <c r="E103" s="66"/>
      <c r="F103" s="66"/>
      <c r="G103" s="66"/>
      <c r="H103" s="66"/>
      <c r="I103" s="66"/>
      <c r="J103" s="66"/>
      <c r="K103" s="66"/>
      <c r="L103" s="66"/>
      <c r="M103" s="66"/>
    </row>
    <row r="104" spans="1:13" ht="12">
      <c r="A104" s="66"/>
      <c r="B104" s="66"/>
      <c r="C104" s="66"/>
      <c r="D104" s="66"/>
      <c r="E104" s="66"/>
      <c r="F104" s="66"/>
      <c r="G104" s="66"/>
      <c r="H104" s="66"/>
      <c r="I104" s="66"/>
      <c r="J104" s="66"/>
      <c r="K104" s="66"/>
      <c r="L104" s="66"/>
      <c r="M104" s="66"/>
    </row>
    <row r="105" spans="1:13" ht="12">
      <c r="A105" s="66"/>
      <c r="B105" s="66"/>
      <c r="C105" s="66"/>
      <c r="D105" s="66"/>
      <c r="E105" s="66"/>
      <c r="F105" s="66"/>
      <c r="G105" s="66"/>
      <c r="H105" s="66"/>
      <c r="I105" s="66"/>
      <c r="J105" s="66"/>
      <c r="K105" s="66"/>
      <c r="L105" s="66"/>
      <c r="M105" s="66"/>
    </row>
    <row r="106" spans="1:13" ht="12">
      <c r="A106" s="66"/>
      <c r="B106" s="66"/>
      <c r="C106" s="66"/>
      <c r="D106" s="66"/>
      <c r="E106" s="66"/>
      <c r="F106" s="66"/>
      <c r="G106" s="66"/>
      <c r="H106" s="66"/>
      <c r="I106" s="66"/>
      <c r="J106" s="66"/>
      <c r="K106" s="66"/>
      <c r="L106" s="66"/>
      <c r="M106" s="66"/>
    </row>
    <row r="107" spans="1:13" ht="12">
      <c r="A107" s="66"/>
      <c r="B107" s="66"/>
      <c r="C107" s="66"/>
      <c r="D107" s="66"/>
      <c r="E107" s="66"/>
      <c r="F107" s="66"/>
      <c r="G107" s="66"/>
      <c r="H107" s="66"/>
      <c r="I107" s="66"/>
      <c r="J107" s="66"/>
      <c r="K107" s="66"/>
      <c r="L107" s="66"/>
      <c r="M107" s="66"/>
    </row>
    <row r="108" spans="1:13" ht="12">
      <c r="A108" s="66"/>
      <c r="B108" s="66"/>
      <c r="C108" s="66"/>
      <c r="D108" s="66"/>
      <c r="E108" s="66"/>
      <c r="F108" s="66"/>
      <c r="G108" s="66"/>
      <c r="H108" s="66"/>
      <c r="I108" s="66"/>
      <c r="J108" s="66"/>
      <c r="K108" s="66"/>
      <c r="L108" s="66"/>
      <c r="M108" s="66"/>
    </row>
    <row r="109" spans="1:13" ht="12">
      <c r="A109" s="66"/>
      <c r="B109" s="66"/>
      <c r="C109" s="66"/>
      <c r="D109" s="66"/>
      <c r="E109" s="66"/>
      <c r="F109" s="66"/>
      <c r="G109" s="66"/>
      <c r="H109" s="66"/>
      <c r="I109" s="66"/>
      <c r="J109" s="66"/>
      <c r="K109" s="66"/>
      <c r="L109" s="66"/>
      <c r="M109" s="66"/>
    </row>
    <row r="110" spans="1:13" ht="12">
      <c r="A110" s="66"/>
      <c r="B110" s="66"/>
      <c r="C110" s="66"/>
      <c r="D110" s="66"/>
      <c r="E110" s="66"/>
      <c r="F110" s="66"/>
      <c r="G110" s="66"/>
      <c r="H110" s="66"/>
      <c r="I110" s="66"/>
      <c r="J110" s="66"/>
      <c r="K110" s="66"/>
      <c r="L110" s="66"/>
      <c r="M110" s="66"/>
    </row>
    <row r="111" spans="1:13" ht="12">
      <c r="A111" s="66"/>
      <c r="B111" s="66"/>
      <c r="C111" s="66"/>
      <c r="D111" s="66"/>
      <c r="E111" s="66"/>
      <c r="F111" s="66"/>
      <c r="G111" s="66"/>
      <c r="H111" s="66"/>
      <c r="I111" s="66"/>
      <c r="J111" s="66"/>
      <c r="K111" s="66"/>
      <c r="L111" s="66"/>
      <c r="M111" s="66"/>
    </row>
    <row r="112" spans="1:13" ht="12">
      <c r="A112" s="66"/>
      <c r="B112" s="66"/>
      <c r="C112" s="66"/>
      <c r="D112" s="66"/>
      <c r="E112" s="66"/>
      <c r="F112" s="66"/>
      <c r="G112" s="66"/>
      <c r="H112" s="66"/>
      <c r="I112" s="66"/>
      <c r="J112" s="66"/>
      <c r="K112" s="66"/>
      <c r="L112" s="66"/>
      <c r="M112" s="66"/>
    </row>
    <row r="113" spans="1:13" ht="12">
      <c r="A113" s="66"/>
      <c r="B113" s="66"/>
      <c r="C113" s="66"/>
      <c r="D113" s="66"/>
      <c r="E113" s="66"/>
      <c r="F113" s="66"/>
      <c r="G113" s="66"/>
      <c r="H113" s="66"/>
      <c r="I113" s="66"/>
      <c r="J113" s="66"/>
      <c r="K113" s="66"/>
      <c r="L113" s="66"/>
      <c r="M113" s="66"/>
    </row>
    <row r="114" spans="1:13" ht="12">
      <c r="A114" s="66"/>
      <c r="B114" s="66"/>
      <c r="C114" s="66"/>
      <c r="D114" s="66"/>
      <c r="E114" s="66"/>
      <c r="F114" s="66"/>
      <c r="G114" s="66"/>
      <c r="H114" s="66"/>
      <c r="I114" s="66"/>
      <c r="J114" s="66"/>
      <c r="K114" s="66"/>
      <c r="L114" s="66"/>
      <c r="M114" s="66"/>
    </row>
    <row r="115" spans="1:13" ht="12">
      <c r="A115" s="66"/>
      <c r="B115" s="66"/>
      <c r="C115" s="66"/>
      <c r="D115" s="66"/>
      <c r="E115" s="66"/>
      <c r="F115" s="66"/>
      <c r="G115" s="66"/>
      <c r="H115" s="66"/>
      <c r="I115" s="66"/>
      <c r="J115" s="66"/>
      <c r="K115" s="66"/>
      <c r="L115" s="66"/>
      <c r="M115" s="66"/>
    </row>
    <row r="116" spans="1:13" ht="12">
      <c r="A116" s="66"/>
      <c r="B116" s="66"/>
      <c r="C116" s="66"/>
      <c r="D116" s="66"/>
      <c r="E116" s="66"/>
      <c r="F116" s="66"/>
      <c r="G116" s="66"/>
      <c r="H116" s="66"/>
      <c r="I116" s="66"/>
      <c r="J116" s="66"/>
      <c r="K116" s="66"/>
      <c r="L116" s="66"/>
      <c r="M116" s="66"/>
    </row>
    <row r="117" spans="1:13" ht="12">
      <c r="A117" s="66"/>
      <c r="B117" s="66"/>
      <c r="C117" s="66"/>
      <c r="D117" s="66"/>
      <c r="E117" s="66"/>
      <c r="F117" s="66"/>
      <c r="G117" s="66"/>
      <c r="H117" s="66"/>
      <c r="I117" s="66"/>
      <c r="J117" s="66"/>
      <c r="K117" s="66"/>
      <c r="L117" s="66"/>
      <c r="M117" s="66"/>
    </row>
    <row r="118" spans="1:13" ht="12">
      <c r="A118" s="66"/>
      <c r="B118" s="66"/>
      <c r="C118" s="66"/>
      <c r="D118" s="66"/>
      <c r="E118" s="66"/>
      <c r="F118" s="66"/>
      <c r="G118" s="66"/>
      <c r="H118" s="66"/>
      <c r="I118" s="66"/>
      <c r="J118" s="66"/>
      <c r="K118" s="66"/>
      <c r="L118" s="66"/>
      <c r="M118" s="66"/>
    </row>
    <row r="119" spans="1:13" ht="12">
      <c r="A119" s="66"/>
      <c r="B119" s="66"/>
      <c r="C119" s="66"/>
      <c r="D119" s="66"/>
      <c r="E119" s="66"/>
      <c r="F119" s="66"/>
      <c r="G119" s="66"/>
      <c r="H119" s="66"/>
      <c r="I119" s="66"/>
      <c r="J119" s="66"/>
      <c r="K119" s="66"/>
      <c r="L119" s="66"/>
      <c r="M119" s="66"/>
    </row>
    <row r="120" spans="1:13" ht="12">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AB117"/>
  <sheetViews>
    <sheetView showGridLines="0" zoomScaleSheetLayoutView="10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C13" sqref="C13:N23"/>
    </sheetView>
  </sheetViews>
  <sheetFormatPr defaultColWidth="9.140625" defaultRowHeight="12.75"/>
  <cols>
    <col min="1" max="1" width="6.00390625" style="66" customWidth="1"/>
    <col min="2" max="2" width="17.8515625" style="66" customWidth="1"/>
    <col min="3" max="3" width="10.421875" style="66" bestFit="1" customWidth="1"/>
    <col min="4" max="5" width="9.57421875" style="66" bestFit="1" customWidth="1"/>
    <col min="6" max="7" width="9.57421875" style="66" customWidth="1"/>
    <col min="8" max="14" width="9.5742187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76</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5">
        <v>44682</v>
      </c>
      <c r="D6" s="87">
        <f aca="true" t="shared" si="0" ref="D6:N6">EOMONTH(C6,1)</f>
        <v>44742</v>
      </c>
      <c r="E6" s="87">
        <f t="shared" si="0"/>
        <v>44773</v>
      </c>
      <c r="F6" s="87">
        <f t="shared" si="0"/>
        <v>44804</v>
      </c>
      <c r="G6" s="87">
        <f t="shared" si="0"/>
        <v>44834</v>
      </c>
      <c r="H6" s="87">
        <f t="shared" si="0"/>
        <v>44865</v>
      </c>
      <c r="I6" s="87">
        <f t="shared" si="0"/>
        <v>44895</v>
      </c>
      <c r="J6" s="87">
        <f t="shared" si="0"/>
        <v>44926</v>
      </c>
      <c r="K6" s="87">
        <f t="shared" si="0"/>
        <v>44957</v>
      </c>
      <c r="L6" s="87">
        <f t="shared" si="0"/>
        <v>44985</v>
      </c>
      <c r="M6" s="87">
        <f t="shared" si="0"/>
        <v>45016</v>
      </c>
      <c r="N6" s="87">
        <f t="shared" si="0"/>
        <v>45046</v>
      </c>
    </row>
    <row r="7" spans="1:14" s="67" customFormat="1" ht="11.25">
      <c r="A7" s="88" t="s">
        <v>44</v>
      </c>
      <c r="C7" s="126">
        <v>343.12000000000006</v>
      </c>
      <c r="D7" s="126">
        <v>388.1</v>
      </c>
      <c r="E7" s="126">
        <v>298.07000000000005</v>
      </c>
      <c r="F7" s="126">
        <v>305.66999999999996</v>
      </c>
      <c r="G7" s="126">
        <v>299.06</v>
      </c>
      <c r="H7" s="126">
        <v>294.71</v>
      </c>
      <c r="I7" s="126">
        <v>348.59999999999997</v>
      </c>
      <c r="J7" s="126">
        <v>300.84</v>
      </c>
      <c r="K7" s="126">
        <v>334.15999999999997</v>
      </c>
      <c r="L7" s="126">
        <v>274.93</v>
      </c>
      <c r="M7" s="126">
        <v>303.60868279704886</v>
      </c>
      <c r="N7" s="126">
        <v>264.63046193322526</v>
      </c>
    </row>
    <row r="8" spans="1:14" ht="11.25">
      <c r="A8" s="66" t="s">
        <v>45</v>
      </c>
      <c r="C8" s="89">
        <v>0</v>
      </c>
      <c r="D8" s="89">
        <v>0</v>
      </c>
      <c r="E8" s="89">
        <v>0</v>
      </c>
      <c r="F8" s="89">
        <v>0</v>
      </c>
      <c r="G8" s="89">
        <v>0</v>
      </c>
      <c r="H8" s="89">
        <v>0</v>
      </c>
      <c r="I8" s="89">
        <v>0</v>
      </c>
      <c r="J8" s="89">
        <v>0</v>
      </c>
      <c r="K8" s="89">
        <v>0</v>
      </c>
      <c r="L8" s="89">
        <v>0</v>
      </c>
      <c r="M8" s="89">
        <v>0</v>
      </c>
      <c r="N8" s="89">
        <v>0</v>
      </c>
    </row>
    <row r="9" spans="1:14" ht="11.25">
      <c r="A9" s="66" t="s">
        <v>46</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47</v>
      </c>
      <c r="C10" s="91">
        <f aca="true" t="shared" si="2" ref="C10:L10">+C7-C9</f>
        <v>343.12000000000006</v>
      </c>
      <c r="D10" s="91">
        <f t="shared" si="2"/>
        <v>388.1</v>
      </c>
      <c r="E10" s="91">
        <f t="shared" si="2"/>
        <v>298.07000000000005</v>
      </c>
      <c r="F10" s="91">
        <f t="shared" si="2"/>
        <v>305.66999999999996</v>
      </c>
      <c r="G10" s="91">
        <f t="shared" si="2"/>
        <v>299.06</v>
      </c>
      <c r="H10" s="91">
        <f t="shared" si="2"/>
        <v>294.71</v>
      </c>
      <c r="I10" s="91">
        <f t="shared" si="2"/>
        <v>348.59999999999997</v>
      </c>
      <c r="J10" s="91">
        <f t="shared" si="2"/>
        <v>300.84</v>
      </c>
      <c r="K10" s="91">
        <f t="shared" si="2"/>
        <v>334.15999999999997</v>
      </c>
      <c r="L10" s="91">
        <f t="shared" si="2"/>
        <v>274.93</v>
      </c>
      <c r="M10" s="91">
        <f>+M7-M9</f>
        <v>303.60868279704886</v>
      </c>
      <c r="N10" s="91">
        <f>+N7-N9</f>
        <v>264.63046193322526</v>
      </c>
    </row>
    <row r="11" ht="11.25"/>
    <row r="12" spans="1:28" ht="11.25">
      <c r="A12" s="83" t="s">
        <v>48</v>
      </c>
      <c r="T12" s="92"/>
      <c r="U12" s="92"/>
      <c r="V12" s="92"/>
      <c r="W12" s="92"/>
      <c r="X12" s="92"/>
      <c r="Y12" s="92"/>
      <c r="Z12" s="92"/>
      <c r="AA12" s="92"/>
      <c r="AB12" s="92"/>
    </row>
    <row r="13" spans="2:14" s="92" customFormat="1" ht="11.25">
      <c r="B13" s="92" t="s">
        <v>23</v>
      </c>
      <c r="C13" s="123">
        <v>0</v>
      </c>
      <c r="D13" s="123">
        <f>+C13</f>
        <v>0</v>
      </c>
      <c r="E13" s="123">
        <f>D13</f>
        <v>0</v>
      </c>
      <c r="F13" s="123">
        <f aca="true" t="shared" si="3" ref="F13:M13">+E13</f>
        <v>0</v>
      </c>
      <c r="G13" s="123">
        <f t="shared" si="3"/>
        <v>0</v>
      </c>
      <c r="H13" s="123">
        <f t="shared" si="3"/>
        <v>0</v>
      </c>
      <c r="I13" s="123">
        <f t="shared" si="3"/>
        <v>0</v>
      </c>
      <c r="J13" s="123">
        <f t="shared" si="3"/>
        <v>0</v>
      </c>
      <c r="K13" s="123">
        <v>0</v>
      </c>
      <c r="L13" s="123">
        <f t="shared" si="3"/>
        <v>0</v>
      </c>
      <c r="M13" s="123">
        <f t="shared" si="3"/>
        <v>0</v>
      </c>
      <c r="N13" s="123">
        <v>0</v>
      </c>
    </row>
    <row r="14" spans="2:14" s="92" customFormat="1" ht="11.25">
      <c r="B14" s="92" t="s">
        <v>27</v>
      </c>
      <c r="C14" s="123">
        <v>0.261</v>
      </c>
      <c r="D14" s="123">
        <f aca="true" t="shared" si="4" ref="D14:M23">+C14</f>
        <v>0.261</v>
      </c>
      <c r="E14" s="123">
        <f aca="true" t="shared" si="5" ref="E14:E23">D14</f>
        <v>0.261</v>
      </c>
      <c r="F14" s="123">
        <f t="shared" si="4"/>
        <v>0.261</v>
      </c>
      <c r="G14" s="123">
        <f t="shared" si="4"/>
        <v>0.261</v>
      </c>
      <c r="H14" s="123">
        <f t="shared" si="4"/>
        <v>0.261</v>
      </c>
      <c r="I14" s="123">
        <f t="shared" si="4"/>
        <v>0.261</v>
      </c>
      <c r="J14" s="123">
        <f t="shared" si="4"/>
        <v>0.261</v>
      </c>
      <c r="K14" s="123">
        <v>0.2601</v>
      </c>
      <c r="L14" s="123">
        <f t="shared" si="4"/>
        <v>0.2601</v>
      </c>
      <c r="M14" s="123">
        <f t="shared" si="4"/>
        <v>0.2601</v>
      </c>
      <c r="N14" s="123">
        <v>0.2601</v>
      </c>
    </row>
    <row r="15" spans="2:14" s="92" customFormat="1" ht="11.25">
      <c r="B15" s="92" t="s">
        <v>49</v>
      </c>
      <c r="C15" s="123">
        <v>0</v>
      </c>
      <c r="D15" s="123">
        <f t="shared" si="4"/>
        <v>0</v>
      </c>
      <c r="E15" s="123">
        <f t="shared" si="5"/>
        <v>0</v>
      </c>
      <c r="F15" s="123">
        <f t="shared" si="4"/>
        <v>0</v>
      </c>
      <c r="G15" s="123">
        <f t="shared" si="4"/>
        <v>0</v>
      </c>
      <c r="H15" s="123">
        <f t="shared" si="4"/>
        <v>0</v>
      </c>
      <c r="I15" s="123">
        <f t="shared" si="4"/>
        <v>0</v>
      </c>
      <c r="J15" s="123">
        <f t="shared" si="4"/>
        <v>0</v>
      </c>
      <c r="K15" s="123">
        <v>0</v>
      </c>
      <c r="L15" s="123">
        <f t="shared" si="4"/>
        <v>0</v>
      </c>
      <c r="M15" s="123">
        <f t="shared" si="4"/>
        <v>0</v>
      </c>
      <c r="N15" s="123">
        <v>0</v>
      </c>
    </row>
    <row r="16" spans="2:14" s="92" customFormat="1" ht="11.25">
      <c r="B16" s="92" t="s">
        <v>50</v>
      </c>
      <c r="C16" s="123">
        <v>0.0147</v>
      </c>
      <c r="D16" s="123">
        <f t="shared" si="4"/>
        <v>0.0147</v>
      </c>
      <c r="E16" s="123">
        <f t="shared" si="5"/>
        <v>0.0147</v>
      </c>
      <c r="F16" s="123">
        <f t="shared" si="4"/>
        <v>0.0147</v>
      </c>
      <c r="G16" s="123">
        <f t="shared" si="4"/>
        <v>0.0147</v>
      </c>
      <c r="H16" s="123">
        <f t="shared" si="4"/>
        <v>0.0147</v>
      </c>
      <c r="I16" s="123">
        <f t="shared" si="4"/>
        <v>0.0147</v>
      </c>
      <c r="J16" s="123">
        <f t="shared" si="4"/>
        <v>0.0147</v>
      </c>
      <c r="K16" s="123">
        <v>0.0151</v>
      </c>
      <c r="L16" s="123">
        <f t="shared" si="4"/>
        <v>0.0151</v>
      </c>
      <c r="M16" s="123">
        <f t="shared" si="4"/>
        <v>0.0151</v>
      </c>
      <c r="N16" s="123">
        <v>0.0151</v>
      </c>
    </row>
    <row r="17" spans="2:14" s="92" customFormat="1" ht="11.25">
      <c r="B17" s="92" t="s">
        <v>51</v>
      </c>
      <c r="C17" s="123">
        <v>0.0492</v>
      </c>
      <c r="D17" s="123">
        <f t="shared" si="4"/>
        <v>0.0492</v>
      </c>
      <c r="E17" s="123">
        <f t="shared" si="5"/>
        <v>0.0492</v>
      </c>
      <c r="F17" s="123">
        <f t="shared" si="4"/>
        <v>0.0492</v>
      </c>
      <c r="G17" s="123">
        <f t="shared" si="4"/>
        <v>0.0492</v>
      </c>
      <c r="H17" s="123">
        <f t="shared" si="4"/>
        <v>0.0492</v>
      </c>
      <c r="I17" s="123">
        <f t="shared" si="4"/>
        <v>0.0492</v>
      </c>
      <c r="J17" s="123">
        <f t="shared" si="4"/>
        <v>0.0492</v>
      </c>
      <c r="K17" s="123">
        <v>0.0468</v>
      </c>
      <c r="L17" s="123">
        <f t="shared" si="4"/>
        <v>0.0468</v>
      </c>
      <c r="M17" s="123">
        <f t="shared" si="4"/>
        <v>0.0468</v>
      </c>
      <c r="N17" s="123">
        <v>0.0468</v>
      </c>
    </row>
    <row r="18" spans="2:14" s="92" customFormat="1" ht="11.25">
      <c r="B18" s="92" t="s">
        <v>52</v>
      </c>
      <c r="C18" s="123">
        <v>0.0178</v>
      </c>
      <c r="D18" s="123">
        <f t="shared" si="4"/>
        <v>0.0178</v>
      </c>
      <c r="E18" s="123">
        <f t="shared" si="5"/>
        <v>0.0178</v>
      </c>
      <c r="F18" s="123">
        <f t="shared" si="4"/>
        <v>0.0178</v>
      </c>
      <c r="G18" s="123">
        <f t="shared" si="4"/>
        <v>0.0178</v>
      </c>
      <c r="H18" s="123">
        <f t="shared" si="4"/>
        <v>0.0178</v>
      </c>
      <c r="I18" s="123">
        <f t="shared" si="4"/>
        <v>0.0178</v>
      </c>
      <c r="J18" s="123">
        <f t="shared" si="4"/>
        <v>0.0178</v>
      </c>
      <c r="K18" s="123">
        <v>0.0167</v>
      </c>
      <c r="L18" s="123">
        <f t="shared" si="4"/>
        <v>0.0167</v>
      </c>
      <c r="M18" s="123">
        <f t="shared" si="4"/>
        <v>0.0167</v>
      </c>
      <c r="N18" s="123">
        <v>0.0167</v>
      </c>
    </row>
    <row r="19" spans="2:14" s="92" customFormat="1" ht="11.25">
      <c r="B19" s="66" t="s">
        <v>53</v>
      </c>
      <c r="C19" s="123">
        <v>0.0019</v>
      </c>
      <c r="D19" s="123">
        <f t="shared" si="4"/>
        <v>0.0019</v>
      </c>
      <c r="E19" s="123">
        <f t="shared" si="5"/>
        <v>0.0019</v>
      </c>
      <c r="F19" s="123">
        <f t="shared" si="4"/>
        <v>0.0019</v>
      </c>
      <c r="G19" s="123">
        <f t="shared" si="4"/>
        <v>0.0019</v>
      </c>
      <c r="H19" s="123">
        <f t="shared" si="4"/>
        <v>0.0019</v>
      </c>
      <c r="I19" s="123">
        <f t="shared" si="4"/>
        <v>0.0019</v>
      </c>
      <c r="J19" s="123">
        <f t="shared" si="4"/>
        <v>0.0019</v>
      </c>
      <c r="K19" s="123">
        <v>0.001</v>
      </c>
      <c r="L19" s="123">
        <f t="shared" si="4"/>
        <v>0.001</v>
      </c>
      <c r="M19" s="123">
        <f t="shared" si="4"/>
        <v>0.001</v>
      </c>
      <c r="N19" s="123">
        <v>0.001</v>
      </c>
    </row>
    <row r="20" spans="2:14" s="92" customFormat="1" ht="11.25">
      <c r="B20" s="66" t="s">
        <v>22</v>
      </c>
      <c r="C20" s="123">
        <v>0.1775</v>
      </c>
      <c r="D20" s="123">
        <f t="shared" si="4"/>
        <v>0.1775</v>
      </c>
      <c r="E20" s="123">
        <f t="shared" si="5"/>
        <v>0.1775</v>
      </c>
      <c r="F20" s="123">
        <f t="shared" si="4"/>
        <v>0.1775</v>
      </c>
      <c r="G20" s="123">
        <f t="shared" si="4"/>
        <v>0.1775</v>
      </c>
      <c r="H20" s="123">
        <f t="shared" si="4"/>
        <v>0.1775</v>
      </c>
      <c r="I20" s="123">
        <f t="shared" si="4"/>
        <v>0.1775</v>
      </c>
      <c r="J20" s="123">
        <f t="shared" si="4"/>
        <v>0.1775</v>
      </c>
      <c r="K20" s="123">
        <v>0.159</v>
      </c>
      <c r="L20" s="123">
        <f t="shared" si="4"/>
        <v>0.159</v>
      </c>
      <c r="M20" s="123">
        <f t="shared" si="4"/>
        <v>0.159</v>
      </c>
      <c r="N20" s="123">
        <v>0.159</v>
      </c>
    </row>
    <row r="21" spans="2:14" s="92" customFormat="1" ht="11.25">
      <c r="B21" s="66" t="s">
        <v>83</v>
      </c>
      <c r="C21" s="123">
        <v>0</v>
      </c>
      <c r="D21" s="123">
        <f t="shared" si="4"/>
        <v>0</v>
      </c>
      <c r="E21" s="123">
        <f t="shared" si="5"/>
        <v>0</v>
      </c>
      <c r="F21" s="123">
        <f t="shared" si="4"/>
        <v>0</v>
      </c>
      <c r="G21" s="123">
        <f t="shared" si="4"/>
        <v>0</v>
      </c>
      <c r="H21" s="123">
        <f t="shared" si="4"/>
        <v>0</v>
      </c>
      <c r="I21" s="123">
        <f t="shared" si="4"/>
        <v>0</v>
      </c>
      <c r="J21" s="123">
        <f t="shared" si="4"/>
        <v>0</v>
      </c>
      <c r="K21" s="123">
        <v>0</v>
      </c>
      <c r="L21" s="123">
        <f t="shared" si="4"/>
        <v>0</v>
      </c>
      <c r="M21" s="123">
        <f t="shared" si="4"/>
        <v>0</v>
      </c>
      <c r="N21" s="123">
        <v>0</v>
      </c>
    </row>
    <row r="22" spans="2:14" s="92" customFormat="1" ht="11.25">
      <c r="B22" s="92" t="s">
        <v>55</v>
      </c>
      <c r="C22" s="123">
        <v>0.1469</v>
      </c>
      <c r="D22" s="123">
        <f t="shared" si="4"/>
        <v>0.1469</v>
      </c>
      <c r="E22" s="123">
        <f t="shared" si="5"/>
        <v>0.1469</v>
      </c>
      <c r="F22" s="123">
        <f t="shared" si="4"/>
        <v>0.1469</v>
      </c>
      <c r="G22" s="123">
        <f t="shared" si="4"/>
        <v>0.1469</v>
      </c>
      <c r="H22" s="123">
        <f t="shared" si="4"/>
        <v>0.1469</v>
      </c>
      <c r="I22" s="123">
        <f t="shared" si="4"/>
        <v>0.1469</v>
      </c>
      <c r="J22" s="123">
        <f t="shared" si="4"/>
        <v>0.1469</v>
      </c>
      <c r="K22" s="123">
        <v>0.1694</v>
      </c>
      <c r="L22" s="123">
        <f t="shared" si="4"/>
        <v>0.1694</v>
      </c>
      <c r="M22" s="123">
        <f t="shared" si="4"/>
        <v>0.1694</v>
      </c>
      <c r="N22" s="123">
        <v>0.1694</v>
      </c>
    </row>
    <row r="23" spans="2:14" s="92" customFormat="1" ht="11.25">
      <c r="B23" s="92" t="s">
        <v>56</v>
      </c>
      <c r="C23" s="124">
        <v>0.331</v>
      </c>
      <c r="D23" s="123">
        <f t="shared" si="4"/>
        <v>0.331</v>
      </c>
      <c r="E23" s="123">
        <f t="shared" si="5"/>
        <v>0.331</v>
      </c>
      <c r="F23" s="123">
        <f t="shared" si="4"/>
        <v>0.331</v>
      </c>
      <c r="G23" s="123">
        <f t="shared" si="4"/>
        <v>0.331</v>
      </c>
      <c r="H23" s="123">
        <f t="shared" si="4"/>
        <v>0.331</v>
      </c>
      <c r="I23" s="123">
        <f t="shared" si="4"/>
        <v>0.331</v>
      </c>
      <c r="J23" s="123">
        <f t="shared" si="4"/>
        <v>0.331</v>
      </c>
      <c r="K23" s="123">
        <v>0.3319</v>
      </c>
      <c r="L23" s="123">
        <f t="shared" si="4"/>
        <v>0.3319</v>
      </c>
      <c r="M23" s="123">
        <f t="shared" si="4"/>
        <v>0.3319</v>
      </c>
      <c r="N23" s="123">
        <v>0.3319</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57</v>
      </c>
    </row>
    <row r="27" spans="2:14" ht="11.25">
      <c r="B27" s="66" t="s">
        <v>23</v>
      </c>
      <c r="C27" s="75">
        <f aca="true" t="shared" si="6" ref="C27:C37">+C$10*C13</f>
        <v>0</v>
      </c>
      <c r="D27" s="75">
        <f aca="true" t="shared" si="7" ref="D27:M27">+D$10*D13</f>
        <v>0</v>
      </c>
      <c r="E27" s="75">
        <f>+E$10*E13</f>
        <v>0</v>
      </c>
      <c r="F27" s="75">
        <f t="shared" si="7"/>
        <v>0</v>
      </c>
      <c r="G27" s="75">
        <f t="shared" si="7"/>
        <v>0</v>
      </c>
      <c r="H27" s="75">
        <f t="shared" si="7"/>
        <v>0</v>
      </c>
      <c r="I27" s="75">
        <f t="shared" si="7"/>
        <v>0</v>
      </c>
      <c r="J27" s="75">
        <f t="shared" si="7"/>
        <v>0</v>
      </c>
      <c r="K27" s="75">
        <f t="shared" si="7"/>
        <v>0</v>
      </c>
      <c r="L27" s="75">
        <f t="shared" si="7"/>
        <v>0</v>
      </c>
      <c r="M27" s="75">
        <f t="shared" si="7"/>
        <v>0</v>
      </c>
      <c r="N27" s="75">
        <f>+N$10*N13</f>
        <v>0</v>
      </c>
    </row>
    <row r="28" spans="2:14" ht="11.25">
      <c r="B28" s="66" t="s">
        <v>27</v>
      </c>
      <c r="C28" s="75">
        <f t="shared" si="6"/>
        <v>89.55432000000002</v>
      </c>
      <c r="D28" s="75">
        <f aca="true" t="shared" si="8" ref="D28:M28">+D$10*D14</f>
        <v>101.29410000000001</v>
      </c>
      <c r="E28" s="75">
        <f>+E$10*E14</f>
        <v>77.79627000000002</v>
      </c>
      <c r="F28" s="75">
        <f t="shared" si="8"/>
        <v>79.77986999999999</v>
      </c>
      <c r="G28" s="75">
        <f t="shared" si="8"/>
        <v>78.05466</v>
      </c>
      <c r="H28" s="75">
        <f t="shared" si="8"/>
        <v>76.91931</v>
      </c>
      <c r="I28" s="75">
        <f t="shared" si="8"/>
        <v>90.9846</v>
      </c>
      <c r="J28" s="75">
        <f t="shared" si="8"/>
        <v>78.51924</v>
      </c>
      <c r="K28" s="75">
        <f t="shared" si="8"/>
        <v>86.915016</v>
      </c>
      <c r="L28" s="75">
        <f t="shared" si="8"/>
        <v>71.509293</v>
      </c>
      <c r="M28" s="75">
        <f t="shared" si="8"/>
        <v>78.96861839551241</v>
      </c>
      <c r="N28" s="75">
        <f>+N$10*N14</f>
        <v>68.83038314883188</v>
      </c>
    </row>
    <row r="29" spans="2:14" ht="11.25">
      <c r="B29" s="66" t="s">
        <v>49</v>
      </c>
      <c r="C29" s="75">
        <f t="shared" si="6"/>
        <v>0</v>
      </c>
      <c r="D29" s="75">
        <f aca="true" t="shared" si="9" ref="D29:N29">+D$10*D15</f>
        <v>0</v>
      </c>
      <c r="E29" s="75">
        <f t="shared" si="9"/>
        <v>0</v>
      </c>
      <c r="F29" s="75">
        <f t="shared" si="9"/>
        <v>0</v>
      </c>
      <c r="G29" s="75">
        <f t="shared" si="9"/>
        <v>0</v>
      </c>
      <c r="H29" s="75">
        <f t="shared" si="9"/>
        <v>0</v>
      </c>
      <c r="I29" s="75">
        <f t="shared" si="9"/>
        <v>0</v>
      </c>
      <c r="J29" s="75">
        <f t="shared" si="9"/>
        <v>0</v>
      </c>
      <c r="K29" s="75">
        <f t="shared" si="9"/>
        <v>0</v>
      </c>
      <c r="L29" s="75">
        <f t="shared" si="9"/>
        <v>0</v>
      </c>
      <c r="M29" s="75">
        <f t="shared" si="9"/>
        <v>0</v>
      </c>
      <c r="N29" s="75">
        <f t="shared" si="9"/>
        <v>0</v>
      </c>
    </row>
    <row r="30" spans="2:16" ht="11.25">
      <c r="B30" s="66" t="s">
        <v>50</v>
      </c>
      <c r="C30" s="75">
        <f t="shared" si="6"/>
        <v>5.043864000000001</v>
      </c>
      <c r="D30" s="75">
        <f aca="true" t="shared" si="10" ref="D30:N30">+D$10*D16</f>
        <v>5.70507</v>
      </c>
      <c r="E30" s="75">
        <f t="shared" si="10"/>
        <v>4.381629</v>
      </c>
      <c r="F30" s="75">
        <f t="shared" si="10"/>
        <v>4.493348999999999</v>
      </c>
      <c r="G30" s="75">
        <f t="shared" si="10"/>
        <v>4.396182</v>
      </c>
      <c r="H30" s="75">
        <f t="shared" si="10"/>
        <v>4.332236999999999</v>
      </c>
      <c r="I30" s="75">
        <f t="shared" si="10"/>
        <v>5.12442</v>
      </c>
      <c r="J30" s="75">
        <f t="shared" si="10"/>
        <v>4.4223479999999995</v>
      </c>
      <c r="K30" s="75">
        <f t="shared" si="10"/>
        <v>5.045815999999999</v>
      </c>
      <c r="L30" s="75">
        <f t="shared" si="10"/>
        <v>4.151443</v>
      </c>
      <c r="M30" s="75">
        <f t="shared" si="10"/>
        <v>4.5844911102354375</v>
      </c>
      <c r="N30" s="75">
        <f t="shared" si="10"/>
        <v>3.995919975191702</v>
      </c>
      <c r="P30" s="103"/>
    </row>
    <row r="31" spans="2:16" ht="12.75">
      <c r="B31" s="66" t="s">
        <v>51</v>
      </c>
      <c r="C31" s="75">
        <f t="shared" si="6"/>
        <v>16.881504000000003</v>
      </c>
      <c r="D31" s="75">
        <f aca="true" t="shared" si="11" ref="D31:N31">+D$10*D17</f>
        <v>19.094520000000003</v>
      </c>
      <c r="E31" s="75">
        <f t="shared" si="11"/>
        <v>14.665044000000004</v>
      </c>
      <c r="F31" s="75">
        <f t="shared" si="11"/>
        <v>15.038963999999998</v>
      </c>
      <c r="G31" s="75">
        <f t="shared" si="11"/>
        <v>14.713752</v>
      </c>
      <c r="H31" s="75">
        <f t="shared" si="11"/>
        <v>14.499732</v>
      </c>
      <c r="I31" s="75">
        <f t="shared" si="11"/>
        <v>17.15112</v>
      </c>
      <c r="J31" s="75">
        <f t="shared" si="11"/>
        <v>14.801328</v>
      </c>
      <c r="K31" s="75">
        <f t="shared" si="11"/>
        <v>15.638687999999998</v>
      </c>
      <c r="L31" s="75">
        <f t="shared" si="11"/>
        <v>12.866724000000001</v>
      </c>
      <c r="M31" s="75">
        <f t="shared" si="11"/>
        <v>14.208886354901887</v>
      </c>
      <c r="N31" s="75">
        <f t="shared" si="11"/>
        <v>12.384705618474943</v>
      </c>
      <c r="P31" s="60"/>
    </row>
    <row r="32" spans="2:16" ht="12.75">
      <c r="B32" s="66" t="s">
        <v>52</v>
      </c>
      <c r="C32" s="75">
        <f t="shared" si="6"/>
        <v>6.107536000000001</v>
      </c>
      <c r="D32" s="75">
        <f aca="true" t="shared" si="12" ref="D32:N32">+D$10*D18</f>
        <v>6.908180000000001</v>
      </c>
      <c r="E32" s="75">
        <f t="shared" si="12"/>
        <v>5.305646000000001</v>
      </c>
      <c r="F32" s="75">
        <f t="shared" si="12"/>
        <v>5.440925999999999</v>
      </c>
      <c r="G32" s="75">
        <f t="shared" si="12"/>
        <v>5.323268</v>
      </c>
      <c r="H32" s="75">
        <f t="shared" si="12"/>
        <v>5.245838</v>
      </c>
      <c r="I32" s="75">
        <f t="shared" si="12"/>
        <v>6.20508</v>
      </c>
      <c r="J32" s="75">
        <f t="shared" si="12"/>
        <v>5.354952</v>
      </c>
      <c r="K32" s="75">
        <f t="shared" si="12"/>
        <v>5.580471999999999</v>
      </c>
      <c r="L32" s="75">
        <f t="shared" si="12"/>
        <v>4.591331</v>
      </c>
      <c r="M32" s="75">
        <f t="shared" si="12"/>
        <v>5.070265002710716</v>
      </c>
      <c r="N32" s="75">
        <f t="shared" si="12"/>
        <v>4.419328714284862</v>
      </c>
      <c r="P32" s="60"/>
    </row>
    <row r="33" spans="2:16" ht="12.75">
      <c r="B33" s="66" t="s">
        <v>53</v>
      </c>
      <c r="C33" s="75">
        <f t="shared" si="6"/>
        <v>0.6519280000000001</v>
      </c>
      <c r="D33" s="75">
        <f aca="true" t="shared" si="13" ref="D33:N33">+D$10*D19</f>
        <v>0.73739</v>
      </c>
      <c r="E33" s="75">
        <f t="shared" si="13"/>
        <v>0.5663330000000001</v>
      </c>
      <c r="F33" s="75">
        <f t="shared" si="13"/>
        <v>0.5807729999999999</v>
      </c>
      <c r="G33" s="75">
        <f t="shared" si="13"/>
        <v>0.568214</v>
      </c>
      <c r="H33" s="75">
        <f t="shared" si="13"/>
        <v>0.5599489999999999</v>
      </c>
      <c r="I33" s="75">
        <f t="shared" si="13"/>
        <v>0.6623399999999999</v>
      </c>
      <c r="J33" s="75">
        <f t="shared" si="13"/>
        <v>0.571596</v>
      </c>
      <c r="K33" s="75">
        <f t="shared" si="13"/>
        <v>0.33415999999999996</v>
      </c>
      <c r="L33" s="75">
        <f t="shared" si="13"/>
        <v>0.27493</v>
      </c>
      <c r="M33" s="75">
        <f t="shared" si="13"/>
        <v>0.3036086827970489</v>
      </c>
      <c r="N33" s="75">
        <f t="shared" si="13"/>
        <v>0.26463046193322526</v>
      </c>
      <c r="P33" s="60"/>
    </row>
    <row r="34" spans="2:16" ht="12.75">
      <c r="B34" s="66" t="s">
        <v>22</v>
      </c>
      <c r="C34" s="75">
        <f t="shared" si="6"/>
        <v>60.90380000000001</v>
      </c>
      <c r="D34" s="75">
        <f aca="true" t="shared" si="14" ref="D34:N34">+D$10*D20</f>
        <v>68.88775</v>
      </c>
      <c r="E34" s="75">
        <f t="shared" si="14"/>
        <v>52.907425</v>
      </c>
      <c r="F34" s="75">
        <f t="shared" si="14"/>
        <v>54.25642499999999</v>
      </c>
      <c r="G34" s="75">
        <f t="shared" si="14"/>
        <v>53.083149999999996</v>
      </c>
      <c r="H34" s="75">
        <f t="shared" si="14"/>
        <v>52.311024999999994</v>
      </c>
      <c r="I34" s="75">
        <f t="shared" si="14"/>
        <v>61.87649999999999</v>
      </c>
      <c r="J34" s="75">
        <f t="shared" si="14"/>
        <v>53.39909999999999</v>
      </c>
      <c r="K34" s="75">
        <f t="shared" si="14"/>
        <v>53.13144</v>
      </c>
      <c r="L34" s="75">
        <f t="shared" si="14"/>
        <v>43.71387</v>
      </c>
      <c r="M34" s="75">
        <f t="shared" si="14"/>
        <v>48.27378056473077</v>
      </c>
      <c r="N34" s="75">
        <f t="shared" si="14"/>
        <v>42.076243447382815</v>
      </c>
      <c r="P34" s="60"/>
    </row>
    <row r="35" spans="2:16" ht="12.75">
      <c r="B35" s="66" t="s">
        <v>83</v>
      </c>
      <c r="C35" s="75">
        <f t="shared" si="6"/>
        <v>0</v>
      </c>
      <c r="D35" s="75">
        <f aca="true" t="shared" si="15" ref="D35:N35">+D$10*D21</f>
        <v>0</v>
      </c>
      <c r="E35" s="75">
        <f t="shared" si="15"/>
        <v>0</v>
      </c>
      <c r="F35" s="75">
        <f t="shared" si="15"/>
        <v>0</v>
      </c>
      <c r="G35" s="75">
        <f t="shared" si="15"/>
        <v>0</v>
      </c>
      <c r="H35" s="75">
        <f t="shared" si="15"/>
        <v>0</v>
      </c>
      <c r="I35" s="75">
        <f t="shared" si="15"/>
        <v>0</v>
      </c>
      <c r="J35" s="75">
        <f t="shared" si="15"/>
        <v>0</v>
      </c>
      <c r="K35" s="75">
        <f t="shared" si="15"/>
        <v>0</v>
      </c>
      <c r="L35" s="75">
        <f t="shared" si="15"/>
        <v>0</v>
      </c>
      <c r="M35" s="75">
        <f t="shared" si="15"/>
        <v>0</v>
      </c>
      <c r="N35" s="75">
        <f t="shared" si="15"/>
        <v>0</v>
      </c>
      <c r="P35" s="60"/>
    </row>
    <row r="36" spans="2:16" ht="12.75">
      <c r="B36" s="66" t="s">
        <v>55</v>
      </c>
      <c r="C36" s="75">
        <f t="shared" si="6"/>
        <v>50.40432800000001</v>
      </c>
      <c r="D36" s="75">
        <f aca="true" t="shared" si="16" ref="D36:N36">+D$10*D22</f>
        <v>57.01189</v>
      </c>
      <c r="E36" s="75">
        <f t="shared" si="16"/>
        <v>43.78648300000001</v>
      </c>
      <c r="F36" s="75">
        <f t="shared" si="16"/>
        <v>44.902922999999994</v>
      </c>
      <c r="G36" s="75">
        <f t="shared" si="16"/>
        <v>43.931914</v>
      </c>
      <c r="H36" s="75">
        <f t="shared" si="16"/>
        <v>43.292899</v>
      </c>
      <c r="I36" s="75">
        <f t="shared" si="16"/>
        <v>51.20934</v>
      </c>
      <c r="J36" s="75">
        <f t="shared" si="16"/>
        <v>44.193396</v>
      </c>
      <c r="K36" s="75">
        <f t="shared" si="16"/>
        <v>56.60670399999999</v>
      </c>
      <c r="L36" s="75">
        <f t="shared" si="16"/>
        <v>46.573142</v>
      </c>
      <c r="M36" s="75">
        <f t="shared" si="16"/>
        <v>51.43131086582007</v>
      </c>
      <c r="N36" s="75">
        <f t="shared" si="16"/>
        <v>44.82840025148836</v>
      </c>
      <c r="P36" s="60"/>
    </row>
    <row r="37" spans="2:16" ht="12.75">
      <c r="B37" s="66" t="s">
        <v>56</v>
      </c>
      <c r="C37" s="90">
        <f t="shared" si="6"/>
        <v>113.57272000000003</v>
      </c>
      <c r="D37" s="90">
        <f aca="true" t="shared" si="17" ref="D37:N37">+D$10*D23</f>
        <v>128.46110000000002</v>
      </c>
      <c r="E37" s="90">
        <f t="shared" si="17"/>
        <v>98.66117000000003</v>
      </c>
      <c r="F37" s="90">
        <f t="shared" si="17"/>
        <v>101.17676999999999</v>
      </c>
      <c r="G37" s="90">
        <f t="shared" si="17"/>
        <v>98.98886</v>
      </c>
      <c r="H37" s="90">
        <f t="shared" si="17"/>
        <v>97.54901</v>
      </c>
      <c r="I37" s="90">
        <f t="shared" si="17"/>
        <v>115.3866</v>
      </c>
      <c r="J37" s="90">
        <f t="shared" si="17"/>
        <v>99.57804</v>
      </c>
      <c r="K37" s="90">
        <f t="shared" si="17"/>
        <v>110.90770399999998</v>
      </c>
      <c r="L37" s="90">
        <f t="shared" si="17"/>
        <v>91.24926699999999</v>
      </c>
      <c r="M37" s="90">
        <f t="shared" si="17"/>
        <v>100.76772182034051</v>
      </c>
      <c r="N37" s="90">
        <f t="shared" si="17"/>
        <v>87.83085031563746</v>
      </c>
      <c r="P37" s="60"/>
    </row>
    <row r="38" spans="3:16" ht="12.75">
      <c r="C38" s="75">
        <f>SUM(C27:C37)</f>
        <v>343.1200000000001</v>
      </c>
      <c r="D38" s="75">
        <f>SUM(D27:D37)</f>
        <v>388.1</v>
      </c>
      <c r="E38" s="75">
        <f>SUM(E27:E37)</f>
        <v>298.07000000000005</v>
      </c>
      <c r="F38" s="75">
        <f aca="true" t="shared" si="18" ref="F38:N38">SUM(F27:F37)</f>
        <v>305.66999999999996</v>
      </c>
      <c r="G38" s="75">
        <f t="shared" si="18"/>
        <v>299.06</v>
      </c>
      <c r="H38" s="75">
        <f t="shared" si="18"/>
        <v>294.71</v>
      </c>
      <c r="I38" s="75">
        <f t="shared" si="18"/>
        <v>348.59999999999997</v>
      </c>
      <c r="J38" s="75">
        <f t="shared" si="18"/>
        <v>300.84</v>
      </c>
      <c r="K38" s="75">
        <f t="shared" si="18"/>
        <v>334.15999999999997</v>
      </c>
      <c r="L38" s="75">
        <f t="shared" si="18"/>
        <v>274.93</v>
      </c>
      <c r="M38" s="75">
        <f t="shared" si="18"/>
        <v>303.60868279704886</v>
      </c>
      <c r="N38" s="75">
        <f t="shared" si="18"/>
        <v>264.63046193322526</v>
      </c>
      <c r="P38" s="60"/>
    </row>
    <row r="39" ht="11.25">
      <c r="P39" s="103"/>
    </row>
    <row r="40" ht="11.25">
      <c r="A40" s="83" t="s">
        <v>58</v>
      </c>
    </row>
    <row r="41" spans="2:14" ht="11.25">
      <c r="B41" s="66" t="s">
        <v>23</v>
      </c>
      <c r="C41" s="94">
        <v>1</v>
      </c>
      <c r="D41" s="95">
        <v>1</v>
      </c>
      <c r="E41" s="95">
        <v>1</v>
      </c>
      <c r="F41" s="95">
        <v>1</v>
      </c>
      <c r="G41" s="95">
        <v>1</v>
      </c>
      <c r="H41" s="95">
        <v>1</v>
      </c>
      <c r="I41" s="95">
        <v>1</v>
      </c>
      <c r="J41" s="95">
        <v>1</v>
      </c>
      <c r="K41" s="95">
        <v>1</v>
      </c>
      <c r="L41" s="95">
        <v>1</v>
      </c>
      <c r="M41" s="95">
        <v>1</v>
      </c>
      <c r="N41" s="95">
        <v>1</v>
      </c>
    </row>
    <row r="42" spans="2:14" ht="11.25">
      <c r="B42" s="66" t="s">
        <v>27</v>
      </c>
      <c r="C42" s="94">
        <v>1</v>
      </c>
      <c r="D42" s="95">
        <v>1</v>
      </c>
      <c r="E42" s="95">
        <v>1</v>
      </c>
      <c r="F42" s="95">
        <v>1</v>
      </c>
      <c r="G42" s="95">
        <v>1</v>
      </c>
      <c r="H42" s="95">
        <v>1</v>
      </c>
      <c r="I42" s="95">
        <v>1</v>
      </c>
      <c r="J42" s="95">
        <v>1</v>
      </c>
      <c r="K42" s="95">
        <v>1</v>
      </c>
      <c r="L42" s="95">
        <v>1</v>
      </c>
      <c r="M42" s="95">
        <v>1</v>
      </c>
      <c r="N42" s="95">
        <v>1</v>
      </c>
    </row>
    <row r="43" spans="2:14" ht="11.25">
      <c r="B43" s="66" t="s">
        <v>49</v>
      </c>
      <c r="C43" s="94">
        <v>1</v>
      </c>
      <c r="D43" s="95">
        <v>1</v>
      </c>
      <c r="E43" s="95">
        <v>1</v>
      </c>
      <c r="F43" s="95">
        <v>1</v>
      </c>
      <c r="G43" s="95">
        <v>1</v>
      </c>
      <c r="H43" s="95">
        <v>1</v>
      </c>
      <c r="I43" s="95">
        <v>1</v>
      </c>
      <c r="J43" s="95">
        <v>1</v>
      </c>
      <c r="K43" s="95">
        <v>1</v>
      </c>
      <c r="L43" s="95">
        <v>1</v>
      </c>
      <c r="M43" s="95">
        <v>1</v>
      </c>
      <c r="N43" s="95">
        <v>1</v>
      </c>
    </row>
    <row r="44" spans="2:14" ht="11.25">
      <c r="B44" s="66" t="s">
        <v>50</v>
      </c>
      <c r="C44" s="94">
        <v>1</v>
      </c>
      <c r="D44" s="95">
        <v>1</v>
      </c>
      <c r="E44" s="95">
        <v>1</v>
      </c>
      <c r="F44" s="95">
        <v>1</v>
      </c>
      <c r="G44" s="95">
        <v>1</v>
      </c>
      <c r="H44" s="95">
        <v>1</v>
      </c>
      <c r="I44" s="95">
        <v>1</v>
      </c>
      <c r="J44" s="95">
        <v>1</v>
      </c>
      <c r="K44" s="95">
        <v>1</v>
      </c>
      <c r="L44" s="95">
        <v>1</v>
      </c>
      <c r="M44" s="95">
        <v>1</v>
      </c>
      <c r="N44" s="95">
        <v>1</v>
      </c>
    </row>
    <row r="45" spans="2:14" ht="11.25">
      <c r="B45" s="66" t="s">
        <v>51</v>
      </c>
      <c r="C45" s="94">
        <v>1</v>
      </c>
      <c r="D45" s="95">
        <v>1</v>
      </c>
      <c r="E45" s="95">
        <v>1</v>
      </c>
      <c r="F45" s="95">
        <v>1</v>
      </c>
      <c r="G45" s="95">
        <v>1</v>
      </c>
      <c r="H45" s="95">
        <v>1</v>
      </c>
      <c r="I45" s="95">
        <v>1</v>
      </c>
      <c r="J45" s="95">
        <v>1</v>
      </c>
      <c r="K45" s="95">
        <v>1</v>
      </c>
      <c r="L45" s="95">
        <v>1</v>
      </c>
      <c r="M45" s="95">
        <v>1</v>
      </c>
      <c r="N45" s="95">
        <v>1</v>
      </c>
    </row>
    <row r="46" spans="2:14" ht="11.25">
      <c r="B46" s="66" t="s">
        <v>52</v>
      </c>
      <c r="C46" s="94">
        <v>1</v>
      </c>
      <c r="D46" s="95">
        <v>1</v>
      </c>
      <c r="E46" s="95">
        <v>1</v>
      </c>
      <c r="F46" s="95">
        <v>1</v>
      </c>
      <c r="G46" s="95">
        <v>1</v>
      </c>
      <c r="H46" s="95">
        <v>1</v>
      </c>
      <c r="I46" s="95">
        <v>1</v>
      </c>
      <c r="J46" s="95">
        <v>1</v>
      </c>
      <c r="K46" s="95">
        <v>1</v>
      </c>
      <c r="L46" s="95">
        <v>1</v>
      </c>
      <c r="M46" s="95">
        <v>1</v>
      </c>
      <c r="N46" s="95">
        <v>1</v>
      </c>
    </row>
    <row r="47" spans="2:14" ht="11.25">
      <c r="B47" s="66" t="s">
        <v>53</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83</v>
      </c>
      <c r="C49" s="94">
        <v>1</v>
      </c>
      <c r="D49" s="95">
        <v>1</v>
      </c>
      <c r="E49" s="95">
        <v>1</v>
      </c>
      <c r="F49" s="95">
        <v>1</v>
      </c>
      <c r="G49" s="95">
        <v>1</v>
      </c>
      <c r="H49" s="95">
        <v>1</v>
      </c>
      <c r="I49" s="95">
        <v>1</v>
      </c>
      <c r="J49" s="95">
        <v>1</v>
      </c>
      <c r="K49" s="95">
        <v>1</v>
      </c>
      <c r="L49" s="95">
        <v>1</v>
      </c>
      <c r="M49" s="95">
        <v>1</v>
      </c>
      <c r="N49" s="95">
        <v>1</v>
      </c>
    </row>
    <row r="50" spans="2:14" ht="11.25">
      <c r="B50" s="66" t="s">
        <v>55</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56</v>
      </c>
      <c r="C52" s="93">
        <f>+C65/C37</f>
        <v>0.9999999999999998</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59</v>
      </c>
      <c r="L54" s="93"/>
      <c r="N54" s="95"/>
    </row>
    <row r="55" spans="2:14" ht="11.25">
      <c r="B55" s="66" t="s">
        <v>23</v>
      </c>
      <c r="C55" s="75">
        <f aca="true" t="shared" si="19" ref="C55:N55">+C27*C41</f>
        <v>0</v>
      </c>
      <c r="D55" s="75">
        <f t="shared" si="19"/>
        <v>0</v>
      </c>
      <c r="E55" s="75">
        <f>+E27*E41</f>
        <v>0</v>
      </c>
      <c r="F55" s="75">
        <f>+F27*F41</f>
        <v>0</v>
      </c>
      <c r="G55" s="75">
        <f t="shared" si="19"/>
        <v>0</v>
      </c>
      <c r="H55" s="75">
        <f t="shared" si="19"/>
        <v>0</v>
      </c>
      <c r="I55" s="75">
        <f t="shared" si="19"/>
        <v>0</v>
      </c>
      <c r="J55" s="75">
        <f t="shared" si="19"/>
        <v>0</v>
      </c>
      <c r="K55" s="75">
        <f t="shared" si="19"/>
        <v>0</v>
      </c>
      <c r="L55" s="75">
        <f t="shared" si="19"/>
        <v>0</v>
      </c>
      <c r="M55" s="75">
        <f t="shared" si="19"/>
        <v>0</v>
      </c>
      <c r="N55" s="75">
        <f t="shared" si="19"/>
        <v>0</v>
      </c>
    </row>
    <row r="56" spans="2:16" ht="12.75">
      <c r="B56" s="66" t="s">
        <v>27</v>
      </c>
      <c r="C56" s="75">
        <f aca="true" t="shared" si="20" ref="C56:N56">+C28*C42</f>
        <v>89.55432000000002</v>
      </c>
      <c r="D56" s="75">
        <f t="shared" si="20"/>
        <v>101.29410000000001</v>
      </c>
      <c r="E56" s="75">
        <f t="shared" si="20"/>
        <v>77.79627000000002</v>
      </c>
      <c r="F56" s="75">
        <f t="shared" si="20"/>
        <v>79.77986999999999</v>
      </c>
      <c r="G56" s="75">
        <f t="shared" si="20"/>
        <v>78.05466</v>
      </c>
      <c r="H56" s="75">
        <f t="shared" si="20"/>
        <v>76.91931</v>
      </c>
      <c r="I56" s="75">
        <f t="shared" si="20"/>
        <v>90.9846</v>
      </c>
      <c r="J56" s="75">
        <f t="shared" si="20"/>
        <v>78.51924</v>
      </c>
      <c r="K56" s="75">
        <f t="shared" si="20"/>
        <v>86.915016</v>
      </c>
      <c r="L56" s="75">
        <f t="shared" si="20"/>
        <v>71.509293</v>
      </c>
      <c r="M56" s="75">
        <f t="shared" si="20"/>
        <v>78.96861839551241</v>
      </c>
      <c r="N56" s="75">
        <f t="shared" si="20"/>
        <v>68.83038314883188</v>
      </c>
      <c r="P56" s="146"/>
    </row>
    <row r="57" spans="2:16" ht="12.75">
      <c r="B57" s="66" t="s">
        <v>49</v>
      </c>
      <c r="C57" s="75">
        <f aca="true" t="shared" si="21" ref="C57:N57">+C29*C43</f>
        <v>0</v>
      </c>
      <c r="D57" s="75">
        <f t="shared" si="21"/>
        <v>0</v>
      </c>
      <c r="E57" s="75">
        <f t="shared" si="21"/>
        <v>0</v>
      </c>
      <c r="F57" s="75">
        <f t="shared" si="21"/>
        <v>0</v>
      </c>
      <c r="G57" s="75">
        <f t="shared" si="21"/>
        <v>0</v>
      </c>
      <c r="H57" s="75">
        <f t="shared" si="21"/>
        <v>0</v>
      </c>
      <c r="I57" s="75">
        <f t="shared" si="21"/>
        <v>0</v>
      </c>
      <c r="J57" s="75">
        <f t="shared" si="21"/>
        <v>0</v>
      </c>
      <c r="K57" s="75">
        <f t="shared" si="21"/>
        <v>0</v>
      </c>
      <c r="L57" s="75">
        <f t="shared" si="21"/>
        <v>0</v>
      </c>
      <c r="M57" s="75">
        <f t="shared" si="21"/>
        <v>0</v>
      </c>
      <c r="N57" s="75">
        <f t="shared" si="21"/>
        <v>0</v>
      </c>
      <c r="P57" s="146"/>
    </row>
    <row r="58" spans="2:16" ht="12.75">
      <c r="B58" s="66" t="s">
        <v>50</v>
      </c>
      <c r="C58" s="75">
        <f aca="true" t="shared" si="22" ref="C58:N58">+C30*C44</f>
        <v>5.043864000000001</v>
      </c>
      <c r="D58" s="75">
        <f t="shared" si="22"/>
        <v>5.70507</v>
      </c>
      <c r="E58" s="75">
        <f t="shared" si="22"/>
        <v>4.381629</v>
      </c>
      <c r="F58" s="75">
        <f t="shared" si="22"/>
        <v>4.493348999999999</v>
      </c>
      <c r="G58" s="75">
        <f t="shared" si="22"/>
        <v>4.396182</v>
      </c>
      <c r="H58" s="75">
        <f t="shared" si="22"/>
        <v>4.332236999999999</v>
      </c>
      <c r="I58" s="75">
        <f t="shared" si="22"/>
        <v>5.12442</v>
      </c>
      <c r="J58" s="75">
        <f t="shared" si="22"/>
        <v>4.4223479999999995</v>
      </c>
      <c r="K58" s="75">
        <f t="shared" si="22"/>
        <v>5.045815999999999</v>
      </c>
      <c r="L58" s="75">
        <f t="shared" si="22"/>
        <v>4.151443</v>
      </c>
      <c r="M58" s="75">
        <f t="shared" si="22"/>
        <v>4.5844911102354375</v>
      </c>
      <c r="N58" s="75">
        <f t="shared" si="22"/>
        <v>3.995919975191702</v>
      </c>
      <c r="P58" s="146"/>
    </row>
    <row r="59" spans="2:16" ht="12.75">
      <c r="B59" s="66" t="s">
        <v>51</v>
      </c>
      <c r="C59" s="75">
        <f aca="true" t="shared" si="23" ref="C59:N59">+C31*C45</f>
        <v>16.881504000000003</v>
      </c>
      <c r="D59" s="75">
        <f t="shared" si="23"/>
        <v>19.094520000000003</v>
      </c>
      <c r="E59" s="75">
        <f t="shared" si="23"/>
        <v>14.665044000000004</v>
      </c>
      <c r="F59" s="75">
        <f t="shared" si="23"/>
        <v>15.038963999999998</v>
      </c>
      <c r="G59" s="75">
        <f t="shared" si="23"/>
        <v>14.713752</v>
      </c>
      <c r="H59" s="75">
        <f t="shared" si="23"/>
        <v>14.499732</v>
      </c>
      <c r="I59" s="75">
        <f t="shared" si="23"/>
        <v>17.15112</v>
      </c>
      <c r="J59" s="75">
        <f t="shared" si="23"/>
        <v>14.801328</v>
      </c>
      <c r="K59" s="75">
        <f t="shared" si="23"/>
        <v>15.638687999999998</v>
      </c>
      <c r="L59" s="75">
        <f t="shared" si="23"/>
        <v>12.866724000000001</v>
      </c>
      <c r="M59" s="75">
        <f t="shared" si="23"/>
        <v>14.208886354901887</v>
      </c>
      <c r="N59" s="75">
        <f t="shared" si="23"/>
        <v>12.384705618474943</v>
      </c>
      <c r="P59" s="146"/>
    </row>
    <row r="60" spans="2:16" ht="12.75">
      <c r="B60" s="66" t="s">
        <v>52</v>
      </c>
      <c r="C60" s="96">
        <f aca="true" t="shared" si="24" ref="C60:N60">+C32*C46</f>
        <v>6.107536000000001</v>
      </c>
      <c r="D60" s="96">
        <f t="shared" si="24"/>
        <v>6.908180000000001</v>
      </c>
      <c r="E60" s="96">
        <f t="shared" si="24"/>
        <v>5.305646000000001</v>
      </c>
      <c r="F60" s="96">
        <f t="shared" si="24"/>
        <v>5.440925999999999</v>
      </c>
      <c r="G60" s="96">
        <f t="shared" si="24"/>
        <v>5.323268</v>
      </c>
      <c r="H60" s="96">
        <f t="shared" si="24"/>
        <v>5.245838</v>
      </c>
      <c r="I60" s="96">
        <f t="shared" si="24"/>
        <v>6.20508</v>
      </c>
      <c r="J60" s="96">
        <f t="shared" si="24"/>
        <v>5.354952</v>
      </c>
      <c r="K60" s="96">
        <f t="shared" si="24"/>
        <v>5.580471999999999</v>
      </c>
      <c r="L60" s="96">
        <f t="shared" si="24"/>
        <v>4.591331</v>
      </c>
      <c r="M60" s="96">
        <f t="shared" si="24"/>
        <v>5.070265002710716</v>
      </c>
      <c r="N60" s="96">
        <f t="shared" si="24"/>
        <v>4.419328714284862</v>
      </c>
      <c r="P60" s="146"/>
    </row>
    <row r="61" spans="2:16" ht="12.75">
      <c r="B61" s="66" t="s">
        <v>53</v>
      </c>
      <c r="C61" s="75">
        <f aca="true" t="shared" si="25" ref="C61:N61">+C33*C47</f>
        <v>0.6519280000000001</v>
      </c>
      <c r="D61" s="75">
        <f t="shared" si="25"/>
        <v>0.73739</v>
      </c>
      <c r="E61" s="75">
        <f t="shared" si="25"/>
        <v>0.5663330000000001</v>
      </c>
      <c r="F61" s="75">
        <f t="shared" si="25"/>
        <v>0.5807729999999999</v>
      </c>
      <c r="G61" s="75">
        <f t="shared" si="25"/>
        <v>0.568214</v>
      </c>
      <c r="H61" s="75">
        <f t="shared" si="25"/>
        <v>0.5599489999999999</v>
      </c>
      <c r="I61" s="75">
        <f t="shared" si="25"/>
        <v>0.6623399999999999</v>
      </c>
      <c r="J61" s="75">
        <f t="shared" si="25"/>
        <v>0.571596</v>
      </c>
      <c r="K61" s="75">
        <f t="shared" si="25"/>
        <v>0.33415999999999996</v>
      </c>
      <c r="L61" s="75">
        <f t="shared" si="25"/>
        <v>0.27493</v>
      </c>
      <c r="M61" s="75">
        <f t="shared" si="25"/>
        <v>0.3036086827970489</v>
      </c>
      <c r="N61" s="75">
        <f t="shared" si="25"/>
        <v>0.26463046193322526</v>
      </c>
      <c r="P61" s="146"/>
    </row>
    <row r="62" spans="2:20" ht="12">
      <c r="B62" s="66" t="s">
        <v>46</v>
      </c>
      <c r="C62" s="75">
        <f aca="true" t="shared" si="26" ref="C62:N62">+C34*C48</f>
        <v>60.90380000000001</v>
      </c>
      <c r="D62" s="75">
        <f t="shared" si="26"/>
        <v>68.88775</v>
      </c>
      <c r="E62" s="75">
        <f>+E34*E48</f>
        <v>52.907425</v>
      </c>
      <c r="F62" s="75">
        <f t="shared" si="26"/>
        <v>54.25642499999999</v>
      </c>
      <c r="G62" s="75">
        <f t="shared" si="26"/>
        <v>53.083149999999996</v>
      </c>
      <c r="H62" s="75">
        <f t="shared" si="26"/>
        <v>52.311024999999994</v>
      </c>
      <c r="I62" s="75">
        <f t="shared" si="26"/>
        <v>61.87649999999999</v>
      </c>
      <c r="J62" s="75">
        <f t="shared" si="26"/>
        <v>53.39909999999999</v>
      </c>
      <c r="K62" s="75">
        <f t="shared" si="26"/>
        <v>53.13144</v>
      </c>
      <c r="L62" s="75">
        <f t="shared" si="26"/>
        <v>43.71387</v>
      </c>
      <c r="M62" s="75">
        <f t="shared" si="26"/>
        <v>48.27378056473077</v>
      </c>
      <c r="N62" s="75">
        <f t="shared" si="26"/>
        <v>42.076243447382815</v>
      </c>
      <c r="Q62" s="150"/>
      <c r="R62" s="103"/>
      <c r="S62" s="147"/>
      <c r="T62" s="147"/>
    </row>
    <row r="63" spans="2:20" ht="12">
      <c r="B63" s="66" t="s">
        <v>83</v>
      </c>
      <c r="C63" s="75">
        <f aca="true" t="shared" si="27" ref="C63:N63">+C35*C49</f>
        <v>0</v>
      </c>
      <c r="D63" s="75">
        <f t="shared" si="27"/>
        <v>0</v>
      </c>
      <c r="E63" s="75">
        <f t="shared" si="27"/>
        <v>0</v>
      </c>
      <c r="F63" s="75">
        <f t="shared" si="27"/>
        <v>0</v>
      </c>
      <c r="G63" s="75">
        <f t="shared" si="27"/>
        <v>0</v>
      </c>
      <c r="H63" s="75">
        <f t="shared" si="27"/>
        <v>0</v>
      </c>
      <c r="I63" s="75">
        <f t="shared" si="27"/>
        <v>0</v>
      </c>
      <c r="J63" s="75">
        <f t="shared" si="27"/>
        <v>0</v>
      </c>
      <c r="K63" s="75">
        <f t="shared" si="27"/>
        <v>0</v>
      </c>
      <c r="L63" s="75">
        <f t="shared" si="27"/>
        <v>0</v>
      </c>
      <c r="M63" s="75">
        <f t="shared" si="27"/>
        <v>0</v>
      </c>
      <c r="N63" s="75">
        <f t="shared" si="27"/>
        <v>0</v>
      </c>
      <c r="Q63" s="150"/>
      <c r="R63" s="103"/>
      <c r="S63" s="147"/>
      <c r="T63" s="147"/>
    </row>
    <row r="64" spans="2:20" ht="12">
      <c r="B64" s="66" t="s">
        <v>55</v>
      </c>
      <c r="C64" s="75">
        <f aca="true" t="shared" si="28" ref="C64:N64">+C36*C50</f>
        <v>50.40432800000001</v>
      </c>
      <c r="D64" s="75">
        <f t="shared" si="28"/>
        <v>57.01189</v>
      </c>
      <c r="E64" s="75">
        <f>+E36*E50</f>
        <v>43.78648300000001</v>
      </c>
      <c r="F64" s="75">
        <f t="shared" si="28"/>
        <v>44.902922999999994</v>
      </c>
      <c r="G64" s="75">
        <f t="shared" si="28"/>
        <v>43.931914</v>
      </c>
      <c r="H64" s="75">
        <f t="shared" si="28"/>
        <v>43.292899</v>
      </c>
      <c r="I64" s="75">
        <f t="shared" si="28"/>
        <v>51.20934</v>
      </c>
      <c r="J64" s="75">
        <f t="shared" si="28"/>
        <v>44.193396</v>
      </c>
      <c r="K64" s="75">
        <f t="shared" si="28"/>
        <v>56.60670399999999</v>
      </c>
      <c r="L64" s="75">
        <f t="shared" si="28"/>
        <v>46.573142</v>
      </c>
      <c r="M64" s="75">
        <f t="shared" si="28"/>
        <v>51.43131086582007</v>
      </c>
      <c r="N64" s="75">
        <f t="shared" si="28"/>
        <v>44.82840025148836</v>
      </c>
      <c r="Q64" s="150"/>
      <c r="R64" s="103"/>
      <c r="S64" s="147"/>
      <c r="T64" s="147"/>
    </row>
    <row r="65" spans="2:20" ht="12">
      <c r="B65" s="66" t="s">
        <v>56</v>
      </c>
      <c r="C65" s="90">
        <f aca="true" t="shared" si="29" ref="C65:L65">+C7-SUM(C55:C64)</f>
        <v>113.57272</v>
      </c>
      <c r="D65" s="90">
        <f t="shared" si="29"/>
        <v>128.4611</v>
      </c>
      <c r="E65" s="90">
        <f t="shared" si="29"/>
        <v>98.66117</v>
      </c>
      <c r="F65" s="90">
        <f t="shared" si="29"/>
        <v>101.17677</v>
      </c>
      <c r="G65" s="90">
        <f t="shared" si="29"/>
        <v>98.98886000000002</v>
      </c>
      <c r="H65" s="90">
        <f t="shared" si="29"/>
        <v>97.54900999999998</v>
      </c>
      <c r="I65" s="90">
        <f t="shared" si="29"/>
        <v>115.38659999999999</v>
      </c>
      <c r="J65" s="90">
        <f t="shared" si="29"/>
        <v>99.57803999999999</v>
      </c>
      <c r="K65" s="90">
        <f t="shared" si="29"/>
        <v>110.90770399999997</v>
      </c>
      <c r="L65" s="90">
        <f t="shared" si="29"/>
        <v>91.249267</v>
      </c>
      <c r="M65" s="90">
        <f>+M7-SUM(M55:M64)</f>
        <v>100.76772182034051</v>
      </c>
      <c r="N65" s="90">
        <f>+N7-SUM(N55:N64)</f>
        <v>87.83085031563746</v>
      </c>
      <c r="Q65" s="150"/>
      <c r="R65" s="103"/>
      <c r="S65" s="147"/>
      <c r="T65" s="147"/>
    </row>
    <row r="66" spans="3:20" ht="12">
      <c r="C66" s="75">
        <f aca="true" t="shared" si="30" ref="C66:N66">SUM(C55:C65)</f>
        <v>343.12000000000006</v>
      </c>
      <c r="D66" s="75">
        <f t="shared" si="30"/>
        <v>388.1</v>
      </c>
      <c r="E66" s="75">
        <f t="shared" si="30"/>
        <v>298.07000000000005</v>
      </c>
      <c r="F66" s="75">
        <f t="shared" si="30"/>
        <v>305.66999999999996</v>
      </c>
      <c r="G66" s="75">
        <f t="shared" si="30"/>
        <v>299.06</v>
      </c>
      <c r="H66" s="75">
        <f t="shared" si="30"/>
        <v>294.71</v>
      </c>
      <c r="I66" s="75">
        <f t="shared" si="30"/>
        <v>348.59999999999997</v>
      </c>
      <c r="J66" s="75">
        <f t="shared" si="30"/>
        <v>300.84</v>
      </c>
      <c r="K66" s="75">
        <f t="shared" si="30"/>
        <v>334.15999999999997</v>
      </c>
      <c r="L66" s="75">
        <f t="shared" si="30"/>
        <v>274.93</v>
      </c>
      <c r="M66" s="75">
        <f t="shared" si="30"/>
        <v>303.60868279704886</v>
      </c>
      <c r="N66" s="75">
        <f t="shared" si="30"/>
        <v>264.63046193322526</v>
      </c>
      <c r="Q66" s="150"/>
      <c r="R66" s="103"/>
      <c r="S66" s="147"/>
      <c r="T66" s="147"/>
    </row>
    <row r="67" spans="17:20" ht="7.5" customHeight="1">
      <c r="Q67" s="150"/>
      <c r="R67" s="103"/>
      <c r="S67" s="147"/>
      <c r="T67" s="147"/>
    </row>
    <row r="68" spans="1:20" ht="12">
      <c r="A68" s="97" t="s">
        <v>60</v>
      </c>
      <c r="Q68" s="150"/>
      <c r="R68" s="103"/>
      <c r="S68" s="147"/>
      <c r="T68" s="147"/>
    </row>
    <row r="69" spans="2:21" ht="12">
      <c r="B69" s="66" t="s">
        <v>23</v>
      </c>
      <c r="C69" s="151">
        <v>0</v>
      </c>
      <c r="D69" s="151">
        <v>0</v>
      </c>
      <c r="E69" s="151">
        <v>0</v>
      </c>
      <c r="F69" s="151">
        <v>0</v>
      </c>
      <c r="G69" s="152">
        <v>0</v>
      </c>
      <c r="H69" s="152">
        <v>0</v>
      </c>
      <c r="I69" s="151">
        <v>0</v>
      </c>
      <c r="J69" s="151">
        <v>0</v>
      </c>
      <c r="K69" s="151">
        <v>0</v>
      </c>
      <c r="L69" s="153">
        <v>0</v>
      </c>
      <c r="M69" s="153">
        <v>0</v>
      </c>
      <c r="N69" s="151">
        <v>0</v>
      </c>
      <c r="Q69" s="150"/>
      <c r="R69" s="103"/>
      <c r="S69" s="147"/>
      <c r="T69" s="147"/>
      <c r="U69" s="60"/>
    </row>
    <row r="70" spans="2:21" ht="12">
      <c r="B70" s="66" t="s">
        <v>27</v>
      </c>
      <c r="C70" s="151">
        <v>110.89600000000002</v>
      </c>
      <c r="D70" s="151">
        <v>113.68800000000002</v>
      </c>
      <c r="E70" s="151">
        <v>115.52000000000001</v>
      </c>
      <c r="F70" s="151">
        <v>104.128</v>
      </c>
      <c r="G70" s="152">
        <v>58.792</v>
      </c>
      <c r="H70" s="152">
        <v>32.480000000000004</v>
      </c>
      <c r="I70" s="151">
        <v>46.768</v>
      </c>
      <c r="J70" s="151">
        <v>44.368</v>
      </c>
      <c r="K70" s="151">
        <v>58.312000000000005</v>
      </c>
      <c r="L70" s="151">
        <v>77.82400000000001</v>
      </c>
      <c r="M70" s="151">
        <v>78.32000000000001</v>
      </c>
      <c r="N70" s="151">
        <v>75.304</v>
      </c>
      <c r="Q70" s="60"/>
      <c r="R70" s="103"/>
      <c r="S70" s="103"/>
      <c r="T70" s="147"/>
      <c r="U70" s="147"/>
    </row>
    <row r="71" spans="2:21" ht="12">
      <c r="B71" s="66" t="s">
        <v>49</v>
      </c>
      <c r="C71" s="151">
        <v>0</v>
      </c>
      <c r="D71" s="151">
        <v>0</v>
      </c>
      <c r="E71" s="151">
        <v>0</v>
      </c>
      <c r="F71" s="151">
        <v>0</v>
      </c>
      <c r="G71" s="152">
        <v>0</v>
      </c>
      <c r="H71" s="152">
        <v>0</v>
      </c>
      <c r="I71" s="151">
        <v>0</v>
      </c>
      <c r="J71" s="151">
        <v>0</v>
      </c>
      <c r="K71" s="151">
        <v>0</v>
      </c>
      <c r="L71" s="151">
        <v>0</v>
      </c>
      <c r="M71" s="151">
        <v>0</v>
      </c>
      <c r="N71" s="151">
        <v>0</v>
      </c>
      <c r="Q71" s="60"/>
      <c r="R71" s="103"/>
      <c r="S71" s="103"/>
      <c r="T71" s="147"/>
      <c r="U71" s="147"/>
    </row>
    <row r="72" spans="2:21" ht="12">
      <c r="B72" s="66" t="s">
        <v>50</v>
      </c>
      <c r="C72" s="151">
        <v>126.36</v>
      </c>
      <c r="D72" s="151">
        <v>109.67200000000001</v>
      </c>
      <c r="E72" s="151">
        <v>84.456</v>
      </c>
      <c r="F72" s="151">
        <v>77.504</v>
      </c>
      <c r="G72" s="152">
        <v>76.248</v>
      </c>
      <c r="H72" s="152">
        <v>49.784</v>
      </c>
      <c r="I72" s="151">
        <v>46.392</v>
      </c>
      <c r="J72" s="151">
        <v>67.54400000000001</v>
      </c>
      <c r="K72" s="151">
        <v>88.144</v>
      </c>
      <c r="L72" s="151">
        <v>94.00800000000001</v>
      </c>
      <c r="M72" s="151">
        <v>121.49600000000001</v>
      </c>
      <c r="N72" s="151">
        <v>103.128</v>
      </c>
      <c r="Q72" s="60"/>
      <c r="R72" s="103"/>
      <c r="T72" s="147"/>
      <c r="U72" s="147"/>
    </row>
    <row r="73" spans="2:21" ht="12">
      <c r="B73" s="66" t="s">
        <v>51</v>
      </c>
      <c r="C73" s="151">
        <v>360.25495934959355</v>
      </c>
      <c r="D73" s="151">
        <v>351.2541788617887</v>
      </c>
      <c r="E73" s="151">
        <v>184.48515447154472</v>
      </c>
      <c r="F73" s="151">
        <v>105.90801219512194</v>
      </c>
      <c r="G73" s="152">
        <v>44.66465853658537</v>
      </c>
      <c r="H73" s="152">
        <v>112.69443902439025</v>
      </c>
      <c r="I73" s="151">
        <v>101.97691056910571</v>
      </c>
      <c r="J73" s="151">
        <v>96.74898373983739</v>
      </c>
      <c r="K73" s="151">
        <v>102.48647435897436</v>
      </c>
      <c r="L73" s="151">
        <v>154.70989743589746</v>
      </c>
      <c r="M73" s="151">
        <v>129.56068376068376</v>
      </c>
      <c r="N73" s="151">
        <v>195.09063247863247</v>
      </c>
      <c r="Q73" s="103"/>
      <c r="R73" s="103"/>
      <c r="T73" s="147"/>
      <c r="U73" s="147"/>
    </row>
    <row r="74" spans="2:21" ht="12">
      <c r="B74" s="66" t="s">
        <v>52</v>
      </c>
      <c r="C74" s="151">
        <v>1590</v>
      </c>
      <c r="D74" s="151">
        <v>1425.584</v>
      </c>
      <c r="E74" s="151">
        <v>1222.3680000000002</v>
      </c>
      <c r="F74" s="151">
        <v>1225.72</v>
      </c>
      <c r="G74" s="152">
        <v>1131.44</v>
      </c>
      <c r="H74" s="152">
        <v>1033.976</v>
      </c>
      <c r="I74" s="151">
        <v>1135.9840000000002</v>
      </c>
      <c r="J74" s="151">
        <v>1183.9440000000002</v>
      </c>
      <c r="K74" s="151">
        <v>1268.2</v>
      </c>
      <c r="L74" s="151">
        <v>1309.928</v>
      </c>
      <c r="M74" s="151">
        <v>1203.952</v>
      </c>
      <c r="N74" s="151">
        <v>1209.096</v>
      </c>
      <c r="R74" s="150"/>
      <c r="S74" s="103"/>
      <c r="T74" s="147"/>
      <c r="U74" s="147"/>
    </row>
    <row r="75" spans="2:21" ht="12">
      <c r="B75" s="66" t="s">
        <v>53</v>
      </c>
      <c r="C75" s="151">
        <v>161.736</v>
      </c>
      <c r="D75" s="151">
        <v>135.256</v>
      </c>
      <c r="E75" s="151">
        <v>91.11200000000001</v>
      </c>
      <c r="F75" s="151">
        <v>85.296</v>
      </c>
      <c r="G75" s="152">
        <v>94.80000000000001</v>
      </c>
      <c r="H75" s="152">
        <v>92.536</v>
      </c>
      <c r="I75" s="151">
        <v>95.352</v>
      </c>
      <c r="J75" s="151">
        <v>63.632000000000005</v>
      </c>
      <c r="K75" s="151">
        <v>100.38400000000001</v>
      </c>
      <c r="L75" s="151">
        <v>119.89600000000002</v>
      </c>
      <c r="M75" s="151">
        <v>133.592</v>
      </c>
      <c r="N75" s="151">
        <v>118.456</v>
      </c>
      <c r="R75" s="150"/>
      <c r="S75" s="103"/>
      <c r="T75" s="147"/>
      <c r="U75" s="147"/>
    </row>
    <row r="76" spans="2:21" ht="12">
      <c r="B76" s="66" t="s">
        <v>46</v>
      </c>
      <c r="C76" s="151">
        <v>-51.33</v>
      </c>
      <c r="D76" s="151">
        <v>-53.77</v>
      </c>
      <c r="E76" s="151">
        <v>-60.37</v>
      </c>
      <c r="F76" s="151">
        <v>-58.38</v>
      </c>
      <c r="G76" s="152">
        <v>-60.06</v>
      </c>
      <c r="H76" s="152">
        <v>-58.19</v>
      </c>
      <c r="I76" s="151">
        <v>-48.54</v>
      </c>
      <c r="J76" s="151">
        <v>-63.4</v>
      </c>
      <c r="K76" s="151">
        <v>-59.42</v>
      </c>
      <c r="L76" s="151">
        <v>-53.45</v>
      </c>
      <c r="M76" s="151">
        <v>-53.69</v>
      </c>
      <c r="N76" s="151">
        <v>-75.95</v>
      </c>
      <c r="R76" s="150"/>
      <c r="S76" s="103"/>
      <c r="T76" s="147"/>
      <c r="U76" s="147"/>
    </row>
    <row r="77" spans="2:21" ht="12">
      <c r="B77" s="66" t="s">
        <v>83</v>
      </c>
      <c r="C77" s="153">
        <v>0</v>
      </c>
      <c r="D77" s="153">
        <v>0</v>
      </c>
      <c r="E77" s="153">
        <v>0</v>
      </c>
      <c r="F77" s="153">
        <v>0</v>
      </c>
      <c r="G77" s="154">
        <v>0</v>
      </c>
      <c r="H77" s="154">
        <v>0</v>
      </c>
      <c r="I77" s="153">
        <v>0</v>
      </c>
      <c r="J77" s="153">
        <v>0</v>
      </c>
      <c r="K77" s="153">
        <v>0</v>
      </c>
      <c r="L77" s="153">
        <v>0</v>
      </c>
      <c r="M77" s="153">
        <v>0</v>
      </c>
      <c r="N77" s="153">
        <v>0</v>
      </c>
      <c r="R77" s="150"/>
      <c r="S77" s="147"/>
      <c r="T77" s="147"/>
      <c r="U77" s="147"/>
    </row>
    <row r="78" spans="2:19" ht="12">
      <c r="B78" s="66" t="s">
        <v>55</v>
      </c>
      <c r="C78" s="153">
        <v>-167.21</v>
      </c>
      <c r="D78" s="153">
        <v>-167.01</v>
      </c>
      <c r="E78" s="153">
        <v>-168.26</v>
      </c>
      <c r="F78" s="153">
        <v>-161.52</v>
      </c>
      <c r="G78" s="154">
        <v>-161.47</v>
      </c>
      <c r="H78" s="154">
        <v>-165.46</v>
      </c>
      <c r="I78" s="153">
        <v>-165.46</v>
      </c>
      <c r="J78" s="153">
        <v>-159.46</v>
      </c>
      <c r="K78" s="153">
        <v>-159.65</v>
      </c>
      <c r="L78" s="153">
        <v>-160.04</v>
      </c>
      <c r="M78" s="153">
        <v>-160.04</v>
      </c>
      <c r="N78" s="153">
        <v>-173.66</v>
      </c>
      <c r="R78" s="150"/>
      <c r="S78" s="103"/>
    </row>
    <row r="79" spans="2:18" ht="12">
      <c r="B79" s="66" t="s">
        <v>56</v>
      </c>
      <c r="C79" s="151">
        <v>6.928000000000001</v>
      </c>
      <c r="D79" s="151">
        <v>6.840000000000001</v>
      </c>
      <c r="E79" s="151">
        <v>12.784</v>
      </c>
      <c r="F79" s="151">
        <v>-0.49</v>
      </c>
      <c r="G79" s="152">
        <v>-58.34</v>
      </c>
      <c r="H79" s="152">
        <v>-58.13</v>
      </c>
      <c r="I79" s="151">
        <v>-38.48</v>
      </c>
      <c r="J79" s="151">
        <v>-42.59</v>
      </c>
      <c r="K79" s="151">
        <v>-9.56</v>
      </c>
      <c r="L79" s="151">
        <v>3.4640000000000004</v>
      </c>
      <c r="M79" s="151">
        <v>11.032</v>
      </c>
      <c r="N79" s="153">
        <v>24.248</v>
      </c>
      <c r="O79" s="111">
        <f>SUM(C69:N79)</f>
        <v>17325.126984782153</v>
      </c>
      <c r="R79" s="150"/>
    </row>
    <row r="80" spans="3:18" ht="12">
      <c r="C80" s="111">
        <f>SUM(C69:C79)</f>
        <v>2137.6349593495934</v>
      </c>
      <c r="D80" s="111">
        <f aca="true" t="shared" si="31" ref="D80:N80">SUM(D69:D79)</f>
        <v>1921.5141788617889</v>
      </c>
      <c r="E80" s="111">
        <f t="shared" si="31"/>
        <v>1482.0951544715451</v>
      </c>
      <c r="F80" s="111">
        <f t="shared" si="31"/>
        <v>1378.166012195122</v>
      </c>
      <c r="G80" s="111">
        <f t="shared" si="31"/>
        <v>1126.0746585365855</v>
      </c>
      <c r="H80" s="111">
        <f t="shared" si="31"/>
        <v>1039.6904390243903</v>
      </c>
      <c r="I80" s="111">
        <f t="shared" si="31"/>
        <v>1173.992910569106</v>
      </c>
      <c r="J80" s="111">
        <f t="shared" si="31"/>
        <v>1190.7869837398375</v>
      </c>
      <c r="K80" s="111">
        <f t="shared" si="31"/>
        <v>1388.8964743589743</v>
      </c>
      <c r="L80" s="111">
        <f t="shared" si="31"/>
        <v>1546.3398974358975</v>
      </c>
      <c r="M80" s="111">
        <f t="shared" si="31"/>
        <v>1464.2226837606838</v>
      </c>
      <c r="N80" s="111">
        <f t="shared" si="31"/>
        <v>1475.7126324786323</v>
      </c>
      <c r="R80" s="150"/>
    </row>
    <row r="81" spans="1:18" ht="12">
      <c r="A81" s="83" t="s">
        <v>61</v>
      </c>
      <c r="R81" s="150"/>
    </row>
    <row r="82" spans="2:19" ht="9.75">
      <c r="B82" s="66" t="s">
        <v>23</v>
      </c>
      <c r="C82" s="98">
        <f aca="true" t="shared" si="32" ref="C82:N82">+C69*C55</f>
        <v>0</v>
      </c>
      <c r="D82" s="75">
        <f t="shared" si="32"/>
        <v>0</v>
      </c>
      <c r="E82" s="75">
        <f t="shared" si="32"/>
        <v>0</v>
      </c>
      <c r="F82" s="75">
        <f t="shared" si="32"/>
        <v>0</v>
      </c>
      <c r="G82" s="75">
        <f t="shared" si="32"/>
        <v>0</v>
      </c>
      <c r="H82" s="75">
        <f t="shared" si="32"/>
        <v>0</v>
      </c>
      <c r="I82" s="75">
        <f t="shared" si="32"/>
        <v>0</v>
      </c>
      <c r="J82" s="75">
        <f t="shared" si="32"/>
        <v>0</v>
      </c>
      <c r="K82" s="75">
        <f t="shared" si="32"/>
        <v>0</v>
      </c>
      <c r="L82" s="75">
        <f t="shared" si="32"/>
        <v>0</v>
      </c>
      <c r="M82" s="75">
        <f t="shared" si="32"/>
        <v>0</v>
      </c>
      <c r="N82" s="75">
        <f t="shared" si="32"/>
        <v>0</v>
      </c>
      <c r="P82" s="103"/>
      <c r="Q82" s="103"/>
      <c r="R82" s="103"/>
      <c r="S82" s="103"/>
    </row>
    <row r="83" spans="2:19" ht="12">
      <c r="B83" s="66" t="s">
        <v>27</v>
      </c>
      <c r="C83" s="98">
        <f aca="true" t="shared" si="33" ref="C83:M83">+C70*C56</f>
        <v>9931.215870720003</v>
      </c>
      <c r="D83" s="75">
        <f>D70*D56</f>
        <v>11515.923640800003</v>
      </c>
      <c r="E83" s="75">
        <f t="shared" si="33"/>
        <v>8987.025110400004</v>
      </c>
      <c r="F83" s="75">
        <f t="shared" si="33"/>
        <v>8307.318303359998</v>
      </c>
      <c r="G83" s="75">
        <f t="shared" si="33"/>
        <v>4588.98957072</v>
      </c>
      <c r="H83" s="75">
        <f t="shared" si="33"/>
        <v>2498.3391888</v>
      </c>
      <c r="I83" s="75">
        <f t="shared" si="33"/>
        <v>4255.1677728</v>
      </c>
      <c r="J83" s="75">
        <f t="shared" si="33"/>
        <v>3483.74164032</v>
      </c>
      <c r="K83" s="75">
        <f t="shared" si="33"/>
        <v>5068.188412992</v>
      </c>
      <c r="L83" s="75">
        <f t="shared" si="33"/>
        <v>5565.139218432001</v>
      </c>
      <c r="M83" s="75">
        <f t="shared" si="33"/>
        <v>6184.822192736532</v>
      </c>
      <c r="N83" s="75">
        <f>+N70*N56</f>
        <v>5183.203172639636</v>
      </c>
      <c r="P83" s="103"/>
      <c r="Q83" s="60"/>
      <c r="R83" s="147"/>
      <c r="S83" s="103"/>
    </row>
    <row r="84" spans="2:19" ht="12">
      <c r="B84" s="66" t="s">
        <v>49</v>
      </c>
      <c r="C84" s="98">
        <f aca="true" t="shared" si="34" ref="C84:N84">+C71*C57</f>
        <v>0</v>
      </c>
      <c r="D84" s="75">
        <f t="shared" si="34"/>
        <v>0</v>
      </c>
      <c r="E84" s="75">
        <f t="shared" si="34"/>
        <v>0</v>
      </c>
      <c r="F84" s="75">
        <f t="shared" si="34"/>
        <v>0</v>
      </c>
      <c r="G84" s="75">
        <f t="shared" si="34"/>
        <v>0</v>
      </c>
      <c r="H84" s="75">
        <f t="shared" si="34"/>
        <v>0</v>
      </c>
      <c r="I84" s="75"/>
      <c r="J84" s="75">
        <f t="shared" si="34"/>
        <v>0</v>
      </c>
      <c r="K84" s="75">
        <f t="shared" si="34"/>
        <v>0</v>
      </c>
      <c r="L84" s="75">
        <f t="shared" si="34"/>
        <v>0</v>
      </c>
      <c r="M84" s="75">
        <f t="shared" si="34"/>
        <v>0</v>
      </c>
      <c r="N84" s="75">
        <f t="shared" si="34"/>
        <v>0</v>
      </c>
      <c r="P84" s="103"/>
      <c r="Q84" s="60"/>
      <c r="R84" s="147"/>
      <c r="S84" s="103"/>
    </row>
    <row r="85" spans="2:19" ht="12">
      <c r="B85" s="66" t="s">
        <v>50</v>
      </c>
      <c r="C85" s="98">
        <f aca="true" t="shared" si="35" ref="C85:N85">+C72*C58</f>
        <v>637.3426550400002</v>
      </c>
      <c r="D85" s="75">
        <f>+D72*D58</f>
        <v>625.6864370400001</v>
      </c>
      <c r="E85" s="75">
        <f t="shared" si="35"/>
        <v>370.054858824</v>
      </c>
      <c r="F85" s="75">
        <f t="shared" si="35"/>
        <v>348.25252089599996</v>
      </c>
      <c r="G85" s="75">
        <f t="shared" si="35"/>
        <v>335.200085136</v>
      </c>
      <c r="H85" s="75">
        <f t="shared" si="35"/>
        <v>215.67608680799995</v>
      </c>
      <c r="I85" s="75">
        <f t="shared" si="35"/>
        <v>237.73209264</v>
      </c>
      <c r="J85" s="75">
        <f t="shared" si="35"/>
        <v>298.703073312</v>
      </c>
      <c r="K85" s="75">
        <f t="shared" si="35"/>
        <v>444.758405504</v>
      </c>
      <c r="L85" s="75">
        <f t="shared" si="35"/>
        <v>390.2688535440001</v>
      </c>
      <c r="M85" s="75">
        <f t="shared" si="35"/>
        <v>556.9973319291647</v>
      </c>
      <c r="N85" s="75">
        <f t="shared" si="35"/>
        <v>412.0912352015698</v>
      </c>
      <c r="P85" s="103"/>
      <c r="Q85" s="60"/>
      <c r="R85" s="147"/>
      <c r="S85" s="103"/>
    </row>
    <row r="86" spans="2:19" ht="12">
      <c r="B86" s="66" t="s">
        <v>51</v>
      </c>
      <c r="C86" s="98">
        <f aca="true" t="shared" si="36" ref="C86:M86">+C73*C59</f>
        <v>6081.645537280002</v>
      </c>
      <c r="D86" s="75">
        <f t="shared" si="36"/>
        <v>6707.029943360003</v>
      </c>
      <c r="E86" s="75">
        <f t="shared" si="36"/>
        <v>2705.4829076720007</v>
      </c>
      <c r="F86" s="75">
        <f t="shared" si="36"/>
        <v>1592.7467827139997</v>
      </c>
      <c r="G86" s="75">
        <f t="shared" si="36"/>
        <v>657.1847088720001</v>
      </c>
      <c r="H86" s="75">
        <f t="shared" si="36"/>
        <v>1634.039163744</v>
      </c>
      <c r="I86" s="75">
        <f t="shared" si="36"/>
        <v>1749.0182304000002</v>
      </c>
      <c r="J86" s="75">
        <f t="shared" si="36"/>
        <v>1432.0134419999997</v>
      </c>
      <c r="K86" s="75">
        <f t="shared" si="36"/>
        <v>1602.7539967199998</v>
      </c>
      <c r="L86" s="75">
        <f t="shared" si="36"/>
        <v>1990.6095503760005</v>
      </c>
      <c r="M86" s="75">
        <f t="shared" si="36"/>
        <v>1840.913031618938</v>
      </c>
      <c r="N86" s="75">
        <f>+N73*N59</f>
        <v>2416.1400521699497</v>
      </c>
      <c r="P86" s="103"/>
      <c r="Q86" s="60"/>
      <c r="R86" s="147"/>
      <c r="S86" s="103"/>
    </row>
    <row r="87" spans="2:19" ht="12">
      <c r="B87" s="66" t="s">
        <v>52</v>
      </c>
      <c r="C87" s="98">
        <f aca="true" t="shared" si="37" ref="C87:N87">+C74*C60</f>
        <v>9710.982240000003</v>
      </c>
      <c r="D87" s="75">
        <f t="shared" si="37"/>
        <v>9848.190877120001</v>
      </c>
      <c r="E87" s="75">
        <f t="shared" si="37"/>
        <v>6485.451889728002</v>
      </c>
      <c r="F87" s="75">
        <f t="shared" si="37"/>
        <v>6669.051816719999</v>
      </c>
      <c r="G87" s="75">
        <f t="shared" si="37"/>
        <v>6022.95834592</v>
      </c>
      <c r="H87" s="75">
        <f t="shared" si="37"/>
        <v>5424.070591888</v>
      </c>
      <c r="I87" s="75">
        <f t="shared" si="37"/>
        <v>7048.87159872</v>
      </c>
      <c r="J87" s="75">
        <f>+J74*J60</f>
        <v>6339.963290688001</v>
      </c>
      <c r="K87" s="75">
        <f t="shared" si="37"/>
        <v>7077.1545903999995</v>
      </c>
      <c r="L87" s="75">
        <f t="shared" si="37"/>
        <v>6014.313034168001</v>
      </c>
      <c r="M87" s="75">
        <f t="shared" si="37"/>
        <v>6104.355690543572</v>
      </c>
      <c r="N87" s="75">
        <f t="shared" si="37"/>
        <v>5343.392671126969</v>
      </c>
      <c r="P87" s="103"/>
      <c r="Q87" s="60"/>
      <c r="R87" s="147"/>
      <c r="S87" s="103"/>
    </row>
    <row r="88" spans="2:19" ht="12">
      <c r="B88" s="66" t="s">
        <v>53</v>
      </c>
      <c r="C88" s="98">
        <f aca="true" t="shared" si="38" ref="C88:N88">+C75*C61</f>
        <v>105.44022700800001</v>
      </c>
      <c r="D88" s="75">
        <f t="shared" si="38"/>
        <v>99.73642184</v>
      </c>
      <c r="E88" s="75">
        <f t="shared" si="38"/>
        <v>51.59973229600001</v>
      </c>
      <c r="F88" s="75">
        <f t="shared" si="38"/>
        <v>49.537613807999996</v>
      </c>
      <c r="G88" s="75">
        <f t="shared" si="38"/>
        <v>53.86668720000001</v>
      </c>
      <c r="H88" s="75">
        <f t="shared" si="38"/>
        <v>51.81544066399999</v>
      </c>
      <c r="I88" s="75">
        <f t="shared" si="38"/>
        <v>63.15544368</v>
      </c>
      <c r="J88" s="75">
        <f t="shared" si="38"/>
        <v>36.371796672</v>
      </c>
      <c r="K88" s="75">
        <f t="shared" si="38"/>
        <v>33.54431744</v>
      </c>
      <c r="L88" s="75">
        <f t="shared" si="38"/>
        <v>32.96300728000001</v>
      </c>
      <c r="M88" s="75">
        <f t="shared" si="38"/>
        <v>40.55969115222336</v>
      </c>
      <c r="N88" s="75">
        <f t="shared" si="38"/>
        <v>31.347065998762133</v>
      </c>
      <c r="P88" s="103"/>
      <c r="Q88" s="60"/>
      <c r="R88" s="147"/>
      <c r="S88" s="103"/>
    </row>
    <row r="89" spans="2:19" ht="12">
      <c r="B89" s="66" t="s">
        <v>46</v>
      </c>
      <c r="C89" s="98">
        <f aca="true" t="shared" si="39" ref="C89:N89">+C76*C62</f>
        <v>-3126.1920540000006</v>
      </c>
      <c r="D89" s="75">
        <f t="shared" si="39"/>
        <v>-3704.0943175</v>
      </c>
      <c r="E89" s="75">
        <f t="shared" si="39"/>
        <v>-3194.02124725</v>
      </c>
      <c r="F89" s="75">
        <f t="shared" si="39"/>
        <v>-3167.4900915</v>
      </c>
      <c r="G89" s="75">
        <f t="shared" si="39"/>
        <v>-3188.173989</v>
      </c>
      <c r="H89" s="75">
        <f t="shared" si="39"/>
        <v>-3043.9785447499994</v>
      </c>
      <c r="I89" s="75">
        <f t="shared" si="39"/>
        <v>-3003.4853099999996</v>
      </c>
      <c r="J89" s="75">
        <f t="shared" si="39"/>
        <v>-3385.5029399999994</v>
      </c>
      <c r="K89" s="75">
        <f t="shared" si="39"/>
        <v>-3157.0701648</v>
      </c>
      <c r="L89" s="75">
        <f t="shared" si="39"/>
        <v>-2336.5063515</v>
      </c>
      <c r="M89" s="75">
        <f t="shared" si="39"/>
        <v>-2591.819278520395</v>
      </c>
      <c r="N89" s="75">
        <f t="shared" si="39"/>
        <v>-3195.6906898287248</v>
      </c>
      <c r="P89" s="103"/>
      <c r="Q89" s="60"/>
      <c r="R89" s="147"/>
      <c r="S89" s="103"/>
    </row>
    <row r="90" spans="2:19" ht="12">
      <c r="B90" s="66" t="s">
        <v>54</v>
      </c>
      <c r="C90" s="98">
        <f aca="true" t="shared" si="40" ref="C90:N90">+C77*C63</f>
        <v>0</v>
      </c>
      <c r="D90" s="75">
        <f t="shared" si="40"/>
        <v>0</v>
      </c>
      <c r="E90" s="75">
        <f t="shared" si="40"/>
        <v>0</v>
      </c>
      <c r="F90" s="75">
        <f t="shared" si="40"/>
        <v>0</v>
      </c>
      <c r="G90" s="75">
        <f t="shared" si="40"/>
        <v>0</v>
      </c>
      <c r="H90" s="75">
        <f t="shared" si="40"/>
        <v>0</v>
      </c>
      <c r="I90" s="75">
        <f t="shared" si="40"/>
        <v>0</v>
      </c>
      <c r="J90" s="75">
        <f t="shared" si="40"/>
        <v>0</v>
      </c>
      <c r="K90" s="75">
        <f t="shared" si="40"/>
        <v>0</v>
      </c>
      <c r="L90" s="75">
        <f t="shared" si="40"/>
        <v>0</v>
      </c>
      <c r="M90" s="75">
        <f t="shared" si="40"/>
        <v>0</v>
      </c>
      <c r="N90" s="75">
        <f t="shared" si="40"/>
        <v>0</v>
      </c>
      <c r="P90" s="103"/>
      <c r="Q90" s="60"/>
      <c r="R90" s="147"/>
      <c r="S90" s="103"/>
    </row>
    <row r="91" spans="2:19" ht="9.75">
      <c r="B91" s="66" t="s">
        <v>55</v>
      </c>
      <c r="C91" s="98">
        <f aca="true" t="shared" si="41" ref="C91:J91">+C78*C64</f>
        <v>-8428.107684880002</v>
      </c>
      <c r="D91" s="75">
        <f t="shared" si="41"/>
        <v>-9521.5557489</v>
      </c>
      <c r="E91" s="75">
        <f t="shared" si="41"/>
        <v>-7367.513629580001</v>
      </c>
      <c r="F91" s="75">
        <f t="shared" si="41"/>
        <v>-7252.72012296</v>
      </c>
      <c r="G91" s="75">
        <f t="shared" si="41"/>
        <v>-7093.68615358</v>
      </c>
      <c r="H91" s="75">
        <f t="shared" si="41"/>
        <v>-7163.24306854</v>
      </c>
      <c r="I91" s="75">
        <f t="shared" si="41"/>
        <v>-8473.0973964</v>
      </c>
      <c r="J91" s="75">
        <f t="shared" si="41"/>
        <v>-7047.07892616</v>
      </c>
      <c r="K91" s="75">
        <f aca="true" t="shared" si="42" ref="K91:N92">+K78*K64</f>
        <v>-9037.260293599998</v>
      </c>
      <c r="L91" s="75">
        <f t="shared" si="42"/>
        <v>-7453.565645679999</v>
      </c>
      <c r="M91" s="75">
        <f t="shared" si="42"/>
        <v>-8231.066990965845</v>
      </c>
      <c r="N91" s="75">
        <f t="shared" si="42"/>
        <v>-7784.899987673469</v>
      </c>
      <c r="P91" s="103"/>
      <c r="Q91" s="103"/>
      <c r="R91" s="103"/>
      <c r="S91" s="103"/>
    </row>
    <row r="92" spans="2:14" ht="9.75">
      <c r="B92" s="66" t="s">
        <v>56</v>
      </c>
      <c r="C92" s="99">
        <f aca="true" t="shared" si="43" ref="C92:J92">+C79*C65</f>
        <v>786.8318041600002</v>
      </c>
      <c r="D92" s="90">
        <f t="shared" si="43"/>
        <v>878.673924</v>
      </c>
      <c r="E92" s="90">
        <f t="shared" si="43"/>
        <v>1261.2843972800001</v>
      </c>
      <c r="F92" s="90">
        <f t="shared" si="43"/>
        <v>-49.5766173</v>
      </c>
      <c r="G92" s="90">
        <f t="shared" si="43"/>
        <v>-5775.010092400002</v>
      </c>
      <c r="H92" s="90">
        <f t="shared" si="43"/>
        <v>-5670.523951299999</v>
      </c>
      <c r="I92" s="90">
        <f t="shared" si="43"/>
        <v>-4440.076367999999</v>
      </c>
      <c r="J92" s="90">
        <f t="shared" si="43"/>
        <v>-4241.0287235999995</v>
      </c>
      <c r="K92" s="90">
        <f t="shared" si="42"/>
        <v>-1060.2776502399997</v>
      </c>
      <c r="L92" s="90">
        <f t="shared" si="42"/>
        <v>316.08746088800007</v>
      </c>
      <c r="M92" s="90">
        <f t="shared" si="42"/>
        <v>1111.6695071219965</v>
      </c>
      <c r="N92" s="75">
        <f t="shared" si="42"/>
        <v>2129.7224584535775</v>
      </c>
    </row>
    <row r="93" spans="1:15" ht="10.5">
      <c r="A93" s="83" t="s">
        <v>62</v>
      </c>
      <c r="B93" s="83"/>
      <c r="C93" s="100">
        <f aca="true" t="shared" si="44" ref="C93:J93">SUM(C82:C92)</f>
        <v>15699.158595328003</v>
      </c>
      <c r="D93" s="101">
        <f t="shared" si="44"/>
        <v>16449.591177760012</v>
      </c>
      <c r="E93" s="101">
        <f t="shared" si="44"/>
        <v>9299.364019370005</v>
      </c>
      <c r="F93" s="101">
        <f t="shared" si="44"/>
        <v>6497.120205737997</v>
      </c>
      <c r="G93" s="101">
        <f t="shared" si="44"/>
        <v>-4398.670837132002</v>
      </c>
      <c r="H93" s="101">
        <f t="shared" si="44"/>
        <v>-6053.805092685998</v>
      </c>
      <c r="I93" s="101">
        <f t="shared" si="44"/>
        <v>-2562.7139361599993</v>
      </c>
      <c r="J93" s="101">
        <f t="shared" si="44"/>
        <v>-3082.817346767998</v>
      </c>
      <c r="K93" s="101">
        <f>SUM(K82:K92)</f>
        <v>971.7916144160022</v>
      </c>
      <c r="L93" s="101">
        <f>SUM(L82:L92)</f>
        <v>4519.309127508004</v>
      </c>
      <c r="M93" s="101">
        <f>SUM(M82:M92)</f>
        <v>5016.431175616186</v>
      </c>
      <c r="N93" s="110">
        <f>SUM(N82:N92)</f>
        <v>4535.30597808827</v>
      </c>
      <c r="O93" s="111">
        <f>SUM(C93:N93)/2</f>
        <v>23445.032340539234</v>
      </c>
    </row>
    <row r="94" spans="1:14" ht="10.5">
      <c r="A94" s="83" t="s">
        <v>63</v>
      </c>
      <c r="B94" s="83"/>
      <c r="C94" s="100">
        <f>+C93/C66</f>
        <v>45.7541344</v>
      </c>
      <c r="D94" s="101">
        <f aca="true" t="shared" si="45" ref="D94:J94">+D93/D66</f>
        <v>42.38492960000003</v>
      </c>
      <c r="E94" s="101">
        <f>+E93/E66</f>
        <v>31.19859100000001</v>
      </c>
      <c r="F94" s="101">
        <f t="shared" si="45"/>
        <v>21.255341399999992</v>
      </c>
      <c r="G94" s="101">
        <f t="shared" si="45"/>
        <v>-14.708322200000007</v>
      </c>
      <c r="H94" s="101">
        <f t="shared" si="45"/>
        <v>-20.541566599999992</v>
      </c>
      <c r="I94" s="101">
        <f t="shared" si="45"/>
        <v>-7.351445599999999</v>
      </c>
      <c r="J94" s="101">
        <f t="shared" si="45"/>
        <v>-10.247365199999994</v>
      </c>
      <c r="K94" s="101">
        <f>+K93/K66</f>
        <v>2.908162600000007</v>
      </c>
      <c r="L94" s="101">
        <f>+L93/L66</f>
        <v>16.438035600000013</v>
      </c>
      <c r="M94" s="101">
        <f>+M93/M66</f>
        <v>16.5226868</v>
      </c>
      <c r="N94" s="75">
        <f>+N93/N66</f>
        <v>17.138261199999995</v>
      </c>
    </row>
    <row r="95" ht="7.5" customHeight="1"/>
    <row r="96" spans="1:14" ht="10.5">
      <c r="A96" s="83"/>
      <c r="C96" s="111">
        <v>39.83</v>
      </c>
      <c r="D96" s="111">
        <v>57.16</v>
      </c>
      <c r="E96" s="111">
        <v>62.92</v>
      </c>
      <c r="F96" s="111">
        <v>69.34</v>
      </c>
      <c r="G96" s="111">
        <v>69.72</v>
      </c>
      <c r="H96" s="111">
        <v>67.24</v>
      </c>
      <c r="I96" s="111">
        <v>46.98</v>
      </c>
      <c r="J96" s="111">
        <v>29.91</v>
      </c>
      <c r="K96" s="111">
        <v>18.45</v>
      </c>
      <c r="L96" s="111">
        <v>27.54</v>
      </c>
      <c r="M96" s="111">
        <v>32.53</v>
      </c>
      <c r="N96" s="111">
        <v>41.6</v>
      </c>
    </row>
    <row r="97" spans="3:14" ht="9.75">
      <c r="C97" s="98">
        <f>C94-C96</f>
        <v>5.9241344</v>
      </c>
      <c r="D97" s="98">
        <f aca="true" t="shared" si="46" ref="D97:N97">D94-D96</f>
        <v>-14.775070399999969</v>
      </c>
      <c r="E97" s="98">
        <f t="shared" si="46"/>
        <v>-31.72140899999999</v>
      </c>
      <c r="F97" s="98">
        <f t="shared" si="46"/>
        <v>-48.08465860000001</v>
      </c>
      <c r="G97" s="98">
        <f t="shared" si="46"/>
        <v>-84.42832220000001</v>
      </c>
      <c r="H97" s="98">
        <f t="shared" si="46"/>
        <v>-87.78156659999999</v>
      </c>
      <c r="I97" s="98">
        <f t="shared" si="46"/>
        <v>-54.331445599999995</v>
      </c>
      <c r="J97" s="98">
        <f t="shared" si="46"/>
        <v>-40.157365199999994</v>
      </c>
      <c r="K97" s="98">
        <f t="shared" si="46"/>
        <v>-15.541837399999991</v>
      </c>
      <c r="L97" s="98">
        <f t="shared" si="46"/>
        <v>-11.101964399999986</v>
      </c>
      <c r="M97" s="98">
        <f t="shared" si="46"/>
        <v>-16.007313200000002</v>
      </c>
      <c r="N97" s="98">
        <f t="shared" si="46"/>
        <v>-24.461738800000006</v>
      </c>
    </row>
    <row r="98" spans="1:10" ht="10.5">
      <c r="A98" s="83"/>
      <c r="B98" s="83"/>
      <c r="C98" s="100"/>
      <c r="D98" s="100"/>
      <c r="E98" s="100"/>
      <c r="F98" s="100"/>
      <c r="G98" s="100"/>
      <c r="H98" s="100"/>
      <c r="I98" s="100"/>
      <c r="J98" s="104"/>
    </row>
    <row r="99" spans="3:10" ht="10.5" customHeight="1">
      <c r="C99" s="160"/>
      <c r="D99" s="161"/>
      <c r="E99" s="103"/>
      <c r="F99" s="103"/>
      <c r="G99" s="103"/>
      <c r="H99" s="103"/>
      <c r="I99" s="103"/>
      <c r="J99" s="103"/>
    </row>
    <row r="100" spans="1:10" ht="10.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0.5">
      <c r="A102" s="83"/>
      <c r="C102" s="102"/>
      <c r="E102" s="102"/>
      <c r="F102" s="102"/>
      <c r="G102" s="102"/>
      <c r="H102" s="102"/>
      <c r="I102" s="102"/>
      <c r="J102" s="105"/>
    </row>
    <row r="105" ht="9.75">
      <c r="B105" s="66" t="str">
        <f ca="1">CELL("filename")</f>
        <v>X:\Division\Accounting II\WUTC Filings\Commodity Credits\Filing June 2023\Bellevue\To Upload\[EastSide Single Family Commodity Credit Template - June 2023.xls]WUTC_AW of Bellevue_SF</v>
      </c>
    </row>
    <row r="107" spans="3:4" ht="9.75">
      <c r="C107" s="111"/>
      <c r="D107" s="102"/>
    </row>
    <row r="108" spans="3:5" ht="9.75">
      <c r="C108" s="111"/>
      <c r="D108" s="143"/>
      <c r="E108" s="91"/>
    </row>
    <row r="109" spans="3:5" ht="9.75">
      <c r="C109" s="111"/>
      <c r="D109" s="159"/>
      <c r="E109" s="91"/>
    </row>
    <row r="110" spans="3:5" ht="9.75">
      <c r="C110" s="111"/>
      <c r="D110" s="143"/>
      <c r="E110" s="91"/>
    </row>
    <row r="111" spans="3:5" ht="9.75">
      <c r="C111" s="111"/>
      <c r="D111" s="159"/>
      <c r="E111" s="91"/>
    </row>
    <row r="112" spans="3:5" ht="9.75">
      <c r="C112" s="111"/>
      <c r="D112" s="143"/>
      <c r="E112" s="91"/>
    </row>
    <row r="113" spans="3:5" ht="9.75">
      <c r="C113" s="111"/>
      <c r="D113" s="159"/>
      <c r="E113" s="91"/>
    </row>
    <row r="114" spans="3:5" ht="9.75">
      <c r="C114" s="111"/>
      <c r="D114" s="143"/>
      <c r="E114" s="91"/>
    </row>
    <row r="115" spans="3:5" ht="9.75">
      <c r="C115" s="111"/>
      <c r="D115" s="159"/>
      <c r="E115" s="91"/>
    </row>
    <row r="116" spans="3:5" ht="9.75">
      <c r="C116" s="111"/>
      <c r="D116" s="143"/>
      <c r="E116" s="91"/>
    </row>
    <row r="117" spans="3:5" ht="9.75">
      <c r="C117" s="111"/>
      <c r="D117" s="159"/>
      <c r="E117" s="91"/>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F33"/>
  <sheetViews>
    <sheetView showGridLines="0" zoomScalePageLayoutView="0" workbookViewId="0" topLeftCell="A1">
      <selection activeCell="A7" sqref="A7:A9"/>
    </sheetView>
  </sheetViews>
  <sheetFormatPr defaultColWidth="9.140625" defaultRowHeight="12.75"/>
  <cols>
    <col min="1" max="1" width="28.00390625" style="0" customWidth="1"/>
    <col min="2" max="2" width="12.8515625" style="0" bestFit="1" customWidth="1"/>
    <col min="3" max="3" width="11.8515625" style="0" bestFit="1" customWidth="1"/>
    <col min="4" max="4" width="12.8515625" style="0" bestFit="1" customWidth="1"/>
    <col min="5" max="5" width="11.140625" style="0" bestFit="1" customWidth="1"/>
    <col min="6" max="6" width="10.7109375" style="0" bestFit="1" customWidth="1"/>
  </cols>
  <sheetData>
    <row r="3" ht="12.75" thickBot="1"/>
    <row r="4" spans="1:4" ht="13.5" thickBot="1">
      <c r="A4" s="165" t="s">
        <v>100</v>
      </c>
      <c r="B4" s="166"/>
      <c r="C4" s="167">
        <f>Recap!D16</f>
        <v>54848.35950000002</v>
      </c>
      <c r="D4" s="174"/>
    </row>
    <row r="5" spans="3:4" ht="12">
      <c r="C5" s="162"/>
      <c r="D5" s="162"/>
    </row>
    <row r="6" spans="1:6" ht="12.75">
      <c r="A6" s="168" t="s">
        <v>89</v>
      </c>
      <c r="E6" s="168" t="s">
        <v>90</v>
      </c>
      <c r="F6" s="168" t="s">
        <v>91</v>
      </c>
    </row>
    <row r="7" spans="1:6" ht="12">
      <c r="A7" s="239" t="s">
        <v>97</v>
      </c>
      <c r="B7" s="60"/>
      <c r="C7" s="238">
        <f>$C$4*(D12/$D$15)</f>
        <v>18408.78949129434</v>
      </c>
      <c r="D7" s="238"/>
      <c r="E7" s="170">
        <f>C7*E12</f>
        <v>16847.53000426382</v>
      </c>
      <c r="F7" s="169">
        <f>C7*F12</f>
        <v>1561.2594870305222</v>
      </c>
    </row>
    <row r="8" spans="1:6" ht="12">
      <c r="A8" s="164" t="s">
        <v>98</v>
      </c>
      <c r="C8" s="238">
        <f>$C$4*(D13/$D$15)</f>
        <v>30035.863476102055</v>
      </c>
      <c r="D8" s="162"/>
      <c r="E8" s="170">
        <f>C8*E13</f>
        <v>29741.89040681421</v>
      </c>
      <c r="F8" s="169">
        <f>C8*F13</f>
        <v>293.973069287843</v>
      </c>
    </row>
    <row r="9" spans="1:6" ht="12">
      <c r="A9" s="164" t="s">
        <v>99</v>
      </c>
      <c r="C9" s="238">
        <f>$C$4*(D14/$D$15)</f>
        <v>6403.706532603625</v>
      </c>
      <c r="D9" s="162"/>
      <c r="E9" s="170">
        <f>C9*E14</f>
        <v>6056.19192919375</v>
      </c>
      <c r="F9" s="169">
        <f>C9*F14</f>
        <v>347.5146034098752</v>
      </c>
    </row>
    <row r="11" spans="1:6" ht="12">
      <c r="A11" t="s">
        <v>92</v>
      </c>
      <c r="B11" t="s">
        <v>93</v>
      </c>
      <c r="C11" t="s">
        <v>94</v>
      </c>
      <c r="D11" t="s">
        <v>29</v>
      </c>
      <c r="E11" t="s">
        <v>95</v>
      </c>
      <c r="F11" t="s">
        <v>96</v>
      </c>
    </row>
    <row r="12" spans="1:6" ht="12">
      <c r="A12">
        <v>4172</v>
      </c>
      <c r="B12" s="240">
        <f>Recap!Q5</f>
        <v>120427.03539764727</v>
      </c>
      <c r="C12" s="240">
        <f>Recap!Q6</f>
        <v>11159.965375455824</v>
      </c>
      <c r="D12" s="240">
        <f>B12+C12</f>
        <v>131587.0007731031</v>
      </c>
      <c r="E12" s="241">
        <f>B12/$D$12</f>
        <v>0.9151894540502593</v>
      </c>
      <c r="F12" s="241">
        <f>C12/$D$12</f>
        <v>0.08481054594974069</v>
      </c>
    </row>
    <row r="13" spans="1:6" ht="12">
      <c r="A13">
        <v>4176</v>
      </c>
      <c r="B13" s="242">
        <f>Recap!Q8</f>
        <v>212596.60543165007</v>
      </c>
      <c r="C13" s="242">
        <f>Recap!Q9</f>
        <v>2101.3350450850876</v>
      </c>
      <c r="D13" s="240">
        <f>B13+C13</f>
        <v>214697.94047673515</v>
      </c>
      <c r="E13" s="241">
        <f>B13/$D$13</f>
        <v>0.9902125980322909</v>
      </c>
      <c r="F13" s="241">
        <f>C13/$D$13</f>
        <v>0.009787401967709095</v>
      </c>
    </row>
    <row r="14" spans="1:6" ht="12">
      <c r="A14">
        <v>4183</v>
      </c>
      <c r="B14" s="242">
        <f>Recap!Q11</f>
        <v>43289.980172012205</v>
      </c>
      <c r="C14" s="242">
        <f>Recap!Q12</f>
        <v>2484.052762360348</v>
      </c>
      <c r="D14" s="240">
        <f>B14+C14</f>
        <v>45774.03293437255</v>
      </c>
      <c r="E14" s="241">
        <f>B14/$D$14</f>
        <v>0.9457322721394944</v>
      </c>
      <c r="F14" s="241">
        <f>C14/$D$14</f>
        <v>0.05426772786050555</v>
      </c>
    </row>
    <row r="15" spans="4:6" ht="12">
      <c r="D15" s="175">
        <f>SUM(D12:D14)</f>
        <v>392058.97418421076</v>
      </c>
      <c r="E15" s="163"/>
      <c r="F15" s="163"/>
    </row>
    <row r="20" spans="1:5" ht="12">
      <c r="A20" s="164" t="s">
        <v>101</v>
      </c>
      <c r="E20" s="162">
        <f>E7</f>
        <v>16847.53000426382</v>
      </c>
    </row>
    <row r="22" spans="1:5" ht="12">
      <c r="A22" s="164" t="s">
        <v>20</v>
      </c>
      <c r="E22" s="171">
        <f>'WUTC_AW of Bellevue_SF'!B26</f>
        <v>135407</v>
      </c>
    </row>
    <row r="24" spans="1:5" ht="12">
      <c r="A24" s="164" t="s">
        <v>102</v>
      </c>
      <c r="E24" s="243">
        <f>E20/E22</f>
        <v>0.12442141103682837</v>
      </c>
    </row>
    <row r="30" ht="12">
      <c r="B30" s="163">
        <f>D12/$D$15</f>
        <v>0.3356306306899541</v>
      </c>
    </row>
    <row r="31" ht="12">
      <c r="B31" s="163">
        <f>D13/$D$15</f>
        <v>0.547616441948497</v>
      </c>
    </row>
    <row r="32" ht="12">
      <c r="B32" s="163">
        <f>D14/$D$15</f>
        <v>0.11675292736154895</v>
      </c>
    </row>
    <row r="33" ht="12">
      <c r="B33" s="1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S42"/>
  <sheetViews>
    <sheetView zoomScalePageLayoutView="0" workbookViewId="0" topLeftCell="A1">
      <selection activeCell="I40" sqref="I40"/>
    </sheetView>
  </sheetViews>
  <sheetFormatPr defaultColWidth="9.140625" defaultRowHeight="12.75"/>
  <cols>
    <col min="1" max="1" width="20.28125" style="0" customWidth="1"/>
    <col min="2" max="3" width="12.57421875" style="0" bestFit="1" customWidth="1"/>
    <col min="4" max="4" width="25.8515625" style="0" customWidth="1"/>
    <col min="5" max="5" width="13.421875" style="177" customWidth="1"/>
    <col min="9" max="9" width="34.57421875" style="0" bestFit="1" customWidth="1"/>
    <col min="10" max="10" width="12.8515625" style="0" bestFit="1" customWidth="1"/>
    <col min="12" max="12" width="18.421875" style="0" bestFit="1" customWidth="1"/>
    <col min="14" max="14" width="24.8515625" style="0" bestFit="1" customWidth="1"/>
    <col min="17" max="17" width="19.421875" style="173" bestFit="1" customWidth="1"/>
    <col min="19" max="19" width="11.8515625" style="0" bestFit="1" customWidth="1"/>
  </cols>
  <sheetData>
    <row r="1" spans="1:19" ht="12.75">
      <c r="A1" s="176" t="s">
        <v>145</v>
      </c>
      <c r="B1" s="176"/>
      <c r="C1" s="176"/>
      <c r="H1" t="s">
        <v>132</v>
      </c>
      <c r="Q1" s="173" t="s">
        <v>133</v>
      </c>
      <c r="S1" t="s">
        <v>135</v>
      </c>
    </row>
    <row r="2" spans="1:15" ht="15.75">
      <c r="A2" s="176" t="s">
        <v>106</v>
      </c>
      <c r="B2" s="178">
        <v>44317</v>
      </c>
      <c r="C2" s="179">
        <v>45046</v>
      </c>
      <c r="H2" t="s">
        <v>29</v>
      </c>
      <c r="I2" s="208" t="str">
        <f>"Revenue Retained "</f>
        <v>Revenue Retained </v>
      </c>
      <c r="J2" s="209"/>
      <c r="K2" s="210"/>
      <c r="L2" s="209"/>
      <c r="M2" s="210"/>
      <c r="N2" s="210"/>
      <c r="O2" s="211"/>
    </row>
    <row r="3" spans="9:15" ht="12.75">
      <c r="I3" s="212" t="s">
        <v>142</v>
      </c>
      <c r="J3" s="213"/>
      <c r="K3" s="214"/>
      <c r="L3" s="213"/>
      <c r="M3" s="214"/>
      <c r="N3" s="214"/>
      <c r="O3" s="215"/>
    </row>
    <row r="4" spans="2:19" ht="13.5" thickBot="1">
      <c r="B4" s="258" t="s">
        <v>107</v>
      </c>
      <c r="C4" s="258"/>
      <c r="D4" s="259"/>
      <c r="I4" s="164"/>
      <c r="J4" s="216" t="s">
        <v>29</v>
      </c>
      <c r="K4" s="164"/>
      <c r="L4" s="217" t="s">
        <v>121</v>
      </c>
      <c r="M4" s="164"/>
      <c r="N4" s="218" t="s">
        <v>122</v>
      </c>
      <c r="O4" s="164"/>
      <c r="Q4" s="173" t="s">
        <v>134</v>
      </c>
      <c r="S4" t="s">
        <v>135</v>
      </c>
    </row>
    <row r="5" spans="2:19" ht="12.75">
      <c r="B5" s="180" t="s">
        <v>143</v>
      </c>
      <c r="C5" s="180" t="s">
        <v>144</v>
      </c>
      <c r="D5" s="180" t="s">
        <v>29</v>
      </c>
      <c r="F5" s="181"/>
      <c r="G5" s="181"/>
      <c r="I5" t="s">
        <v>123</v>
      </c>
      <c r="J5" s="219">
        <f>L5*2</f>
        <v>240971.11771789554</v>
      </c>
      <c r="K5" s="164"/>
      <c r="L5" s="220">
        <f>L19+L33</f>
        <v>120485.55885894777</v>
      </c>
      <c r="M5" s="164"/>
      <c r="N5" s="220">
        <f>L5</f>
        <v>120485.55885894777</v>
      </c>
      <c r="O5" s="164"/>
      <c r="Q5" s="173">
        <f>Q19+Q33</f>
        <v>120427.03539764727</v>
      </c>
      <c r="S5" s="175">
        <f>L5-Q5</f>
        <v>58.52346130050137</v>
      </c>
    </row>
    <row r="6" spans="1:19" ht="12.75">
      <c r="A6" s="180" t="s">
        <v>108</v>
      </c>
      <c r="B6" s="182">
        <v>215.88</v>
      </c>
      <c r="C6" s="182">
        <v>291096.45999999996</v>
      </c>
      <c r="D6" s="182">
        <v>291312.33999999997</v>
      </c>
      <c r="E6" s="183"/>
      <c r="F6" s="176"/>
      <c r="G6" s="176"/>
      <c r="I6" t="s">
        <v>124</v>
      </c>
      <c r="J6" s="219">
        <f>L6*2</f>
        <v>22321.130706713335</v>
      </c>
      <c r="K6" s="164"/>
      <c r="L6" s="220">
        <f>L20+L34</f>
        <v>11160.565353356667</v>
      </c>
      <c r="M6" s="164"/>
      <c r="N6" s="220">
        <f aca="true" t="shared" si="0" ref="N6:N12">L6</f>
        <v>11160.565353356667</v>
      </c>
      <c r="O6" s="164"/>
      <c r="Q6" s="173">
        <f aca="true" t="shared" si="1" ref="Q6:Q12">Q20+Q34</f>
        <v>11159.965375455824</v>
      </c>
      <c r="S6" s="175">
        <f aca="true" t="shared" si="2" ref="S6:S14">L6-Q6</f>
        <v>0.5999779008434416</v>
      </c>
    </row>
    <row r="7" spans="1:19" ht="12.75">
      <c r="A7" s="180" t="s">
        <v>109</v>
      </c>
      <c r="B7" s="182">
        <v>11000</v>
      </c>
      <c r="C7" s="182">
        <v>0</v>
      </c>
      <c r="D7" s="182">
        <v>11000</v>
      </c>
      <c r="E7" s="183"/>
      <c r="F7" s="176"/>
      <c r="G7" s="176"/>
      <c r="I7" s="164"/>
      <c r="J7" s="219"/>
      <c r="K7" s="164"/>
      <c r="L7" s="220"/>
      <c r="M7" s="164"/>
      <c r="N7" s="220"/>
      <c r="O7" s="164"/>
      <c r="S7" s="175">
        <f t="shared" si="2"/>
        <v>0</v>
      </c>
    </row>
    <row r="8" spans="1:19" ht="12.75">
      <c r="A8" s="180" t="s">
        <v>110</v>
      </c>
      <c r="B8" s="182">
        <v>20957.53666666667</v>
      </c>
      <c r="C8" s="182">
        <v>0</v>
      </c>
      <c r="D8" s="182">
        <v>20957.53666666667</v>
      </c>
      <c r="I8" t="s">
        <v>125</v>
      </c>
      <c r="J8" s="219">
        <f>L8*2</f>
        <v>425234.400137912</v>
      </c>
      <c r="K8" s="164"/>
      <c r="L8" s="220">
        <f>L22+L36</f>
        <v>212617.200068956</v>
      </c>
      <c r="M8" s="164"/>
      <c r="N8" s="220">
        <f t="shared" si="0"/>
        <v>212617.200068956</v>
      </c>
      <c r="O8" s="164"/>
      <c r="Q8" s="173">
        <f t="shared" si="1"/>
        <v>212596.60543165007</v>
      </c>
      <c r="S8" s="175">
        <f t="shared" si="2"/>
        <v>20.594637305941433</v>
      </c>
    </row>
    <row r="9" spans="1:19" ht="12.75">
      <c r="A9" s="180" t="s">
        <v>29</v>
      </c>
      <c r="B9" s="226">
        <f>SUM(B6:B8)</f>
        <v>32173.41666666667</v>
      </c>
      <c r="C9" s="226">
        <f>SUM(C6:C8)</f>
        <v>291096.45999999996</v>
      </c>
      <c r="D9" s="226">
        <f>SUM(D6:D8)</f>
        <v>323269.87666666665</v>
      </c>
      <c r="I9" t="s">
        <v>126</v>
      </c>
      <c r="J9" s="219">
        <f>L9*2</f>
        <v>4202.8216025560005</v>
      </c>
      <c r="K9" s="164"/>
      <c r="L9" s="220">
        <f>L23+L37</f>
        <v>2101.4108012780002</v>
      </c>
      <c r="M9" s="164"/>
      <c r="N9" s="220">
        <f t="shared" si="0"/>
        <v>2101.4108012780002</v>
      </c>
      <c r="O9" s="164"/>
      <c r="Q9" s="173">
        <f t="shared" si="1"/>
        <v>2101.3350450850876</v>
      </c>
      <c r="S9" s="175">
        <f t="shared" si="2"/>
        <v>0.07575619291264957</v>
      </c>
    </row>
    <row r="10" spans="1:19" ht="12.75">
      <c r="A10" s="184" t="s">
        <v>111</v>
      </c>
      <c r="B10" s="175">
        <f>0.05*B9</f>
        <v>1608.6708333333336</v>
      </c>
      <c r="C10" s="175">
        <f>0.05*C9</f>
        <v>14554.822999999999</v>
      </c>
      <c r="D10" s="175">
        <f>D9+B10+C10</f>
        <v>339433.37049999996</v>
      </c>
      <c r="F10" s="185"/>
      <c r="G10" s="185"/>
      <c r="I10" s="164"/>
      <c r="J10" s="219"/>
      <c r="K10" s="164"/>
      <c r="L10" s="220"/>
      <c r="M10" s="164"/>
      <c r="N10" s="220"/>
      <c r="O10" s="164"/>
      <c r="S10" s="175">
        <f t="shared" si="2"/>
        <v>0</v>
      </c>
    </row>
    <row r="11" spans="2:19" ht="12.75">
      <c r="B11" s="258" t="s">
        <v>112</v>
      </c>
      <c r="C11" s="258"/>
      <c r="D11" s="259"/>
      <c r="I11" t="s">
        <v>127</v>
      </c>
      <c r="J11" s="219">
        <f>L11*2</f>
        <v>86586.094514972</v>
      </c>
      <c r="K11" s="164"/>
      <c r="L11" s="220">
        <f>L25+L39</f>
        <v>43293.047257486</v>
      </c>
      <c r="M11" s="164"/>
      <c r="N11" s="220">
        <f t="shared" si="0"/>
        <v>43293.047257486</v>
      </c>
      <c r="O11" s="164"/>
      <c r="Q11" s="173">
        <f t="shared" si="1"/>
        <v>43289.980172012205</v>
      </c>
      <c r="S11" s="175">
        <f t="shared" si="2"/>
        <v>3.0670854737982154</v>
      </c>
    </row>
    <row r="12" spans="2:19" ht="12.75">
      <c r="B12" s="180" t="s">
        <v>143</v>
      </c>
      <c r="C12" s="180" t="s">
        <v>146</v>
      </c>
      <c r="D12" s="180" t="s">
        <v>29</v>
      </c>
      <c r="I12" t="s">
        <v>128</v>
      </c>
      <c r="J12" s="219">
        <f>L12*2</f>
        <v>4968.557509214372</v>
      </c>
      <c r="K12" s="164"/>
      <c r="L12" s="220">
        <f>L26+L40</f>
        <v>2484.278754607186</v>
      </c>
      <c r="M12" s="164"/>
      <c r="N12" s="220">
        <f t="shared" si="0"/>
        <v>2484.278754607186</v>
      </c>
      <c r="O12" s="164"/>
      <c r="Q12" s="173">
        <f t="shared" si="1"/>
        <v>2484.052762360348</v>
      </c>
      <c r="S12" s="175">
        <f t="shared" si="2"/>
        <v>0.22599224683790453</v>
      </c>
    </row>
    <row r="13" spans="2:19" ht="12.75">
      <c r="B13" s="182">
        <v>314616.17</v>
      </c>
      <c r="C13" s="182">
        <v>79665.56000000001</v>
      </c>
      <c r="D13" s="182">
        <v>394281.73</v>
      </c>
      <c r="I13" s="164"/>
      <c r="J13" s="219"/>
      <c r="K13" s="164"/>
      <c r="M13" s="164"/>
      <c r="N13" s="220"/>
      <c r="O13" s="164"/>
      <c r="S13" s="175">
        <f t="shared" si="2"/>
        <v>0</v>
      </c>
    </row>
    <row r="14" spans="9:19" ht="13.5" thickBot="1">
      <c r="I14" s="222" t="s">
        <v>129</v>
      </c>
      <c r="J14" s="223">
        <f>SUM(J5,J6,J8,J9,J11,J12)</f>
        <v>784284.1221892633</v>
      </c>
      <c r="K14" s="164"/>
      <c r="L14" s="223">
        <f>SUM(L5:L12)</f>
        <v>392142.0610946317</v>
      </c>
      <c r="M14" s="224"/>
      <c r="N14" s="225">
        <f>L14</f>
        <v>392142.0610946317</v>
      </c>
      <c r="O14" s="164"/>
      <c r="Q14" s="223">
        <f>SUM(Q5:Q12)</f>
        <v>392058.9741842108</v>
      </c>
      <c r="S14" s="223">
        <f t="shared" si="2"/>
        <v>83.08691042085411</v>
      </c>
    </row>
    <row r="15" spans="2:4" ht="12.75">
      <c r="B15" s="260" t="s">
        <v>113</v>
      </c>
      <c r="C15" s="260"/>
      <c r="D15" s="260"/>
    </row>
    <row r="16" spans="2:15" ht="15.75">
      <c r="B16" s="186"/>
      <c r="C16" s="186"/>
      <c r="D16" s="257">
        <f>+D13-D10</f>
        <v>54848.35950000002</v>
      </c>
      <c r="H16" t="s">
        <v>130</v>
      </c>
      <c r="I16" s="208" t="str">
        <f>"Revenue Retained "</f>
        <v>Revenue Retained </v>
      </c>
      <c r="J16" s="209"/>
      <c r="K16" s="210"/>
      <c r="L16" s="209"/>
      <c r="M16" s="210"/>
      <c r="N16" s="210"/>
      <c r="O16" s="211"/>
    </row>
    <row r="17" spans="9:15" ht="12.75">
      <c r="I17" s="212" t="s">
        <v>143</v>
      </c>
      <c r="J17" s="213"/>
      <c r="K17" s="214"/>
      <c r="L17" s="213"/>
      <c r="M17" s="214"/>
      <c r="N17" s="214"/>
      <c r="O17" s="215"/>
    </row>
    <row r="18" spans="1:19" ht="15.75" thickBot="1">
      <c r="A18" s="187"/>
      <c r="B18" s="261" t="s">
        <v>114</v>
      </c>
      <c r="C18" s="262"/>
      <c r="D18" s="263"/>
      <c r="I18" s="164"/>
      <c r="J18" s="216" t="s">
        <v>29</v>
      </c>
      <c r="K18" s="164"/>
      <c r="L18" s="217" t="s">
        <v>121</v>
      </c>
      <c r="M18" s="164"/>
      <c r="N18" s="218" t="s">
        <v>122</v>
      </c>
      <c r="O18" s="164"/>
      <c r="Q18" s="173" t="s">
        <v>134</v>
      </c>
      <c r="S18" t="s">
        <v>135</v>
      </c>
    </row>
    <row r="19" spans="1:19" ht="15">
      <c r="A19" s="187"/>
      <c r="B19" s="188" t="s">
        <v>143</v>
      </c>
      <c r="C19" s="189" t="s">
        <v>144</v>
      </c>
      <c r="D19" s="190" t="s">
        <v>29</v>
      </c>
      <c r="I19" t="s">
        <v>123</v>
      </c>
      <c r="J19" s="219">
        <f>L19*2</f>
        <v>193977.4</v>
      </c>
      <c r="K19" s="164"/>
      <c r="L19" s="236">
        <v>96988.7</v>
      </c>
      <c r="M19" s="164"/>
      <c r="N19" s="220">
        <f>L19</f>
        <v>96988.7</v>
      </c>
      <c r="O19" s="164"/>
      <c r="Q19" s="237">
        <v>96982.00305710803</v>
      </c>
      <c r="S19" s="175">
        <f>L19-Q19</f>
        <v>6.696942891969229</v>
      </c>
    </row>
    <row r="20" spans="1:19" ht="12.75">
      <c r="A20" s="255">
        <v>4172</v>
      </c>
      <c r="B20" s="191">
        <v>720.8001333333334</v>
      </c>
      <c r="C20" s="191">
        <v>0</v>
      </c>
      <c r="D20" s="191">
        <v>720.8001333333334</v>
      </c>
      <c r="I20" t="s">
        <v>124</v>
      </c>
      <c r="J20" s="219">
        <f>L20*2</f>
        <v>17375.44</v>
      </c>
      <c r="K20" s="164"/>
      <c r="L20" s="236">
        <v>8687.72</v>
      </c>
      <c r="M20" s="164"/>
      <c r="N20" s="220">
        <f aca="true" t="shared" si="3" ref="N20:N26">L20</f>
        <v>8687.72</v>
      </c>
      <c r="O20" s="164"/>
      <c r="Q20" s="237">
        <v>8687.058656771002</v>
      </c>
      <c r="S20" s="175">
        <f aca="true" t="shared" si="4" ref="S20:S28">L20-Q20</f>
        <v>0.6613432289977936</v>
      </c>
    </row>
    <row r="21" spans="1:19" ht="12.75">
      <c r="A21" s="189">
        <v>4176</v>
      </c>
      <c r="B21" s="191">
        <v>10723.1296</v>
      </c>
      <c r="C21" s="191">
        <v>0</v>
      </c>
      <c r="D21" s="191">
        <v>10723.1296</v>
      </c>
      <c r="I21" s="164"/>
      <c r="J21" s="219"/>
      <c r="K21" s="164"/>
      <c r="L21" s="220"/>
      <c r="M21" s="164"/>
      <c r="N21" s="220"/>
      <c r="O21" s="164"/>
      <c r="S21" s="175">
        <f t="shared" si="4"/>
        <v>0</v>
      </c>
    </row>
    <row r="22" spans="1:19" ht="12.75">
      <c r="A22" s="255">
        <v>4183</v>
      </c>
      <c r="B22" s="191">
        <v>7099.820266666669</v>
      </c>
      <c r="C22" s="191">
        <v>0</v>
      </c>
      <c r="D22" s="191">
        <v>7099.820266666669</v>
      </c>
      <c r="I22" t="s">
        <v>125</v>
      </c>
      <c r="J22" s="219">
        <f>L22*2</f>
        <v>341028.22</v>
      </c>
      <c r="K22" s="164"/>
      <c r="L22" s="236">
        <v>170514.11</v>
      </c>
      <c r="M22" s="164"/>
      <c r="N22" s="220">
        <f t="shared" si="3"/>
        <v>170514.11</v>
      </c>
      <c r="O22" s="164"/>
      <c r="Q22" s="237">
        <v>170494.83</v>
      </c>
      <c r="S22" s="175">
        <f t="shared" si="4"/>
        <v>19.279999999998836</v>
      </c>
    </row>
    <row r="23" spans="1:19" ht="15">
      <c r="A23" s="187"/>
      <c r="B23" s="227">
        <v>18543.750000000004</v>
      </c>
      <c r="C23" s="228">
        <v>0</v>
      </c>
      <c r="D23" s="229">
        <v>18543.750000000004</v>
      </c>
      <c r="I23" t="s">
        <v>126</v>
      </c>
      <c r="J23" s="219">
        <f>L23*2</f>
        <v>3476.92</v>
      </c>
      <c r="K23" s="164"/>
      <c r="L23" s="236">
        <v>1738.46</v>
      </c>
      <c r="M23" s="164"/>
      <c r="N23" s="220">
        <f t="shared" si="3"/>
        <v>1738.46</v>
      </c>
      <c r="O23" s="164"/>
      <c r="Q23" s="237">
        <v>1738.33</v>
      </c>
      <c r="S23" s="175">
        <f t="shared" si="4"/>
        <v>0.13000000000010914</v>
      </c>
    </row>
    <row r="24" spans="9:19" ht="12.75">
      <c r="I24" s="164"/>
      <c r="J24" s="219"/>
      <c r="K24" s="164"/>
      <c r="L24" s="220"/>
      <c r="M24" s="164"/>
      <c r="N24" s="220"/>
      <c r="O24" s="164"/>
      <c r="S24" s="175">
        <f t="shared" si="4"/>
        <v>0</v>
      </c>
    </row>
    <row r="25" spans="9:19" ht="12.75">
      <c r="I25" t="s">
        <v>127</v>
      </c>
      <c r="J25" s="219">
        <f>L25*2</f>
        <v>69572.4</v>
      </c>
      <c r="K25" s="164"/>
      <c r="L25" s="236">
        <v>34786.2</v>
      </c>
      <c r="M25" s="164"/>
      <c r="N25" s="220">
        <f t="shared" si="3"/>
        <v>34786.2</v>
      </c>
      <c r="O25" s="164"/>
      <c r="Q25" s="237">
        <v>34783.4</v>
      </c>
      <c r="S25" s="175">
        <f t="shared" si="4"/>
        <v>2.7999999999956344</v>
      </c>
    </row>
    <row r="26" spans="9:19" ht="12.75">
      <c r="I26" t="s">
        <v>128</v>
      </c>
      <c r="J26" s="219">
        <f>L26*2</f>
        <v>3801.96</v>
      </c>
      <c r="K26" s="164"/>
      <c r="L26" s="236">
        <v>1900.98</v>
      </c>
      <c r="M26" s="164"/>
      <c r="N26" s="220">
        <f t="shared" si="3"/>
        <v>1900.98</v>
      </c>
      <c r="O26" s="164"/>
      <c r="Q26" s="237">
        <v>1900.79</v>
      </c>
      <c r="S26" s="175">
        <f t="shared" si="4"/>
        <v>0.19000000000005457</v>
      </c>
    </row>
    <row r="27" spans="1:19" ht="12.75">
      <c r="A27" s="192" t="s">
        <v>115</v>
      </c>
      <c r="B27" s="193"/>
      <c r="C27" s="194"/>
      <c r="D27" s="195" t="s">
        <v>152</v>
      </c>
      <c r="E27" s="196"/>
      <c r="I27" s="164"/>
      <c r="J27" s="219"/>
      <c r="K27" s="164"/>
      <c r="M27" s="164"/>
      <c r="N27" s="221"/>
      <c r="O27" s="164"/>
      <c r="S27" s="175">
        <f t="shared" si="4"/>
        <v>0</v>
      </c>
    </row>
    <row r="28" spans="1:19" ht="15.75" thickBot="1">
      <c r="A28" s="197" t="s">
        <v>116</v>
      </c>
      <c r="B28" s="230">
        <v>25</v>
      </c>
      <c r="D28" s="254" t="s">
        <v>116</v>
      </c>
      <c r="E28" s="231">
        <v>1</v>
      </c>
      <c r="I28" s="222" t="s">
        <v>129</v>
      </c>
      <c r="J28" s="223">
        <f>SUM(J19,J20,J22,J23,J25,J26)</f>
        <v>629232.34</v>
      </c>
      <c r="K28" s="164"/>
      <c r="L28" s="223">
        <f>SUM(L19:L26)</f>
        <v>314616.17</v>
      </c>
      <c r="M28" s="224"/>
      <c r="N28" s="225">
        <f>L28</f>
        <v>314616.17</v>
      </c>
      <c r="O28" s="164"/>
      <c r="Q28" s="223">
        <f>SUM(Q19:Q26)</f>
        <v>314586.41171387903</v>
      </c>
      <c r="S28" s="223">
        <f t="shared" si="4"/>
        <v>29.758286120952107</v>
      </c>
    </row>
    <row r="29" spans="1:5" ht="12.75">
      <c r="A29" s="198" t="s">
        <v>117</v>
      </c>
      <c r="B29" s="199">
        <f>SUM('[3]Single Family'!E18+'[3]Single Family'!L18+'[3]Single Family'!S18)+('[3]Multi Family'!E18+'[3]Multi Family'!L18+'[3]Multi Family'!S18)</f>
        <v>1118.7524999999998</v>
      </c>
      <c r="D29" s="254" t="s">
        <v>117</v>
      </c>
      <c r="E29" s="200">
        <f>'[3]Single Family'!E35+'[3]Single Family'!L35+'[3]Single Family'!S35+'[3]Multi Family'!E36+'[3]Multi Family'!L36+'[3]Multi Family'!S36</f>
        <v>1065.1952058245224</v>
      </c>
    </row>
    <row r="30" spans="1:15" ht="15.75">
      <c r="A30" s="197" t="s">
        <v>118</v>
      </c>
      <c r="B30" s="201">
        <v>0</v>
      </c>
      <c r="D30" s="254" t="s">
        <v>118</v>
      </c>
      <c r="E30" s="202">
        <v>1</v>
      </c>
      <c r="H30" t="s">
        <v>131</v>
      </c>
      <c r="I30" s="208" t="str">
        <f>"Revenue Retained "</f>
        <v>Revenue Retained </v>
      </c>
      <c r="J30" s="209"/>
      <c r="K30" s="210"/>
      <c r="L30" s="209"/>
      <c r="M30" s="210"/>
      <c r="N30" s="210"/>
      <c r="O30" s="211"/>
    </row>
    <row r="31" spans="1:15" ht="12.75">
      <c r="A31" s="203" t="s">
        <v>147</v>
      </c>
      <c r="B31" s="232">
        <f>B13+((B29*B28)*B30)</f>
        <v>314616.17</v>
      </c>
      <c r="D31" s="254" t="s">
        <v>119</v>
      </c>
      <c r="E31" s="233">
        <f>C13+((E28*E29)*E30)</f>
        <v>80730.75520582453</v>
      </c>
      <c r="I31" s="212" t="s">
        <v>144</v>
      </c>
      <c r="J31" s="213"/>
      <c r="K31" s="214"/>
      <c r="L31" s="213"/>
      <c r="M31" s="214"/>
      <c r="N31" s="214"/>
      <c r="O31" s="215"/>
    </row>
    <row r="32" spans="1:19" ht="15.75" thickBot="1">
      <c r="A32" s="204" t="s">
        <v>148</v>
      </c>
      <c r="B32" s="175">
        <f>B7+(((B6+B8+B9+B10)/7)*12)</f>
        <v>105209.43571428573</v>
      </c>
      <c r="D32" s="205" t="s">
        <v>153</v>
      </c>
      <c r="E32" s="206">
        <f>C9+C10</f>
        <v>305651.28299999994</v>
      </c>
      <c r="I32" s="164"/>
      <c r="J32" s="216" t="s">
        <v>29</v>
      </c>
      <c r="K32" s="164"/>
      <c r="L32" s="217" t="s">
        <v>121</v>
      </c>
      <c r="M32" s="164"/>
      <c r="N32" s="218" t="s">
        <v>122</v>
      </c>
      <c r="O32" s="164"/>
      <c r="Q32" s="173" t="s">
        <v>134</v>
      </c>
      <c r="S32" t="s">
        <v>135</v>
      </c>
    </row>
    <row r="33" spans="1:19" ht="25.5">
      <c r="A33" s="253" t="s">
        <v>154</v>
      </c>
      <c r="B33" s="175">
        <f>B31-B32</f>
        <v>209406.73428571425</v>
      </c>
      <c r="D33" s="207" t="s">
        <v>120</v>
      </c>
      <c r="E33" s="234">
        <f>B36</f>
        <v>280834.08249999996</v>
      </c>
      <c r="I33" t="s">
        <v>123</v>
      </c>
      <c r="J33" s="219">
        <f>L33*2</f>
        <v>46993.71771789554</v>
      </c>
      <c r="K33" s="164"/>
      <c r="L33" s="236">
        <v>23496.85885894777</v>
      </c>
      <c r="M33" s="164"/>
      <c r="N33" s="220">
        <f>L33</f>
        <v>23496.85885894777</v>
      </c>
      <c r="O33" s="164"/>
      <c r="Q33" s="237">
        <v>23445.03234053924</v>
      </c>
      <c r="S33" s="175">
        <f>L33-Q33</f>
        <v>51.8265184085285</v>
      </c>
    </row>
    <row r="34" spans="1:19" ht="14.25">
      <c r="A34" s="177"/>
      <c r="D34" s="207"/>
      <c r="E34" s="234"/>
      <c r="I34" t="s">
        <v>124</v>
      </c>
      <c r="J34" s="219">
        <f>L34*2</f>
        <v>4945.690706713336</v>
      </c>
      <c r="K34" s="164"/>
      <c r="L34" s="236">
        <v>2472.845353356668</v>
      </c>
      <c r="M34" s="164"/>
      <c r="N34" s="220">
        <f aca="true" t="shared" si="5" ref="N34:N40">L34</f>
        <v>2472.845353356668</v>
      </c>
      <c r="O34" s="164"/>
      <c r="Q34" s="237">
        <v>2472.906718684822</v>
      </c>
      <c r="S34" s="175">
        <f aca="true" t="shared" si="6" ref="S34:S42">L34-Q34</f>
        <v>-0.06136532815389728</v>
      </c>
    </row>
    <row r="35" spans="1:19" ht="14.25">
      <c r="A35" s="204" t="s">
        <v>155</v>
      </c>
      <c r="B35" s="175">
        <f>SUM(B9:B10)</f>
        <v>33782.08750000001</v>
      </c>
      <c r="D35" s="207"/>
      <c r="E35" s="234"/>
      <c r="I35" s="164"/>
      <c r="J35" s="219"/>
      <c r="K35" s="164"/>
      <c r="L35" s="220"/>
      <c r="M35" s="164"/>
      <c r="N35" s="220"/>
      <c r="O35" s="164"/>
      <c r="S35" s="175">
        <f t="shared" si="6"/>
        <v>0</v>
      </c>
    </row>
    <row r="36" spans="1:19" ht="12">
      <c r="A36" s="253" t="s">
        <v>156</v>
      </c>
      <c r="B36" s="175">
        <f>B13-B35</f>
        <v>280834.08249999996</v>
      </c>
      <c r="D36" s="181" t="s">
        <v>157</v>
      </c>
      <c r="E36" s="235">
        <f>(E33+E31)-E32</f>
        <v>55913.55470582459</v>
      </c>
      <c r="I36" t="s">
        <v>125</v>
      </c>
      <c r="J36" s="219">
        <f>L36*2</f>
        <v>84206.18013791202</v>
      </c>
      <c r="K36" s="164"/>
      <c r="L36" s="236">
        <v>42103.09006895601</v>
      </c>
      <c r="M36" s="164"/>
      <c r="N36" s="220">
        <f t="shared" si="5"/>
        <v>42103.09006895601</v>
      </c>
      <c r="O36" s="164"/>
      <c r="Q36" s="237">
        <v>42101.775431650065</v>
      </c>
      <c r="S36" s="175">
        <f t="shared" si="6"/>
        <v>1.3146373059425969</v>
      </c>
    </row>
    <row r="37" spans="4:19" ht="12">
      <c r="D37" s="181"/>
      <c r="E37" s="235"/>
      <c r="I37" t="s">
        <v>126</v>
      </c>
      <c r="J37" s="219">
        <f>L37*2</f>
        <v>725.9016025560003</v>
      </c>
      <c r="K37" s="164"/>
      <c r="L37" s="236">
        <v>362.95080127800014</v>
      </c>
      <c r="M37" s="164"/>
      <c r="N37" s="220">
        <f t="shared" si="5"/>
        <v>362.95080127800014</v>
      </c>
      <c r="O37" s="164"/>
      <c r="Q37" s="237">
        <v>363.00504508508754</v>
      </c>
      <c r="S37" s="175">
        <f t="shared" si="6"/>
        <v>-0.05424380708740273</v>
      </c>
    </row>
    <row r="38" spans="9:19" ht="12">
      <c r="I38" s="164"/>
      <c r="J38" s="219"/>
      <c r="K38" s="164"/>
      <c r="L38" s="220"/>
      <c r="M38" s="164"/>
      <c r="N38" s="220"/>
      <c r="O38" s="164"/>
      <c r="S38" s="175">
        <f t="shared" si="6"/>
        <v>0</v>
      </c>
    </row>
    <row r="39" spans="5:19" ht="12">
      <c r="E39" s="256"/>
      <c r="I39" t="s">
        <v>127</v>
      </c>
      <c r="J39" s="219">
        <f>L39*2</f>
        <v>17013.694514972005</v>
      </c>
      <c r="K39" s="164"/>
      <c r="L39" s="236">
        <v>8506.847257486002</v>
      </c>
      <c r="M39" s="164"/>
      <c r="N39" s="220">
        <f t="shared" si="5"/>
        <v>8506.847257486002</v>
      </c>
      <c r="O39" s="164"/>
      <c r="Q39" s="237">
        <v>8506.580172012204</v>
      </c>
      <c r="S39" s="175">
        <f t="shared" si="6"/>
        <v>0.267085473798943</v>
      </c>
    </row>
    <row r="40" spans="9:19" ht="12">
      <c r="I40" t="s">
        <v>128</v>
      </c>
      <c r="J40" s="219">
        <f>L40*2</f>
        <v>1166.5975092143722</v>
      </c>
      <c r="K40" s="164"/>
      <c r="L40" s="236">
        <v>583.2987546071861</v>
      </c>
      <c r="M40" s="164"/>
      <c r="N40" s="220">
        <f t="shared" si="5"/>
        <v>583.2987546071861</v>
      </c>
      <c r="O40" s="164"/>
      <c r="Q40" s="237">
        <v>583.2627623603481</v>
      </c>
      <c r="S40" s="175">
        <f t="shared" si="6"/>
        <v>0.03599224683796365</v>
      </c>
    </row>
    <row r="41" spans="9:19" ht="12">
      <c r="I41" s="164"/>
      <c r="J41" s="219"/>
      <c r="K41" s="164"/>
      <c r="M41" s="164"/>
      <c r="N41" s="221"/>
      <c r="O41" s="164"/>
      <c r="S41" s="175">
        <f t="shared" si="6"/>
        <v>0</v>
      </c>
    </row>
    <row r="42" spans="9:19" ht="13.5" thickBot="1">
      <c r="I42" s="222" t="s">
        <v>129</v>
      </c>
      <c r="J42" s="223">
        <f>SUM(J33,J34,J36,J37,J39,J40)</f>
        <v>155051.78218926326</v>
      </c>
      <c r="K42" s="164"/>
      <c r="L42" s="223">
        <f>SUM(L33:L40)</f>
        <v>77525.89109463163</v>
      </c>
      <c r="M42" s="224"/>
      <c r="N42" s="225">
        <f>L42</f>
        <v>77525.89109463163</v>
      </c>
      <c r="O42" s="164"/>
      <c r="Q42" s="223">
        <f>SUM(Q33:Q40)</f>
        <v>77472.56247033177</v>
      </c>
      <c r="S42" s="223">
        <f t="shared" si="6"/>
        <v>53.32862429985835</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2019-06-14T13:45:13Z</cp:lastPrinted>
  <dcterms:created xsi:type="dcterms:W3CDTF">2008-05-23T15:47:44Z</dcterms:created>
  <dcterms:modified xsi:type="dcterms:W3CDTF">2023-06-02T15:55:26Z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Initial Filing</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RABANCO LTD.            </vt:lpwstr>
  </property>
  <property fmtid="{D5CDD505-2E9C-101B-9397-08002B2CF9AE}" pid="8" name="IsConfidential">
    <vt:lpwstr>0</vt:lpwstr>
  </property>
  <property fmtid="{D5CDD505-2E9C-101B-9397-08002B2CF9AE}" pid="9" name="DocketNumber">
    <vt:lpwstr>230459</vt:lpwstr>
  </property>
  <property fmtid="{D5CDD505-2E9C-101B-9397-08002B2CF9AE}" pid="10" name="Date1">
    <vt:lpwstr>2023-06-02T00:00:00Z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2023-06-02T00:00:00Z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Closed</vt:lpwstr>
  </property>
  <property fmtid="{D5CDD505-2E9C-101B-9397-08002B2CF9AE}" pid="17" name="_docset_NoMedatataSyncRequired">
    <vt:lpwstr>False</vt:lpwstr>
  </property>
</Properties>
</file>