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30" windowWidth="18615" windowHeight="7500" firstSheet="1" activeTab="6"/>
  </bookViews>
  <sheets>
    <sheet name="WUTC_LYNNWOOD_SF" sheetId="1" state="hidden" r:id="rId1"/>
    <sheet name="WUTC_AW of Lynnwood_SF" sheetId="2" r:id="rId2"/>
    <sheet name="Value" sheetId="3" r:id="rId3"/>
    <sheet name="Commodity Tonnages" sheetId="4" r:id="rId4"/>
    <sheet name="Pricing" sheetId="5" r:id="rId5"/>
    <sheet name="Single Family" sheetId="6" r:id="rId6"/>
    <sheet name="RSA" sheetId="7" r:id="rId7"/>
    <sheet name="Recap" sheetId="8" r:id="rId8"/>
  </sheets>
  <externalReferences>
    <externalReference r:id="rId11"/>
  </externalReferences>
  <definedNames>
    <definedName name="_xlfn.IFERROR" hidden="1">#NAME?</definedName>
    <definedName name="_xlfn.SINGLE" hidden="1">#NAME?</definedName>
    <definedName name="color">#REF!</definedName>
    <definedName name="_xlnm.Print_Area" localSheetId="4">'Pricing'!$A$1:$L$19</definedName>
    <definedName name="_xlnm.Print_Area" localSheetId="5">'Single Family'!$A$1:$O$105</definedName>
    <definedName name="_xlnm.Print_Area" localSheetId="1">'WUTC_AW of Lynnwood_SF'!$A$1:$K$66</definedName>
    <definedName name="_xlnm.Print_Area" localSheetId="0">'WUTC_LYNNWOOD_SF'!$A$1:$K$82</definedName>
    <definedName name="_xlnm.Print_Titles" localSheetId="5">'Single Family'!$A:$B,'Single 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s>
  <commentList>
    <comment ref="F38"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4"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6.xml><?xml version="1.0" encoding="utf-8"?>
<comments xmlns="http://schemas.openxmlformats.org/spreadsheetml/2006/main">
  <authors>
    <author>Alex Brenner</author>
  </authors>
  <commentList>
    <comment ref="A12" authorId="0">
      <text>
        <r>
          <rPr>
            <b/>
            <sz val="8"/>
            <rFont val="Tahoma"/>
            <family val="2"/>
          </rPr>
          <t>Alex Brenner:</t>
        </r>
        <r>
          <rPr>
            <sz val="8"/>
            <rFont val="Tahoma"/>
            <family val="2"/>
          </rPr>
          <t xml:space="preserve">
From 'ESMMYYTONS' Spreadsheet, 'Prices' tab (where MM=month, YY=Year)</t>
        </r>
      </text>
    </comment>
    <comment ref="A7" authorId="0">
      <text>
        <r>
          <rPr>
            <b/>
            <sz val="8"/>
            <rFont val="Tahoma"/>
            <family val="2"/>
          </rPr>
          <t>Alex Brenner:</t>
        </r>
        <r>
          <rPr>
            <sz val="8"/>
            <rFont val="Tahoma"/>
            <family val="2"/>
          </rPr>
          <t xml:space="preserve">
From 'ESMMYYTONS' spreadsheet, 'ESMMYYTONS' tab (where MM=month, YY=Year)</t>
        </r>
      </text>
    </comment>
    <comment ref="A68" authorId="0">
      <text>
        <r>
          <rPr>
            <b/>
            <sz val="8"/>
            <rFont val="Tahoma"/>
            <family val="2"/>
          </rPr>
          <t>Alex Brenner:</t>
        </r>
        <r>
          <rPr>
            <sz val="8"/>
            <rFont val="Tahoma"/>
            <family val="2"/>
          </rPr>
          <t xml:space="preserve">
From 'Commodity Prices MMYY' spreadsheet. There is a different spreadsheet for each month</t>
        </r>
      </text>
    </comment>
  </commentList>
</comments>
</file>

<file path=xl/comments7.xml><?xml version="1.0" encoding="utf-8"?>
<comments xmlns="http://schemas.openxmlformats.org/spreadsheetml/2006/main">
  <authors>
    <author>Gualberto, Christopher</author>
  </authors>
  <commentList>
    <comment ref="C4" authorId="0">
      <text>
        <r>
          <rPr>
            <b/>
            <sz val="9"/>
            <rFont val="Tahoma"/>
            <family val="2"/>
          </rPr>
          <t>Gualberto, Christopher:</t>
        </r>
        <r>
          <rPr>
            <sz val="9"/>
            <rFont val="Tahoma"/>
            <family val="2"/>
          </rPr>
          <t xml:space="preserve">
from RSA file</t>
        </r>
      </text>
    </comment>
  </commentList>
</comments>
</file>

<file path=xl/comments8.xml><?xml version="1.0" encoding="utf-8"?>
<comments xmlns="http://schemas.openxmlformats.org/spreadsheetml/2006/main">
  <authors>
    <author>Jody Reid</author>
  </authors>
  <commentList>
    <comment ref="J4" authorId="0">
      <text>
        <r>
          <rPr>
            <sz val="8"/>
            <rFont val="Tahoma"/>
            <family val="2"/>
          </rPr>
          <t>TTM Commodity value per customer x # of Customers x 12 months</t>
        </r>
      </text>
    </comment>
    <comment ref="L4" authorId="0">
      <text>
        <r>
          <rPr>
            <sz val="8"/>
            <rFont val="Tahoma"/>
            <family val="2"/>
          </rPr>
          <t xml:space="preserve">Customer Count Today x 12 months x Base Pass Back Rate
</t>
        </r>
      </text>
    </comment>
    <comment ref="J12" authorId="0">
      <text>
        <r>
          <rPr>
            <sz val="8"/>
            <rFont val="Tahoma"/>
            <family val="2"/>
          </rPr>
          <t>TTM Commodity value per customer x # of Customers x 12 months</t>
        </r>
      </text>
    </comment>
    <comment ref="L12" authorId="0">
      <text>
        <r>
          <rPr>
            <sz val="8"/>
            <rFont val="Tahoma"/>
            <family val="2"/>
          </rPr>
          <t xml:space="preserve">Customer Count Today x 12 months x Base Pass Back Rate
</t>
        </r>
      </text>
    </comment>
    <comment ref="J21" authorId="0">
      <text>
        <r>
          <rPr>
            <sz val="8"/>
            <rFont val="Tahoma"/>
            <family val="2"/>
          </rPr>
          <t>TTM Commodity value per customer x # of Customers x 12 months</t>
        </r>
      </text>
    </comment>
    <comment ref="L21" authorId="0">
      <text>
        <r>
          <rPr>
            <sz val="8"/>
            <rFont val="Tahoma"/>
            <family val="2"/>
          </rPr>
          <t xml:space="preserve">Customer Count Today x 12 months x Base Pass Back Rate
</t>
        </r>
      </text>
    </comment>
  </commentList>
</comments>
</file>

<file path=xl/sharedStrings.xml><?xml version="1.0" encoding="utf-8"?>
<sst xmlns="http://schemas.openxmlformats.org/spreadsheetml/2006/main" count="298" uniqueCount="138">
  <si>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</si>
  <si>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</si>
  <si>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</si>
  <si>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</si>
  <si>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</si>
  <si>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</si>
  <si>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</si>
  <si>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</si>
  <si>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</si>
  <si>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</si>
  <si>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</si>
  <si>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</si>
  <si>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</si>
  <si>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</si>
  <si>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</si>
  <si>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</si>
  <si>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</si>
  <si>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</si>
  <si>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</si>
  <si>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</si>
  <si>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</si>
  <si>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</si>
  <si>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</si>
  <si>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ONP</t>
  </si>
  <si>
    <t>MWP</t>
  </si>
  <si>
    <t>Pet</t>
  </si>
  <si>
    <t>HDPE</t>
  </si>
  <si>
    <t>OCC</t>
  </si>
  <si>
    <t>Other</t>
  </si>
  <si>
    <t>Total</t>
  </si>
  <si>
    <t xml:space="preserve"> </t>
  </si>
  <si>
    <t xml:space="preserve">Total </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</si>
  <si>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</si>
  <si>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</si>
  <si>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</si>
  <si>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</si>
  <si>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</si>
  <si>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</si>
  <si>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</si>
  <si>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</si>
  <si>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</si>
  <si>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</si>
  <si>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</si>
  <si>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</si>
  <si>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Total Tons</t>
  </si>
  <si>
    <t>Sorted Glass Percentage</t>
  </si>
  <si>
    <t>Sorted Glass</t>
  </si>
  <si>
    <t>Sampled Tons</t>
  </si>
  <si>
    <t>Sampling Percentages</t>
  </si>
  <si>
    <t>Magazines</t>
  </si>
  <si>
    <t>Tin</t>
  </si>
  <si>
    <t>Plastic</t>
  </si>
  <si>
    <t>Aluminum</t>
  </si>
  <si>
    <t>Ferris Metal</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</si>
  <si>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</si>
  <si>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</si>
  <si>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</si>
  <si>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</si>
  <si>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</si>
  <si>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</si>
  <si>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</si>
  <si>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</si>
  <si>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</si>
  <si>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</si>
  <si>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</si>
  <si>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</si>
  <si>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</si>
  <si>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</si>
  <si>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</si>
  <si>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</si>
  <si>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</si>
  <si>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</si>
  <si>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</si>
  <si>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</si>
  <si>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</si>
  <si>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Rabanco Ltd (dba Allied Waste of Lynnwood)</t>
  </si>
  <si>
    <t>TG-12______</t>
  </si>
  <si>
    <t>Total Trailing 12 Mo. Commodity Value / Customer</t>
  </si>
  <si>
    <t>For use in Budget Calculation</t>
  </si>
  <si>
    <t>Most recent Total # of Customers</t>
  </si>
  <si>
    <t>Base Credit to be Passed Back</t>
  </si>
  <si>
    <t>% of Revenue Passed Back</t>
  </si>
  <si>
    <t>Budget total Revenue</t>
  </si>
  <si>
    <t>Budget Revenue Passed Back</t>
  </si>
  <si>
    <t>% Passed Back</t>
  </si>
  <si>
    <t>Lynnwood SF</t>
  </si>
  <si>
    <t xml:space="preserve"> True-up Computation</t>
  </si>
  <si>
    <t>Shrinkage</t>
  </si>
  <si>
    <t>Metal</t>
  </si>
  <si>
    <t>Total twelve months</t>
  </si>
  <si>
    <t xml:space="preserve">12 month running average "BASE CREDIT" </t>
  </si>
  <si>
    <t xml:space="preserve"> Projected Credit</t>
  </si>
  <si>
    <t>Excess Commodity Value</t>
  </si>
  <si>
    <t>Unspent RSA dollars</t>
  </si>
  <si>
    <t>Commodity Value versus Credits</t>
  </si>
  <si>
    <t>Commodity Value Timeframe:  May - April</t>
  </si>
  <si>
    <t>Underspent RSA per Snohomish report</t>
  </si>
  <si>
    <t>Lynnwood</t>
  </si>
  <si>
    <t>SF portion</t>
  </si>
  <si>
    <t>MF portion</t>
  </si>
  <si>
    <t>RSA Rev breakdown:</t>
  </si>
  <si>
    <t>SF $</t>
  </si>
  <si>
    <t>MF $</t>
  </si>
  <si>
    <t>SF %</t>
  </si>
  <si>
    <t>MF %</t>
  </si>
  <si>
    <t>Credit per customer</t>
  </si>
  <si>
    <t>Lynnwood SF RSA Unspent</t>
  </si>
  <si>
    <t>Per RSA File</t>
  </si>
  <si>
    <t>50% RSA Retained</t>
  </si>
  <si>
    <t>50% Passed to Customers</t>
  </si>
  <si>
    <t xml:space="preserve">197 Lynnwood Single-Family Value </t>
  </si>
  <si>
    <t xml:space="preserve">Lynnwood Multi-Family Value </t>
  </si>
  <si>
    <t>Total Revenue Retained</t>
  </si>
  <si>
    <t>Year 1</t>
  </si>
  <si>
    <t>Year 2</t>
  </si>
  <si>
    <t>Per UTC Filing</t>
  </si>
  <si>
    <t>Variance</t>
  </si>
  <si>
    <t>Commodity Revenue</t>
  </si>
  <si>
    <t>Prior three months</t>
  </si>
  <si>
    <t>Current nine months</t>
  </si>
  <si>
    <t>2021/2022 Monthly True-up Amount</t>
  </si>
  <si>
    <t>8/1/22 - 7/31/23 Adjusted Credit</t>
  </si>
  <si>
    <t>Total Passback at end of 2 year plan year 2023</t>
  </si>
  <si>
    <t>2021 - 2023</t>
  </si>
  <si>
    <t>2021 - 2022</t>
  </si>
  <si>
    <t>2022 - 2023</t>
  </si>
  <si>
    <t>See RSA Tab</t>
  </si>
  <si>
    <t>Snohomish County RSA Recap  Plan Year 2021 - 2023</t>
  </si>
  <si>
    <t>Current Month</t>
  </si>
  <si>
    <t>Plan Spend</t>
  </si>
  <si>
    <t>2021-2022</t>
  </si>
  <si>
    <t>2022-2023</t>
  </si>
  <si>
    <t>Invoices</t>
  </si>
  <si>
    <t>Labor</t>
  </si>
  <si>
    <t>Accounting</t>
  </si>
  <si>
    <t>5% Incentive</t>
  </si>
  <si>
    <t>Plan Value</t>
  </si>
  <si>
    <t>Remaining Spend</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</si>
</sst>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_(&quot;$&quot;* #,##0_);_(&quot;$&quot;* \(#,##0\);_(&quot;$&quot;* &quot;-&quot;??_);_(@_)"/>
    <numFmt numFmtId="173" formatCode="mmmm\-yy"/>
    <numFmt numFmtId="174" formatCode="_(* #,##0.0000_);_(* \(#,##0.000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00_);_(* \(#,##0.000\);_(* &quot;-&quot;???_);_(@_)"/>
    <numFmt numFmtId="181" formatCode="&quot;$&quot;#,##0.00"/>
    <numFmt numFmtId="182" formatCode="0.000"/>
    <numFmt numFmtId="183" formatCode="[$-409]mmm\-yy;@"/>
  </numFmts>
  <fonts count="64">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sz val="9"/>
      <name val="Arial"/>
      <family val="2"/>
    </font>
    <font>
      <b/>
      <sz val="12"/>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b/>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
      <sz val="8"/>
      <color rgb="FF0000FF"/>
      <name val="Arial"/>
      <family val="2"/>
    </font>
    <font>
      <b/>
      <sz val="10"/>
      <color rgb="FF0000FF"/>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solid">
        <fgColor indexed="22"/>
        <bgColor indexed="64"/>
      </patternFill>
    </fill>
    <fill>
      <patternFill patternType="solid">
        <fgColor theme="0" tint="-0.24997000396251678"/>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right/>
      <top/>
      <bottom style="medium"/>
    </border>
    <border>
      <left/>
      <right/>
      <top style="thin"/>
      <bottom style="medium"/>
    </border>
    <border>
      <left/>
      <right style="hair"/>
      <top style="thin"/>
      <bottom style="hair"/>
    </border>
    <border>
      <left/>
      <right style="hair"/>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3"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43" fillId="0" borderId="0">
      <alignment/>
      <protection/>
    </xf>
    <xf numFmtId="0" fontId="6"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17">
    <xf numFmtId="0" fontId="0" fillId="0" borderId="0" xfId="0" applyAlignment="1">
      <alignment/>
    </xf>
    <xf numFmtId="0" fontId="1" fillId="0" borderId="0" xfId="62" applyFont="1">
      <alignment/>
      <protection/>
    </xf>
    <xf numFmtId="0" fontId="7" fillId="0" borderId="0" xfId="62" applyFont="1">
      <alignment/>
      <protection/>
    </xf>
    <xf numFmtId="0" fontId="7" fillId="0" borderId="0" xfId="62" applyFont="1" applyAlignment="1">
      <alignment horizontal="center"/>
      <protection/>
    </xf>
    <xf numFmtId="0" fontId="8" fillId="0" borderId="0" xfId="62" applyFont="1" applyAlignment="1">
      <alignment horizontal="center"/>
      <protection/>
    </xf>
    <xf numFmtId="0" fontId="6" fillId="0" borderId="0" xfId="62">
      <alignment/>
      <protection/>
    </xf>
    <xf numFmtId="0" fontId="9" fillId="0" borderId="0" xfId="62" applyFont="1">
      <alignment/>
      <protection/>
    </xf>
    <xf numFmtId="14" fontId="7" fillId="0" borderId="0" xfId="62" applyNumberFormat="1" applyFont="1" applyAlignment="1">
      <alignment horizontal="center"/>
      <protection/>
    </xf>
    <xf numFmtId="0" fontId="10" fillId="0" borderId="0" xfId="62" applyFont="1">
      <alignment/>
      <protection/>
    </xf>
    <xf numFmtId="0" fontId="11" fillId="0" borderId="0" xfId="62" applyFont="1">
      <alignment/>
      <protection/>
    </xf>
    <xf numFmtId="0" fontId="11" fillId="0" borderId="0" xfId="62" applyFont="1" applyAlignment="1">
      <alignment horizontal="center"/>
      <protection/>
    </xf>
    <xf numFmtId="0" fontId="9" fillId="0" borderId="0" xfId="62" applyFont="1" applyAlignment="1">
      <alignment horizontal="center"/>
      <protection/>
    </xf>
    <xf numFmtId="167" fontId="9" fillId="0" borderId="0" xfId="62" applyNumberFormat="1" applyFont="1" applyAlignment="1">
      <alignment horizontal="center"/>
      <protection/>
    </xf>
    <xf numFmtId="1" fontId="7" fillId="0" borderId="0" xfId="62" applyNumberFormat="1" applyFont="1">
      <alignment/>
      <protection/>
    </xf>
    <xf numFmtId="41" fontId="7" fillId="0" borderId="0" xfId="62" applyNumberFormat="1" applyFont="1">
      <alignment/>
      <protection/>
    </xf>
    <xf numFmtId="167" fontId="9" fillId="0" borderId="0" xfId="62" applyNumberFormat="1" applyFont="1">
      <alignment/>
      <protection/>
    </xf>
    <xf numFmtId="167" fontId="7" fillId="0" borderId="0" xfId="62" applyNumberFormat="1" applyFont="1">
      <alignment/>
      <protection/>
    </xf>
    <xf numFmtId="169" fontId="7" fillId="0" borderId="0" xfId="62" applyNumberFormat="1" applyFont="1" applyAlignment="1">
      <alignment horizontal="right"/>
      <protection/>
    </xf>
    <xf numFmtId="167" fontId="7" fillId="0" borderId="0" xfId="62" applyNumberFormat="1" applyFont="1" applyFill="1" applyAlignment="1">
      <alignment horizontal="center"/>
      <protection/>
    </xf>
    <xf numFmtId="41" fontId="12" fillId="0" borderId="0" xfId="62" applyNumberFormat="1" applyFont="1">
      <alignment/>
      <protection/>
    </xf>
    <xf numFmtId="41" fontId="13" fillId="0" borderId="0" xfId="62" applyNumberFormat="1" applyFont="1" applyAlignment="1">
      <alignment horizontal="left"/>
      <protection/>
    </xf>
    <xf numFmtId="41" fontId="7" fillId="0" borderId="10" xfId="62" applyNumberFormat="1" applyFont="1" applyBorder="1">
      <alignment/>
      <protection/>
    </xf>
    <xf numFmtId="167" fontId="7" fillId="0" borderId="10" xfId="62" applyNumberFormat="1" applyFont="1" applyBorder="1">
      <alignment/>
      <protection/>
    </xf>
    <xf numFmtId="168" fontId="7" fillId="0" borderId="0" xfId="62" applyNumberFormat="1" applyFont="1">
      <alignment/>
      <protection/>
    </xf>
    <xf numFmtId="17" fontId="7" fillId="0" borderId="0" xfId="62" applyNumberFormat="1" applyFont="1" applyAlignment="1">
      <alignment horizontal="right"/>
      <protection/>
    </xf>
    <xf numFmtId="167" fontId="6" fillId="0" borderId="0" xfId="62" applyNumberFormat="1">
      <alignment/>
      <protection/>
    </xf>
    <xf numFmtId="169" fontId="7" fillId="0" borderId="0" xfId="62" applyNumberFormat="1" applyFont="1">
      <alignment/>
      <protection/>
    </xf>
    <xf numFmtId="41" fontId="7" fillId="0" borderId="11" xfId="62" applyNumberFormat="1" applyFont="1" applyBorder="1">
      <alignment/>
      <protection/>
    </xf>
    <xf numFmtId="167" fontId="7" fillId="0" borderId="11" xfId="62" applyNumberFormat="1" applyFont="1" applyBorder="1">
      <alignment/>
      <protection/>
    </xf>
    <xf numFmtId="41" fontId="9" fillId="0" borderId="12" xfId="62" applyNumberFormat="1" applyFont="1" applyBorder="1">
      <alignment/>
      <protection/>
    </xf>
    <xf numFmtId="41" fontId="7" fillId="0" borderId="12" xfId="62" applyNumberFormat="1" applyFont="1" applyBorder="1">
      <alignment/>
      <protection/>
    </xf>
    <xf numFmtId="41" fontId="10" fillId="0" borderId="0" xfId="62" applyNumberFormat="1" applyFont="1">
      <alignment/>
      <protection/>
    </xf>
    <xf numFmtId="41" fontId="7" fillId="0" borderId="0" xfId="62" applyNumberFormat="1" applyFont="1" applyAlignment="1">
      <alignment horizontal="right"/>
      <protection/>
    </xf>
    <xf numFmtId="1" fontId="10" fillId="0" borderId="0" xfId="62" applyNumberFormat="1" applyFont="1">
      <alignment/>
      <protection/>
    </xf>
    <xf numFmtId="168" fontId="12" fillId="0" borderId="0" xfId="62" applyNumberFormat="1" applyFont="1">
      <alignment/>
      <protection/>
    </xf>
    <xf numFmtId="41" fontId="7" fillId="0" borderId="0" xfId="62" applyNumberFormat="1" applyFont="1" applyBorder="1">
      <alignment/>
      <protection/>
    </xf>
    <xf numFmtId="41" fontId="7" fillId="0" borderId="13" xfId="62" applyNumberFormat="1" applyFont="1" applyBorder="1">
      <alignment/>
      <protection/>
    </xf>
    <xf numFmtId="41" fontId="7" fillId="0" borderId="14" xfId="62" applyNumberFormat="1" applyFont="1" applyBorder="1">
      <alignment/>
      <protection/>
    </xf>
    <xf numFmtId="41" fontId="7" fillId="0" borderId="15" xfId="62" applyNumberFormat="1" applyFont="1" applyBorder="1">
      <alignment/>
      <protection/>
    </xf>
    <xf numFmtId="168" fontId="7" fillId="0" borderId="11" xfId="62" applyNumberFormat="1" applyFont="1" applyBorder="1">
      <alignment/>
      <protection/>
    </xf>
    <xf numFmtId="168" fontId="7" fillId="0" borderId="15" xfId="62" applyNumberFormat="1" applyFont="1" applyBorder="1">
      <alignment/>
      <protection/>
    </xf>
    <xf numFmtId="167" fontId="7" fillId="0" borderId="0" xfId="62" applyNumberFormat="1" applyFont="1" applyFill="1" applyBorder="1">
      <alignment/>
      <protection/>
    </xf>
    <xf numFmtId="167" fontId="14" fillId="0" borderId="0" xfId="62" applyNumberFormat="1" applyFont="1" applyFill="1" applyBorder="1" applyAlignment="1">
      <alignment horizontal="centerContinuous"/>
      <protection/>
    </xf>
    <xf numFmtId="167" fontId="7" fillId="0" borderId="0" xfId="62" applyNumberFormat="1" applyFont="1" applyFill="1" applyBorder="1" applyAlignment="1">
      <alignment horizontal="centerContinuous"/>
      <protection/>
    </xf>
    <xf numFmtId="167" fontId="7" fillId="0" borderId="0" xfId="62" applyNumberFormat="1" applyFont="1" applyAlignment="1">
      <alignment horizontal="centerContinuous"/>
      <protection/>
    </xf>
    <xf numFmtId="169" fontId="7" fillId="0" borderId="0" xfId="62" applyNumberFormat="1" applyFont="1" applyFill="1" applyBorder="1" applyAlignment="1">
      <alignment horizontal="right"/>
      <protection/>
    </xf>
    <xf numFmtId="41" fontId="12" fillId="0" borderId="0" xfId="62" applyNumberFormat="1" applyFont="1" applyFill="1" applyBorder="1" applyAlignment="1">
      <alignment horizontal="center"/>
      <protection/>
    </xf>
    <xf numFmtId="167" fontId="7" fillId="0" borderId="0" xfId="62" applyNumberFormat="1" applyFont="1" applyFill="1" applyBorder="1" applyAlignment="1">
      <alignment horizontal="center"/>
      <protection/>
    </xf>
    <xf numFmtId="41" fontId="13" fillId="0" borderId="0" xfId="62" applyNumberFormat="1" applyFont="1" applyFill="1" applyBorder="1" applyAlignment="1">
      <alignment horizontal="left"/>
      <protection/>
    </xf>
    <xf numFmtId="41" fontId="7" fillId="0" borderId="0" xfId="62" applyNumberFormat="1" applyFont="1" applyFill="1" applyBorder="1">
      <alignment/>
      <protection/>
    </xf>
    <xf numFmtId="41" fontId="12" fillId="0" borderId="0" xfId="62" applyNumberFormat="1" applyFont="1" applyFill="1" applyBorder="1">
      <alignment/>
      <protection/>
    </xf>
    <xf numFmtId="1" fontId="7" fillId="0" borderId="0" xfId="62" applyNumberFormat="1" applyFont="1" applyFill="1" applyBorder="1">
      <alignment/>
      <protection/>
    </xf>
    <xf numFmtId="0" fontId="6" fillId="0" borderId="0" xfId="62" applyFill="1" applyBorder="1">
      <alignment/>
      <protection/>
    </xf>
    <xf numFmtId="167" fontId="6" fillId="0" borderId="0" xfId="62" applyNumberFormat="1" applyFill="1" applyBorder="1">
      <alignment/>
      <protection/>
    </xf>
    <xf numFmtId="169" fontId="7" fillId="0" borderId="0" xfId="62" applyNumberFormat="1" applyFont="1" applyFill="1" applyBorder="1">
      <alignment/>
      <protection/>
    </xf>
    <xf numFmtId="168" fontId="7" fillId="0" borderId="0" xfId="62" applyNumberFormat="1" applyFont="1" applyFill="1" applyBorder="1">
      <alignment/>
      <protection/>
    </xf>
    <xf numFmtId="167" fontId="7" fillId="0" borderId="13" xfId="62" applyNumberFormat="1" applyFont="1" applyBorder="1">
      <alignment/>
      <protection/>
    </xf>
    <xf numFmtId="167" fontId="7" fillId="0" borderId="15" xfId="62" applyNumberFormat="1" applyFont="1" applyBorder="1">
      <alignment/>
      <protection/>
    </xf>
    <xf numFmtId="2" fontId="6" fillId="0" borderId="0" xfId="62"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70"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40" fontId="7" fillId="0" borderId="0" xfId="0" applyNumberFormat="1" applyFont="1" applyAlignment="1">
      <alignment/>
    </xf>
    <xf numFmtId="43" fontId="7" fillId="0" borderId="0" xfId="42" applyFont="1" applyAlignment="1">
      <alignment/>
    </xf>
    <xf numFmtId="173" fontId="7" fillId="0" borderId="0" xfId="62" applyNumberFormat="1" applyFont="1" applyAlignment="1">
      <alignment horizontal="right"/>
      <protection/>
    </xf>
    <xf numFmtId="169" fontId="7" fillId="0" borderId="0" xfId="62" applyNumberFormat="1" applyFont="1" applyAlignment="1">
      <alignment horizontal="right" wrapText="1"/>
      <protection/>
    </xf>
    <xf numFmtId="17" fontId="7" fillId="0" borderId="0" xfId="62" applyNumberFormat="1" applyFont="1" applyFill="1" applyBorder="1" applyAlignment="1">
      <alignment horizontal="right"/>
      <protection/>
    </xf>
    <xf numFmtId="169" fontId="7" fillId="0" borderId="0" xfId="62" applyNumberFormat="1" applyFont="1" applyFill="1" applyBorder="1" applyAlignment="1">
      <alignment horizontal="right" wrapText="1"/>
      <protection/>
    </xf>
    <xf numFmtId="164" fontId="0" fillId="0" borderId="0" xfId="42" applyNumberFormat="1" applyFont="1" applyAlignment="1">
      <alignment/>
    </xf>
    <xf numFmtId="171" fontId="0" fillId="0" borderId="0" xfId="0" applyNumberFormat="1" applyAlignment="1">
      <alignment/>
    </xf>
    <xf numFmtId="166" fontId="0" fillId="0" borderId="0" xfId="65"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2" fontId="9" fillId="0" borderId="0" xfId="0" applyNumberFormat="1" applyFont="1" applyAlignment="1">
      <alignment/>
    </xf>
    <xf numFmtId="9" fontId="7" fillId="0" borderId="0" xfId="65"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5" applyNumberFormat="1" applyFont="1" applyAlignment="1">
      <alignment/>
    </xf>
    <xf numFmtId="10" fontId="9" fillId="33" borderId="0" xfId="65" applyNumberFormat="1" applyFont="1" applyFill="1" applyAlignment="1">
      <alignment/>
    </xf>
    <xf numFmtId="9" fontId="7" fillId="0" borderId="0" xfId="65"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 fontId="7" fillId="0" borderId="0" xfId="0" applyNumberFormat="1" applyFont="1" applyAlignment="1" quotePrefix="1">
      <alignment/>
    </xf>
    <xf numFmtId="40" fontId="7" fillId="0" borderId="0" xfId="0" applyNumberFormat="1" applyFont="1" applyAlignment="1" quotePrefix="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7" fontId="7" fillId="0" borderId="0" xfId="62" applyNumberFormat="1" applyFont="1" applyBorder="1">
      <alignment/>
      <protection/>
    </xf>
    <xf numFmtId="167" fontId="7" fillId="0" borderId="0" xfId="62" applyNumberFormat="1" applyFont="1" applyAlignment="1">
      <alignment horizontal="center"/>
      <protection/>
    </xf>
    <xf numFmtId="167" fontId="12" fillId="0" borderId="0" xfId="62" applyNumberFormat="1" applyFont="1" applyFill="1" applyAlignment="1">
      <alignment horizontal="center"/>
      <protection/>
    </xf>
    <xf numFmtId="169" fontId="7" fillId="0" borderId="0" xfId="62" applyNumberFormat="1" applyFont="1" applyBorder="1" applyAlignment="1">
      <alignment horizontal="right"/>
      <protection/>
    </xf>
    <xf numFmtId="41" fontId="12" fillId="0" borderId="0" xfId="62" applyNumberFormat="1" applyFont="1" applyBorder="1">
      <alignment/>
      <protection/>
    </xf>
    <xf numFmtId="41" fontId="13" fillId="0" borderId="0" xfId="62" applyNumberFormat="1" applyFont="1" applyBorder="1" applyAlignment="1">
      <alignment horizontal="left"/>
      <protection/>
    </xf>
    <xf numFmtId="1" fontId="7" fillId="0" borderId="0" xfId="62" applyNumberFormat="1" applyFont="1" applyBorder="1">
      <alignment/>
      <protection/>
    </xf>
    <xf numFmtId="0" fontId="6" fillId="0" borderId="0" xfId="62" applyBorder="1">
      <alignment/>
      <protection/>
    </xf>
    <xf numFmtId="167" fontId="6" fillId="0" borderId="0" xfId="62" applyNumberFormat="1" applyBorder="1">
      <alignment/>
      <protection/>
    </xf>
    <xf numFmtId="169" fontId="7" fillId="0" borderId="0" xfId="62" applyNumberFormat="1" applyFont="1" applyBorder="1">
      <alignment/>
      <protection/>
    </xf>
    <xf numFmtId="168" fontId="7" fillId="0" borderId="0" xfId="62" applyNumberFormat="1" applyFont="1" applyBorder="1">
      <alignment/>
      <protection/>
    </xf>
    <xf numFmtId="10" fontId="7" fillId="34" borderId="0" xfId="0" applyNumberFormat="1" applyFont="1" applyFill="1" applyAlignment="1">
      <alignment/>
    </xf>
    <xf numFmtId="10" fontId="7" fillId="34" borderId="0" xfId="65" applyNumberFormat="1" applyFont="1" applyFill="1" applyAlignment="1">
      <alignment/>
    </xf>
    <xf numFmtId="17" fontId="7" fillId="34" borderId="0" xfId="0" applyNumberFormat="1" applyFont="1" applyFill="1" applyBorder="1" applyAlignment="1">
      <alignment horizontal="center"/>
    </xf>
    <xf numFmtId="169" fontId="7" fillId="0" borderId="0" xfId="62" applyNumberFormat="1" applyFont="1" applyFill="1" applyAlignment="1">
      <alignment horizontal="right"/>
      <protection/>
    </xf>
    <xf numFmtId="17" fontId="7" fillId="0" borderId="0" xfId="0" applyNumberFormat="1" applyFont="1" applyFill="1" applyAlignment="1">
      <alignment/>
    </xf>
    <xf numFmtId="40" fontId="9" fillId="0" borderId="0" xfId="0" applyNumberFormat="1" applyFont="1" applyAlignment="1">
      <alignment/>
    </xf>
    <xf numFmtId="9" fontId="0" fillId="0" borderId="0" xfId="65" applyAlignment="1">
      <alignment/>
    </xf>
    <xf numFmtId="4" fontId="7" fillId="0" borderId="10" xfId="0" applyNumberFormat="1" applyFont="1" applyBorder="1" applyAlignment="1">
      <alignment/>
    </xf>
    <xf numFmtId="40" fontId="7" fillId="0" borderId="10" xfId="0" applyNumberFormat="1" applyFont="1" applyBorder="1" applyAlignment="1">
      <alignment/>
    </xf>
    <xf numFmtId="4" fontId="9" fillId="0" borderId="10" xfId="0" applyNumberFormat="1" applyFont="1" applyBorder="1" applyAlignment="1">
      <alignment/>
    </xf>
    <xf numFmtId="43" fontId="7" fillId="0" borderId="10" xfId="42" applyNumberFormat="1" applyFont="1" applyBorder="1" applyAlignment="1">
      <alignment/>
    </xf>
    <xf numFmtId="43" fontId="9" fillId="0" borderId="0" xfId="42" applyFont="1" applyAlignment="1">
      <alignment/>
    </xf>
    <xf numFmtId="43" fontId="7" fillId="0" borderId="10" xfId="42" applyFont="1" applyBorder="1" applyAlignment="1">
      <alignment/>
    </xf>
    <xf numFmtId="43" fontId="9" fillId="0" borderId="10" xfId="42" applyFont="1" applyBorder="1" applyAlignment="1">
      <alignment/>
    </xf>
    <xf numFmtId="165" fontId="1" fillId="0" borderId="0" xfId="65" applyNumberFormat="1" applyFont="1" applyAlignment="1">
      <alignment/>
    </xf>
    <xf numFmtId="0" fontId="17" fillId="0" borderId="16" xfId="62" applyFont="1" applyBorder="1" applyAlignment="1">
      <alignment horizontal="center"/>
      <protection/>
    </xf>
    <xf numFmtId="167" fontId="17" fillId="0" borderId="17" xfId="62" applyNumberFormat="1" applyFont="1" applyBorder="1" applyAlignment="1">
      <alignment horizontal="center"/>
      <protection/>
    </xf>
    <xf numFmtId="167" fontId="18" fillId="0" borderId="17" xfId="62" applyNumberFormat="1" applyFont="1" applyFill="1" applyBorder="1" applyAlignment="1">
      <alignment horizontal="center"/>
      <protection/>
    </xf>
    <xf numFmtId="41" fontId="13" fillId="0" borderId="17" xfId="62" applyNumberFormat="1" applyFont="1" applyBorder="1">
      <alignment/>
      <protection/>
    </xf>
    <xf numFmtId="167" fontId="9" fillId="0" borderId="0" xfId="62" applyNumberFormat="1" applyFont="1" applyBorder="1">
      <alignment/>
      <protection/>
    </xf>
    <xf numFmtId="0" fontId="7" fillId="0" borderId="0" xfId="62" applyFont="1" applyBorder="1">
      <alignment/>
      <protection/>
    </xf>
    <xf numFmtId="168" fontId="9" fillId="0" borderId="17" xfId="62" applyNumberFormat="1" applyFont="1" applyBorder="1">
      <alignment/>
      <protection/>
    </xf>
    <xf numFmtId="165" fontId="7" fillId="0" borderId="0" xfId="65" applyNumberFormat="1" applyFont="1" applyAlignment="1">
      <alignment/>
    </xf>
    <xf numFmtId="0" fontId="9" fillId="0" borderId="0" xfId="0" applyFont="1" applyAlignment="1">
      <alignment/>
    </xf>
    <xf numFmtId="7" fontId="0" fillId="0" borderId="0" xfId="0" applyNumberFormat="1" applyFill="1" applyBorder="1" applyAlignment="1">
      <alignment/>
    </xf>
    <xf numFmtId="44" fontId="19" fillId="0" borderId="0" xfId="0" applyNumberFormat="1" applyFont="1" applyFill="1" applyBorder="1" applyAlignment="1">
      <alignment/>
    </xf>
    <xf numFmtId="7" fontId="0" fillId="0" borderId="0" xfId="0" applyNumberFormat="1" applyFont="1" applyFill="1" applyBorder="1" applyAlignment="1">
      <alignment horizontal="center"/>
    </xf>
    <xf numFmtId="41" fontId="7" fillId="35" borderId="18" xfId="62" applyNumberFormat="1" applyFont="1" applyFill="1" applyBorder="1">
      <alignment/>
      <protection/>
    </xf>
    <xf numFmtId="167" fontId="7" fillId="35" borderId="11" xfId="62" applyNumberFormat="1" applyFont="1" applyFill="1" applyBorder="1">
      <alignment/>
      <protection/>
    </xf>
    <xf numFmtId="2" fontId="9" fillId="34" borderId="0" xfId="0" applyNumberFormat="1" applyFont="1" applyFill="1" applyBorder="1" applyAlignment="1">
      <alignment/>
    </xf>
    <xf numFmtId="44" fontId="7" fillId="0" borderId="0" xfId="0" applyNumberFormat="1" applyFont="1" applyBorder="1" applyAlignment="1">
      <alignment/>
    </xf>
    <xf numFmtId="0" fontId="9" fillId="0" borderId="0" xfId="0" applyFont="1" applyBorder="1" applyAlignment="1">
      <alignment/>
    </xf>
    <xf numFmtId="0" fontId="13" fillId="0" borderId="0" xfId="0" applyFont="1" applyBorder="1" applyAlignment="1">
      <alignment/>
    </xf>
    <xf numFmtId="44" fontId="7" fillId="34" borderId="19" xfId="44" applyNumberFormat="1" applyFont="1" applyFill="1" applyBorder="1" applyAlignment="1">
      <alignment/>
    </xf>
    <xf numFmtId="44" fontId="7" fillId="34" borderId="19" xfId="44" applyNumberFormat="1" applyFont="1" applyFill="1" applyBorder="1" applyAlignment="1">
      <alignment horizontal="center"/>
    </xf>
    <xf numFmtId="44" fontId="60" fillId="34" borderId="19" xfId="44" applyNumberFormat="1" applyFont="1" applyFill="1" applyBorder="1" applyAlignment="1">
      <alignment/>
    </xf>
    <xf numFmtId="44" fontId="60" fillId="34" borderId="19" xfId="44" applyNumberFormat="1" applyFont="1" applyFill="1" applyBorder="1" applyAlignment="1">
      <alignment horizontal="center"/>
    </xf>
    <xf numFmtId="167" fontId="7" fillId="36" borderId="0" xfId="62" applyNumberFormat="1" applyFont="1" applyFill="1">
      <alignment/>
      <protection/>
    </xf>
    <xf numFmtId="165" fontId="7" fillId="36" borderId="19" xfId="65" applyNumberFormat="1" applyFont="1" applyFill="1" applyBorder="1" applyAlignment="1">
      <alignment/>
    </xf>
    <xf numFmtId="165" fontId="61" fillId="37" borderId="20" xfId="65" applyNumberFormat="1" applyFont="1" applyFill="1" applyBorder="1" applyAlignment="1">
      <alignment horizontal="center"/>
    </xf>
    <xf numFmtId="41" fontId="7" fillId="35" borderId="0" xfId="62" applyNumberFormat="1" applyFont="1" applyFill="1" applyBorder="1">
      <alignment/>
      <protection/>
    </xf>
    <xf numFmtId="41" fontId="62" fillId="37" borderId="20" xfId="62" applyNumberFormat="1" applyFont="1" applyFill="1" applyBorder="1" applyAlignment="1">
      <alignment horizontal="center"/>
      <protection/>
    </xf>
    <xf numFmtId="41" fontId="62" fillId="37" borderId="20" xfId="62" applyNumberFormat="1" applyFont="1" applyFill="1" applyBorder="1">
      <alignment/>
      <protection/>
    </xf>
    <xf numFmtId="168" fontId="7" fillId="36" borderId="15" xfId="62" applyNumberFormat="1" applyFont="1" applyFill="1" applyBorder="1">
      <alignment/>
      <protection/>
    </xf>
    <xf numFmtId="37" fontId="7" fillId="0" borderId="0" xfId="62" applyNumberFormat="1" applyFont="1">
      <alignment/>
      <protection/>
    </xf>
    <xf numFmtId="39" fontId="7" fillId="0" borderId="0" xfId="62" applyNumberFormat="1" applyFont="1">
      <alignment/>
      <protection/>
    </xf>
    <xf numFmtId="43" fontId="7" fillId="0" borderId="10" xfId="62" applyNumberFormat="1" applyFont="1" applyBorder="1">
      <alignment/>
      <protection/>
    </xf>
    <xf numFmtId="43" fontId="7" fillId="0" borderId="11" xfId="62" applyNumberFormat="1" applyFont="1" applyBorder="1">
      <alignment/>
      <protection/>
    </xf>
    <xf numFmtId="0" fontId="0" fillId="0" borderId="0" xfId="0" applyFont="1" applyAlignment="1">
      <alignment/>
    </xf>
    <xf numFmtId="17" fontId="7" fillId="0" borderId="0" xfId="0" applyNumberFormat="1" applyFont="1" applyAlignment="1">
      <alignment horizontal="center"/>
    </xf>
    <xf numFmtId="0" fontId="1" fillId="0" borderId="21" xfId="0" applyFont="1" applyBorder="1" applyAlignment="1">
      <alignment/>
    </xf>
    <xf numFmtId="0" fontId="1" fillId="0" borderId="22" xfId="0" applyFont="1" applyBorder="1" applyAlignment="1">
      <alignment/>
    </xf>
    <xf numFmtId="181" fontId="1" fillId="0" borderId="23" xfId="0" applyNumberFormat="1" applyFont="1" applyBorder="1" applyAlignment="1">
      <alignment/>
    </xf>
    <xf numFmtId="0" fontId="1" fillId="0" borderId="0" xfId="0" applyFont="1" applyAlignment="1">
      <alignment/>
    </xf>
    <xf numFmtId="44" fontId="0" fillId="0" borderId="19" xfId="44" applyFont="1" applyBorder="1" applyAlignment="1">
      <alignment/>
    </xf>
    <xf numFmtId="10" fontId="0" fillId="0" borderId="19" xfId="0" applyNumberFormat="1" applyBorder="1" applyAlignment="1">
      <alignment/>
    </xf>
    <xf numFmtId="181" fontId="0" fillId="32" borderId="19" xfId="0" applyNumberFormat="1" applyFill="1" applyBorder="1" applyAlignment="1">
      <alignment/>
    </xf>
    <xf numFmtId="181" fontId="0" fillId="0" borderId="19" xfId="0" applyNumberFormat="1" applyBorder="1" applyAlignment="1">
      <alignment/>
    </xf>
    <xf numFmtId="181" fontId="0" fillId="0" borderId="0" xfId="0" applyNumberFormat="1" applyAlignment="1">
      <alignment/>
    </xf>
    <xf numFmtId="41" fontId="0" fillId="0" borderId="0" xfId="0" applyNumberFormat="1" applyAlignment="1">
      <alignment/>
    </xf>
    <xf numFmtId="182" fontId="0" fillId="0" borderId="0" xfId="0" applyNumberFormat="1" applyAlignment="1">
      <alignment/>
    </xf>
    <xf numFmtId="0" fontId="20" fillId="38" borderId="24" xfId="61" applyFont="1" applyFill="1" applyBorder="1">
      <alignment/>
      <protection/>
    </xf>
    <xf numFmtId="172" fontId="0" fillId="38" borderId="10" xfId="61" applyNumberFormat="1" applyFont="1" applyFill="1" applyBorder="1">
      <alignment/>
      <protection/>
    </xf>
    <xf numFmtId="0" fontId="0" fillId="38" borderId="10" xfId="61" applyFont="1" applyFill="1" applyBorder="1">
      <alignment/>
      <protection/>
    </xf>
    <xf numFmtId="172" fontId="0" fillId="38" borderId="25" xfId="47" applyNumberFormat="1" applyFont="1" applyFill="1" applyBorder="1" applyAlignment="1">
      <alignment/>
    </xf>
    <xf numFmtId="0" fontId="0" fillId="0" borderId="0" xfId="61" applyFont="1">
      <alignment/>
      <protection/>
    </xf>
    <xf numFmtId="172" fontId="0" fillId="0" borderId="0" xfId="61" applyNumberFormat="1" applyFont="1">
      <alignment/>
      <protection/>
    </xf>
    <xf numFmtId="0" fontId="0" fillId="0" borderId="0" xfId="61" applyFont="1">
      <alignment/>
      <protection/>
    </xf>
    <xf numFmtId="172" fontId="0" fillId="0" borderId="0" xfId="47" applyNumberFormat="1" applyFont="1" applyAlignment="1">
      <alignment/>
    </xf>
    <xf numFmtId="172" fontId="0" fillId="0" borderId="26" xfId="0" applyNumberFormat="1" applyFont="1" applyBorder="1" applyAlignment="1">
      <alignment horizontal="center"/>
    </xf>
    <xf numFmtId="172" fontId="0" fillId="0" borderId="26" xfId="0" applyNumberFormat="1" applyBorder="1" applyAlignment="1">
      <alignment/>
    </xf>
    <xf numFmtId="172" fontId="0" fillId="0" borderId="26" xfId="44" applyNumberFormat="1" applyFont="1" applyBorder="1" applyAlignment="1">
      <alignment horizontal="center"/>
    </xf>
    <xf numFmtId="44" fontId="0" fillId="0" borderId="0" xfId="0" applyNumberFormat="1" applyFont="1" applyAlignment="1">
      <alignment/>
    </xf>
    <xf numFmtId="44" fontId="0" fillId="0" borderId="0" xfId="0" applyNumberFormat="1" applyFont="1" applyAlignment="1">
      <alignment horizontal="right"/>
    </xf>
    <xf numFmtId="0" fontId="1" fillId="0" borderId="0" xfId="0" applyFont="1" applyAlignment="1">
      <alignment horizontal="left"/>
    </xf>
    <xf numFmtId="44" fontId="1" fillId="0" borderId="27" xfId="44" applyFont="1" applyBorder="1" applyAlignment="1">
      <alignment/>
    </xf>
    <xf numFmtId="0" fontId="0" fillId="0" borderId="0" xfId="0" applyFont="1" applyAlignment="1">
      <alignment horizontal="right"/>
    </xf>
    <xf numFmtId="44" fontId="0" fillId="0" borderId="0" xfId="0" applyNumberFormat="1" applyAlignment="1">
      <alignment/>
    </xf>
    <xf numFmtId="44" fontId="0" fillId="37" borderId="0" xfId="0" applyNumberFormat="1" applyFont="1" applyFill="1" applyAlignment="1">
      <alignment horizontal="right"/>
    </xf>
    <xf numFmtId="44" fontId="0" fillId="0" borderId="0" xfId="44" applyFont="1" applyAlignment="1">
      <alignment/>
    </xf>
    <xf numFmtId="44" fontId="0" fillId="37" borderId="0" xfId="44" applyFont="1" applyFill="1" applyAlignment="1">
      <alignment/>
    </xf>
    <xf numFmtId="172" fontId="61" fillId="0" borderId="19" xfId="46" applyNumberFormat="1" applyFont="1" applyFill="1" applyBorder="1" applyAlignment="1">
      <alignment/>
    </xf>
    <xf numFmtId="172" fontId="61" fillId="0" borderId="16" xfId="46" applyNumberFormat="1" applyFont="1" applyFill="1" applyBorder="1" applyAlignment="1">
      <alignment/>
    </xf>
    <xf numFmtId="172" fontId="61" fillId="0" borderId="0" xfId="46" applyNumberFormat="1" applyFont="1" applyFill="1" applyBorder="1" applyAlignment="1">
      <alignment/>
    </xf>
    <xf numFmtId="183" fontId="61" fillId="37" borderId="20" xfId="46" applyNumberFormat="1" applyFont="1" applyFill="1" applyBorder="1" applyAlignment="1">
      <alignment/>
    </xf>
    <xf numFmtId="0" fontId="61" fillId="39" borderId="28" xfId="59" applyFont="1" applyFill="1" applyBorder="1" applyAlignment="1">
      <alignment horizontal="center"/>
      <protection/>
    </xf>
    <xf numFmtId="0" fontId="61" fillId="39" borderId="19" xfId="59" applyFont="1" applyFill="1" applyBorder="1" applyAlignment="1">
      <alignment horizontal="center"/>
      <protection/>
    </xf>
    <xf numFmtId="0" fontId="61" fillId="39" borderId="16" xfId="59" applyFont="1" applyFill="1" applyBorder="1" applyAlignment="1">
      <alignment horizontal="center"/>
      <protection/>
    </xf>
    <xf numFmtId="44" fontId="61" fillId="0" borderId="16" xfId="46" applyFont="1" applyFill="1" applyBorder="1" applyAlignment="1">
      <alignment/>
    </xf>
    <xf numFmtId="0" fontId="61" fillId="40" borderId="19" xfId="59" applyFont="1" applyFill="1" applyBorder="1" applyAlignment="1">
      <alignment horizontal="center"/>
      <protection/>
    </xf>
    <xf numFmtId="172" fontId="61" fillId="40" borderId="19" xfId="46" applyNumberFormat="1" applyFont="1" applyFill="1" applyBorder="1" applyAlignment="1">
      <alignment/>
    </xf>
    <xf numFmtId="172" fontId="61" fillId="39" borderId="19" xfId="46" applyNumberFormat="1" applyFont="1" applyFill="1" applyBorder="1" applyAlignment="1">
      <alignment/>
    </xf>
    <xf numFmtId="172" fontId="63" fillId="35" borderId="19" xfId="46" applyNumberFormat="1" applyFont="1" applyFill="1" applyBorder="1" applyAlignment="1">
      <alignment/>
    </xf>
    <xf numFmtId="0" fontId="61" fillId="39" borderId="10" xfId="59" applyFont="1" applyFill="1" applyBorder="1" applyAlignment="1">
      <alignment horizontal="center"/>
      <protection/>
    </xf>
    <xf numFmtId="0" fontId="61" fillId="39" borderId="29" xfId="59" applyFont="1" applyFill="1"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3 2" xfId="59"/>
    <cellStyle name="Normal 2" xfId="60"/>
    <cellStyle name="Normal 2 3" xfId="61"/>
    <cellStyle name="Normal_98REC_CR"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ivision\Accounting%20II\WUTC%20Filings\Commodity%20Credits\Filing%20June%202023\Backup\Sample%20reor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32</v>
      </c>
      <c r="B1" s="2"/>
      <c r="C1" s="2"/>
      <c r="D1" s="2"/>
      <c r="E1" s="2"/>
      <c r="F1" s="2"/>
      <c r="G1" s="3"/>
      <c r="H1" s="2"/>
      <c r="I1" s="2"/>
      <c r="J1" s="1" t="s">
        <v>33</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34</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6">
        <v>39264</v>
      </c>
      <c r="B8" s="19">
        <v>16678</v>
      </c>
      <c r="C8" s="20"/>
      <c r="D8" s="18">
        <v>35119.9</v>
      </c>
      <c r="E8" s="14"/>
      <c r="F8" s="16">
        <f>ROUND(D8/B8,2)</f>
        <v>2.11</v>
      </c>
      <c r="G8" s="14"/>
      <c r="H8" s="14"/>
      <c r="I8" s="14"/>
      <c r="J8" s="14">
        <f>+B8</f>
        <v>16678</v>
      </c>
      <c r="K8" s="13">
        <v>2007</v>
      </c>
    </row>
    <row r="9" spans="1:11" s="16" customFormat="1" ht="11.25">
      <c r="A9" s="76">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35</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7" t="s">
        <v>36</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37</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38</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108069</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
        <v>39</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
        <v>19</v>
      </c>
      <c r="C49" s="14"/>
      <c r="D49" s="14"/>
      <c r="E49" s="14"/>
      <c r="F49" s="14"/>
      <c r="G49" s="14"/>
      <c r="H49" s="14"/>
      <c r="I49" s="14"/>
      <c r="J49" s="14"/>
      <c r="K49" s="14"/>
    </row>
    <row r="50" spans="2:11" s="16" customFormat="1" ht="11.25">
      <c r="B50" s="14"/>
      <c r="C50" s="14"/>
      <c r="D50" s="14"/>
      <c r="E50" s="14"/>
      <c r="F50" s="32" t="s">
        <v>20</v>
      </c>
      <c r="G50" s="14">
        <f>+J26</f>
        <v>200360</v>
      </c>
      <c r="H50" s="20" t="s">
        <v>12</v>
      </c>
      <c r="I50" s="14"/>
      <c r="J50" s="14"/>
      <c r="K50" s="14"/>
    </row>
    <row r="51" spans="2:11" s="16" customFormat="1" ht="11.25">
      <c r="B51" s="14"/>
      <c r="C51" s="14"/>
      <c r="D51" s="14"/>
      <c r="E51" s="14"/>
      <c r="F51" s="32" t="s">
        <v>18</v>
      </c>
      <c r="G51" s="14">
        <f>+G44</f>
        <v>108069</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40</v>
      </c>
      <c r="G53" s="39">
        <f>ROUND(G51/G50,3)</f>
        <v>0.539</v>
      </c>
      <c r="H53" s="14"/>
      <c r="I53" s="23">
        <f>+G53</f>
        <v>0.539</v>
      </c>
      <c r="J53" s="14"/>
      <c r="K53" s="14"/>
    </row>
    <row r="54" spans="2:25" s="16" customFormat="1" ht="12" thickTop="1">
      <c r="B54" s="14"/>
      <c r="C54" s="14"/>
      <c r="D54" s="14"/>
      <c r="E54" s="14"/>
      <c r="F54" s="32"/>
      <c r="G54" s="14"/>
      <c r="H54" s="14"/>
      <c r="I54" s="23"/>
      <c r="J54" s="14"/>
      <c r="K54" s="14"/>
      <c r="Y54" s="14"/>
    </row>
    <row r="55" spans="2:11" s="16" customFormat="1" ht="11.25">
      <c r="B55" s="14" t="s">
        <v>42</v>
      </c>
      <c r="C55" s="14"/>
      <c r="D55" s="14"/>
      <c r="E55" s="14"/>
      <c r="F55" s="32"/>
      <c r="G55" s="14"/>
      <c r="H55" s="14"/>
      <c r="I55" s="23"/>
      <c r="J55" s="14"/>
      <c r="K55" s="14"/>
    </row>
    <row r="56" spans="2:11" s="16" customFormat="1" ht="12" thickBot="1">
      <c r="B56" s="31"/>
      <c r="C56" s="14"/>
      <c r="D56" s="14"/>
      <c r="E56" s="14"/>
      <c r="F56" s="32" t="s">
        <v>41</v>
      </c>
      <c r="G56" s="40">
        <f>+F26</f>
        <v>2.313</v>
      </c>
      <c r="H56" s="14"/>
      <c r="I56" s="23">
        <f>+G56</f>
        <v>2.313</v>
      </c>
      <c r="J56" s="20" t="s">
        <v>11</v>
      </c>
      <c r="K56" s="14"/>
    </row>
    <row r="57" spans="2:25" s="14" customFormat="1" ht="12" thickTop="1">
      <c r="B57" s="31"/>
      <c r="I57" s="23"/>
      <c r="X57" s="16"/>
      <c r="Y57" s="16"/>
    </row>
    <row r="58" spans="2:11" s="16" customFormat="1" ht="12" thickBot="1">
      <c r="B58" s="14"/>
      <c r="C58" s="14"/>
      <c r="D58" s="14"/>
      <c r="E58" s="14"/>
      <c r="F58" s="14"/>
      <c r="G58" s="32" t="s">
        <v>43</v>
      </c>
      <c r="H58" s="27"/>
      <c r="I58" s="39">
        <f>+I53+I56</f>
        <v>2.8520000000000003</v>
      </c>
      <c r="J58" s="14"/>
      <c r="K58" s="14"/>
    </row>
    <row r="59" s="16" customFormat="1" ht="12" thickTop="1">
      <c r="I59" s="23"/>
    </row>
    <row r="60" s="16" customFormat="1" ht="11.25"/>
    <row r="61" s="16" customFormat="1" ht="11.25"/>
    <row r="62" spans="1:6" s="16" customFormat="1" ht="11.25">
      <c r="A62" s="41"/>
      <c r="B62" s="41"/>
      <c r="C62" s="41"/>
      <c r="D62" s="41"/>
      <c r="E62" s="41"/>
      <c r="F62" s="41"/>
    </row>
    <row r="63" spans="1:25" s="16" customFormat="1" ht="18.75">
      <c r="A63" s="42"/>
      <c r="B63" s="43"/>
      <c r="C63" s="43"/>
      <c r="D63" s="43"/>
      <c r="E63" s="42"/>
      <c r="F63" s="43"/>
      <c r="G63" s="44"/>
      <c r="H63" s="44"/>
      <c r="I63" s="44"/>
      <c r="J63" s="44"/>
      <c r="K63" s="44"/>
      <c r="Y63" s="14"/>
    </row>
    <row r="64" spans="1:6" s="16" customFormat="1" ht="11.25">
      <c r="A64" s="78"/>
      <c r="B64" s="46"/>
      <c r="C64" s="48"/>
      <c r="D64" s="47"/>
      <c r="E64" s="41"/>
      <c r="F64" s="41"/>
    </row>
    <row r="65" spans="1:6" s="16" customFormat="1" ht="11.25">
      <c r="A65" s="78"/>
      <c r="B65" s="46"/>
      <c r="C65" s="49"/>
      <c r="D65" s="47"/>
      <c r="E65" s="41"/>
      <c r="F65" s="41"/>
    </row>
    <row r="66" spans="1:25" s="14" customFormat="1" ht="11.25">
      <c r="A66" s="78"/>
      <c r="B66" s="49"/>
      <c r="C66" s="49"/>
      <c r="D66" s="41"/>
      <c r="E66" s="49"/>
      <c r="F66" s="41"/>
      <c r="X66" s="16"/>
      <c r="Y66" s="16"/>
    </row>
    <row r="67" spans="1:6" s="16" customFormat="1" ht="11.25">
      <c r="A67" s="78"/>
      <c r="B67" s="49"/>
      <c r="C67" s="48"/>
      <c r="D67" s="41"/>
      <c r="E67" s="41"/>
      <c r="F67" s="41"/>
    </row>
    <row r="68" spans="1:6" s="16" customFormat="1" ht="11.25">
      <c r="A68" s="78"/>
      <c r="B68" s="49"/>
      <c r="C68" s="49"/>
      <c r="D68" s="41"/>
      <c r="E68" s="41"/>
      <c r="F68" s="41"/>
    </row>
    <row r="69" spans="1:6" s="16" customFormat="1" ht="11.25">
      <c r="A69" s="78"/>
      <c r="B69" s="50"/>
      <c r="C69" s="49"/>
      <c r="D69" s="41"/>
      <c r="E69" s="41"/>
      <c r="F69" s="41"/>
    </row>
    <row r="70" spans="1:6" s="16" customFormat="1" ht="11.25">
      <c r="A70" s="78"/>
      <c r="B70" s="50"/>
      <c r="C70" s="49"/>
      <c r="D70" s="41"/>
      <c r="E70" s="41"/>
      <c r="F70" s="41"/>
    </row>
    <row r="71" spans="1:6" s="16" customFormat="1" ht="11.25">
      <c r="A71" s="78"/>
      <c r="B71" s="50"/>
      <c r="C71" s="49"/>
      <c r="D71" s="41"/>
      <c r="E71" s="41"/>
      <c r="F71" s="41"/>
    </row>
    <row r="72" spans="1:6" s="16" customFormat="1" ht="11.25">
      <c r="A72" s="78"/>
      <c r="B72" s="50"/>
      <c r="C72" s="49"/>
      <c r="D72" s="41"/>
      <c r="E72" s="41"/>
      <c r="F72" s="41"/>
    </row>
    <row r="73" spans="1:25" s="16" customFormat="1" ht="11.25">
      <c r="A73" s="78"/>
      <c r="B73" s="50"/>
      <c r="C73" s="49"/>
      <c r="D73" s="41"/>
      <c r="E73" s="41"/>
      <c r="F73" s="41"/>
      <c r="Y73" s="14"/>
    </row>
    <row r="74" spans="1:6" s="16" customFormat="1" ht="11.25">
      <c r="A74" s="78"/>
      <c r="B74" s="50"/>
      <c r="C74" s="49"/>
      <c r="D74" s="41"/>
      <c r="E74" s="41"/>
      <c r="F74" s="41"/>
    </row>
    <row r="75" spans="1:6" s="16" customFormat="1" ht="11.25">
      <c r="A75" s="78"/>
      <c r="B75" s="50"/>
      <c r="C75" s="49"/>
      <c r="D75" s="41"/>
      <c r="E75" s="41"/>
      <c r="F75" s="41"/>
    </row>
    <row r="76" spans="1:6" s="16" customFormat="1" ht="11.25">
      <c r="A76" s="78"/>
      <c r="B76" s="50"/>
      <c r="C76" s="49"/>
      <c r="D76" s="41"/>
      <c r="E76" s="41"/>
      <c r="F76" s="41"/>
    </row>
    <row r="77" spans="1:27" s="16" customFormat="1" ht="11.25">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11.25">
      <c r="A78" s="78"/>
      <c r="B78" s="50"/>
      <c r="C78" s="49"/>
      <c r="D78" s="41"/>
      <c r="E78" s="41"/>
      <c r="F78" s="41"/>
    </row>
    <row r="79" spans="1:6" s="16" customFormat="1" ht="11.25">
      <c r="A79" s="45"/>
      <c r="B79" s="49"/>
      <c r="C79" s="49"/>
      <c r="D79" s="41"/>
      <c r="E79" s="41"/>
      <c r="F79" s="41"/>
    </row>
    <row r="80" spans="1:6" s="16" customFormat="1" ht="11.25">
      <c r="A80" s="79"/>
      <c r="B80" s="49"/>
      <c r="C80" s="48"/>
      <c r="D80" s="41"/>
      <c r="E80" s="41"/>
      <c r="F80" s="41"/>
    </row>
    <row r="81" spans="1:6" s="16" customFormat="1" ht="12.75">
      <c r="A81" s="52"/>
      <c r="B81" s="52"/>
      <c r="C81" s="52"/>
      <c r="D81" s="53"/>
      <c r="E81" s="41"/>
      <c r="F81" s="52"/>
    </row>
    <row r="82" spans="1:25" s="16" customFormat="1" ht="11.25">
      <c r="A82" s="54"/>
      <c r="B82" s="49"/>
      <c r="C82" s="48"/>
      <c r="D82" s="41"/>
      <c r="E82" s="41"/>
      <c r="F82" s="5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7"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101"/>
  <sheetViews>
    <sheetView showGridLines="0" zoomScalePageLayoutView="0" workbookViewId="0" topLeftCell="A1">
      <pane ySplit="4" topLeftCell="A29" activePane="bottomLeft" state="frozen"/>
      <selection pane="topLeft" activeCell="G56" sqref="G56"/>
      <selection pane="bottomLeft" activeCell="I62" sqref="I62"/>
    </sheetView>
  </sheetViews>
  <sheetFormatPr defaultColWidth="9.140625" defaultRowHeight="12.75"/>
  <cols>
    <col min="1" max="1" width="24.57421875" style="5" customWidth="1"/>
    <col min="2" max="2" width="10.7109375" style="5" customWidth="1"/>
    <col min="3" max="3" width="4.421875" style="5" customWidth="1"/>
    <col min="4" max="4" width="11.28125" style="5" customWidth="1"/>
    <col min="5" max="5" width="7.00390625" style="5" customWidth="1"/>
    <col min="6" max="6" width="13.00390625" style="5" customWidth="1"/>
    <col min="7" max="7" width="8.7109375" style="5" customWidth="1"/>
    <col min="8" max="8" width="7.421875" style="5" customWidth="1"/>
    <col min="9" max="9" width="8.7109375" style="5" bestFit="1" customWidth="1"/>
    <col min="10" max="10" width="9.421875" style="5" customWidth="1"/>
    <col min="11" max="11" width="4.7109375" style="5" bestFit="1" customWidth="1"/>
    <col min="12" max="12" width="9.57421875" style="5" customWidth="1"/>
    <col min="13" max="14" width="9.57421875" style="5" hidden="1" customWidth="1"/>
    <col min="15" max="15" width="15.28125" style="5" hidden="1" customWidth="1"/>
    <col min="16" max="16" width="36.7109375" style="5" hidden="1" customWidth="1"/>
    <col min="17" max="17" width="9.57421875" style="5" hidden="1" customWidth="1"/>
    <col min="18"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75</v>
      </c>
      <c r="B1" s="2"/>
      <c r="C1" s="2"/>
      <c r="D1" s="2"/>
      <c r="E1" s="2"/>
      <c r="F1" s="2"/>
      <c r="G1" s="3"/>
      <c r="H1" s="2"/>
      <c r="I1" s="2"/>
      <c r="J1" s="1" t="s">
        <v>76</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2023</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2"/>
      <c r="L5" s="118"/>
      <c r="M5" s="118"/>
      <c r="N5" s="142"/>
      <c r="O5" s="137" t="str">
        <f>"Total "&amp;F5</f>
        <v>Total Commodity</v>
      </c>
      <c r="P5" s="142"/>
      <c r="Q5" s="142"/>
      <c r="R5" s="142"/>
      <c r="S5" s="2"/>
      <c r="T5" s="2"/>
      <c r="U5" s="2"/>
      <c r="V5" s="13"/>
      <c r="W5" s="14"/>
      <c r="X5" s="14"/>
      <c r="Y5" s="14"/>
      <c r="AA5" s="14"/>
    </row>
    <row r="6" spans="1:18" s="16" customFormat="1" ht="11.25">
      <c r="A6" s="15"/>
      <c r="B6" s="12"/>
      <c r="C6" s="12"/>
      <c r="D6" s="12" t="s">
        <v>2</v>
      </c>
      <c r="E6" s="12"/>
      <c r="F6" s="12" t="s">
        <v>3</v>
      </c>
      <c r="G6" s="12"/>
      <c r="H6" s="12"/>
      <c r="I6" s="12"/>
      <c r="J6" s="12" t="s">
        <v>4</v>
      </c>
      <c r="K6" s="12"/>
      <c r="L6" s="111"/>
      <c r="M6" s="111"/>
      <c r="N6" s="111"/>
      <c r="O6" s="138" t="str">
        <f>+F6</f>
        <v>Revenue</v>
      </c>
      <c r="P6" s="111"/>
      <c r="Q6" s="111"/>
      <c r="R6" s="111"/>
    </row>
    <row r="7" spans="1:18" s="16" customFormat="1" ht="11.25">
      <c r="A7" s="15" t="s">
        <v>5</v>
      </c>
      <c r="B7" s="12" t="s">
        <v>6</v>
      </c>
      <c r="C7" s="12"/>
      <c r="D7" s="12" t="s">
        <v>3</v>
      </c>
      <c r="E7" s="12"/>
      <c r="F7" s="12" t="s">
        <v>7</v>
      </c>
      <c r="G7" s="12"/>
      <c r="H7" s="12"/>
      <c r="I7" s="12"/>
      <c r="J7" s="12" t="s">
        <v>6</v>
      </c>
      <c r="K7" s="12"/>
      <c r="L7" s="111"/>
      <c r="M7" s="111"/>
      <c r="N7" s="111"/>
      <c r="O7" s="138" t="str">
        <f>+F7</f>
        <v>per Customer</v>
      </c>
      <c r="P7" s="111"/>
      <c r="Q7" s="111"/>
      <c r="R7" s="111"/>
    </row>
    <row r="8" spans="1:18" s="16" customFormat="1" ht="11.25">
      <c r="A8" s="125">
        <f>'Single Family'!$C$6</f>
        <v>44682</v>
      </c>
      <c r="B8" s="163">
        <v>19710</v>
      </c>
      <c r="C8" s="112"/>
      <c r="D8" s="113">
        <f>Value!O6</f>
        <v>13818.234624480003</v>
      </c>
      <c r="E8" s="112"/>
      <c r="F8" s="16">
        <f aca="true" t="shared" si="0" ref="F8:F16">ROUND(D8/B8,2)</f>
        <v>0.7</v>
      </c>
      <c r="G8" s="112"/>
      <c r="H8" s="112"/>
      <c r="I8" s="112"/>
      <c r="J8" s="14">
        <f>+B8</f>
        <v>19710</v>
      </c>
      <c r="K8" s="13">
        <f>YEAR(A8)</f>
        <v>2022</v>
      </c>
      <c r="L8" s="111"/>
      <c r="M8" s="111"/>
      <c r="N8" s="111"/>
      <c r="O8" s="139">
        <f>VLOOKUP(A8,Value!$A$6:$O$17,13,FALSE)</f>
        <v>27636.469248960006</v>
      </c>
      <c r="P8" s="111"/>
      <c r="Q8" s="111"/>
      <c r="R8" s="111"/>
    </row>
    <row r="9" spans="1:18" s="16" customFormat="1" ht="11.25">
      <c r="A9" s="17">
        <f>EOMONTH(A8,1)</f>
        <v>44742</v>
      </c>
      <c r="B9" s="164">
        <v>19693</v>
      </c>
      <c r="C9" s="20"/>
      <c r="D9" s="113">
        <f>Value!O7</f>
        <v>13858.311889968</v>
      </c>
      <c r="E9" s="14"/>
      <c r="F9" s="16">
        <f t="shared" si="0"/>
        <v>0.7</v>
      </c>
      <c r="G9" s="14"/>
      <c r="H9" s="14"/>
      <c r="I9" s="14"/>
      <c r="J9" s="14">
        <f>+B9</f>
        <v>19693</v>
      </c>
      <c r="K9" s="13">
        <f>YEAR(A9)</f>
        <v>2022</v>
      </c>
      <c r="L9" s="111"/>
      <c r="M9" s="111"/>
      <c r="N9" s="111"/>
      <c r="O9" s="139">
        <f>VLOOKUP(A9,Value!$A$6:$O$17,13,FALSE)</f>
        <v>27716.623779936</v>
      </c>
      <c r="P9" s="111"/>
      <c r="Q9" s="111"/>
      <c r="R9" s="111"/>
    </row>
    <row r="10" spans="1:18" s="16" customFormat="1" ht="11.25">
      <c r="A10" s="17">
        <f>EOMONTH(A9,1)</f>
        <v>44773</v>
      </c>
      <c r="B10" s="164">
        <v>19689</v>
      </c>
      <c r="C10" s="14"/>
      <c r="D10" s="113">
        <f>Value!O8</f>
        <v>10849.515744240001</v>
      </c>
      <c r="E10" s="14"/>
      <c r="F10" s="16">
        <f t="shared" si="0"/>
        <v>0.55</v>
      </c>
      <c r="G10" s="14"/>
      <c r="H10" s="14"/>
      <c r="I10" s="14"/>
      <c r="J10" s="14">
        <f>+B10</f>
        <v>19689</v>
      </c>
      <c r="K10" s="13">
        <f>YEAR(A10)</f>
        <v>2022</v>
      </c>
      <c r="L10" s="111"/>
      <c r="M10" s="111"/>
      <c r="N10" s="111"/>
      <c r="O10" s="139">
        <f>VLOOKUP(A10,Value!$A$6:$O$17,13,FALSE)</f>
        <v>21699.031488480003</v>
      </c>
      <c r="P10" s="111"/>
      <c r="Q10" s="111"/>
      <c r="R10" s="111"/>
    </row>
    <row r="11" spans="1:18" s="16" customFormat="1" ht="11.25">
      <c r="A11" s="17"/>
      <c r="B11" s="23"/>
      <c r="C11" s="14"/>
      <c r="D11" s="113"/>
      <c r="E11" s="14"/>
      <c r="G11" s="23"/>
      <c r="H11" s="23"/>
      <c r="I11" s="14"/>
      <c r="J11" s="14"/>
      <c r="K11" s="13"/>
      <c r="L11" s="111"/>
      <c r="M11" s="111"/>
      <c r="N11" s="111"/>
      <c r="O11" s="139"/>
      <c r="P11" s="111"/>
      <c r="Q11" s="111"/>
      <c r="R11" s="111"/>
    </row>
    <row r="12" spans="1:18" s="16" customFormat="1" ht="11.25">
      <c r="A12" s="17" t="s">
        <v>118</v>
      </c>
      <c r="B12" s="166">
        <f>SUM(B8:B10)</f>
        <v>59092</v>
      </c>
      <c r="C12" s="14"/>
      <c r="D12" s="167">
        <f>SUM(D8:D10)</f>
        <v>38526.062258688005</v>
      </c>
      <c r="E12" s="14"/>
      <c r="G12" s="23"/>
      <c r="H12" s="23"/>
      <c r="I12" s="14"/>
      <c r="J12" s="14"/>
      <c r="K12" s="13"/>
      <c r="L12" s="111"/>
      <c r="M12" s="111"/>
      <c r="N12" s="111"/>
      <c r="O12" s="139"/>
      <c r="P12" s="111"/>
      <c r="Q12" s="111"/>
      <c r="R12" s="111"/>
    </row>
    <row r="13" spans="1:18" s="16" customFormat="1" ht="11.25">
      <c r="A13" s="17"/>
      <c r="B13" s="23"/>
      <c r="C13" s="14"/>
      <c r="D13" s="113"/>
      <c r="E13" s="14"/>
      <c r="G13" s="23"/>
      <c r="H13" s="23"/>
      <c r="I13" s="14"/>
      <c r="J13" s="14"/>
      <c r="K13" s="13"/>
      <c r="L13" s="111"/>
      <c r="M13" s="111"/>
      <c r="N13" s="111"/>
      <c r="O13" s="139"/>
      <c r="P13" s="111"/>
      <c r="Q13" s="111"/>
      <c r="R13" s="111"/>
    </row>
    <row r="14" spans="1:18" s="16" customFormat="1" ht="11.25">
      <c r="A14" s="17">
        <f>EOMONTH(A10,1)</f>
        <v>44804</v>
      </c>
      <c r="B14" s="164">
        <v>19617</v>
      </c>
      <c r="C14" s="14"/>
      <c r="D14" s="113">
        <f>Value!O9</f>
        <v>9343.225996477</v>
      </c>
      <c r="E14" s="14"/>
      <c r="F14" s="16">
        <f t="shared" si="0"/>
        <v>0.48</v>
      </c>
      <c r="G14" s="23"/>
      <c r="H14" s="23"/>
      <c r="I14" s="14"/>
      <c r="J14" s="14">
        <f aca="true" t="shared" si="1" ref="J14:J22">+B14</f>
        <v>19617</v>
      </c>
      <c r="K14" s="13">
        <f aca="true" t="shared" si="2" ref="K14:K22">YEAR(A14)</f>
        <v>2022</v>
      </c>
      <c r="L14" s="111"/>
      <c r="M14" s="111"/>
      <c r="N14" s="111"/>
      <c r="O14" s="139">
        <f>VLOOKUP(A14,Value!$A$6:$O$17,13,FALSE)</f>
        <v>18686.451992954</v>
      </c>
      <c r="P14" s="111"/>
      <c r="Q14" s="111">
        <v>18479</v>
      </c>
      <c r="R14" s="111"/>
    </row>
    <row r="15" spans="1:18" s="16" customFormat="1" ht="11.25">
      <c r="A15" s="17">
        <f aca="true" t="shared" si="3" ref="A15:A22">EOMONTH(A14,1)</f>
        <v>44834</v>
      </c>
      <c r="B15" s="164">
        <v>19594</v>
      </c>
      <c r="C15" s="14"/>
      <c r="D15" s="113">
        <f>Value!O10</f>
        <v>-868.9553832960014</v>
      </c>
      <c r="E15" s="14"/>
      <c r="F15" s="16">
        <f t="shared" si="0"/>
        <v>-0.04</v>
      </c>
      <c r="G15" s="23"/>
      <c r="H15" s="23"/>
      <c r="I15" s="14"/>
      <c r="J15" s="14">
        <f t="shared" si="1"/>
        <v>19594</v>
      </c>
      <c r="K15" s="13">
        <f t="shared" si="2"/>
        <v>2022</v>
      </c>
      <c r="L15" s="111"/>
      <c r="M15" s="111"/>
      <c r="N15" s="111"/>
      <c r="O15" s="139">
        <f>VLOOKUP(A15,Value!$A$6:$O$17,13,FALSE)</f>
        <v>-1737.9107665920028</v>
      </c>
      <c r="P15" s="111"/>
      <c r="Q15" s="111">
        <v>18474</v>
      </c>
      <c r="R15" s="111"/>
    </row>
    <row r="16" spans="1:18" s="16" customFormat="1" ht="11.25">
      <c r="A16" s="17">
        <f t="shared" si="3"/>
        <v>44865</v>
      </c>
      <c r="B16" s="164">
        <v>19639</v>
      </c>
      <c r="C16" s="14"/>
      <c r="D16" s="113">
        <f>Value!O11</f>
        <v>-2274.691746400999</v>
      </c>
      <c r="E16" s="14"/>
      <c r="F16" s="16">
        <f t="shared" si="0"/>
        <v>-0.12</v>
      </c>
      <c r="G16" s="23"/>
      <c r="H16" s="23"/>
      <c r="I16" s="14"/>
      <c r="J16" s="14">
        <f t="shared" si="1"/>
        <v>19639</v>
      </c>
      <c r="K16" s="13">
        <f t="shared" si="2"/>
        <v>2022</v>
      </c>
      <c r="L16" s="111"/>
      <c r="M16" s="111"/>
      <c r="N16" s="111"/>
      <c r="O16" s="139">
        <f>VLOOKUP(A16,Value!$A$6:$O$17,13,FALSE)</f>
        <v>-4549.383492801998</v>
      </c>
      <c r="P16" s="111"/>
      <c r="Q16" s="111">
        <v>18393</v>
      </c>
      <c r="R16" s="111"/>
    </row>
    <row r="17" spans="1:18" s="16" customFormat="1" ht="11.25">
      <c r="A17" s="17">
        <f>EOMONTH(A16,1)</f>
        <v>44895</v>
      </c>
      <c r="B17" s="164">
        <v>19668</v>
      </c>
      <c r="C17" s="14"/>
      <c r="D17" s="113">
        <f>Value!O12</f>
        <v>1156.4752990230008</v>
      </c>
      <c r="E17" s="14"/>
      <c r="F17" s="16">
        <f aca="true" t="shared" si="4" ref="F17:F22">ROUND(D17/B17,2)</f>
        <v>0.06</v>
      </c>
      <c r="G17" s="23"/>
      <c r="H17" s="23"/>
      <c r="I17" s="14"/>
      <c r="J17" s="14">
        <f t="shared" si="1"/>
        <v>19668</v>
      </c>
      <c r="K17" s="13">
        <f t="shared" si="2"/>
        <v>2022</v>
      </c>
      <c r="L17" s="111"/>
      <c r="M17" s="111"/>
      <c r="N17" s="111"/>
      <c r="O17" s="139">
        <f>VLOOKUP(A17,Value!$A$6:$O$17,13,FALSE)</f>
        <v>2312.9505980460017</v>
      </c>
      <c r="P17" s="111"/>
      <c r="Q17" s="111">
        <v>18459</v>
      </c>
      <c r="R17" s="111"/>
    </row>
    <row r="18" spans="1:18" s="16" customFormat="1" ht="11.25">
      <c r="A18" s="17">
        <f t="shared" si="3"/>
        <v>44926</v>
      </c>
      <c r="B18" s="164">
        <v>19659</v>
      </c>
      <c r="C18" s="14"/>
      <c r="D18" s="113">
        <f>Value!O13</f>
        <v>307.21917556200015</v>
      </c>
      <c r="E18" s="14"/>
      <c r="F18" s="16">
        <f t="shared" si="4"/>
        <v>0.02</v>
      </c>
      <c r="G18" s="23"/>
      <c r="H18" s="23"/>
      <c r="I18" s="14"/>
      <c r="J18" s="14">
        <f t="shared" si="1"/>
        <v>19659</v>
      </c>
      <c r="K18" s="13">
        <f t="shared" si="2"/>
        <v>2022</v>
      </c>
      <c r="L18" s="111"/>
      <c r="M18" s="111"/>
      <c r="N18" s="111"/>
      <c r="O18" s="139">
        <f>VLOOKUP(A18,Value!$A$6:$O$17,13,FALSE)</f>
        <v>614.4383511240003</v>
      </c>
      <c r="P18" s="111"/>
      <c r="Q18" s="111">
        <v>18558</v>
      </c>
      <c r="R18" s="111"/>
    </row>
    <row r="19" spans="1:26" s="16" customFormat="1" ht="11.25">
      <c r="A19" s="17">
        <f t="shared" si="3"/>
        <v>44957</v>
      </c>
      <c r="B19" s="164">
        <v>19691</v>
      </c>
      <c r="C19" s="14"/>
      <c r="D19" s="113">
        <f>Value!O14</f>
        <v>5642.817984153</v>
      </c>
      <c r="E19" s="14"/>
      <c r="F19" s="16">
        <f t="shared" si="4"/>
        <v>0.29</v>
      </c>
      <c r="G19" s="23"/>
      <c r="H19" s="23"/>
      <c r="I19" s="14"/>
      <c r="J19" s="14">
        <f t="shared" si="1"/>
        <v>19691</v>
      </c>
      <c r="K19" s="13">
        <f t="shared" si="2"/>
        <v>2023</v>
      </c>
      <c r="L19" s="111"/>
      <c r="M19" s="111"/>
      <c r="N19" s="111"/>
      <c r="O19" s="139">
        <f>VLOOKUP(A19,Value!$A$6:$O$17,13,FALSE)</f>
        <v>11285.635968306</v>
      </c>
      <c r="P19" s="111"/>
      <c r="Q19" s="111"/>
      <c r="R19" s="111"/>
      <c r="Y19" s="14"/>
      <c r="Z19" s="14"/>
    </row>
    <row r="20" spans="1:28" s="16" customFormat="1" ht="11.25">
      <c r="A20" s="17">
        <f t="shared" si="3"/>
        <v>44985</v>
      </c>
      <c r="B20" s="164">
        <v>19707</v>
      </c>
      <c r="C20" s="14"/>
      <c r="D20" s="113">
        <f>Value!O15</f>
        <v>6303.491745543999</v>
      </c>
      <c r="E20" s="14"/>
      <c r="F20" s="16">
        <f t="shared" si="4"/>
        <v>0.32</v>
      </c>
      <c r="G20" s="23"/>
      <c r="H20" s="23"/>
      <c r="I20" s="14"/>
      <c r="J20" s="14">
        <f t="shared" si="1"/>
        <v>19707</v>
      </c>
      <c r="K20" s="13">
        <f t="shared" si="2"/>
        <v>2023</v>
      </c>
      <c r="L20" s="35"/>
      <c r="M20" s="111"/>
      <c r="N20" s="111"/>
      <c r="O20" s="139">
        <f>VLOOKUP(A20,Value!$A$6:$O$17,13,FALSE)</f>
        <v>12606.983491087998</v>
      </c>
      <c r="P20" s="35"/>
      <c r="Q20" s="35"/>
      <c r="R20" s="35"/>
      <c r="S20" s="14"/>
      <c r="T20" s="14"/>
      <c r="U20" s="14"/>
      <c r="V20" s="14"/>
      <c r="W20" s="14"/>
      <c r="X20" s="14"/>
      <c r="Z20" s="14"/>
      <c r="AB20" s="14"/>
    </row>
    <row r="21" spans="1:18" s="16" customFormat="1" ht="11.25">
      <c r="A21" s="17">
        <f t="shared" si="3"/>
        <v>45016</v>
      </c>
      <c r="B21" s="164">
        <v>19740</v>
      </c>
      <c r="C21" s="14"/>
      <c r="D21" s="113">
        <f>Value!O16</f>
        <v>7731.4737479</v>
      </c>
      <c r="E21" s="14"/>
      <c r="F21" s="16">
        <f t="shared" si="4"/>
        <v>0.39</v>
      </c>
      <c r="G21" s="23"/>
      <c r="H21" s="23"/>
      <c r="I21" s="14"/>
      <c r="J21" s="14">
        <f t="shared" si="1"/>
        <v>19740</v>
      </c>
      <c r="K21" s="13">
        <f t="shared" si="2"/>
        <v>2023</v>
      </c>
      <c r="L21" s="111"/>
      <c r="M21" s="111"/>
      <c r="N21" s="111"/>
      <c r="O21" s="139">
        <f>VLOOKUP(A21,Value!$A$6:$O$17,13,FALSE)</f>
        <v>15462.9474958</v>
      </c>
      <c r="P21" s="111"/>
      <c r="Q21" s="111"/>
      <c r="R21" s="111"/>
    </row>
    <row r="22" spans="1:18" s="16" customFormat="1" ht="11.25">
      <c r="A22" s="17">
        <f t="shared" si="3"/>
        <v>45046</v>
      </c>
      <c r="B22" s="164">
        <v>19713</v>
      </c>
      <c r="C22" s="14"/>
      <c r="D22" s="113">
        <f>Value!O17</f>
        <v>6883.856447530861</v>
      </c>
      <c r="E22" s="14"/>
      <c r="F22" s="16">
        <f t="shared" si="4"/>
        <v>0.35</v>
      </c>
      <c r="G22" s="23"/>
      <c r="H22" s="23"/>
      <c r="I22" s="14"/>
      <c r="J22" s="14">
        <f t="shared" si="1"/>
        <v>19713</v>
      </c>
      <c r="K22" s="13">
        <f t="shared" si="2"/>
        <v>2023</v>
      </c>
      <c r="L22" s="111"/>
      <c r="M22" s="111"/>
      <c r="N22" s="111"/>
      <c r="O22" s="139">
        <f>VLOOKUP(A22,Value!$A$6:$O$17,13,FALSE)</f>
        <v>13767.712895061723</v>
      </c>
      <c r="P22" s="111"/>
      <c r="Q22" s="111"/>
      <c r="R22" s="111"/>
    </row>
    <row r="23" spans="1:18" s="16" customFormat="1" ht="11.25">
      <c r="A23" s="17"/>
      <c r="B23" s="14"/>
      <c r="C23" s="14"/>
      <c r="E23" s="14"/>
      <c r="G23" s="14"/>
      <c r="H23" s="14"/>
      <c r="I23" s="14"/>
      <c r="J23" s="14"/>
      <c r="K23" s="13"/>
      <c r="L23" s="111"/>
      <c r="M23" s="111"/>
      <c r="N23" s="111"/>
      <c r="O23" s="140"/>
      <c r="Q23" s="111"/>
      <c r="R23" s="111"/>
    </row>
    <row r="24" spans="1:18" s="16" customFormat="1" ht="11.25">
      <c r="A24" s="17" t="s">
        <v>119</v>
      </c>
      <c r="B24" s="21">
        <f>SUM(B14:B22)</f>
        <v>177028</v>
      </c>
      <c r="D24" s="168">
        <f>SUM(D14:D22)</f>
        <v>34224.91326649286</v>
      </c>
      <c r="E24" s="14"/>
      <c r="G24" s="14"/>
      <c r="H24" s="14"/>
      <c r="I24" s="14"/>
      <c r="J24" s="14"/>
      <c r="K24" s="13"/>
      <c r="L24" s="111"/>
      <c r="M24" s="111"/>
      <c r="N24" s="111"/>
      <c r="O24" s="140"/>
      <c r="P24" s="141" t="s">
        <v>78</v>
      </c>
      <c r="Q24" s="111"/>
      <c r="R24" s="111"/>
    </row>
    <row r="25" spans="4:18" ht="12.75">
      <c r="D25" s="25"/>
      <c r="L25" s="118"/>
      <c r="M25" s="118"/>
      <c r="N25" s="118"/>
      <c r="O25" s="140">
        <f>SUM(O8:O24)</f>
        <v>145501.95105036173</v>
      </c>
      <c r="P25" s="118"/>
      <c r="Q25" s="118"/>
      <c r="R25" s="118"/>
    </row>
    <row r="26" spans="1:18" s="16" customFormat="1" ht="12" thickBot="1">
      <c r="A26" s="17" t="s">
        <v>89</v>
      </c>
      <c r="B26" s="27">
        <f>B12+B24</f>
        <v>236120</v>
      </c>
      <c r="C26" s="20" t="s">
        <v>9</v>
      </c>
      <c r="D26" s="169">
        <f>D12+D24</f>
        <v>72750.97552518087</v>
      </c>
      <c r="E26" s="20" t="s">
        <v>10</v>
      </c>
      <c r="F26" s="23">
        <f>ROUND(D26/B26,3)</f>
        <v>0.308</v>
      </c>
      <c r="G26" s="20" t="s">
        <v>11</v>
      </c>
      <c r="H26" s="20"/>
      <c r="I26" s="14"/>
      <c r="J26" s="27">
        <f>SUM(J8:J25)</f>
        <v>236120</v>
      </c>
      <c r="K26" s="20" t="s">
        <v>12</v>
      </c>
      <c r="L26" s="111"/>
      <c r="M26" s="111"/>
      <c r="N26" s="111"/>
      <c r="O26" s="143">
        <f>ROUND(O25/J26,3)</f>
        <v>0.616</v>
      </c>
      <c r="P26" s="111" t="s">
        <v>77</v>
      </c>
      <c r="Q26" s="111"/>
      <c r="R26" s="111"/>
    </row>
    <row r="27" spans="2:18" s="16" customFormat="1" ht="12" thickTop="1">
      <c r="B27" s="14"/>
      <c r="C27" s="14"/>
      <c r="D27" s="14"/>
      <c r="E27" s="14"/>
      <c r="F27" s="14"/>
      <c r="G27" s="14"/>
      <c r="H27" s="14"/>
      <c r="I27" s="14"/>
      <c r="J27" s="14"/>
      <c r="K27" s="14"/>
      <c r="L27" s="111"/>
      <c r="M27" s="111"/>
      <c r="N27" s="111"/>
      <c r="O27" s="149">
        <f>+J22</f>
        <v>19713</v>
      </c>
      <c r="P27" s="111" t="s">
        <v>79</v>
      </c>
      <c r="Q27" s="111"/>
      <c r="R27" s="111"/>
    </row>
    <row r="28" spans="2:18" s="16" customFormat="1" ht="11.25">
      <c r="B28" s="14"/>
      <c r="C28" s="14"/>
      <c r="D28" s="14"/>
      <c r="E28" s="14"/>
      <c r="F28" s="14"/>
      <c r="G28" s="14"/>
      <c r="H28" s="14"/>
      <c r="I28" s="14"/>
      <c r="J28" s="14"/>
      <c r="K28" s="14"/>
      <c r="L28" s="111"/>
      <c r="M28" s="111"/>
      <c r="N28" s="111"/>
      <c r="O28" s="162"/>
      <c r="P28" s="111"/>
      <c r="Q28" s="111"/>
      <c r="R28" s="111"/>
    </row>
    <row r="29" spans="2:18" s="16" customFormat="1" ht="11.25">
      <c r="B29" s="14"/>
      <c r="C29" s="14"/>
      <c r="D29" s="14"/>
      <c r="E29" s="14"/>
      <c r="F29" s="14"/>
      <c r="G29" s="14"/>
      <c r="H29" s="14"/>
      <c r="I29" s="14"/>
      <c r="J29" s="14"/>
      <c r="K29" s="14"/>
      <c r="L29" s="111"/>
      <c r="M29" s="111"/>
      <c r="N29" s="111"/>
      <c r="O29" s="111"/>
      <c r="P29" s="111" t="s">
        <v>80</v>
      </c>
      <c r="Q29" s="111"/>
      <c r="R29" s="111"/>
    </row>
    <row r="30" spans="2:18" s="16" customFormat="1" ht="12" thickBot="1">
      <c r="B30" s="29" t="s">
        <v>94</v>
      </c>
      <c r="C30" s="30"/>
      <c r="D30" s="30"/>
      <c r="E30" s="30"/>
      <c r="F30" s="14"/>
      <c r="G30" s="14"/>
      <c r="H30" s="14"/>
      <c r="I30" s="14"/>
      <c r="J30" s="14"/>
      <c r="K30" s="14"/>
      <c r="L30" s="111"/>
      <c r="M30" s="111"/>
      <c r="N30" s="111"/>
      <c r="O30" s="111"/>
      <c r="P30" s="111"/>
      <c r="Q30" s="111"/>
      <c r="R30" s="111"/>
    </row>
    <row r="31" spans="1:25" s="16" customFormat="1" ht="12" thickTop="1">
      <c r="A31" s="6"/>
      <c r="B31" s="31"/>
      <c r="C31" s="14"/>
      <c r="D31" s="14"/>
      <c r="E31" s="14"/>
      <c r="F31" s="14"/>
      <c r="G31" s="14"/>
      <c r="H31" s="14"/>
      <c r="I31" s="14"/>
      <c r="J31" s="14"/>
      <c r="K31" s="14"/>
      <c r="X31" s="14"/>
      <c r="Y31" s="14"/>
    </row>
    <row r="32" spans="1:11" s="16" customFormat="1" ht="11.25">
      <c r="A32" s="8"/>
      <c r="B32" s="31"/>
      <c r="C32" s="14"/>
      <c r="D32" s="14"/>
      <c r="E32" s="14"/>
      <c r="F32" s="32" t="s">
        <v>14</v>
      </c>
      <c r="G32" s="14">
        <f>D26</f>
        <v>72750.97552518087</v>
      </c>
      <c r="H32" s="20" t="s">
        <v>10</v>
      </c>
      <c r="I32" s="14"/>
      <c r="J32" s="14"/>
      <c r="K32" s="14"/>
    </row>
    <row r="33" spans="1:27" s="13" customFormat="1" ht="11.25">
      <c r="A33" s="33"/>
      <c r="B33" s="31"/>
      <c r="C33" s="14"/>
      <c r="D33" s="14"/>
      <c r="E33" s="14"/>
      <c r="F33" s="14"/>
      <c r="G33" s="14"/>
      <c r="H33" s="20"/>
      <c r="I33" s="14"/>
      <c r="J33" s="14"/>
      <c r="K33" s="14"/>
      <c r="O33" s="16">
        <f>6*O27*O26</f>
        <v>72859.24799999999</v>
      </c>
      <c r="P33" s="13" t="s">
        <v>82</v>
      </c>
      <c r="W33" s="14"/>
      <c r="X33" s="16"/>
      <c r="Y33" s="16"/>
      <c r="AA33" s="14"/>
    </row>
    <row r="34" spans="2:16" s="16" customFormat="1" ht="11.25">
      <c r="B34" s="14" t="s">
        <v>15</v>
      </c>
      <c r="C34" s="14"/>
      <c r="D34" s="14"/>
      <c r="E34" s="14"/>
      <c r="F34" s="34">
        <v>0.344</v>
      </c>
      <c r="G34" s="14"/>
      <c r="H34" s="14"/>
      <c r="I34" s="14"/>
      <c r="J34" s="14"/>
      <c r="K34" s="14"/>
      <c r="O34" s="16">
        <f>6*O27*G57</f>
        <v>36429.623999999996</v>
      </c>
      <c r="P34" s="16" t="s">
        <v>83</v>
      </c>
    </row>
    <row r="35" spans="2:15" s="16" customFormat="1" ht="11.25">
      <c r="B35" s="14"/>
      <c r="C35" s="14" t="str">
        <f>"Customers from "&amp;TEXT($A$8,"mm/yy")&amp;" - "&amp;TEXT($A$10,"mm/yy")</f>
        <v>Customers from 05/22 - 07/22</v>
      </c>
      <c r="D35" s="14"/>
      <c r="E35" s="14"/>
      <c r="F35" s="35">
        <f>B12</f>
        <v>59092</v>
      </c>
      <c r="G35" s="20" t="s">
        <v>8</v>
      </c>
      <c r="H35" s="14"/>
      <c r="I35" s="14"/>
      <c r="J35" s="14"/>
      <c r="K35" s="14"/>
      <c r="O35" s="144">
        <f>+O34/O33</f>
        <v>0.5</v>
      </c>
    </row>
    <row r="36" spans="2:11" s="16" customFormat="1" ht="11.25">
      <c r="B36" s="14"/>
      <c r="C36" s="14" t="s">
        <v>16</v>
      </c>
      <c r="D36" s="14"/>
      <c r="E36" s="14"/>
      <c r="F36" s="21">
        <f>ROUND(F34*F35,0)</f>
        <v>20328</v>
      </c>
      <c r="G36" s="20"/>
      <c r="H36" s="14"/>
      <c r="I36" s="14"/>
      <c r="J36" s="14"/>
      <c r="K36" s="14"/>
    </row>
    <row r="37" spans="2:11" s="16" customFormat="1" ht="11.25">
      <c r="B37" s="14"/>
      <c r="C37" s="14"/>
      <c r="D37" s="14"/>
      <c r="E37" s="14"/>
      <c r="F37" s="35"/>
      <c r="G37" s="20"/>
      <c r="H37" s="14"/>
      <c r="I37" s="14"/>
      <c r="J37" s="14"/>
      <c r="K37" s="14"/>
    </row>
    <row r="38" spans="2:11" s="16" customFormat="1" ht="11.25">
      <c r="B38" s="14" t="s">
        <v>15</v>
      </c>
      <c r="C38" s="14"/>
      <c r="D38" s="14"/>
      <c r="E38" s="14"/>
      <c r="F38" s="34">
        <v>0.847</v>
      </c>
      <c r="G38" s="14"/>
      <c r="H38" s="14"/>
      <c r="I38" s="14"/>
      <c r="J38" s="14"/>
      <c r="K38" s="14"/>
    </row>
    <row r="39" spans="2:17" s="16" customFormat="1" ht="11.25">
      <c r="B39" s="14"/>
      <c r="C39" s="14" t="str">
        <f>"Customers from "&amp;TEXT($A$14,"mm/yy")&amp;" - "&amp;TEXT($A$22,"mm/yy")</f>
        <v>Customers from 08/22 - 04/23</v>
      </c>
      <c r="D39" s="14"/>
      <c r="E39" s="14"/>
      <c r="F39" s="14">
        <f>B24</f>
        <v>177028</v>
      </c>
      <c r="G39" s="20" t="s">
        <v>9</v>
      </c>
      <c r="H39" s="14"/>
      <c r="I39" s="14"/>
      <c r="J39" s="14"/>
      <c r="K39" s="14"/>
      <c r="L39" s="14"/>
      <c r="M39" s="14"/>
      <c r="N39" s="14"/>
      <c r="O39" s="14"/>
      <c r="P39" s="14"/>
      <c r="Q39" s="14"/>
    </row>
    <row r="40" spans="2:17" s="16" customFormat="1" ht="11.25">
      <c r="B40" s="14"/>
      <c r="C40" s="14" t="s">
        <v>16</v>
      </c>
      <c r="D40" s="14"/>
      <c r="E40" s="14"/>
      <c r="F40" s="21">
        <f>ROUND(F38*F39,0)</f>
        <v>149943</v>
      </c>
      <c r="G40" s="20"/>
      <c r="H40" s="14"/>
      <c r="I40" s="14"/>
      <c r="J40" s="14"/>
      <c r="K40" s="14"/>
      <c r="L40" s="14"/>
      <c r="M40" s="14"/>
      <c r="N40" s="14"/>
      <c r="O40" s="14"/>
      <c r="P40" s="14"/>
      <c r="Q40" s="14"/>
    </row>
    <row r="41" spans="2:17" s="16" customFormat="1" ht="11.25">
      <c r="B41" s="14"/>
      <c r="C41" s="14"/>
      <c r="D41" s="14"/>
      <c r="E41" s="14"/>
      <c r="F41" s="36"/>
      <c r="G41" s="20"/>
      <c r="H41" s="14"/>
      <c r="I41" s="14"/>
      <c r="J41" s="14"/>
      <c r="K41" s="14"/>
      <c r="L41" s="14"/>
      <c r="M41" s="14"/>
      <c r="N41" s="14"/>
      <c r="O41" s="14"/>
      <c r="P41" s="14"/>
      <c r="Q41" s="14"/>
    </row>
    <row r="42" spans="2:17" s="16" customFormat="1" ht="12" thickBot="1">
      <c r="B42" s="14"/>
      <c r="C42" s="14" t="s">
        <v>17</v>
      </c>
      <c r="D42" s="14"/>
      <c r="E42" s="14"/>
      <c r="F42" s="27">
        <f>+F36+F40</f>
        <v>170271</v>
      </c>
      <c r="G42" s="37">
        <f>+F42</f>
        <v>170271</v>
      </c>
      <c r="H42" s="14"/>
      <c r="I42" s="14"/>
      <c r="J42" s="14"/>
      <c r="K42" s="14"/>
      <c r="L42" s="14"/>
      <c r="M42" s="14"/>
      <c r="N42" s="14"/>
      <c r="O42" s="14"/>
      <c r="P42" s="14"/>
      <c r="Q42" s="14"/>
    </row>
    <row r="43" spans="2:11" s="16" customFormat="1" ht="12" thickTop="1">
      <c r="B43" s="14"/>
      <c r="C43" s="14"/>
      <c r="D43" s="14"/>
      <c r="E43" s="14"/>
      <c r="F43" s="14"/>
      <c r="G43" s="14"/>
      <c r="H43" s="14"/>
      <c r="I43" s="14"/>
      <c r="J43" s="14"/>
      <c r="K43" s="14"/>
    </row>
    <row r="44" spans="2:11" s="16" customFormat="1" ht="11.25">
      <c r="B44" s="14"/>
      <c r="C44" s="14"/>
      <c r="D44" s="14"/>
      <c r="E44" s="14"/>
      <c r="F44" s="14"/>
      <c r="G44" s="14"/>
      <c r="H44" s="14"/>
      <c r="I44" s="14"/>
      <c r="J44" s="14"/>
      <c r="K44" s="14"/>
    </row>
    <row r="45" spans="2:11" s="16" customFormat="1" ht="12" thickBot="1">
      <c r="B45" s="14"/>
      <c r="C45" s="14"/>
      <c r="D45" s="14"/>
      <c r="E45" s="14"/>
      <c r="F45" s="32" t="s">
        <v>92</v>
      </c>
      <c r="G45" s="38">
        <f>G32-G42</f>
        <v>-97520.02447481913</v>
      </c>
      <c r="H45" s="14"/>
      <c r="I45" s="14"/>
      <c r="J45" s="14"/>
      <c r="K45" s="14"/>
    </row>
    <row r="46" spans="2:25" s="16" customFormat="1" ht="12" thickTop="1">
      <c r="B46" s="14"/>
      <c r="C46" s="14"/>
      <c r="D46" s="14"/>
      <c r="E46" s="14"/>
      <c r="F46" s="14"/>
      <c r="G46" s="14"/>
      <c r="H46" s="14"/>
      <c r="I46" s="14"/>
      <c r="J46" s="14"/>
      <c r="K46" s="14"/>
      <c r="Y46" s="14"/>
    </row>
    <row r="47" spans="2:11" s="16" customFormat="1" ht="11.25">
      <c r="B47" s="14"/>
      <c r="C47" s="14"/>
      <c r="D47" s="14"/>
      <c r="E47" s="14"/>
      <c r="F47" s="14"/>
      <c r="G47" s="14"/>
      <c r="H47" s="14"/>
      <c r="I47" s="14"/>
      <c r="J47" s="14"/>
      <c r="K47" s="14"/>
    </row>
    <row r="48" spans="2:11" s="16" customFormat="1" ht="12" thickBot="1">
      <c r="B48" s="29" t="str">
        <f>$K$22+1&amp;" Recycle Adjustment Calculation"</f>
        <v>2024 Recycle Adjustment Calculation</v>
      </c>
      <c r="C48" s="30"/>
      <c r="D48" s="30"/>
      <c r="E48" s="30"/>
      <c r="F48" s="30"/>
      <c r="G48" s="14"/>
      <c r="H48" s="14"/>
      <c r="I48" s="14"/>
      <c r="J48" s="14"/>
      <c r="K48" s="14"/>
    </row>
    <row r="49" spans="2:27" s="16" customFormat="1" ht="12" thickTop="1">
      <c r="B49" s="31"/>
      <c r="C49" s="14"/>
      <c r="D49" s="14"/>
      <c r="E49" s="14"/>
      <c r="F49" s="14"/>
      <c r="G49" s="14"/>
      <c r="H49" s="14"/>
      <c r="I49" s="14"/>
      <c r="J49" s="14"/>
      <c r="K49" s="14"/>
      <c r="L49" s="14"/>
      <c r="M49" s="14"/>
      <c r="N49" s="14"/>
      <c r="O49" s="14"/>
      <c r="P49" s="14"/>
      <c r="Q49" s="14"/>
      <c r="R49" s="14"/>
      <c r="S49" s="14"/>
      <c r="T49" s="14"/>
      <c r="U49" s="14"/>
      <c r="V49" s="14"/>
      <c r="W49" s="14"/>
      <c r="AA49" s="14"/>
    </row>
    <row r="50" spans="2:11" s="16" customFormat="1" ht="11.25">
      <c r="B50" s="14" t="s">
        <v>86</v>
      </c>
      <c r="C50" s="14"/>
      <c r="D50" s="14"/>
      <c r="E50" s="14"/>
      <c r="F50" s="14"/>
      <c r="G50" s="14"/>
      <c r="H50" s="14"/>
      <c r="I50" s="14"/>
      <c r="J50" s="14"/>
      <c r="K50" s="14"/>
    </row>
    <row r="51" spans="2:11" s="16" customFormat="1" ht="11.25">
      <c r="B51" s="14"/>
      <c r="C51" s="14"/>
      <c r="D51" s="14"/>
      <c r="E51" s="14"/>
      <c r="F51" s="32" t="s">
        <v>20</v>
      </c>
      <c r="G51" s="14">
        <f>+J26</f>
        <v>236120</v>
      </c>
      <c r="H51" s="20" t="s">
        <v>12</v>
      </c>
      <c r="I51" s="14"/>
      <c r="J51" s="14"/>
      <c r="K51" s="14"/>
    </row>
    <row r="52" spans="2:11" s="16" customFormat="1" ht="11.25">
      <c r="B52" s="14"/>
      <c r="C52" s="14"/>
      <c r="D52" s="14"/>
      <c r="E52" s="14"/>
      <c r="F52" s="32" t="s">
        <v>18</v>
      </c>
      <c r="G52" s="14">
        <f>G45</f>
        <v>-97520.02447481913</v>
      </c>
      <c r="H52" s="14"/>
      <c r="I52" s="14"/>
      <c r="J52" s="14"/>
      <c r="K52" s="14"/>
    </row>
    <row r="53" spans="2:11" s="16" customFormat="1" ht="11.25">
      <c r="B53" s="14"/>
      <c r="C53" s="14"/>
      <c r="D53" s="14"/>
      <c r="E53" s="14"/>
      <c r="F53" s="32"/>
      <c r="G53" s="14"/>
      <c r="H53" s="14"/>
      <c r="I53" s="14"/>
      <c r="J53" s="14"/>
      <c r="K53" s="14"/>
    </row>
    <row r="54" spans="2:11" s="16" customFormat="1" ht="12" thickBot="1">
      <c r="B54" s="14"/>
      <c r="C54" s="14"/>
      <c r="D54" s="14"/>
      <c r="E54" s="14"/>
      <c r="F54" s="32" t="s">
        <v>120</v>
      </c>
      <c r="G54" s="39">
        <f>ROUND(G52/G51,3)</f>
        <v>-0.413</v>
      </c>
      <c r="H54" s="14"/>
      <c r="I54" s="23">
        <f>+G54</f>
        <v>-0.413</v>
      </c>
      <c r="J54" s="14"/>
      <c r="K54" s="14"/>
    </row>
    <row r="55" spans="2:25" s="16" customFormat="1" ht="12" thickTop="1">
      <c r="B55" s="14"/>
      <c r="C55" s="14"/>
      <c r="D55" s="14"/>
      <c r="E55" s="14"/>
      <c r="F55" s="32"/>
      <c r="G55" s="14"/>
      <c r="H55" s="14"/>
      <c r="I55" s="23"/>
      <c r="J55" s="14"/>
      <c r="K55" s="14"/>
      <c r="Y55" s="14"/>
    </row>
    <row r="56" spans="2:13" s="16" customFormat="1" ht="11.25">
      <c r="B56" s="14" t="s">
        <v>91</v>
      </c>
      <c r="C56" s="14"/>
      <c r="D56" s="14"/>
      <c r="E56" s="14"/>
      <c r="F56" s="32"/>
      <c r="G56" s="14"/>
      <c r="H56" s="14"/>
      <c r="I56" s="23"/>
      <c r="J56" s="14"/>
      <c r="K56" s="14"/>
      <c r="M56" s="159" t="s">
        <v>81</v>
      </c>
    </row>
    <row r="57" spans="2:13" s="16" customFormat="1" ht="12" thickBot="1">
      <c r="B57" s="31"/>
      <c r="C57" s="14"/>
      <c r="D57" s="14"/>
      <c r="E57" s="14"/>
      <c r="F57" s="32" t="s">
        <v>90</v>
      </c>
      <c r="G57" s="165">
        <f>F26</f>
        <v>0.308</v>
      </c>
      <c r="H57" s="14"/>
      <c r="I57" s="23">
        <f>+G57</f>
        <v>0.308</v>
      </c>
      <c r="J57" s="20" t="s">
        <v>11</v>
      </c>
      <c r="K57" s="14"/>
      <c r="M57" s="160">
        <v>0.5</v>
      </c>
    </row>
    <row r="58" spans="2:25" s="14" customFormat="1" ht="12" thickTop="1">
      <c r="B58" s="31"/>
      <c r="I58" s="23"/>
      <c r="M58" s="14" t="s">
        <v>30</v>
      </c>
      <c r="X58" s="16"/>
      <c r="Y58" s="16"/>
    </row>
    <row r="59" spans="2:11" s="16" customFormat="1" ht="12" thickBot="1">
      <c r="B59" s="14"/>
      <c r="C59" s="14"/>
      <c r="D59" s="14"/>
      <c r="E59" s="14"/>
      <c r="F59" s="14"/>
      <c r="G59" s="32" t="s">
        <v>121</v>
      </c>
      <c r="H59" s="27"/>
      <c r="I59" s="28">
        <f>+I54+I57</f>
        <v>-0.10499999999999998</v>
      </c>
      <c r="J59" s="14"/>
      <c r="K59" s="14"/>
    </row>
    <row r="60" s="16" customFormat="1" ht="12" thickTop="1">
      <c r="I60" s="23"/>
    </row>
    <row r="61" s="16" customFormat="1" ht="11.25">
      <c r="I61" s="23"/>
    </row>
    <row r="62" spans="1:10" s="16" customFormat="1" ht="11.25">
      <c r="A62" s="16" t="s">
        <v>122</v>
      </c>
      <c r="F62" s="111" t="s">
        <v>93</v>
      </c>
      <c r="I62" s="16">
        <f>+RSA!E24</f>
        <v>0.10556403421587306</v>
      </c>
      <c r="J62" s="16" t="s">
        <v>126</v>
      </c>
    </row>
    <row r="63" s="16" customFormat="1" ht="11.25"/>
    <row r="64" spans="1:6" s="16" customFormat="1" ht="11.25">
      <c r="A64" s="114"/>
      <c r="B64" s="35"/>
      <c r="C64" s="35"/>
      <c r="D64" s="111"/>
      <c r="E64" s="111"/>
      <c r="F64" s="111"/>
    </row>
    <row r="65" spans="1:9" s="16" customFormat="1" ht="12" thickBot="1">
      <c r="A65" s="114"/>
      <c r="B65" s="115"/>
      <c r="C65" s="35"/>
      <c r="D65" s="111"/>
      <c r="E65" s="111"/>
      <c r="F65" s="111"/>
      <c r="G65" s="32" t="str">
        <f>G59</f>
        <v>8/1/22 - 7/31/23 Adjusted Credit</v>
      </c>
      <c r="H65" s="27"/>
      <c r="I65" s="150">
        <f>I59+I62</f>
        <v>0.0005640342158730743</v>
      </c>
    </row>
    <row r="66" spans="1:6" s="16" customFormat="1" ht="12" thickTop="1">
      <c r="A66" s="114"/>
      <c r="B66" s="115"/>
      <c r="C66" s="35"/>
      <c r="D66" s="111"/>
      <c r="E66" s="111"/>
      <c r="F66" s="111"/>
    </row>
    <row r="67" spans="1:6" s="16" customFormat="1" ht="11.25">
      <c r="A67" s="114"/>
      <c r="B67" s="115"/>
      <c r="C67" s="35"/>
      <c r="D67" s="111"/>
      <c r="E67" s="111"/>
      <c r="F67" s="111"/>
    </row>
    <row r="68" spans="1:25" s="16" customFormat="1" ht="11.25">
      <c r="A68" s="114"/>
      <c r="B68" s="115"/>
      <c r="C68" s="35"/>
      <c r="D68" s="111"/>
      <c r="E68" s="111"/>
      <c r="F68" s="111"/>
      <c r="Y68" s="14"/>
    </row>
    <row r="69" spans="1:6" s="16" customFormat="1" ht="11.25">
      <c r="A69" s="114"/>
      <c r="B69" s="115"/>
      <c r="C69" s="35"/>
      <c r="D69" s="111"/>
      <c r="E69" s="111"/>
      <c r="F69" s="111"/>
    </row>
    <row r="70" spans="1:6" s="16" customFormat="1" ht="11.25">
      <c r="A70" s="114"/>
      <c r="B70" s="115"/>
      <c r="C70" s="35"/>
      <c r="D70" s="111"/>
      <c r="E70" s="111"/>
      <c r="F70" s="111"/>
    </row>
    <row r="71" spans="1:6" s="16" customFormat="1" ht="11.25">
      <c r="A71" s="114"/>
      <c r="B71" s="115"/>
      <c r="C71" s="35"/>
      <c r="D71" s="111"/>
      <c r="E71" s="111"/>
      <c r="F71" s="111"/>
    </row>
    <row r="72" spans="1:27" s="16" customFormat="1" ht="11.25">
      <c r="A72" s="114"/>
      <c r="B72" s="115"/>
      <c r="C72" s="35"/>
      <c r="D72" s="111"/>
      <c r="E72" s="117"/>
      <c r="F72" s="111"/>
      <c r="G72" s="14"/>
      <c r="H72" s="13"/>
      <c r="I72" s="14"/>
      <c r="J72" s="14"/>
      <c r="K72" s="13"/>
      <c r="L72" s="14"/>
      <c r="M72" s="14"/>
      <c r="N72" s="14"/>
      <c r="O72" s="14"/>
      <c r="P72" s="14"/>
      <c r="Q72" s="14"/>
      <c r="R72" s="14"/>
      <c r="S72" s="14"/>
      <c r="T72" s="14"/>
      <c r="U72" s="14"/>
      <c r="V72" s="13"/>
      <c r="W72" s="14"/>
      <c r="AA72" s="14"/>
    </row>
    <row r="73" spans="1:6" s="16" customFormat="1" ht="11.25">
      <c r="A73" s="114"/>
      <c r="B73" s="115"/>
      <c r="C73" s="35"/>
      <c r="D73" s="111"/>
      <c r="E73" s="111"/>
      <c r="F73" s="111"/>
    </row>
    <row r="74" spans="1:6" s="16" customFormat="1" ht="11.25">
      <c r="A74" s="114"/>
      <c r="B74" s="35"/>
      <c r="C74" s="35"/>
      <c r="D74" s="111"/>
      <c r="E74" s="111"/>
      <c r="F74" s="111"/>
    </row>
    <row r="75" spans="1:6" s="16" customFormat="1" ht="11.25">
      <c r="A75" s="114"/>
      <c r="B75" s="35"/>
      <c r="C75" s="116"/>
      <c r="D75" s="111"/>
      <c r="E75" s="111"/>
      <c r="F75" s="111"/>
    </row>
    <row r="76" spans="1:6" s="16" customFormat="1" ht="12.75">
      <c r="A76" s="118"/>
      <c r="B76" s="118"/>
      <c r="C76" s="118"/>
      <c r="D76" s="119"/>
      <c r="E76" s="111"/>
      <c r="F76" s="118"/>
    </row>
    <row r="77" spans="1:25" s="16" customFormat="1" ht="11.25">
      <c r="A77" s="120"/>
      <c r="B77" s="35"/>
      <c r="C77" s="116"/>
      <c r="D77" s="111"/>
      <c r="E77" s="111"/>
      <c r="F77" s="121"/>
      <c r="Y77" s="14"/>
    </row>
    <row r="78" s="16" customFormat="1" ht="11.25"/>
    <row r="79" s="16" customFormat="1" ht="11.25"/>
    <row r="80" s="16" customFormat="1" ht="11.25"/>
    <row r="81" s="16" customFormat="1" ht="11.25">
      <c r="B81" s="8"/>
    </row>
    <row r="82" spans="2:25" s="14" customFormat="1" ht="11.25">
      <c r="B82" s="31"/>
      <c r="X82" s="16"/>
      <c r="Y82" s="16"/>
    </row>
    <row r="83" s="16" customFormat="1" ht="11.25"/>
    <row r="84" s="16" customFormat="1" ht="11.25"/>
    <row r="85" s="16" customFormat="1" ht="11.25"/>
    <row r="86" s="16" customFormat="1" ht="11.25"/>
    <row r="87" s="16" customFormat="1" ht="11.25"/>
    <row r="88" s="16" customFormat="1" ht="11.25"/>
    <row r="89" s="16" customFormat="1" ht="11.25"/>
    <row r="90" s="16" customFormat="1" ht="11.25"/>
    <row r="91" s="16" customFormat="1" ht="11.25">
      <c r="A91" s="6"/>
    </row>
    <row r="92" s="16" customFormat="1" ht="12.75">
      <c r="AA92" s="5"/>
    </row>
    <row r="93" s="16" customFormat="1" ht="12.75">
      <c r="AA93" s="5"/>
    </row>
    <row r="94" s="16" customFormat="1" ht="12.75">
      <c r="AA94" s="5"/>
    </row>
    <row r="95" s="16" customFormat="1" ht="12.75">
      <c r="AA95" s="5"/>
    </row>
    <row r="96" spans="7:27" s="16" customFormat="1" ht="12.75">
      <c r="G96" s="56"/>
      <c r="I96" s="56"/>
      <c r="J96" s="56"/>
      <c r="L96" s="56"/>
      <c r="M96" s="56"/>
      <c r="N96" s="56"/>
      <c r="O96" s="56"/>
      <c r="P96" s="56"/>
      <c r="Q96" s="56"/>
      <c r="R96" s="56"/>
      <c r="S96" s="56"/>
      <c r="T96" s="56"/>
      <c r="U96" s="56"/>
      <c r="V96" s="56"/>
      <c r="W96" s="56"/>
      <c r="X96" s="56"/>
      <c r="Y96" s="56"/>
      <c r="AA96" s="5"/>
    </row>
    <row r="97" s="16" customFormat="1" ht="12.75">
      <c r="AA97" s="5"/>
    </row>
    <row r="98" spans="7:27" s="16" customFormat="1" ht="13.5" thickBot="1">
      <c r="G98" s="57"/>
      <c r="I98" s="57"/>
      <c r="J98" s="57"/>
      <c r="L98" s="57"/>
      <c r="M98" s="57"/>
      <c r="N98" s="57"/>
      <c r="O98" s="57"/>
      <c r="P98" s="57"/>
      <c r="Q98" s="57"/>
      <c r="R98" s="57"/>
      <c r="S98" s="57"/>
      <c r="T98" s="57"/>
      <c r="U98" s="57"/>
      <c r="V98" s="57"/>
      <c r="W98" s="57"/>
      <c r="X98" s="57"/>
      <c r="Y98" s="57"/>
      <c r="AA98" s="5"/>
    </row>
    <row r="99" ht="13.5" thickTop="1"/>
    <row r="100" spans="23:25" ht="12.75">
      <c r="W100" s="58"/>
      <c r="X100" s="58"/>
      <c r="Y100" s="58"/>
    </row>
    <row r="101" spans="23:27" ht="12.75">
      <c r="W101" s="58"/>
      <c r="AA101" s="58"/>
    </row>
  </sheetData>
  <sheetProtection/>
  <printOptions horizontalCentered="1"/>
  <pageMargins left="0" right="0" top="0.52" bottom="0.44" header="0" footer="0"/>
  <pageSetup fitToHeight="1" fitToWidth="1" horizontalDpi="1200" verticalDpi="1200" orientation="portrait" scale="93" r:id="rId3"/>
  <headerFooter alignWithMargins="0">
    <oddFooter>&amp;R&amp;"Helv,Regular"&amp;6\\SERVER1\PUBLIC\EXCEL&amp;F,&amp;A</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18"/>
  <sheetViews>
    <sheetView showGridLines="0" zoomScalePageLayoutView="0" workbookViewId="0" topLeftCell="A1">
      <selection activeCell="A1" sqref="A1"/>
    </sheetView>
  </sheetViews>
  <sheetFormatPr defaultColWidth="9.140625" defaultRowHeight="12.75"/>
  <cols>
    <col min="1" max="1" width="8.140625" style="0" customWidth="1"/>
    <col min="2" max="2" width="2.140625" style="0" customWidth="1"/>
    <col min="3" max="13" width="11.7109375" style="0" customWidth="1"/>
    <col min="14" max="14" width="3.00390625" style="0" customWidth="1"/>
    <col min="15" max="15" width="11.7109375" style="72" customWidth="1"/>
    <col min="16" max="16" width="14.57421875" style="0" bestFit="1" customWidth="1"/>
  </cols>
  <sheetData>
    <row r="1" spans="1:2" ht="12.75">
      <c r="A1" s="59" t="s">
        <v>95</v>
      </c>
      <c r="B1" s="60"/>
    </row>
    <row r="2" spans="1:2" ht="12.75">
      <c r="A2" s="61" t="str">
        <f>'WUTC_AW of Lynnwood_SF'!A1</f>
        <v>Rabanco Ltd (dba Allied Waste of Lynnwood)</v>
      </c>
      <c r="B2" s="61"/>
    </row>
    <row r="3" spans="1:15" ht="12.75">
      <c r="A3" s="61"/>
      <c r="B3" s="61"/>
      <c r="O3" s="73"/>
    </row>
    <row r="4" spans="1:15" ht="12.75">
      <c r="A4" s="61"/>
      <c r="B4" s="61"/>
      <c r="O4" s="73" t="str">
        <f>+TEXT(P18,"00.0%")&amp;" of"</f>
        <v>50.0% of</v>
      </c>
    </row>
    <row r="5" spans="2:16" ht="12.75">
      <c r="B5" s="70"/>
      <c r="C5" s="63" t="s">
        <v>21</v>
      </c>
      <c r="D5" s="63" t="s">
        <v>22</v>
      </c>
      <c r="E5" s="63" t="s">
        <v>87</v>
      </c>
      <c r="F5" s="63" t="s">
        <v>50</v>
      </c>
      <c r="G5" s="63" t="s">
        <v>88</v>
      </c>
      <c r="H5" s="63" t="s">
        <v>24</v>
      </c>
      <c r="I5" s="63" t="s">
        <v>25</v>
      </c>
      <c r="J5" s="63" t="s">
        <v>26</v>
      </c>
      <c r="K5" s="63" t="s">
        <v>27</v>
      </c>
      <c r="L5" s="63" t="s">
        <v>28</v>
      </c>
      <c r="M5" s="63" t="s">
        <v>29</v>
      </c>
      <c r="O5" s="73" t="s">
        <v>29</v>
      </c>
      <c r="P5" s="63" t="s">
        <v>84</v>
      </c>
    </row>
    <row r="6" spans="1:17" ht="15.75" customHeight="1">
      <c r="A6" s="65">
        <f>+Pricing!A6</f>
        <v>44682</v>
      </c>
      <c r="B6" s="66"/>
      <c r="C6" s="71">
        <f>'Commodity Tonnages'!C6*Pricing!C6</f>
        <v>13583.827920000002</v>
      </c>
      <c r="D6" s="74">
        <f>'Commodity Tonnages'!D6*Pricing!D6</f>
        <v>-4372.951557</v>
      </c>
      <c r="E6" s="74">
        <f>'Commodity Tonnages'!E6*Pricing!E6</f>
        <v>0</v>
      </c>
      <c r="F6" s="74">
        <f>'Commodity Tonnages'!F6*Pricing!F6</f>
        <v>891.5218603200001</v>
      </c>
      <c r="G6" s="74">
        <f>'Commodity Tonnages'!G6*Pricing!G6</f>
        <v>0</v>
      </c>
      <c r="H6" s="74">
        <f>'Commodity Tonnages'!H6*Pricing!H6</f>
        <v>1100.6289132800002</v>
      </c>
      <c r="I6" s="74">
        <f>'Commodity Tonnages'!I6*Pricing!I6</f>
        <v>4253.536069120001</v>
      </c>
      <c r="J6" s="74">
        <f>'Commodity Tonnages'!J6*Pricing!J6</f>
        <v>4253.536069120001</v>
      </c>
      <c r="K6" s="74">
        <f>'Commodity Tonnages'!K6*Pricing!K6</f>
        <v>13891.893125760003</v>
      </c>
      <c r="L6" s="74">
        <f>'Commodity Tonnages'!L6*Pricing!L6</f>
        <v>-5965.52315164</v>
      </c>
      <c r="M6" s="127">
        <f>SUM(C6:L6)</f>
        <v>27636.469248960006</v>
      </c>
      <c r="O6" s="97">
        <f>M6*P6</f>
        <v>13818.234624480003</v>
      </c>
      <c r="P6" s="161">
        <v>0.5</v>
      </c>
      <c r="Q6" s="128"/>
    </row>
    <row r="7" spans="1:17" ht="15.75" customHeight="1">
      <c r="A7" s="65">
        <f>+Pricing!A7</f>
        <v>44742</v>
      </c>
      <c r="B7" s="66"/>
      <c r="C7" s="71">
        <f>'Commodity Tonnages'!C7*Pricing!C7</f>
        <v>12907.448522432</v>
      </c>
      <c r="D7" s="74">
        <f>'Commodity Tonnages'!D7*Pricing!D7</f>
        <v>-4854.7400555</v>
      </c>
      <c r="E7" s="74">
        <f>'Commodity Tonnages'!E7*Pricing!E7</f>
        <v>0</v>
      </c>
      <c r="F7" s="74">
        <f>'Commodity Tonnages'!F7*Pricing!F7</f>
        <v>820.050664944</v>
      </c>
      <c r="G7" s="74">
        <f>'Commodity Tonnages'!G7*Pricing!G7</f>
        <v>130.718702224</v>
      </c>
      <c r="H7" s="74">
        <f>'Commodity Tonnages'!H7*Pricing!H7</f>
        <v>1151.6265864</v>
      </c>
      <c r="I7" s="74">
        <f>'Commodity Tonnages'!I7*Pricing!I7</f>
        <v>4395.256185247999</v>
      </c>
      <c r="J7" s="74">
        <f>'Commodity Tonnages'!J7*Pricing!J7</f>
        <v>4395.256185247999</v>
      </c>
      <c r="K7" s="74">
        <f>'Commodity Tonnages'!K7*Pricing!K7</f>
        <v>15093.24843888</v>
      </c>
      <c r="L7" s="74">
        <f>'Commodity Tonnages'!L7*Pricing!L7</f>
        <v>-6322.24144994</v>
      </c>
      <c r="M7" s="127">
        <f aca="true" t="shared" si="0" ref="M7:M17">SUM(C7:L7)</f>
        <v>27716.623779936</v>
      </c>
      <c r="O7" s="97">
        <f aca="true" t="shared" si="1" ref="O7:O17">M7*P7</f>
        <v>13858.311889968</v>
      </c>
      <c r="P7" s="161">
        <v>0.5</v>
      </c>
      <c r="Q7" s="128"/>
    </row>
    <row r="8" spans="1:17" ht="15.75" customHeight="1">
      <c r="A8" s="65">
        <f>+Pricing!A8</f>
        <v>44773</v>
      </c>
      <c r="B8" s="66"/>
      <c r="C8" s="71">
        <f>'Commodity Tonnages'!C8*Pricing!C8</f>
        <v>10856.881886592</v>
      </c>
      <c r="D8" s="74">
        <f>'Commodity Tonnages'!D8*Pricing!D8</f>
        <v>-5346.907511499999</v>
      </c>
      <c r="E8" s="74">
        <f>'Commodity Tonnages'!E8*Pricing!E8</f>
        <v>0</v>
      </c>
      <c r="F8" s="74">
        <f>'Commodity Tonnages'!F8*Pricing!F8</f>
        <v>619.485266736</v>
      </c>
      <c r="G8" s="74">
        <f>'Commodity Tonnages'!G8*Pricing!G8</f>
        <v>86.379824944</v>
      </c>
      <c r="H8" s="74">
        <f>'Commodity Tonnages'!H8*Pricing!H8</f>
        <v>2111.4358659199997</v>
      </c>
      <c r="I8" s="74">
        <f>'Commodity Tonnages'!I8*Pricing!I8</f>
        <v>2264.538298504</v>
      </c>
      <c r="J8" s="74">
        <f>'Commodity Tonnages'!J8*Pricing!J8</f>
        <v>2264.538298504</v>
      </c>
      <c r="K8" s="74">
        <f>'Commodity Tonnages'!K8*Pricing!K8</f>
        <v>15044.606265600001</v>
      </c>
      <c r="L8" s="74">
        <f>'Commodity Tonnages'!L8*Pricing!L8</f>
        <v>-6201.92670682</v>
      </c>
      <c r="M8" s="127">
        <f t="shared" si="0"/>
        <v>21699.031488480003</v>
      </c>
      <c r="O8" s="97">
        <f t="shared" si="1"/>
        <v>10849.515744240001</v>
      </c>
      <c r="P8" s="161">
        <v>0.5</v>
      </c>
      <c r="Q8" s="128"/>
    </row>
    <row r="9" spans="1:17" ht="15.75" customHeight="1">
      <c r="A9" s="65">
        <f>+Pricing!A9</f>
        <v>44804</v>
      </c>
      <c r="B9" s="66"/>
      <c r="C9" s="71">
        <f>'Commodity Tonnages'!C9*Pricing!C9</f>
        <v>12150.55990856</v>
      </c>
      <c r="D9" s="74">
        <f>'Commodity Tonnages'!D9*Pricing!D9</f>
        <v>-5770.9520295</v>
      </c>
      <c r="E9" s="74">
        <f>'Commodity Tonnages'!E9*Pricing!E9</f>
        <v>0</v>
      </c>
      <c r="F9" s="74">
        <f>'Commodity Tonnages'!F9*Pricing!F9</f>
        <v>634.492463808</v>
      </c>
      <c r="G9" s="74">
        <f>'Commodity Tonnages'!G9*Pricing!G9</f>
        <v>90.254171184</v>
      </c>
      <c r="H9" s="74">
        <f>'Commodity Tonnages'!H9*Pricing!H9</f>
        <v>-90.3252329</v>
      </c>
      <c r="I9" s="74">
        <f>'Commodity Tonnages'!I9*Pricing!I9</f>
        <v>1450.938284361</v>
      </c>
      <c r="J9" s="74">
        <f>'Commodity Tonnages'!J9*Pricing!J9</f>
        <v>1450.938284361</v>
      </c>
      <c r="K9" s="74">
        <f>'Commodity Tonnages'!K9*Pricing!K9</f>
        <v>15135.37028928</v>
      </c>
      <c r="L9" s="74">
        <f>'Commodity Tonnages'!L9*Pricing!L9</f>
        <v>-6364.8241462</v>
      </c>
      <c r="M9" s="127">
        <f t="shared" si="0"/>
        <v>18686.451992954</v>
      </c>
      <c r="O9" s="97">
        <f t="shared" si="1"/>
        <v>9343.225996477</v>
      </c>
      <c r="P9" s="161">
        <v>0.5</v>
      </c>
      <c r="Q9" s="128"/>
    </row>
    <row r="10" spans="1:17" ht="15.75" customHeight="1">
      <c r="A10" s="65">
        <f>+Pricing!A10</f>
        <v>44834</v>
      </c>
      <c r="B10" s="66"/>
      <c r="C10" s="71">
        <f>'Commodity Tonnages'!C10*Pricing!C10</f>
        <v>9791.083493119999</v>
      </c>
      <c r="D10" s="74">
        <f>'Commodity Tonnages'!D10*Pricing!D10</f>
        <v>-5182.781604</v>
      </c>
      <c r="E10" s="74">
        <f>'Commodity Tonnages'!E10*Pricing!E10</f>
        <v>0</v>
      </c>
      <c r="F10" s="74">
        <f>'Commodity Tonnages'!F10*Pricing!F10</f>
        <v>544.910296896</v>
      </c>
      <c r="G10" s="74">
        <f>'Commodity Tonnages'!G10*Pricing!G10</f>
        <v>87.56713920000001</v>
      </c>
      <c r="H10" s="74">
        <f>'Commodity Tonnages'!H10*Pricing!H10</f>
        <v>-9388.0121264</v>
      </c>
      <c r="I10" s="74">
        <f>'Commodity Tonnages'!I10*Pricing!I10</f>
        <v>534.168591696</v>
      </c>
      <c r="J10" s="74">
        <f>'Commodity Tonnages'!J10*Pricing!J10</f>
        <v>534.168591696</v>
      </c>
      <c r="K10" s="74">
        <f>'Commodity Tonnages'!K10*Pricing!K10</f>
        <v>7459.98518592</v>
      </c>
      <c r="L10" s="74">
        <f>'Commodity Tonnages'!L10*Pricing!L10</f>
        <v>-6119.000334720001</v>
      </c>
      <c r="M10" s="127">
        <f t="shared" si="0"/>
        <v>-1737.9107665920028</v>
      </c>
      <c r="O10" s="97">
        <f t="shared" si="1"/>
        <v>-868.9553832960014</v>
      </c>
      <c r="P10" s="161">
        <v>0.5</v>
      </c>
      <c r="Q10" s="128"/>
    </row>
    <row r="11" spans="1:17" ht="15.75" customHeight="1">
      <c r="A11" s="65">
        <f>+Pricing!A11</f>
        <v>44865</v>
      </c>
      <c r="B11" s="66"/>
      <c r="C11" s="71">
        <f>'Commodity Tonnages'!C11*Pricing!C11</f>
        <v>8360.736139856</v>
      </c>
      <c r="D11" s="74">
        <f>'Commodity Tonnages'!D11*Pricing!D11</f>
        <v>-4692.029905749999</v>
      </c>
      <c r="E11" s="74">
        <f>'Commodity Tonnages'!E11*Pricing!E11</f>
        <v>0</v>
      </c>
      <c r="F11" s="74">
        <f>'Commodity Tonnages'!F11*Pricing!F11</f>
        <v>332.446051896</v>
      </c>
      <c r="G11" s="74">
        <f>'Commodity Tonnages'!G11*Pricing!G11</f>
        <v>79.869024568</v>
      </c>
      <c r="H11" s="74">
        <f>'Commodity Tonnages'!H11*Pricing!H11</f>
        <v>-8740.6226981</v>
      </c>
      <c r="I11" s="74">
        <f>'Commodity Tonnages'!I11*Pricing!I11</f>
        <v>1259.365089264</v>
      </c>
      <c r="J11" s="74">
        <f>'Commodity Tonnages'!J11*Pricing!J11</f>
        <v>1259.365089264</v>
      </c>
      <c r="K11" s="74">
        <f>'Commodity Tonnages'!K11*Pricing!K11</f>
        <v>3850.9739856000006</v>
      </c>
      <c r="L11" s="74">
        <f>'Commodity Tonnages'!L11*Pricing!L11</f>
        <v>-6259.4862694</v>
      </c>
      <c r="M11" s="127">
        <f t="shared" si="0"/>
        <v>-4549.383492801998</v>
      </c>
      <c r="O11" s="97">
        <f t="shared" si="1"/>
        <v>-2274.691746400999</v>
      </c>
      <c r="P11" s="161">
        <v>0.5</v>
      </c>
      <c r="Q11" s="128"/>
    </row>
    <row r="12" spans="1:17" ht="15.75" customHeight="1">
      <c r="A12" s="65">
        <f>+Pricing!A12</f>
        <v>44895</v>
      </c>
      <c r="B12" s="66"/>
      <c r="C12" s="71">
        <f>'Commodity Tonnages'!C12*Pricing!C12</f>
        <v>10429.539535008002</v>
      </c>
      <c r="D12" s="74">
        <f>'Commodity Tonnages'!D12*Pricing!D12</f>
        <v>-4443.9692715</v>
      </c>
      <c r="E12" s="74">
        <f>'Commodity Tonnages'!E12*Pricing!E12</f>
        <v>0</v>
      </c>
      <c r="F12" s="74">
        <f>'Commodity Tonnages'!F12*Pricing!F12</f>
        <v>351.74938629600007</v>
      </c>
      <c r="G12" s="74">
        <f>'Commodity Tonnages'!G12*Pricing!G12</f>
        <v>93.44505535200001</v>
      </c>
      <c r="H12" s="74">
        <f>'Commodity Tonnages'!H12*Pricing!H12</f>
        <v>-6569.555335200001</v>
      </c>
      <c r="I12" s="74">
        <f>'Commodity Tonnages'!I12*Pricing!I12</f>
        <v>1293.9272992800004</v>
      </c>
      <c r="J12" s="74">
        <f>'Commodity Tonnages'!J12*Pricing!J12</f>
        <v>1293.9272992800004</v>
      </c>
      <c r="K12" s="74">
        <f>'Commodity Tonnages'!K12*Pricing!K12</f>
        <v>6295.963813920001</v>
      </c>
      <c r="L12" s="74">
        <f>'Commodity Tonnages'!L12*Pricing!L12</f>
        <v>-6432.07718439</v>
      </c>
      <c r="M12" s="127">
        <f t="shared" si="0"/>
        <v>2312.9505980460017</v>
      </c>
      <c r="O12" s="97">
        <f t="shared" si="1"/>
        <v>1156.4752990230008</v>
      </c>
      <c r="P12" s="161">
        <v>0.5</v>
      </c>
      <c r="Q12" s="128"/>
    </row>
    <row r="13" spans="1:17" ht="15.75" customHeight="1">
      <c r="A13" s="65">
        <f>+Pricing!A13</f>
        <v>44926</v>
      </c>
      <c r="B13" s="66"/>
      <c r="C13" s="71">
        <f>'Commodity Tonnages'!C13*Pricing!C13</f>
        <v>8564.134696416</v>
      </c>
      <c r="D13" s="74">
        <f>'Commodity Tonnages'!D13*Pricing!D13</f>
        <v>-4573.197329999999</v>
      </c>
      <c r="E13" s="74">
        <f>'Commodity Tonnages'!E13*Pricing!E13</f>
        <v>0</v>
      </c>
      <c r="F13" s="74">
        <f>'Commodity Tonnages'!F13*Pricing!F13</f>
        <v>403.493401584</v>
      </c>
      <c r="G13" s="74">
        <f>'Commodity Tonnages'!G13*Pricing!G13</f>
        <v>49.131667104</v>
      </c>
      <c r="H13" s="74">
        <f>'Commodity Tonnages'!H13*Pricing!H13</f>
        <v>-5728.8567102000015</v>
      </c>
      <c r="I13" s="74">
        <f>'Commodity Tonnages'!I13*Pricing!I13</f>
        <v>967.1945595</v>
      </c>
      <c r="J13" s="74">
        <f>'Commodity Tonnages'!J13*Pricing!J13</f>
        <v>967.1945595</v>
      </c>
      <c r="K13" s="74">
        <f>'Commodity Tonnages'!K13*Pricing!K13</f>
        <v>4705.89990624</v>
      </c>
      <c r="L13" s="74">
        <f>'Commodity Tonnages'!L13*Pricing!L13</f>
        <v>-4740.55639902</v>
      </c>
      <c r="M13" s="127">
        <f t="shared" si="0"/>
        <v>614.4383511240003</v>
      </c>
      <c r="O13" s="97">
        <f t="shared" si="1"/>
        <v>307.21917556200015</v>
      </c>
      <c r="P13" s="161">
        <v>0.5</v>
      </c>
      <c r="Q13" s="128"/>
    </row>
    <row r="14" spans="1:17" ht="15.75" customHeight="1">
      <c r="A14" s="65">
        <f>+Pricing!A14</f>
        <v>44957</v>
      </c>
      <c r="B14" s="66"/>
      <c r="C14" s="71">
        <f>'Commodity Tonnages'!C14*Pricing!C14</f>
        <v>14636.977223400001</v>
      </c>
      <c r="D14" s="74">
        <f>'Commodity Tonnages'!D14*Pricing!D14</f>
        <v>-6529.455235800001</v>
      </c>
      <c r="E14" s="74">
        <f>'Commodity Tonnages'!E14*Pricing!E14</f>
        <v>0</v>
      </c>
      <c r="F14" s="74">
        <f>'Commodity Tonnages'!F14*Pricing!F14</f>
        <v>919.8497175840001</v>
      </c>
      <c r="G14" s="74">
        <f>'Commodity Tonnages'!G14*Pricing!G14</f>
        <v>69.37638624000002</v>
      </c>
      <c r="H14" s="74">
        <f>'Commodity Tonnages'!H14*Pricing!H14</f>
        <v>-2192.86715004</v>
      </c>
      <c r="I14" s="74">
        <f>'Commodity Tonnages'!I14*Pricing!I14</f>
        <v>1657.4085986850002</v>
      </c>
      <c r="J14" s="74">
        <f>'Commodity Tonnages'!J14*Pricing!J14</f>
        <v>1657.4085986850002</v>
      </c>
      <c r="K14" s="74">
        <f>'Commodity Tonnages'!K14*Pricing!K14</f>
        <v>10482.031643832</v>
      </c>
      <c r="L14" s="74">
        <f>'Commodity Tonnages'!L14*Pricing!L14</f>
        <v>-9415.09381428</v>
      </c>
      <c r="M14" s="127">
        <f t="shared" si="0"/>
        <v>11285.635968306</v>
      </c>
      <c r="O14" s="97">
        <f t="shared" si="1"/>
        <v>5642.817984153</v>
      </c>
      <c r="P14" s="161">
        <v>0.5</v>
      </c>
      <c r="Q14" s="128"/>
    </row>
    <row r="15" spans="1:17" ht="15.75" customHeight="1">
      <c r="A15" s="65">
        <f>+Pricing!A15</f>
        <v>44985</v>
      </c>
      <c r="B15" s="66"/>
      <c r="C15" s="71">
        <f>'Commodity Tonnages'!C15*Pricing!C15</f>
        <v>9317.558471768</v>
      </c>
      <c r="D15" s="74">
        <f>'Commodity Tonnages'!D15*Pricing!D15</f>
        <v>-3619.7874014999993</v>
      </c>
      <c r="E15" s="74">
        <f>'Commodity Tonnages'!E15*Pricing!E15</f>
        <v>0</v>
      </c>
      <c r="F15" s="74">
        <f>'Commodity Tonnages'!F15*Pricing!F15</f>
        <v>604.616494344</v>
      </c>
      <c r="G15" s="74">
        <f>'Commodity Tonnages'!G15*Pricing!G15</f>
        <v>51.067303280000004</v>
      </c>
      <c r="H15" s="74">
        <f>'Commodity Tonnages'!H15*Pricing!H15</f>
        <v>489.6924024879999</v>
      </c>
      <c r="I15" s="74">
        <f>'Commodity Tonnages'!I15*Pricing!I15</f>
        <v>1541.9567267879997</v>
      </c>
      <c r="J15" s="74">
        <f>'Commodity Tonnages'!J15*Pricing!J15</f>
        <v>1541.9567267879997</v>
      </c>
      <c r="K15" s="74">
        <f>'Commodity Tonnages'!K15*Pricing!K15</f>
        <v>8621.684600831999</v>
      </c>
      <c r="L15" s="74">
        <f>'Commodity Tonnages'!L15*Pricing!L15</f>
        <v>-5941.7618336999985</v>
      </c>
      <c r="M15" s="127">
        <f t="shared" si="0"/>
        <v>12606.983491087998</v>
      </c>
      <c r="O15" s="97">
        <f t="shared" si="1"/>
        <v>6303.491745543999</v>
      </c>
      <c r="P15" s="161">
        <v>0.5</v>
      </c>
      <c r="Q15" s="128"/>
    </row>
    <row r="16" spans="1:17" ht="15.75" customHeight="1">
      <c r="A16" s="65">
        <f>+Pricing!A16</f>
        <v>45016</v>
      </c>
      <c r="B16" s="66"/>
      <c r="C16" s="71">
        <f>'Commodity Tonnages'!C16*Pricing!C16</f>
        <v>10626.020154399996</v>
      </c>
      <c r="D16" s="74">
        <f>'Commodity Tonnages'!D16*Pricing!D16</f>
        <v>-4511.651234999998</v>
      </c>
      <c r="E16" s="74">
        <f>'Commodity Tonnages'!E16*Pricing!E16</f>
        <v>0</v>
      </c>
      <c r="F16" s="74">
        <f>'Commodity Tonnages'!F16*Pricing!F16</f>
        <v>969.5806035999999</v>
      </c>
      <c r="G16" s="74">
        <f>'Commodity Tonnages'!G16*Pricing!G16</f>
        <v>70.603372</v>
      </c>
      <c r="H16" s="74">
        <f>'Commodity Tonnages'!H16*Pricing!H16</f>
        <v>1935.1137427999995</v>
      </c>
      <c r="I16" s="74">
        <f>'Commodity Tonnages'!I16*Pricing!I16</f>
        <v>1602.26402</v>
      </c>
      <c r="J16" s="74">
        <f>'Commodity Tonnages'!J16*Pricing!J16</f>
        <v>1602.26402</v>
      </c>
      <c r="K16" s="74">
        <f>'Commodity Tonnages'!K16*Pricing!K16</f>
        <v>10766.090412</v>
      </c>
      <c r="L16" s="74">
        <f>'Commodity Tonnages'!L16*Pricing!L16</f>
        <v>-7597.337593999998</v>
      </c>
      <c r="M16" s="127">
        <f t="shared" si="0"/>
        <v>15462.9474958</v>
      </c>
      <c r="O16" s="97">
        <f t="shared" si="1"/>
        <v>7731.4737479</v>
      </c>
      <c r="P16" s="161">
        <v>0.5</v>
      </c>
      <c r="Q16" s="128"/>
    </row>
    <row r="17" spans="1:17" ht="15.75" customHeight="1">
      <c r="A17" s="65">
        <f>+Pricing!A17</f>
        <v>45046</v>
      </c>
      <c r="B17" s="66"/>
      <c r="C17" s="71">
        <f>'Commodity Tonnages'!C17*Pricing!C17</f>
        <v>8709.129381643708</v>
      </c>
      <c r="D17" s="74">
        <f>'Commodity Tonnages'!D17*Pricing!D17</f>
        <v>-5208.616583958194</v>
      </c>
      <c r="E17" s="74">
        <f>'Commodity Tonnages'!E17*Pricing!E17</f>
        <v>0</v>
      </c>
      <c r="F17" s="74">
        <f>'Commodity Tonnages'!F17*Pricing!F17</f>
        <v>671.6623885429136</v>
      </c>
      <c r="G17" s="74">
        <f>'Commodity Tonnages'!G17*Pricing!G17</f>
        <v>51.09219372802793</v>
      </c>
      <c r="H17" s="74">
        <f>'Commodity Tonnages'!H17*Pricing!H17</f>
        <v>3471.208196599292</v>
      </c>
      <c r="I17" s="74">
        <f>'Commodity Tonnages'!I17*Pricing!I17</f>
        <v>1969.0183385007922</v>
      </c>
      <c r="J17" s="74">
        <f>'Commodity Tonnages'!J17*Pricing!J17</f>
        <v>1969.0183385007922</v>
      </c>
      <c r="K17" s="74">
        <f>'Commodity Tonnages'!K17*Pricing!K17</f>
        <v>8448.038506656121</v>
      </c>
      <c r="L17" s="74">
        <f>'Commodity Tonnages'!L17*Pricing!L17</f>
        <v>-6312.83786515173</v>
      </c>
      <c r="M17" s="127">
        <f t="shared" si="0"/>
        <v>13767.712895061723</v>
      </c>
      <c r="O17" s="97">
        <f t="shared" si="1"/>
        <v>6883.856447530861</v>
      </c>
      <c r="P17" s="161">
        <v>0.5</v>
      </c>
      <c r="Q17" s="128"/>
    </row>
    <row r="18" spans="1:18" ht="15.75" customHeight="1">
      <c r="A18" s="69" t="s">
        <v>31</v>
      </c>
      <c r="B18" s="66"/>
      <c r="C18" s="129">
        <f aca="true" t="shared" si="2" ref="C18:L18">SUM(C6:C17)</f>
        <v>129933.89733319572</v>
      </c>
      <c r="D18" s="130">
        <f t="shared" si="2"/>
        <v>-59107.039721008194</v>
      </c>
      <c r="E18" s="130">
        <f t="shared" si="2"/>
        <v>0</v>
      </c>
      <c r="F18" s="129">
        <f t="shared" si="2"/>
        <v>7763.858596550915</v>
      </c>
      <c r="G18" s="129">
        <f t="shared" si="2"/>
        <v>859.5048398240281</v>
      </c>
      <c r="H18" s="129">
        <f t="shared" si="2"/>
        <v>-22450.533545352715</v>
      </c>
      <c r="I18" s="129">
        <f t="shared" si="2"/>
        <v>23189.57206094679</v>
      </c>
      <c r="J18" s="129">
        <f t="shared" si="2"/>
        <v>23189.57206094679</v>
      </c>
      <c r="K18" s="129">
        <f t="shared" si="2"/>
        <v>119795.78617452012</v>
      </c>
      <c r="L18" s="130">
        <f t="shared" si="2"/>
        <v>-77672.66674926173</v>
      </c>
      <c r="M18" s="131">
        <f>SUM(C18:L18)</f>
        <v>145501.95105036173</v>
      </c>
      <c r="O18" s="132">
        <f>SUM(O6:O17)</f>
        <v>72750.97552518087</v>
      </c>
      <c r="P18" s="136">
        <f>+O18/M18</f>
        <v>0.5</v>
      </c>
      <c r="R18" s="72"/>
    </row>
    <row r="19" spans="1:15" ht="12.75">
      <c r="A19" s="66"/>
      <c r="B19" s="66"/>
      <c r="C19" s="71"/>
      <c r="D19" s="71"/>
      <c r="E19" s="71"/>
      <c r="F19" s="71"/>
      <c r="G19" s="71"/>
      <c r="H19" s="71"/>
      <c r="I19" s="71"/>
      <c r="J19" s="71"/>
      <c r="K19" s="71"/>
      <c r="L19" s="71"/>
      <c r="M19" s="71"/>
      <c r="O19" s="80"/>
    </row>
    <row r="20" spans="1:15" ht="12.75">
      <c r="A20" s="66"/>
      <c r="B20" s="66"/>
      <c r="C20" s="66"/>
      <c r="D20" s="66"/>
      <c r="E20" s="66"/>
      <c r="F20" s="66"/>
      <c r="G20" s="66"/>
      <c r="H20" s="66"/>
      <c r="I20" s="66"/>
      <c r="J20" s="66"/>
      <c r="K20" s="66"/>
      <c r="L20" s="66"/>
      <c r="M20" s="67"/>
      <c r="O20" s="81"/>
    </row>
    <row r="21" spans="1:15" ht="12.75">
      <c r="A21" s="66"/>
      <c r="B21" s="66"/>
      <c r="C21" s="66"/>
      <c r="D21" s="66"/>
      <c r="E21" s="66"/>
      <c r="F21" s="66"/>
      <c r="G21" s="66"/>
      <c r="H21" s="66"/>
      <c r="I21" s="66"/>
      <c r="J21" s="66"/>
      <c r="K21" s="66"/>
      <c r="L21" s="66"/>
      <c r="M21" s="67"/>
      <c r="O21" s="82"/>
    </row>
    <row r="22" spans="1:13" ht="12.75">
      <c r="A22" s="66"/>
      <c r="B22" s="66"/>
      <c r="C22" s="66"/>
      <c r="D22" s="66"/>
      <c r="E22" s="66"/>
      <c r="F22" s="66"/>
      <c r="G22" s="66"/>
      <c r="H22" s="66"/>
      <c r="I22" s="66"/>
      <c r="J22" s="66"/>
      <c r="K22" s="66"/>
      <c r="L22" s="66"/>
      <c r="M22" s="67"/>
    </row>
    <row r="23" spans="1:13" ht="12.75">
      <c r="A23" s="66"/>
      <c r="B23" s="66"/>
      <c r="C23" s="66"/>
      <c r="D23" s="66"/>
      <c r="E23" s="66"/>
      <c r="F23" s="66"/>
      <c r="G23" s="66"/>
      <c r="H23" s="66"/>
      <c r="I23" s="66"/>
      <c r="J23" s="66"/>
      <c r="K23" s="66"/>
      <c r="L23" s="66"/>
      <c r="M23" s="67"/>
    </row>
    <row r="24" spans="1:13" ht="12.75">
      <c r="A24" s="66"/>
      <c r="B24" s="66"/>
      <c r="C24" s="66"/>
      <c r="D24" s="66"/>
      <c r="E24" s="66"/>
      <c r="F24" s="66"/>
      <c r="G24" s="66"/>
      <c r="H24" s="66"/>
      <c r="I24" s="66"/>
      <c r="J24" s="66"/>
      <c r="K24" s="66"/>
      <c r="L24" s="66"/>
      <c r="M24" s="67"/>
    </row>
    <row r="25" spans="1:13" ht="12.75">
      <c r="A25" s="66"/>
      <c r="B25" s="66"/>
      <c r="C25" s="66"/>
      <c r="D25" s="66"/>
      <c r="E25" s="66"/>
      <c r="F25" s="66"/>
      <c r="G25" s="66"/>
      <c r="H25" s="66"/>
      <c r="I25" s="66"/>
      <c r="J25" s="66"/>
      <c r="K25" s="66"/>
      <c r="L25" s="66"/>
      <c r="M25" s="67"/>
    </row>
    <row r="26" spans="1:13" ht="12.75">
      <c r="A26" s="66"/>
      <c r="B26" s="66"/>
      <c r="C26" s="66"/>
      <c r="D26" s="66"/>
      <c r="E26" s="66"/>
      <c r="F26" s="66"/>
      <c r="G26" s="66"/>
      <c r="H26" s="66"/>
      <c r="I26" s="66"/>
      <c r="J26" s="66"/>
      <c r="K26" s="66"/>
      <c r="L26" s="66"/>
      <c r="M26" s="67"/>
    </row>
    <row r="27" spans="1:13" ht="12.75">
      <c r="A27" s="66"/>
      <c r="B27" s="66"/>
      <c r="C27" s="66"/>
      <c r="D27" s="66"/>
      <c r="E27" s="66"/>
      <c r="F27" s="66"/>
      <c r="G27" s="66"/>
      <c r="H27" s="66"/>
      <c r="I27" s="66"/>
      <c r="J27" s="66"/>
      <c r="K27" s="66"/>
      <c r="L27" s="66"/>
      <c r="M27" s="67"/>
    </row>
    <row r="28" spans="1:13" ht="12.75">
      <c r="A28" s="66"/>
      <c r="B28" s="66"/>
      <c r="C28" s="66"/>
      <c r="D28" s="66"/>
      <c r="E28" s="66"/>
      <c r="F28" s="66"/>
      <c r="G28" s="66"/>
      <c r="H28" s="66"/>
      <c r="I28" s="66"/>
      <c r="J28" s="66"/>
      <c r="K28" s="66"/>
      <c r="L28" s="66"/>
      <c r="M28" s="66"/>
    </row>
    <row r="29" spans="1:13" ht="12.75">
      <c r="A29" s="66"/>
      <c r="B29" s="66"/>
      <c r="C29" s="66"/>
      <c r="D29" s="66"/>
      <c r="E29" s="66"/>
      <c r="F29" s="66"/>
      <c r="G29" s="66"/>
      <c r="H29" s="66"/>
      <c r="I29" s="66"/>
      <c r="J29" s="66"/>
      <c r="K29" s="66"/>
      <c r="L29" s="66"/>
      <c r="M29" s="66"/>
    </row>
    <row r="30" spans="1:13" ht="12.75">
      <c r="A30" s="66"/>
      <c r="B30" s="66"/>
      <c r="C30" s="66"/>
      <c r="D30" s="66"/>
      <c r="E30" s="66"/>
      <c r="F30" s="66"/>
      <c r="G30" s="66"/>
      <c r="H30" s="66"/>
      <c r="I30" s="66"/>
      <c r="J30" s="66"/>
      <c r="K30" s="66"/>
      <c r="L30" s="66"/>
      <c r="M30" s="66"/>
    </row>
    <row r="31" spans="1:13" ht="12.75">
      <c r="A31" s="66"/>
      <c r="B31" s="66"/>
      <c r="C31" s="66"/>
      <c r="D31" s="66"/>
      <c r="E31" s="66"/>
      <c r="F31" s="66"/>
      <c r="G31" s="66"/>
      <c r="H31" s="66"/>
      <c r="I31" s="66"/>
      <c r="J31" s="66"/>
      <c r="K31" s="66"/>
      <c r="L31" s="66"/>
      <c r="M31" s="66"/>
    </row>
    <row r="32" spans="1:13" ht="12.75">
      <c r="A32" s="66"/>
      <c r="B32" s="66"/>
      <c r="C32" s="66"/>
      <c r="D32" s="66"/>
      <c r="E32" s="66"/>
      <c r="F32" s="66"/>
      <c r="G32" s="66"/>
      <c r="H32" s="66"/>
      <c r="I32" s="66"/>
      <c r="J32" s="66"/>
      <c r="K32" s="66"/>
      <c r="L32" s="66"/>
      <c r="M32" s="66"/>
    </row>
    <row r="33" spans="1:13" ht="12.75">
      <c r="A33" s="66"/>
      <c r="B33" s="66"/>
      <c r="C33" s="66"/>
      <c r="D33" s="66"/>
      <c r="E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sheetData>
  <sheetProtection/>
  <printOptions/>
  <pageMargins left="0.5" right="0.5" top="0.75" bottom="0.75" header="0.5" footer="0.5"/>
  <pageSetup fitToHeight="0" fitToWidth="1"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A1" sqref="A1"/>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59" t="str">
        <f>"Single-Family Tonnages by Commodity ("&amp;TEXT(A6,"mmmm yyyy")&amp;" through "&amp;TEXT(A17,"mmmm yyyy")&amp;")"</f>
        <v>Single-Family Tonnages by Commodity (May 2022 through April 2023)</v>
      </c>
      <c r="B1" s="60"/>
    </row>
    <row r="2" spans="1:2" ht="12.75">
      <c r="A2" s="61" t="str">
        <f>'WUTC_AW of Lynnwood_SF'!A1</f>
        <v>Rabanco Ltd (dba Allied Waste of Lynnwood)</v>
      </c>
      <c r="B2" s="61"/>
    </row>
    <row r="3" spans="1:2" ht="12.75">
      <c r="A3" s="61"/>
      <c r="B3" s="61"/>
    </row>
    <row r="4" spans="1:2" ht="12.75">
      <c r="A4" s="61"/>
      <c r="B4" s="61"/>
    </row>
    <row r="5" spans="1:14" ht="12.75">
      <c r="A5" s="60"/>
      <c r="B5" s="62"/>
      <c r="C5" s="63" t="s">
        <v>21</v>
      </c>
      <c r="D5" s="63" t="s">
        <v>22</v>
      </c>
      <c r="E5" s="63" t="s">
        <v>87</v>
      </c>
      <c r="F5" s="63" t="s">
        <v>50</v>
      </c>
      <c r="G5" s="63" t="s">
        <v>88</v>
      </c>
      <c r="H5" s="63" t="s">
        <v>24</v>
      </c>
      <c r="I5" s="63" t="s">
        <v>25</v>
      </c>
      <c r="J5" s="63" t="s">
        <v>26</v>
      </c>
      <c r="K5" s="63" t="s">
        <v>27</v>
      </c>
      <c r="L5" s="63" t="s">
        <v>28</v>
      </c>
      <c r="M5" s="63"/>
      <c r="N5" s="63" t="s">
        <v>29</v>
      </c>
    </row>
    <row r="6" spans="1:16" ht="15.75" customHeight="1">
      <c r="A6" s="126">
        <f>'Single Family'!$C$6</f>
        <v>44682</v>
      </c>
      <c r="B6" s="66" t="s">
        <v>63</v>
      </c>
      <c r="C6" s="107">
        <f>'Single Family'!C32</f>
        <v>8.543288</v>
      </c>
      <c r="D6" s="108">
        <f>'Single Family'!C34</f>
        <v>85.19290000000001</v>
      </c>
      <c r="E6" s="107">
        <f>'Single Family'!C35</f>
        <v>0</v>
      </c>
      <c r="F6" s="107">
        <f>'Single Family'!C30</f>
        <v>7.0554120000000005</v>
      </c>
      <c r="G6" s="107">
        <f>'Single Family'!C3</f>
        <v>0</v>
      </c>
      <c r="H6" s="107">
        <f>'Single Family'!C37</f>
        <v>158.86676000000003</v>
      </c>
      <c r="I6" s="107">
        <f>'Single Family'!C31/2</f>
        <v>11.807016</v>
      </c>
      <c r="J6" s="107">
        <f>'Single Family'!C31/2</f>
        <v>11.807016</v>
      </c>
      <c r="K6" s="107">
        <f>'Single Family'!C28</f>
        <v>125.26956000000001</v>
      </c>
      <c r="L6" s="107">
        <f>'Single Family'!C36</f>
        <v>70.506124</v>
      </c>
      <c r="M6" s="64"/>
      <c r="N6" s="133">
        <f aca="true" t="shared" si="0" ref="N6:N17">SUM(C6:L6)</f>
        <v>479.048076</v>
      </c>
      <c r="O6" s="75"/>
      <c r="P6" s="68"/>
    </row>
    <row r="7" spans="1:16" ht="15.75" customHeight="1">
      <c r="A7" s="65">
        <f aca="true" t="shared" si="1" ref="A7:A17">EOMONTH(A6,1)</f>
        <v>44742</v>
      </c>
      <c r="B7" s="66" t="s">
        <v>64</v>
      </c>
      <c r="C7" s="107">
        <f>'Single Family'!D32</f>
        <v>9.054148</v>
      </c>
      <c r="D7" s="108">
        <f>'Single Family'!D34</f>
        <v>90.28715</v>
      </c>
      <c r="E7" s="107">
        <f>'Single Family'!D35</f>
        <v>0</v>
      </c>
      <c r="F7" s="107">
        <f>'Single Family'!D30</f>
        <v>7.477301999999999</v>
      </c>
      <c r="G7" s="107">
        <f>'Single Family'!D33</f>
        <v>0.9664539999999999</v>
      </c>
      <c r="H7" s="107">
        <f>'Single Family'!D37</f>
        <v>168.36646</v>
      </c>
      <c r="I7" s="107">
        <f>'Single Family'!D31/2</f>
        <v>12.513036</v>
      </c>
      <c r="J7" s="107">
        <f>'Single Family'!D31/2</f>
        <v>12.513036</v>
      </c>
      <c r="K7" s="107">
        <f>'Single Family'!D28</f>
        <v>132.76026</v>
      </c>
      <c r="L7" s="107">
        <f>'Single Family'!D36</f>
        <v>74.722154</v>
      </c>
      <c r="M7" s="64"/>
      <c r="N7" s="133">
        <f t="shared" si="0"/>
        <v>508.6599999999999</v>
      </c>
      <c r="P7" s="68"/>
    </row>
    <row r="8" spans="1:16" ht="15.75" customHeight="1">
      <c r="A8" s="65">
        <f t="shared" si="1"/>
        <v>44773</v>
      </c>
      <c r="B8" s="66" t="s">
        <v>65</v>
      </c>
      <c r="C8" s="107">
        <f>'Single Family'!E32</f>
        <v>8.881844</v>
      </c>
      <c r="D8" s="108">
        <f>'Single Family'!E34</f>
        <v>88.56894999999999</v>
      </c>
      <c r="E8" s="107">
        <f>'Single Family'!E35</f>
        <v>0</v>
      </c>
      <c r="F8" s="107">
        <f>'Single Family'!E30</f>
        <v>7.335005999999999</v>
      </c>
      <c r="G8" s="107">
        <f>'Single Family'!E33</f>
        <v>0.948062</v>
      </c>
      <c r="H8" s="107">
        <f>'Single Family'!E37</f>
        <v>165.16237999999998</v>
      </c>
      <c r="I8" s="107">
        <f>'Single Family'!E31/2</f>
        <v>12.274908</v>
      </c>
      <c r="J8" s="107">
        <f>'Single Family'!E31/2</f>
        <v>12.274908</v>
      </c>
      <c r="K8" s="107">
        <f>'Single Family'!E28</f>
        <v>130.23378</v>
      </c>
      <c r="L8" s="107">
        <f>'Single Family'!E36</f>
        <v>73.300162</v>
      </c>
      <c r="M8" s="64"/>
      <c r="N8" s="133">
        <f t="shared" si="0"/>
        <v>498.9799999999999</v>
      </c>
      <c r="P8" s="68"/>
    </row>
    <row r="9" spans="1:16" ht="15.75" customHeight="1">
      <c r="A9" s="65">
        <f t="shared" si="1"/>
        <v>44804</v>
      </c>
      <c r="B9" s="66" t="s">
        <v>66</v>
      </c>
      <c r="C9" s="107">
        <f>'Single Family'!F32</f>
        <v>9.912998</v>
      </c>
      <c r="D9" s="108">
        <f>'Single Family'!F34</f>
        <v>98.851525</v>
      </c>
      <c r="E9" s="107">
        <f>'Single Family'!F35</f>
        <v>0</v>
      </c>
      <c r="F9" s="107">
        <f>'Single Family'!F30</f>
        <v>8.186577</v>
      </c>
      <c r="G9" s="107">
        <f>'Single Family'!F33</f>
        <v>1.0581289999999999</v>
      </c>
      <c r="H9" s="107">
        <f>'Single Family'!F37</f>
        <v>184.33721</v>
      </c>
      <c r="I9" s="107">
        <f>'Single Family'!F31/2</f>
        <v>13.699985999999999</v>
      </c>
      <c r="J9" s="107">
        <f>'Single Family'!F31/2</f>
        <v>13.699985999999999</v>
      </c>
      <c r="K9" s="107">
        <f>'Single Family'!F28</f>
        <v>145.35351</v>
      </c>
      <c r="L9" s="107">
        <f>'Single Family'!F36</f>
        <v>81.810079</v>
      </c>
      <c r="M9" s="64"/>
      <c r="N9" s="133">
        <f t="shared" si="0"/>
        <v>556.91</v>
      </c>
      <c r="P9" s="68"/>
    </row>
    <row r="10" spans="1:16" ht="15.75" customHeight="1">
      <c r="A10" s="65">
        <f t="shared" si="1"/>
        <v>44834</v>
      </c>
      <c r="B10" s="66" t="s">
        <v>67</v>
      </c>
      <c r="C10" s="107">
        <f>'Single Family'!G32</f>
        <v>8.653647999999999</v>
      </c>
      <c r="D10" s="108">
        <f>'Single Family'!G34</f>
        <v>86.29339999999999</v>
      </c>
      <c r="E10" s="107">
        <f>'Single Family'!G35</f>
        <v>0</v>
      </c>
      <c r="F10" s="107">
        <f>'Single Family'!G30</f>
        <v>7.146551999999999</v>
      </c>
      <c r="G10" s="107">
        <f>'Single Family'!G33</f>
        <v>0.923704</v>
      </c>
      <c r="H10" s="107">
        <f>'Single Family'!G37</f>
        <v>160.91896</v>
      </c>
      <c r="I10" s="107">
        <f>'Single Family'!G31/2</f>
        <v>11.959536</v>
      </c>
      <c r="J10" s="107">
        <f>'Single Family'!G31/2</f>
        <v>11.959536</v>
      </c>
      <c r="K10" s="107">
        <f>'Single Family'!G28</f>
        <v>126.88776</v>
      </c>
      <c r="L10" s="107">
        <f>'Single Family'!G36</f>
        <v>71.416904</v>
      </c>
      <c r="M10" s="64"/>
      <c r="N10" s="133">
        <f t="shared" si="0"/>
        <v>486.16</v>
      </c>
      <c r="P10" s="68"/>
    </row>
    <row r="11" spans="1:16" ht="15.75" customHeight="1">
      <c r="A11" s="65">
        <f t="shared" si="1"/>
        <v>44865</v>
      </c>
      <c r="B11" s="66" t="s">
        <v>68</v>
      </c>
      <c r="C11" s="107">
        <f>'Single Family'!H32</f>
        <v>8.086006</v>
      </c>
      <c r="D11" s="108">
        <f>'Single Family'!H34</f>
        <v>80.63292499999999</v>
      </c>
      <c r="E11" s="107">
        <f>'Single Family'!H35</f>
        <v>0</v>
      </c>
      <c r="F11" s="107">
        <f>'Single Family'!H30</f>
        <v>6.677769</v>
      </c>
      <c r="G11" s="107">
        <f>'Single Family'!H33</f>
        <v>0.863113</v>
      </c>
      <c r="H11" s="107">
        <f>'Single Family'!H37</f>
        <v>150.36337</v>
      </c>
      <c r="I11" s="107">
        <f>'Single Family'!H31/2</f>
        <v>11.175042</v>
      </c>
      <c r="J11" s="107">
        <f>'Single Family'!H31/2</f>
        <v>11.175042</v>
      </c>
      <c r="K11" s="107">
        <f>'Single Family'!H28</f>
        <v>118.56447</v>
      </c>
      <c r="L11" s="107">
        <f>'Single Family'!H36</f>
        <v>66.732263</v>
      </c>
      <c r="M11" s="64"/>
      <c r="N11" s="133">
        <f t="shared" si="0"/>
        <v>454.27</v>
      </c>
      <c r="P11" s="68"/>
    </row>
    <row r="12" spans="1:16" ht="15.75" customHeight="1">
      <c r="A12" s="65">
        <f t="shared" si="1"/>
        <v>44895</v>
      </c>
      <c r="B12" s="66" t="s">
        <v>69</v>
      </c>
      <c r="C12" s="107">
        <f>'Single Family'!I32</f>
        <v>9.181062</v>
      </c>
      <c r="D12" s="108">
        <f>'Single Family'!I34</f>
        <v>91.55272500000001</v>
      </c>
      <c r="E12" s="107">
        <f>'Single Family'!I35</f>
        <v>0</v>
      </c>
      <c r="F12" s="107">
        <f>'Single Family'!I30</f>
        <v>7.5821130000000005</v>
      </c>
      <c r="G12" s="107">
        <f>'Single Family'!I33</f>
        <v>0.9800010000000001</v>
      </c>
      <c r="H12" s="107">
        <f>'Single Family'!I37</f>
        <v>170.72649000000004</v>
      </c>
      <c r="I12" s="107">
        <f>'Single Family'!I31/2</f>
        <v>12.688434000000003</v>
      </c>
      <c r="J12" s="107">
        <f>'Single Family'!I31/2</f>
        <v>12.688434000000003</v>
      </c>
      <c r="K12" s="107">
        <f>'Single Family'!I28</f>
        <v>134.62119</v>
      </c>
      <c r="L12" s="107">
        <f>'Single Family'!I36</f>
        <v>75.769551</v>
      </c>
      <c r="M12" s="64"/>
      <c r="N12" s="133">
        <f t="shared" si="0"/>
        <v>515.7900000000002</v>
      </c>
      <c r="P12" s="68"/>
    </row>
    <row r="13" spans="1:16" ht="15.75" customHeight="1">
      <c r="A13" s="65">
        <f t="shared" si="1"/>
        <v>44926</v>
      </c>
      <c r="B13" s="66" t="s">
        <v>70</v>
      </c>
      <c r="C13" s="107">
        <f>'Single Family'!J32</f>
        <v>7.233563999999999</v>
      </c>
      <c r="D13" s="108">
        <f>'Single Family'!J34</f>
        <v>72.13244999999999</v>
      </c>
      <c r="E13" s="107">
        <f>'Single Family'!J35</f>
        <v>0</v>
      </c>
      <c r="F13" s="107">
        <f>'Single Family'!J30</f>
        <v>5.973786</v>
      </c>
      <c r="G13" s="107">
        <f>'Single Family'!J33</f>
        <v>0.772122</v>
      </c>
      <c r="H13" s="107">
        <f>'Single Family'!J37</f>
        <v>134.51178000000002</v>
      </c>
      <c r="I13" s="107">
        <f>'Single Family'!J31/2</f>
        <v>9.996948</v>
      </c>
      <c r="J13" s="107">
        <f>'Single Family'!J31/2</f>
        <v>9.996948</v>
      </c>
      <c r="K13" s="107">
        <f>'Single Family'!J28</f>
        <v>106.06518</v>
      </c>
      <c r="L13" s="107">
        <f>'Single Family'!J36</f>
        <v>59.697222000000004</v>
      </c>
      <c r="M13" s="64"/>
      <c r="N13" s="133">
        <f t="shared" si="0"/>
        <v>406.38</v>
      </c>
      <c r="P13" s="68"/>
    </row>
    <row r="14" spans="1:16" ht="15.75" customHeight="1">
      <c r="A14" s="65">
        <f t="shared" si="1"/>
        <v>44957</v>
      </c>
      <c r="B14" s="66" t="s">
        <v>71</v>
      </c>
      <c r="C14" s="107">
        <f>'Single Family'!K32</f>
        <v>11.541537</v>
      </c>
      <c r="D14" s="108">
        <f>'Single Family'!K34</f>
        <v>109.88649000000001</v>
      </c>
      <c r="E14" s="107">
        <f>'Single Family'!K35</f>
        <v>0</v>
      </c>
      <c r="F14" s="107">
        <f>'Single Family'!K30</f>
        <v>10.435761000000001</v>
      </c>
      <c r="G14" s="107">
        <f>'Single Family'!K33</f>
        <v>0.69111</v>
      </c>
      <c r="H14" s="107">
        <f>'Single Family'!K37</f>
        <v>229.37940899999998</v>
      </c>
      <c r="I14" s="107">
        <f>'Single Family'!K31/2</f>
        <v>16.171974000000002</v>
      </c>
      <c r="J14" s="107">
        <f>'Single Family'!K31/2</f>
        <v>16.171974000000002</v>
      </c>
      <c r="K14" s="107">
        <f>'Single Family'!K28</f>
        <v>179.757711</v>
      </c>
      <c r="L14" s="107">
        <f>'Single Family'!K36</f>
        <v>117.074034</v>
      </c>
      <c r="M14" s="64"/>
      <c r="N14" s="133">
        <f t="shared" si="0"/>
        <v>691.1099999999999</v>
      </c>
      <c r="P14" s="68"/>
    </row>
    <row r="15" spans="1:16" ht="15.75" customHeight="1">
      <c r="A15" s="65">
        <f t="shared" si="1"/>
        <v>44985</v>
      </c>
      <c r="B15" s="66" t="s">
        <v>72</v>
      </c>
      <c r="C15" s="107">
        <f>'Single Family'!L32</f>
        <v>7.1130309999999985</v>
      </c>
      <c r="D15" s="108">
        <f>'Single Family'!L34</f>
        <v>67.72286999999999</v>
      </c>
      <c r="E15" s="107">
        <f>'Single Family'!L35</f>
        <v>0</v>
      </c>
      <c r="F15" s="107">
        <f>'Single Family'!L30</f>
        <v>6.431543</v>
      </c>
      <c r="G15" s="107">
        <f>'Single Family'!L33</f>
        <v>0.42593</v>
      </c>
      <c r="H15" s="107">
        <f>'Single Family'!L37</f>
        <v>141.36616699999996</v>
      </c>
      <c r="I15" s="107">
        <f>'Single Family'!L31/2</f>
        <v>9.966762</v>
      </c>
      <c r="J15" s="107">
        <f>'Single Family'!L31/2</f>
        <v>9.966762</v>
      </c>
      <c r="K15" s="107">
        <f>'Single Family'!L28</f>
        <v>110.78439299999998</v>
      </c>
      <c r="L15" s="107">
        <f>'Single Family'!L36</f>
        <v>72.15254199999998</v>
      </c>
      <c r="M15" s="64"/>
      <c r="N15" s="133">
        <f t="shared" si="0"/>
        <v>425.9299999999999</v>
      </c>
      <c r="P15" s="68"/>
    </row>
    <row r="16" spans="1:16" ht="15.75" customHeight="1">
      <c r="A16" s="65">
        <f t="shared" si="1"/>
        <v>45016</v>
      </c>
      <c r="B16" s="66" t="s">
        <v>73</v>
      </c>
      <c r="C16" s="107">
        <f>'Single Family'!M32</f>
        <v>8.825949999999997</v>
      </c>
      <c r="D16" s="108">
        <f>'Single Family'!M34</f>
        <v>84.03149999999998</v>
      </c>
      <c r="E16" s="107">
        <f>'Single Family'!M35</f>
        <v>0</v>
      </c>
      <c r="F16" s="107">
        <f>'Single Family'!M30</f>
        <v>7.980349999999999</v>
      </c>
      <c r="G16" s="107">
        <f>'Single Family'!M33</f>
        <v>0.5284999999999999</v>
      </c>
      <c r="H16" s="107">
        <f>'Single Family'!M37</f>
        <v>175.40914999999995</v>
      </c>
      <c r="I16" s="107">
        <f>'Single Family'!M31/2</f>
        <v>12.366899999999998</v>
      </c>
      <c r="J16" s="107">
        <f>'Single Family'!M31/2</f>
        <v>12.366899999999998</v>
      </c>
      <c r="K16" s="107">
        <f>'Single Family'!M28</f>
        <v>137.46284999999997</v>
      </c>
      <c r="L16" s="107">
        <f>'Single Family'!M36</f>
        <v>89.52789999999997</v>
      </c>
      <c r="M16" s="64"/>
      <c r="N16" s="133">
        <f t="shared" si="0"/>
        <v>528.4999999999998</v>
      </c>
      <c r="P16" s="68"/>
    </row>
    <row r="17" spans="1:16" ht="15.75" customHeight="1">
      <c r="A17" s="65">
        <f t="shared" si="1"/>
        <v>45046</v>
      </c>
      <c r="B17" s="66" t="s">
        <v>74</v>
      </c>
      <c r="C17" s="107">
        <f>'Single Family'!N32</f>
        <v>7.2030090097425745</v>
      </c>
      <c r="D17" s="108">
        <f>'Single Family'!N34</f>
        <v>68.57954685922572</v>
      </c>
      <c r="E17" s="107">
        <f>'Single Family'!N35</f>
        <v>0</v>
      </c>
      <c r="F17" s="107">
        <f>'Single Family'!N30</f>
        <v>6.512900362102568</v>
      </c>
      <c r="G17" s="107">
        <f>'Single Family'!N33</f>
        <v>0.4313179047750045</v>
      </c>
      <c r="H17" s="107">
        <f>'Single Family'!N37</f>
        <v>143.15441259482398</v>
      </c>
      <c r="I17" s="107">
        <f>'Single Family'!N31/2</f>
        <v>10.092838971735105</v>
      </c>
      <c r="J17" s="107">
        <f>'Single Family'!N31/2</f>
        <v>10.092838971735105</v>
      </c>
      <c r="K17" s="107">
        <f>'Single Family'!N28</f>
        <v>112.18578703197866</v>
      </c>
      <c r="L17" s="107">
        <f>'Single Family'!N36</f>
        <v>73.06525306888575</v>
      </c>
      <c r="M17" s="64"/>
      <c r="N17" s="133">
        <f t="shared" si="0"/>
        <v>431.3179047750045</v>
      </c>
      <c r="P17" s="68"/>
    </row>
    <row r="18" spans="1:15" ht="15.75" customHeight="1">
      <c r="A18" s="69" t="s">
        <v>31</v>
      </c>
      <c r="B18" s="66"/>
      <c r="C18" s="134">
        <f aca="true" t="shared" si="2" ref="C18:L18">SUM(C6:C17)</f>
        <v>104.23008500974257</v>
      </c>
      <c r="D18" s="134">
        <f t="shared" si="2"/>
        <v>1023.7324318592255</v>
      </c>
      <c r="E18" s="134">
        <f t="shared" si="2"/>
        <v>0</v>
      </c>
      <c r="F18" s="134">
        <f t="shared" si="2"/>
        <v>88.79507136210258</v>
      </c>
      <c r="G18" s="134">
        <f t="shared" si="2"/>
        <v>8.588442904775006</v>
      </c>
      <c r="H18" s="134">
        <f t="shared" si="2"/>
        <v>1982.5625485948237</v>
      </c>
      <c r="I18" s="134">
        <f t="shared" si="2"/>
        <v>144.7133809717351</v>
      </c>
      <c r="J18" s="134">
        <f t="shared" si="2"/>
        <v>144.7133809717351</v>
      </c>
      <c r="K18" s="134">
        <f t="shared" si="2"/>
        <v>1559.9464510319785</v>
      </c>
      <c r="L18" s="134">
        <f t="shared" si="2"/>
        <v>925.7741880688858</v>
      </c>
      <c r="M18" s="64"/>
      <c r="N18" s="135">
        <f>SUM(N6:N17)</f>
        <v>5983.055980775004</v>
      </c>
      <c r="O18" s="67"/>
    </row>
    <row r="19" spans="1:14" ht="12.75">
      <c r="A19" s="65"/>
      <c r="B19" s="66"/>
      <c r="C19" s="66"/>
      <c r="D19" s="66"/>
      <c r="E19" s="66"/>
      <c r="F19" s="66"/>
      <c r="G19" s="66"/>
      <c r="H19" s="66"/>
      <c r="I19" s="66"/>
      <c r="J19" s="66"/>
      <c r="K19" s="66"/>
      <c r="L19" s="66"/>
      <c r="M19" s="64"/>
      <c r="N19" s="67"/>
    </row>
    <row r="20" spans="1:14" ht="12.75">
      <c r="A20" s="59"/>
      <c r="B20" s="66"/>
      <c r="C20" s="66"/>
      <c r="D20" s="66"/>
      <c r="E20" s="66"/>
      <c r="F20" s="66"/>
      <c r="G20" s="66"/>
      <c r="H20" s="66"/>
      <c r="I20" s="66"/>
      <c r="J20" s="66"/>
      <c r="K20" s="66"/>
      <c r="L20" s="66"/>
      <c r="M20" s="64"/>
      <c r="N20" s="67"/>
    </row>
    <row r="21" spans="1:14" ht="12.75">
      <c r="A21" s="65"/>
      <c r="B21" s="66"/>
      <c r="C21" s="66"/>
      <c r="D21" s="66"/>
      <c r="E21" s="66"/>
      <c r="F21" s="66"/>
      <c r="G21" s="66"/>
      <c r="H21" s="66"/>
      <c r="I21" s="66"/>
      <c r="J21" s="66"/>
      <c r="K21" s="66"/>
      <c r="L21" s="66"/>
      <c r="M21" s="64"/>
      <c r="N21" s="67"/>
    </row>
    <row r="22" spans="1:14" ht="12.75">
      <c r="A22" s="65"/>
      <c r="B22" s="66"/>
      <c r="C22" s="66"/>
      <c r="D22" s="66"/>
      <c r="E22" s="66"/>
      <c r="F22" s="66"/>
      <c r="G22" s="66"/>
      <c r="H22" s="66"/>
      <c r="I22" s="66"/>
      <c r="J22" s="66"/>
      <c r="K22" s="66"/>
      <c r="L22" s="66"/>
      <c r="M22" s="64"/>
      <c r="N22" s="67"/>
    </row>
    <row r="23" spans="1:14" ht="12.75">
      <c r="A23" s="66"/>
      <c r="B23" s="66"/>
      <c r="C23" s="66"/>
      <c r="D23" s="66"/>
      <c r="E23" s="66"/>
      <c r="F23" s="66"/>
      <c r="G23" s="66"/>
      <c r="H23" s="66"/>
      <c r="I23" s="66"/>
      <c r="J23" s="66"/>
      <c r="K23" s="66"/>
      <c r="L23" s="66"/>
      <c r="M23" s="64"/>
      <c r="N23" s="67"/>
    </row>
    <row r="24" spans="1:14" ht="12.75">
      <c r="A24" s="66"/>
      <c r="B24" s="66"/>
      <c r="C24" s="66"/>
      <c r="D24" s="66"/>
      <c r="E24" s="66"/>
      <c r="F24" s="66"/>
      <c r="G24" s="66"/>
      <c r="H24" s="66"/>
      <c r="I24" s="66"/>
      <c r="J24" s="66"/>
      <c r="K24" s="66"/>
      <c r="L24" s="66"/>
      <c r="M24" s="64"/>
      <c r="N24" s="67"/>
    </row>
    <row r="25" spans="1:14" ht="12.75">
      <c r="A25" s="66"/>
      <c r="B25" s="66"/>
      <c r="C25" s="66"/>
      <c r="E25" s="66"/>
      <c r="F25" s="66"/>
      <c r="G25" s="66"/>
      <c r="H25" s="66"/>
      <c r="I25" s="66"/>
      <c r="J25" s="66"/>
      <c r="K25" s="66"/>
      <c r="L25" s="66"/>
      <c r="M25" s="64"/>
      <c r="N25" s="67"/>
    </row>
    <row r="26" spans="1:14" ht="12.75">
      <c r="A26" s="66"/>
      <c r="B26" s="66"/>
      <c r="C26" s="66"/>
      <c r="D26" s="66"/>
      <c r="E26" s="66"/>
      <c r="F26" s="66"/>
      <c r="G26" s="66"/>
      <c r="H26" s="66"/>
      <c r="I26" s="66"/>
      <c r="J26" s="66"/>
      <c r="K26" s="66"/>
      <c r="L26" s="66"/>
      <c r="M26" s="64"/>
      <c r="N26" s="67"/>
    </row>
    <row r="27" spans="1:14" ht="12.75">
      <c r="A27" s="66"/>
      <c r="B27" s="66"/>
      <c r="C27" s="66"/>
      <c r="D27" s="66"/>
      <c r="E27" s="66"/>
      <c r="F27" s="66"/>
      <c r="G27" s="66"/>
      <c r="H27" s="66"/>
      <c r="I27" s="66"/>
      <c r="J27" s="66"/>
      <c r="K27" s="66"/>
      <c r="L27" s="66"/>
      <c r="M27" s="64"/>
      <c r="N27" s="67"/>
    </row>
    <row r="28" spans="1:14" ht="12.75">
      <c r="A28" s="66"/>
      <c r="B28" s="66"/>
      <c r="C28" s="66"/>
      <c r="D28" s="66"/>
      <c r="E28" s="66"/>
      <c r="F28" s="66"/>
      <c r="G28" s="66"/>
      <c r="H28" s="66"/>
      <c r="I28" s="66"/>
      <c r="J28" s="66"/>
      <c r="K28" s="66"/>
      <c r="L28" s="66"/>
      <c r="M28" s="64"/>
      <c r="N28" s="66"/>
    </row>
    <row r="29" spans="1:14" ht="12.75">
      <c r="A29" s="66"/>
      <c r="B29" s="66"/>
      <c r="C29" s="66"/>
      <c r="D29" s="66"/>
      <c r="E29" s="66"/>
      <c r="F29" s="66"/>
      <c r="G29" s="66"/>
      <c r="H29" s="66"/>
      <c r="I29" s="66"/>
      <c r="J29" s="66"/>
      <c r="K29" s="66"/>
      <c r="L29" s="66"/>
      <c r="M29" s="64"/>
      <c r="N29" s="66"/>
    </row>
    <row r="30" spans="1:14" ht="12.75">
      <c r="A30" s="66"/>
      <c r="B30" s="66"/>
      <c r="C30" s="66"/>
      <c r="D30" s="66"/>
      <c r="E30" s="66"/>
      <c r="F30" s="66"/>
      <c r="G30" s="66"/>
      <c r="H30" s="66"/>
      <c r="I30" s="66"/>
      <c r="J30" s="66"/>
      <c r="K30" s="66"/>
      <c r="L30" s="66"/>
      <c r="M30" s="64"/>
      <c r="N30" s="66"/>
    </row>
    <row r="31" spans="1:14" ht="12.75">
      <c r="A31" s="66"/>
      <c r="B31" s="66"/>
      <c r="C31" s="66"/>
      <c r="D31" s="66"/>
      <c r="E31" s="66"/>
      <c r="F31" s="66"/>
      <c r="G31" s="66"/>
      <c r="H31" s="66"/>
      <c r="I31" s="66"/>
      <c r="J31" s="66"/>
      <c r="K31" s="66"/>
      <c r="L31" s="66"/>
      <c r="M31" s="64"/>
      <c r="N31" s="66"/>
    </row>
    <row r="32" spans="1:14" ht="12.75">
      <c r="A32" s="66"/>
      <c r="B32" s="66"/>
      <c r="C32" s="66"/>
      <c r="D32" s="66"/>
      <c r="E32" s="66"/>
      <c r="F32" s="66"/>
      <c r="G32" s="66"/>
      <c r="H32" s="66"/>
      <c r="I32" s="66"/>
      <c r="J32" s="66"/>
      <c r="K32" s="66"/>
      <c r="L32" s="66"/>
      <c r="M32" s="64"/>
      <c r="N32" s="66"/>
    </row>
    <row r="33" spans="1:14" ht="12.75">
      <c r="A33" s="66"/>
      <c r="B33" s="66"/>
      <c r="C33" s="66"/>
      <c r="D33" s="66"/>
      <c r="E33" s="66"/>
      <c r="F33" s="66"/>
      <c r="G33" s="66"/>
      <c r="H33" s="66"/>
      <c r="I33" s="66"/>
      <c r="J33" s="66"/>
      <c r="K33" s="66"/>
      <c r="L33" s="66"/>
      <c r="M33" s="64"/>
      <c r="N33" s="66"/>
    </row>
    <row r="34" spans="1:14" ht="12.75">
      <c r="A34" s="66"/>
      <c r="B34" s="66"/>
      <c r="C34" s="66"/>
      <c r="D34" s="66"/>
      <c r="E34" s="66"/>
      <c r="F34" s="66"/>
      <c r="G34" s="66"/>
      <c r="H34" s="66"/>
      <c r="I34" s="66"/>
      <c r="J34" s="66"/>
      <c r="K34" s="66"/>
      <c r="L34" s="66"/>
      <c r="M34" s="64"/>
      <c r="N34" s="66"/>
    </row>
    <row r="35" spans="1:14" ht="12.75">
      <c r="A35" s="66"/>
      <c r="B35" s="66"/>
      <c r="C35" s="66"/>
      <c r="D35" s="66"/>
      <c r="E35" s="66"/>
      <c r="F35" s="66"/>
      <c r="G35" s="66"/>
      <c r="H35" s="66"/>
      <c r="I35" s="66"/>
      <c r="J35" s="66"/>
      <c r="K35" s="66"/>
      <c r="L35" s="66"/>
      <c r="M35" s="64"/>
      <c r="N35" s="66"/>
    </row>
    <row r="36" spans="1:14" ht="12.75">
      <c r="A36" s="66"/>
      <c r="B36" s="66"/>
      <c r="C36" s="66"/>
      <c r="D36" s="66"/>
      <c r="E36" s="66"/>
      <c r="F36" s="66"/>
      <c r="G36" s="66"/>
      <c r="H36" s="66"/>
      <c r="I36" s="66"/>
      <c r="J36" s="66"/>
      <c r="K36" s="66"/>
      <c r="L36" s="66"/>
      <c r="M36" s="64"/>
      <c r="N36" s="66"/>
    </row>
    <row r="37" spans="1:14" ht="12.75">
      <c r="A37" s="66"/>
      <c r="B37" s="66"/>
      <c r="C37" s="66"/>
      <c r="D37" s="66"/>
      <c r="E37" s="66"/>
      <c r="F37" s="66"/>
      <c r="G37" s="66"/>
      <c r="H37" s="66"/>
      <c r="I37" s="66"/>
      <c r="J37" s="66"/>
      <c r="K37" s="66"/>
      <c r="L37" s="66"/>
      <c r="M37" s="64"/>
      <c r="N37" s="66"/>
    </row>
    <row r="38" spans="1:14" ht="12.75">
      <c r="A38" s="66"/>
      <c r="B38" s="66"/>
      <c r="C38" s="66"/>
      <c r="D38" s="66"/>
      <c r="E38" s="66"/>
      <c r="F38" s="66"/>
      <c r="G38" s="66"/>
      <c r="H38" s="66"/>
      <c r="I38" s="66"/>
      <c r="J38" s="66"/>
      <c r="K38" s="66"/>
      <c r="L38" s="66"/>
      <c r="M38" s="64"/>
      <c r="N38" s="66"/>
    </row>
    <row r="39" spans="1:14" ht="12.75">
      <c r="A39" s="66"/>
      <c r="B39" s="66"/>
      <c r="C39" s="66"/>
      <c r="D39" s="66"/>
      <c r="E39" s="66"/>
      <c r="F39" s="66"/>
      <c r="G39" s="66"/>
      <c r="H39" s="66"/>
      <c r="I39" s="66"/>
      <c r="J39" s="66"/>
      <c r="K39" s="66"/>
      <c r="L39" s="66"/>
      <c r="M39" s="66"/>
      <c r="N39" s="66"/>
    </row>
    <row r="40" spans="1:14" ht="12.75">
      <c r="A40" s="66"/>
      <c r="B40" s="66"/>
      <c r="C40" s="66"/>
      <c r="D40" s="66"/>
      <c r="E40" s="66"/>
      <c r="F40" s="66"/>
      <c r="G40" s="66"/>
      <c r="H40" s="66"/>
      <c r="I40" s="66"/>
      <c r="J40" s="66"/>
      <c r="K40" s="66"/>
      <c r="L40" s="66"/>
      <c r="M40" s="66"/>
      <c r="N40" s="66"/>
    </row>
    <row r="41" spans="1:14" ht="12.75">
      <c r="A41" s="66"/>
      <c r="B41" s="66"/>
      <c r="C41" s="66"/>
      <c r="D41" s="66"/>
      <c r="E41" s="66"/>
      <c r="F41" s="66"/>
      <c r="G41" s="66"/>
      <c r="H41" s="66"/>
      <c r="I41" s="66"/>
      <c r="J41" s="66"/>
      <c r="K41" s="66"/>
      <c r="L41" s="66"/>
      <c r="M41" s="66"/>
      <c r="N41" s="66"/>
    </row>
    <row r="42" spans="1:14" ht="12.75">
      <c r="A42" s="66"/>
      <c r="B42" s="66"/>
      <c r="C42" s="66"/>
      <c r="D42" s="66"/>
      <c r="E42" s="66"/>
      <c r="F42" s="66"/>
      <c r="G42" s="66"/>
      <c r="H42" s="66"/>
      <c r="I42" s="66"/>
      <c r="J42" s="66"/>
      <c r="K42" s="66"/>
      <c r="L42" s="66"/>
      <c r="M42" s="66"/>
      <c r="N42" s="66"/>
    </row>
    <row r="43" spans="1:14" ht="12.75">
      <c r="A43" s="66"/>
      <c r="B43" s="66"/>
      <c r="C43" s="66"/>
      <c r="D43" s="66"/>
      <c r="E43" s="66"/>
      <c r="F43" s="66"/>
      <c r="G43" s="66"/>
      <c r="H43" s="66"/>
      <c r="I43" s="66"/>
      <c r="J43" s="66"/>
      <c r="K43" s="66"/>
      <c r="L43" s="66"/>
      <c r="M43" s="66"/>
      <c r="N43" s="66"/>
    </row>
    <row r="44" spans="1:14" ht="12.75">
      <c r="A44" s="66"/>
      <c r="B44" s="66"/>
      <c r="C44" s="66"/>
      <c r="D44" s="66"/>
      <c r="E44" s="66"/>
      <c r="F44" s="66"/>
      <c r="G44" s="66"/>
      <c r="H44" s="66"/>
      <c r="I44" s="66"/>
      <c r="J44" s="66"/>
      <c r="K44" s="66"/>
      <c r="L44" s="66"/>
      <c r="M44" s="66"/>
      <c r="N44" s="66"/>
    </row>
    <row r="45" spans="1:14" ht="12.75">
      <c r="A45" s="66"/>
      <c r="B45" s="66"/>
      <c r="C45" s="66"/>
      <c r="D45" s="66"/>
      <c r="E45" s="66"/>
      <c r="F45" s="66"/>
      <c r="G45" s="66"/>
      <c r="H45" s="66"/>
      <c r="I45" s="66"/>
      <c r="J45" s="66"/>
      <c r="K45" s="66"/>
      <c r="L45" s="66"/>
      <c r="M45" s="66"/>
      <c r="N45" s="66"/>
    </row>
    <row r="46" spans="1:14" ht="12.75">
      <c r="A46" s="66"/>
      <c r="B46" s="66"/>
      <c r="C46" s="66"/>
      <c r="D46" s="66"/>
      <c r="E46" s="66"/>
      <c r="F46" s="66"/>
      <c r="G46" s="66"/>
      <c r="H46" s="66"/>
      <c r="I46" s="66"/>
      <c r="J46" s="66"/>
      <c r="K46" s="66"/>
      <c r="L46" s="66"/>
      <c r="M46" s="66"/>
      <c r="N46" s="66"/>
    </row>
    <row r="47" spans="1:14" ht="12.75">
      <c r="A47" s="66"/>
      <c r="B47" s="66"/>
      <c r="C47" s="66"/>
      <c r="D47" s="66"/>
      <c r="E47" s="66"/>
      <c r="F47" s="66"/>
      <c r="G47" s="66"/>
      <c r="H47" s="66"/>
      <c r="I47" s="66"/>
      <c r="J47" s="66"/>
      <c r="K47" s="66"/>
      <c r="L47" s="66"/>
      <c r="M47" s="66"/>
      <c r="N47" s="66"/>
    </row>
    <row r="48" spans="1:14" ht="12.75">
      <c r="A48" s="66"/>
      <c r="B48" s="66"/>
      <c r="C48" s="66"/>
      <c r="D48" s="66"/>
      <c r="E48" s="66"/>
      <c r="F48" s="66"/>
      <c r="G48" s="66"/>
      <c r="H48" s="66"/>
      <c r="I48" s="66"/>
      <c r="J48" s="66"/>
      <c r="K48" s="66"/>
      <c r="L48" s="66"/>
      <c r="M48" s="66"/>
      <c r="N48" s="66"/>
    </row>
    <row r="49" spans="1:14" ht="12.75">
      <c r="A49" s="66"/>
      <c r="B49" s="66"/>
      <c r="C49" s="66"/>
      <c r="D49" s="66"/>
      <c r="E49" s="66"/>
      <c r="F49" s="66"/>
      <c r="G49" s="66"/>
      <c r="H49" s="66"/>
      <c r="I49" s="66"/>
      <c r="J49" s="66"/>
      <c r="K49" s="66"/>
      <c r="L49" s="66"/>
      <c r="M49" s="66"/>
      <c r="N49" s="66"/>
    </row>
    <row r="50" spans="1:14" ht="12.75">
      <c r="A50" s="66"/>
      <c r="B50" s="66"/>
      <c r="C50" s="66"/>
      <c r="D50" s="66"/>
      <c r="E50" s="66"/>
      <c r="F50" s="66"/>
      <c r="G50" s="66"/>
      <c r="H50" s="66"/>
      <c r="I50" s="66"/>
      <c r="J50" s="66"/>
      <c r="K50" s="66"/>
      <c r="L50" s="66"/>
      <c r="M50" s="66"/>
      <c r="N50" s="66"/>
    </row>
    <row r="51" spans="1:14" ht="12.75">
      <c r="A51" s="66"/>
      <c r="B51" s="66"/>
      <c r="C51" s="66"/>
      <c r="D51" s="66"/>
      <c r="E51" s="66"/>
      <c r="F51" s="66"/>
      <c r="G51" s="66"/>
      <c r="H51" s="66"/>
      <c r="I51" s="66"/>
      <c r="J51" s="66"/>
      <c r="K51" s="66"/>
      <c r="L51" s="66"/>
      <c r="M51" s="66"/>
      <c r="N51" s="66"/>
    </row>
    <row r="52" spans="1:14" ht="12.75">
      <c r="A52" s="66"/>
      <c r="B52" s="66"/>
      <c r="C52" s="66"/>
      <c r="D52" s="66"/>
      <c r="E52" s="66"/>
      <c r="F52" s="66"/>
      <c r="G52" s="66"/>
      <c r="H52" s="66"/>
      <c r="I52" s="66"/>
      <c r="J52" s="66"/>
      <c r="K52" s="66"/>
      <c r="L52" s="66"/>
      <c r="M52" s="66"/>
      <c r="N52" s="66"/>
    </row>
    <row r="53" spans="1:14" ht="12.75">
      <c r="A53" s="66"/>
      <c r="B53" s="66"/>
      <c r="C53" s="66"/>
      <c r="D53" s="66"/>
      <c r="E53" s="66"/>
      <c r="F53" s="66"/>
      <c r="G53" s="66"/>
      <c r="H53" s="66"/>
      <c r="I53" s="66"/>
      <c r="J53" s="66"/>
      <c r="K53" s="66"/>
      <c r="L53" s="66"/>
      <c r="M53" s="66"/>
      <c r="N53" s="66"/>
    </row>
    <row r="54" spans="1:14" ht="12.75">
      <c r="A54" s="66"/>
      <c r="B54" s="66"/>
      <c r="C54" s="66"/>
      <c r="D54" s="66"/>
      <c r="E54" s="66"/>
      <c r="F54" s="66"/>
      <c r="G54" s="66"/>
      <c r="H54" s="66"/>
      <c r="I54" s="66"/>
      <c r="J54" s="66"/>
      <c r="K54" s="66"/>
      <c r="L54" s="66"/>
      <c r="M54" s="66"/>
      <c r="N54" s="66"/>
    </row>
    <row r="55" spans="1:14" ht="12.75">
      <c r="A55" s="66"/>
      <c r="B55" s="66"/>
      <c r="C55" s="66"/>
      <c r="D55" s="66"/>
      <c r="E55" s="66"/>
      <c r="F55" s="66"/>
      <c r="G55" s="66"/>
      <c r="H55" s="66"/>
      <c r="I55" s="66"/>
      <c r="J55" s="66"/>
      <c r="K55" s="66"/>
      <c r="L55" s="66"/>
      <c r="M55" s="66"/>
      <c r="N55" s="66"/>
    </row>
    <row r="56" spans="1:14" ht="12.75">
      <c r="A56" s="66"/>
      <c r="B56" s="66"/>
      <c r="C56" s="66"/>
      <c r="D56" s="66"/>
      <c r="E56" s="66"/>
      <c r="F56" s="66"/>
      <c r="G56" s="66"/>
      <c r="H56" s="66"/>
      <c r="I56" s="66"/>
      <c r="J56" s="66"/>
      <c r="K56" s="66"/>
      <c r="L56" s="66"/>
      <c r="M56" s="66"/>
      <c r="N56" s="66"/>
    </row>
    <row r="57" spans="1:14" ht="12.75">
      <c r="A57" s="66"/>
      <c r="B57" s="66"/>
      <c r="C57" s="66"/>
      <c r="D57" s="66"/>
      <c r="E57" s="66"/>
      <c r="F57" s="66"/>
      <c r="G57" s="66"/>
      <c r="H57" s="66"/>
      <c r="I57" s="66"/>
      <c r="J57" s="66"/>
      <c r="K57" s="66"/>
      <c r="L57" s="66"/>
      <c r="M57" s="66"/>
      <c r="N57" s="66"/>
    </row>
    <row r="58" spans="1:14" ht="12.75">
      <c r="A58" s="66"/>
      <c r="B58" s="66"/>
      <c r="C58" s="66"/>
      <c r="D58" s="66"/>
      <c r="E58" s="66"/>
      <c r="F58" s="66"/>
      <c r="G58" s="66"/>
      <c r="H58" s="66"/>
      <c r="I58" s="66"/>
      <c r="J58" s="66"/>
      <c r="K58" s="66"/>
      <c r="L58" s="66"/>
      <c r="M58" s="66"/>
      <c r="N58" s="66"/>
    </row>
    <row r="59" spans="1:14" ht="12.75">
      <c r="A59" s="66"/>
      <c r="B59" s="66"/>
      <c r="C59" s="66"/>
      <c r="D59" s="66"/>
      <c r="E59" s="66"/>
      <c r="F59" s="66"/>
      <c r="G59" s="66"/>
      <c r="H59" s="66"/>
      <c r="I59" s="66"/>
      <c r="J59" s="66"/>
      <c r="K59" s="66"/>
      <c r="L59" s="66"/>
      <c r="M59" s="66"/>
      <c r="N59" s="66"/>
    </row>
    <row r="60" spans="1:14" ht="12.75">
      <c r="A60" s="66"/>
      <c r="B60" s="66"/>
      <c r="C60" s="66"/>
      <c r="D60" s="66"/>
      <c r="E60" s="66"/>
      <c r="F60" s="66"/>
      <c r="G60" s="66"/>
      <c r="H60" s="66"/>
      <c r="I60" s="66"/>
      <c r="J60" s="66"/>
      <c r="K60" s="66"/>
      <c r="L60" s="66"/>
      <c r="M60" s="66"/>
      <c r="N60" s="66"/>
    </row>
    <row r="61" spans="1:14" ht="12.75">
      <c r="A61" s="66"/>
      <c r="B61" s="66"/>
      <c r="C61" s="66"/>
      <c r="D61" s="66"/>
      <c r="E61" s="66"/>
      <c r="F61" s="66"/>
      <c r="G61" s="66"/>
      <c r="H61" s="66"/>
      <c r="I61" s="66"/>
      <c r="J61" s="66"/>
      <c r="K61" s="66"/>
      <c r="L61" s="66"/>
      <c r="M61" s="66"/>
      <c r="N61" s="66"/>
    </row>
    <row r="62" spans="1:14" ht="12.75">
      <c r="A62" s="66"/>
      <c r="B62" s="66"/>
      <c r="C62" s="66"/>
      <c r="D62" s="66"/>
      <c r="E62" s="66"/>
      <c r="F62" s="66"/>
      <c r="G62" s="66"/>
      <c r="H62" s="66"/>
      <c r="I62" s="66"/>
      <c r="J62" s="66"/>
      <c r="K62" s="66"/>
      <c r="L62" s="66"/>
      <c r="M62" s="66"/>
      <c r="N62" s="66"/>
    </row>
    <row r="63" spans="1:14" ht="12.75">
      <c r="A63" s="66"/>
      <c r="B63" s="66"/>
      <c r="C63" s="66"/>
      <c r="D63" s="66"/>
      <c r="E63" s="66"/>
      <c r="F63" s="66"/>
      <c r="G63" s="66"/>
      <c r="H63" s="66"/>
      <c r="I63" s="66"/>
      <c r="J63" s="66"/>
      <c r="K63" s="66"/>
      <c r="L63" s="66"/>
      <c r="M63" s="66"/>
      <c r="N63" s="66"/>
    </row>
    <row r="64" spans="1:14" ht="12.75">
      <c r="A64" s="66"/>
      <c r="B64" s="66"/>
      <c r="C64" s="66"/>
      <c r="D64" s="66"/>
      <c r="E64" s="66"/>
      <c r="F64" s="66"/>
      <c r="G64" s="66"/>
      <c r="H64" s="66"/>
      <c r="I64" s="66"/>
      <c r="J64" s="66"/>
      <c r="K64" s="66"/>
      <c r="L64" s="66"/>
      <c r="M64" s="66"/>
      <c r="N64" s="66"/>
    </row>
    <row r="65" spans="1:14" ht="12.75">
      <c r="A65" s="66"/>
      <c r="B65" s="66"/>
      <c r="C65" s="66"/>
      <c r="D65" s="66"/>
      <c r="E65" s="66"/>
      <c r="F65" s="66"/>
      <c r="G65" s="66"/>
      <c r="H65" s="66"/>
      <c r="I65" s="66"/>
      <c r="J65" s="66"/>
      <c r="K65" s="66"/>
      <c r="L65" s="66"/>
      <c r="M65" s="66"/>
      <c r="N65" s="66"/>
    </row>
    <row r="66" spans="1:14" ht="12.75">
      <c r="A66" s="66"/>
      <c r="B66" s="66"/>
      <c r="C66" s="66"/>
      <c r="D66" s="66"/>
      <c r="E66" s="66"/>
      <c r="F66" s="66"/>
      <c r="G66" s="66"/>
      <c r="H66" s="66"/>
      <c r="I66" s="66"/>
      <c r="J66" s="66"/>
      <c r="K66" s="66"/>
      <c r="L66" s="66"/>
      <c r="M66" s="66"/>
      <c r="N66" s="66"/>
    </row>
    <row r="67" spans="1:14" ht="12.75">
      <c r="A67" s="66"/>
      <c r="B67" s="66"/>
      <c r="C67" s="66"/>
      <c r="D67" s="66"/>
      <c r="E67" s="66"/>
      <c r="F67" s="66"/>
      <c r="G67" s="66"/>
      <c r="H67" s="66"/>
      <c r="I67" s="66"/>
      <c r="J67" s="66"/>
      <c r="K67" s="66"/>
      <c r="L67" s="66"/>
      <c r="M67" s="66"/>
      <c r="N67" s="66"/>
    </row>
    <row r="68" spans="1:14" ht="12.75">
      <c r="A68" s="66"/>
      <c r="B68" s="66"/>
      <c r="C68" s="66"/>
      <c r="D68" s="66"/>
      <c r="E68" s="66"/>
      <c r="F68" s="66"/>
      <c r="G68" s="66"/>
      <c r="H68" s="66"/>
      <c r="I68" s="66"/>
      <c r="J68" s="66"/>
      <c r="K68" s="66"/>
      <c r="L68" s="66"/>
      <c r="M68" s="66"/>
      <c r="N68" s="66"/>
    </row>
    <row r="69" spans="1:14" ht="12.75">
      <c r="A69" s="66"/>
      <c r="B69" s="66"/>
      <c r="C69" s="66"/>
      <c r="D69" s="66"/>
      <c r="E69" s="66"/>
      <c r="F69" s="66"/>
      <c r="G69" s="66"/>
      <c r="H69" s="66"/>
      <c r="I69" s="66"/>
      <c r="J69" s="66"/>
      <c r="K69" s="66"/>
      <c r="L69" s="66"/>
      <c r="M69" s="66"/>
      <c r="N69" s="66"/>
    </row>
    <row r="70" spans="1:14" ht="12.75">
      <c r="A70" s="66"/>
      <c r="B70" s="66"/>
      <c r="C70" s="66"/>
      <c r="D70" s="66"/>
      <c r="E70" s="66"/>
      <c r="F70" s="66"/>
      <c r="G70" s="66"/>
      <c r="H70" s="66"/>
      <c r="I70" s="66"/>
      <c r="J70" s="66"/>
      <c r="K70" s="66"/>
      <c r="L70" s="66"/>
      <c r="M70" s="66"/>
      <c r="N70" s="66"/>
    </row>
    <row r="71" spans="1:14" ht="12.75">
      <c r="A71" s="66"/>
      <c r="B71" s="66"/>
      <c r="C71" s="66"/>
      <c r="D71" s="66"/>
      <c r="E71" s="66"/>
      <c r="F71" s="66"/>
      <c r="G71" s="66"/>
      <c r="H71" s="66"/>
      <c r="I71" s="66"/>
      <c r="J71" s="66"/>
      <c r="K71" s="66"/>
      <c r="L71" s="66"/>
      <c r="M71" s="66"/>
      <c r="N71" s="66"/>
    </row>
    <row r="72" spans="1:14" ht="12.75">
      <c r="A72" s="66"/>
      <c r="B72" s="66"/>
      <c r="C72" s="66"/>
      <c r="D72" s="66"/>
      <c r="E72" s="66"/>
      <c r="F72" s="66"/>
      <c r="G72" s="66"/>
      <c r="H72" s="66"/>
      <c r="I72" s="66"/>
      <c r="J72" s="66"/>
      <c r="K72" s="66"/>
      <c r="L72" s="66"/>
      <c r="M72" s="66"/>
      <c r="N72" s="66"/>
    </row>
    <row r="73" spans="1:14" ht="12.75">
      <c r="A73" s="66"/>
      <c r="B73" s="66"/>
      <c r="C73" s="66"/>
      <c r="D73" s="66"/>
      <c r="E73" s="66"/>
      <c r="F73" s="66"/>
      <c r="G73" s="66"/>
      <c r="H73" s="66"/>
      <c r="I73" s="66"/>
      <c r="J73" s="66"/>
      <c r="K73" s="66"/>
      <c r="L73" s="66"/>
      <c r="M73" s="66"/>
      <c r="N73" s="66"/>
    </row>
    <row r="74" spans="1:14" ht="12.75">
      <c r="A74" s="66"/>
      <c r="B74" s="66"/>
      <c r="C74" s="66"/>
      <c r="D74" s="66"/>
      <c r="E74" s="66"/>
      <c r="F74" s="66"/>
      <c r="G74" s="66"/>
      <c r="H74" s="66"/>
      <c r="I74" s="66"/>
      <c r="J74" s="66"/>
      <c r="K74" s="66"/>
      <c r="L74" s="66"/>
      <c r="M74" s="66"/>
      <c r="N74" s="66"/>
    </row>
    <row r="75" spans="1:14" ht="12.75">
      <c r="A75" s="66"/>
      <c r="B75" s="66"/>
      <c r="C75" s="66"/>
      <c r="D75" s="66"/>
      <c r="E75" s="66"/>
      <c r="F75" s="66"/>
      <c r="G75" s="66"/>
      <c r="H75" s="66"/>
      <c r="I75" s="66"/>
      <c r="J75" s="66"/>
      <c r="K75" s="66"/>
      <c r="L75" s="66"/>
      <c r="M75" s="66"/>
      <c r="N75" s="66"/>
    </row>
    <row r="76" spans="1:14" ht="12.75">
      <c r="A76" s="66"/>
      <c r="B76" s="66"/>
      <c r="C76" s="66"/>
      <c r="D76" s="66"/>
      <c r="E76" s="66"/>
      <c r="F76" s="66"/>
      <c r="G76" s="66"/>
      <c r="H76" s="66"/>
      <c r="I76" s="66"/>
      <c r="J76" s="66"/>
      <c r="K76" s="66"/>
      <c r="L76" s="66"/>
      <c r="M76" s="66"/>
      <c r="N76" s="66"/>
    </row>
    <row r="77" spans="1:14" ht="12.75">
      <c r="A77" s="66"/>
      <c r="B77" s="66"/>
      <c r="C77" s="66"/>
      <c r="D77" s="66"/>
      <c r="E77" s="66"/>
      <c r="F77" s="66"/>
      <c r="G77" s="66"/>
      <c r="H77" s="66"/>
      <c r="I77" s="66"/>
      <c r="J77" s="66"/>
      <c r="K77" s="66"/>
      <c r="L77" s="66"/>
      <c r="M77" s="66"/>
      <c r="N77" s="66"/>
    </row>
    <row r="78" spans="1:14" ht="12.75">
      <c r="A78" s="66"/>
      <c r="B78" s="66"/>
      <c r="C78" s="66"/>
      <c r="D78" s="66"/>
      <c r="E78" s="66"/>
      <c r="F78" s="66"/>
      <c r="G78" s="66"/>
      <c r="H78" s="66"/>
      <c r="I78" s="66"/>
      <c r="J78" s="66"/>
      <c r="K78" s="66"/>
      <c r="L78" s="66"/>
      <c r="M78" s="66"/>
      <c r="N78" s="66"/>
    </row>
    <row r="79" spans="1:14" ht="12.75">
      <c r="A79" s="66"/>
      <c r="B79" s="66"/>
      <c r="C79" s="66"/>
      <c r="D79" s="66"/>
      <c r="E79" s="66"/>
      <c r="F79" s="66"/>
      <c r="G79" s="66"/>
      <c r="H79" s="66"/>
      <c r="I79" s="66"/>
      <c r="J79" s="66"/>
      <c r="K79" s="66"/>
      <c r="L79" s="66"/>
      <c r="M79" s="66"/>
      <c r="N79" s="66"/>
    </row>
    <row r="80" spans="1:14" ht="12.75">
      <c r="A80" s="66"/>
      <c r="B80" s="66"/>
      <c r="C80" s="66"/>
      <c r="D80" s="66"/>
      <c r="E80" s="66"/>
      <c r="F80" s="66"/>
      <c r="G80" s="66"/>
      <c r="H80" s="66"/>
      <c r="I80" s="66"/>
      <c r="J80" s="66"/>
      <c r="K80" s="66"/>
      <c r="L80" s="66"/>
      <c r="M80" s="66"/>
      <c r="N80" s="66"/>
    </row>
    <row r="81" spans="1:14" ht="12.75">
      <c r="A81" s="66"/>
      <c r="B81" s="66"/>
      <c r="C81" s="66"/>
      <c r="D81" s="66"/>
      <c r="E81" s="66"/>
      <c r="F81" s="66"/>
      <c r="G81" s="66"/>
      <c r="H81" s="66"/>
      <c r="I81" s="66"/>
      <c r="J81" s="66"/>
      <c r="K81" s="66"/>
      <c r="L81" s="66"/>
      <c r="M81" s="66"/>
      <c r="N81" s="66"/>
    </row>
    <row r="82" spans="1:14" ht="12.75">
      <c r="A82" s="66"/>
      <c r="B82" s="66"/>
      <c r="C82" s="66"/>
      <c r="D82" s="66"/>
      <c r="E82" s="66"/>
      <c r="F82" s="66"/>
      <c r="G82" s="66"/>
      <c r="H82" s="66"/>
      <c r="I82" s="66"/>
      <c r="J82" s="66"/>
      <c r="K82" s="66"/>
      <c r="L82" s="66"/>
      <c r="M82" s="66"/>
      <c r="N82" s="66"/>
    </row>
    <row r="83" spans="1:14" ht="12.75">
      <c r="A83" s="66"/>
      <c r="B83" s="66"/>
      <c r="C83" s="66"/>
      <c r="D83" s="66"/>
      <c r="E83" s="66"/>
      <c r="F83" s="66"/>
      <c r="G83" s="66"/>
      <c r="H83" s="66"/>
      <c r="I83" s="66"/>
      <c r="J83" s="66"/>
      <c r="K83" s="66"/>
      <c r="L83" s="66"/>
      <c r="M83" s="66"/>
      <c r="N83" s="66"/>
    </row>
    <row r="84" spans="1:14" ht="12.75">
      <c r="A84" s="66"/>
      <c r="B84" s="66"/>
      <c r="C84" s="66"/>
      <c r="D84" s="66"/>
      <c r="E84" s="66"/>
      <c r="F84" s="66"/>
      <c r="G84" s="66"/>
      <c r="H84" s="66"/>
      <c r="I84" s="66"/>
      <c r="J84" s="66"/>
      <c r="K84" s="66"/>
      <c r="L84" s="66"/>
      <c r="M84" s="66"/>
      <c r="N84" s="66"/>
    </row>
    <row r="85" spans="1:14" ht="12.75">
      <c r="A85" s="66"/>
      <c r="B85" s="66"/>
      <c r="C85" s="66"/>
      <c r="D85" s="66"/>
      <c r="E85" s="66"/>
      <c r="F85" s="66"/>
      <c r="G85" s="66"/>
      <c r="H85" s="66"/>
      <c r="I85" s="66"/>
      <c r="J85" s="66"/>
      <c r="K85" s="66"/>
      <c r="L85" s="66"/>
      <c r="M85" s="66"/>
      <c r="N85" s="66"/>
    </row>
    <row r="86" spans="1:14" ht="12.75">
      <c r="A86" s="66"/>
      <c r="B86" s="66"/>
      <c r="C86" s="66"/>
      <c r="D86" s="66"/>
      <c r="E86" s="66"/>
      <c r="F86" s="66"/>
      <c r="G86" s="66"/>
      <c r="H86" s="66"/>
      <c r="I86" s="66"/>
      <c r="J86" s="66"/>
      <c r="K86" s="66"/>
      <c r="L86" s="66"/>
      <c r="M86" s="66"/>
      <c r="N86" s="66"/>
    </row>
    <row r="87" spans="1:14" ht="12.75">
      <c r="A87" s="66"/>
      <c r="B87" s="66"/>
      <c r="C87" s="66"/>
      <c r="D87" s="66"/>
      <c r="E87" s="66"/>
      <c r="F87" s="66"/>
      <c r="G87" s="66"/>
      <c r="H87" s="66"/>
      <c r="I87" s="66"/>
      <c r="J87" s="66"/>
      <c r="K87" s="66"/>
      <c r="L87" s="66"/>
      <c r="M87" s="66"/>
      <c r="N87" s="66"/>
    </row>
    <row r="88" spans="1:14" ht="12.75">
      <c r="A88" s="66"/>
      <c r="B88" s="66"/>
      <c r="C88" s="66"/>
      <c r="D88" s="66"/>
      <c r="E88" s="66"/>
      <c r="F88" s="66"/>
      <c r="G88" s="66"/>
      <c r="H88" s="66"/>
      <c r="I88" s="66"/>
      <c r="J88" s="66"/>
      <c r="K88" s="66"/>
      <c r="L88" s="66"/>
      <c r="M88" s="66"/>
      <c r="N88" s="66"/>
    </row>
    <row r="89" spans="1:14" ht="12.75">
      <c r="A89" s="66"/>
      <c r="B89" s="66"/>
      <c r="C89" s="66"/>
      <c r="D89" s="66"/>
      <c r="E89" s="66"/>
      <c r="F89" s="66"/>
      <c r="G89" s="66"/>
      <c r="H89" s="66"/>
      <c r="I89" s="66"/>
      <c r="J89" s="66"/>
      <c r="K89" s="66"/>
      <c r="L89" s="66"/>
      <c r="M89" s="66"/>
      <c r="N89" s="66"/>
    </row>
    <row r="90" spans="1:14" ht="12.75">
      <c r="A90" s="66"/>
      <c r="B90" s="66"/>
      <c r="C90" s="66"/>
      <c r="D90" s="66"/>
      <c r="E90" s="66"/>
      <c r="F90" s="66"/>
      <c r="G90" s="66"/>
      <c r="H90" s="66"/>
      <c r="I90" s="66"/>
      <c r="J90" s="66"/>
      <c r="K90" s="66"/>
      <c r="L90" s="66"/>
      <c r="M90" s="66"/>
      <c r="N90" s="66"/>
    </row>
    <row r="91" spans="1:14" ht="12.75">
      <c r="A91" s="66"/>
      <c r="B91" s="66"/>
      <c r="C91" s="66"/>
      <c r="D91" s="66"/>
      <c r="E91" s="66"/>
      <c r="F91" s="66"/>
      <c r="G91" s="66"/>
      <c r="H91" s="66"/>
      <c r="I91" s="66"/>
      <c r="J91" s="66"/>
      <c r="K91" s="66"/>
      <c r="L91" s="66"/>
      <c r="M91" s="66"/>
      <c r="N91" s="66"/>
    </row>
    <row r="92" spans="1:14" ht="12.75">
      <c r="A92" s="66"/>
      <c r="B92" s="66"/>
      <c r="C92" s="66"/>
      <c r="D92" s="66"/>
      <c r="E92" s="66"/>
      <c r="F92" s="66"/>
      <c r="G92" s="66"/>
      <c r="H92" s="66"/>
      <c r="I92" s="66"/>
      <c r="J92" s="66"/>
      <c r="K92" s="66"/>
      <c r="L92" s="66"/>
      <c r="M92" s="66"/>
      <c r="N92" s="66"/>
    </row>
    <row r="93" spans="1:14" ht="12.75">
      <c r="A93" s="66"/>
      <c r="B93" s="66"/>
      <c r="C93" s="66"/>
      <c r="D93" s="66"/>
      <c r="E93" s="66"/>
      <c r="F93" s="66"/>
      <c r="G93" s="66"/>
      <c r="H93" s="66"/>
      <c r="I93" s="66"/>
      <c r="J93" s="66"/>
      <c r="K93" s="66"/>
      <c r="L93" s="66"/>
      <c r="M93" s="66"/>
      <c r="N93" s="66"/>
    </row>
    <row r="94" spans="1:14" ht="12.75">
      <c r="A94" s="66"/>
      <c r="B94" s="66"/>
      <c r="C94" s="66"/>
      <c r="D94" s="66"/>
      <c r="E94" s="66"/>
      <c r="F94" s="66"/>
      <c r="G94" s="66"/>
      <c r="H94" s="66"/>
      <c r="I94" s="66"/>
      <c r="J94" s="66"/>
      <c r="K94" s="66"/>
      <c r="L94" s="66"/>
      <c r="M94" s="66"/>
      <c r="N94" s="66"/>
    </row>
    <row r="95" spans="1:14" ht="12.75">
      <c r="A95" s="66"/>
      <c r="B95" s="66"/>
      <c r="C95" s="66"/>
      <c r="D95" s="66"/>
      <c r="E95" s="66"/>
      <c r="F95" s="66"/>
      <c r="G95" s="66"/>
      <c r="H95" s="66"/>
      <c r="I95" s="66"/>
      <c r="J95" s="66"/>
      <c r="K95" s="66"/>
      <c r="L95" s="66"/>
      <c r="M95" s="66"/>
      <c r="N95" s="66"/>
    </row>
    <row r="96" spans="1:14" ht="12.75">
      <c r="A96" s="66"/>
      <c r="B96" s="66"/>
      <c r="C96" s="66"/>
      <c r="D96" s="66"/>
      <c r="E96" s="66"/>
      <c r="F96" s="66"/>
      <c r="G96" s="66"/>
      <c r="H96" s="66"/>
      <c r="I96" s="66"/>
      <c r="J96" s="66"/>
      <c r="K96" s="66"/>
      <c r="L96" s="66"/>
      <c r="M96" s="66"/>
      <c r="N96" s="66"/>
    </row>
    <row r="97" spans="1:14" ht="12.75">
      <c r="A97" s="66"/>
      <c r="B97" s="66"/>
      <c r="C97" s="66"/>
      <c r="D97" s="66"/>
      <c r="E97" s="66"/>
      <c r="F97" s="66"/>
      <c r="G97" s="66"/>
      <c r="H97" s="66"/>
      <c r="I97" s="66"/>
      <c r="J97" s="66"/>
      <c r="K97" s="66"/>
      <c r="L97" s="66"/>
      <c r="M97" s="66"/>
      <c r="N97" s="66"/>
    </row>
    <row r="98" spans="1:14" ht="12.75">
      <c r="A98" s="66"/>
      <c r="B98" s="66"/>
      <c r="C98" s="66"/>
      <c r="D98" s="66"/>
      <c r="E98" s="66"/>
      <c r="F98" s="66"/>
      <c r="G98" s="66"/>
      <c r="H98" s="66"/>
      <c r="I98" s="66"/>
      <c r="J98" s="66"/>
      <c r="K98" s="66"/>
      <c r="L98" s="66"/>
      <c r="M98" s="66"/>
      <c r="N98" s="66"/>
    </row>
    <row r="99" spans="1:14" ht="12.75">
      <c r="A99" s="66"/>
      <c r="B99" s="66"/>
      <c r="C99" s="66"/>
      <c r="D99" s="66"/>
      <c r="E99" s="66"/>
      <c r="F99" s="66"/>
      <c r="G99" s="66"/>
      <c r="H99" s="66"/>
      <c r="I99" s="66"/>
      <c r="J99" s="66"/>
      <c r="K99" s="66"/>
      <c r="L99" s="66"/>
      <c r="M99" s="66"/>
      <c r="N99" s="66"/>
    </row>
    <row r="100" spans="1:14" ht="12.75">
      <c r="A100" s="66"/>
      <c r="B100" s="66"/>
      <c r="C100" s="66"/>
      <c r="D100" s="66"/>
      <c r="E100" s="66"/>
      <c r="F100" s="66"/>
      <c r="G100" s="66"/>
      <c r="H100" s="66"/>
      <c r="I100" s="66"/>
      <c r="J100" s="66"/>
      <c r="K100" s="66"/>
      <c r="L100" s="66"/>
      <c r="M100" s="66"/>
      <c r="N100" s="66"/>
    </row>
    <row r="101" spans="1:14" ht="12.75">
      <c r="A101" s="66"/>
      <c r="B101" s="66"/>
      <c r="C101" s="66"/>
      <c r="D101" s="66"/>
      <c r="E101" s="66"/>
      <c r="F101" s="66"/>
      <c r="G101" s="66"/>
      <c r="H101" s="66"/>
      <c r="I101" s="66"/>
      <c r="J101" s="66"/>
      <c r="K101" s="66"/>
      <c r="L101" s="66"/>
      <c r="M101" s="66"/>
      <c r="N101" s="66"/>
    </row>
    <row r="102" spans="1:14" ht="12.75">
      <c r="A102" s="66"/>
      <c r="B102" s="66"/>
      <c r="C102" s="66"/>
      <c r="D102" s="66"/>
      <c r="E102" s="66"/>
      <c r="F102" s="66"/>
      <c r="G102" s="66"/>
      <c r="H102" s="66"/>
      <c r="I102" s="66"/>
      <c r="J102" s="66"/>
      <c r="K102" s="66"/>
      <c r="L102" s="66"/>
      <c r="M102" s="66"/>
      <c r="N102" s="66"/>
    </row>
    <row r="103" spans="1:14" ht="12.75">
      <c r="A103" s="66"/>
      <c r="B103" s="66"/>
      <c r="C103" s="66"/>
      <c r="D103" s="66"/>
      <c r="E103" s="66"/>
      <c r="F103" s="66"/>
      <c r="G103" s="66"/>
      <c r="H103" s="66"/>
      <c r="I103" s="66"/>
      <c r="J103" s="66"/>
      <c r="K103" s="66"/>
      <c r="L103" s="66"/>
      <c r="M103" s="66"/>
      <c r="N103" s="66"/>
    </row>
    <row r="104" spans="1:14" ht="12.75">
      <c r="A104" s="66"/>
      <c r="B104" s="66"/>
      <c r="C104" s="66"/>
      <c r="D104" s="66"/>
      <c r="E104" s="66"/>
      <c r="F104" s="66"/>
      <c r="G104" s="66"/>
      <c r="H104" s="66"/>
      <c r="I104" s="66"/>
      <c r="J104" s="66"/>
      <c r="K104" s="66"/>
      <c r="L104" s="66"/>
      <c r="M104" s="66"/>
      <c r="N104" s="66"/>
    </row>
    <row r="105" spans="1:14" ht="12.75">
      <c r="A105" s="66"/>
      <c r="B105" s="66"/>
      <c r="C105" s="66"/>
      <c r="D105" s="66"/>
      <c r="E105" s="66"/>
      <c r="F105" s="66"/>
      <c r="G105" s="66"/>
      <c r="H105" s="66"/>
      <c r="I105" s="66"/>
      <c r="J105" s="66"/>
      <c r="K105" s="66"/>
      <c r="L105" s="66"/>
      <c r="M105" s="66"/>
      <c r="N105" s="66"/>
    </row>
    <row r="106" spans="1:14" ht="12.75">
      <c r="A106" s="66"/>
      <c r="B106" s="66"/>
      <c r="C106" s="66"/>
      <c r="D106" s="66"/>
      <c r="E106" s="66"/>
      <c r="F106" s="66"/>
      <c r="G106" s="66"/>
      <c r="H106" s="66"/>
      <c r="I106" s="66"/>
      <c r="J106" s="66"/>
      <c r="K106" s="66"/>
      <c r="L106" s="66"/>
      <c r="M106" s="66"/>
      <c r="N106" s="66"/>
    </row>
    <row r="107" spans="1:14" ht="12.75">
      <c r="A107" s="66"/>
      <c r="B107" s="66"/>
      <c r="C107" s="66"/>
      <c r="D107" s="66"/>
      <c r="E107" s="66"/>
      <c r="F107" s="66"/>
      <c r="G107" s="66"/>
      <c r="H107" s="66"/>
      <c r="I107" s="66"/>
      <c r="J107" s="66"/>
      <c r="K107" s="66"/>
      <c r="L107" s="66"/>
      <c r="M107" s="66"/>
      <c r="N107" s="66"/>
    </row>
    <row r="108" spans="1:14" ht="12.75">
      <c r="A108" s="66"/>
      <c r="B108" s="66"/>
      <c r="C108" s="66"/>
      <c r="D108" s="66"/>
      <c r="E108" s="66"/>
      <c r="F108" s="66"/>
      <c r="G108" s="66"/>
      <c r="H108" s="66"/>
      <c r="I108" s="66"/>
      <c r="J108" s="66"/>
      <c r="K108" s="66"/>
      <c r="L108" s="66"/>
      <c r="M108" s="66"/>
      <c r="N108" s="66"/>
    </row>
    <row r="109" spans="1:14" ht="12.75">
      <c r="A109" s="66"/>
      <c r="B109" s="66"/>
      <c r="C109" s="66"/>
      <c r="D109" s="66"/>
      <c r="E109" s="66"/>
      <c r="F109" s="66"/>
      <c r="G109" s="66"/>
      <c r="H109" s="66"/>
      <c r="I109" s="66"/>
      <c r="J109" s="66"/>
      <c r="K109" s="66"/>
      <c r="L109" s="66"/>
      <c r="M109" s="66"/>
      <c r="N109" s="66"/>
    </row>
    <row r="110" spans="1:14" ht="12.75">
      <c r="A110" s="66"/>
      <c r="B110" s="66"/>
      <c r="C110" s="66"/>
      <c r="D110" s="66"/>
      <c r="E110" s="66"/>
      <c r="F110" s="66"/>
      <c r="G110" s="66"/>
      <c r="H110" s="66"/>
      <c r="I110" s="66"/>
      <c r="J110" s="66"/>
      <c r="K110" s="66"/>
      <c r="L110" s="66"/>
      <c r="M110" s="66"/>
      <c r="N110" s="66"/>
    </row>
    <row r="111" spans="1:14" ht="12.75">
      <c r="A111" s="66"/>
      <c r="B111" s="66"/>
      <c r="C111" s="66"/>
      <c r="D111" s="66"/>
      <c r="E111" s="66"/>
      <c r="F111" s="66"/>
      <c r="G111" s="66"/>
      <c r="H111" s="66"/>
      <c r="I111" s="66"/>
      <c r="J111" s="66"/>
      <c r="K111" s="66"/>
      <c r="L111" s="66"/>
      <c r="M111" s="66"/>
      <c r="N111" s="66"/>
    </row>
    <row r="112" spans="1:14" ht="12.75">
      <c r="A112" s="66"/>
      <c r="B112" s="66"/>
      <c r="C112" s="66"/>
      <c r="D112" s="66"/>
      <c r="E112" s="66"/>
      <c r="F112" s="66"/>
      <c r="G112" s="66"/>
      <c r="H112" s="66"/>
      <c r="I112" s="66"/>
      <c r="J112" s="66"/>
      <c r="K112" s="66"/>
      <c r="L112" s="66"/>
      <c r="M112" s="66"/>
      <c r="N112" s="66"/>
    </row>
    <row r="113" spans="1:14" ht="12.75">
      <c r="A113" s="66"/>
      <c r="B113" s="66"/>
      <c r="C113" s="66"/>
      <c r="D113" s="66"/>
      <c r="E113" s="66"/>
      <c r="F113" s="66"/>
      <c r="G113" s="66"/>
      <c r="H113" s="66"/>
      <c r="I113" s="66"/>
      <c r="J113" s="66"/>
      <c r="K113" s="66"/>
      <c r="L113" s="66"/>
      <c r="M113" s="66"/>
      <c r="N113" s="66"/>
    </row>
    <row r="114" spans="1:14" ht="12.75">
      <c r="A114" s="66"/>
      <c r="B114" s="66"/>
      <c r="C114" s="66"/>
      <c r="D114" s="66"/>
      <c r="E114" s="66"/>
      <c r="F114" s="66"/>
      <c r="G114" s="66"/>
      <c r="H114" s="66"/>
      <c r="I114" s="66"/>
      <c r="J114" s="66"/>
      <c r="K114" s="66"/>
      <c r="L114" s="66"/>
      <c r="M114" s="66"/>
      <c r="N114" s="66"/>
    </row>
    <row r="115" spans="1:14" ht="12.75">
      <c r="A115" s="66"/>
      <c r="B115" s="66"/>
      <c r="C115" s="66"/>
      <c r="D115" s="66"/>
      <c r="E115" s="66"/>
      <c r="F115" s="66"/>
      <c r="G115" s="66"/>
      <c r="H115" s="66"/>
      <c r="I115" s="66"/>
      <c r="J115" s="66"/>
      <c r="K115" s="66"/>
      <c r="L115" s="66"/>
      <c r="M115" s="66"/>
      <c r="N115" s="66"/>
    </row>
    <row r="116" spans="1:14" ht="12.75">
      <c r="A116" s="66"/>
      <c r="B116" s="66"/>
      <c r="C116" s="66"/>
      <c r="D116" s="66"/>
      <c r="E116" s="66"/>
      <c r="F116" s="66"/>
      <c r="G116" s="66"/>
      <c r="H116" s="66"/>
      <c r="I116" s="66"/>
      <c r="J116" s="66"/>
      <c r="K116" s="66"/>
      <c r="L116" s="66"/>
      <c r="M116" s="66"/>
      <c r="N116" s="66"/>
    </row>
    <row r="117" spans="1:14" ht="12.75">
      <c r="A117" s="66"/>
      <c r="B117" s="66"/>
      <c r="C117" s="66"/>
      <c r="D117" s="66"/>
      <c r="E117" s="66"/>
      <c r="F117" s="66"/>
      <c r="G117" s="66"/>
      <c r="H117" s="66"/>
      <c r="I117" s="66"/>
      <c r="J117" s="66"/>
      <c r="K117" s="66"/>
      <c r="L117" s="66"/>
      <c r="M117" s="66"/>
      <c r="N117" s="66"/>
    </row>
    <row r="118" spans="1:14" ht="12.75">
      <c r="A118" s="66"/>
      <c r="B118" s="66"/>
      <c r="C118" s="66"/>
      <c r="D118" s="66"/>
      <c r="E118" s="66"/>
      <c r="F118" s="66"/>
      <c r="G118" s="66"/>
      <c r="H118" s="66"/>
      <c r="I118" s="66"/>
      <c r="J118" s="66"/>
      <c r="K118" s="66"/>
      <c r="L118" s="66"/>
      <c r="M118" s="66"/>
      <c r="N118" s="66"/>
    </row>
  </sheetData>
  <sheetProtection/>
  <printOptions/>
  <pageMargins left="0.5" right="0.5" top="0.75" bottom="0.7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N120"/>
  <sheetViews>
    <sheetView showGridLines="0" zoomScalePageLayoutView="0" workbookViewId="0" topLeftCell="A1">
      <selection activeCell="A1" sqref="A1"/>
    </sheetView>
  </sheetViews>
  <sheetFormatPr defaultColWidth="9.140625" defaultRowHeight="12.75"/>
  <cols>
    <col min="2" max="2" width="2.28125" style="0" bestFit="1" customWidth="1"/>
    <col min="3" max="12" width="11.7109375" style="0" customWidth="1"/>
  </cols>
  <sheetData>
    <row r="1" spans="1:2" ht="12.75">
      <c r="A1" s="59" t="str">
        <f>"Commodity Pricing ("&amp;TEXT(A6,"mmmm yyyy")&amp;" through "&amp;TEXT(A17,"mmmm yyyy")&amp;")"</f>
        <v>Commodity Pricing (May 2022 through April 2023)</v>
      </c>
      <c r="B1" s="60"/>
    </row>
    <row r="2" spans="1:2" ht="12.75">
      <c r="A2" s="61" t="str">
        <f>Value!A2</f>
        <v>Rabanco Ltd (dba Allied Waste of Lynnwood)</v>
      </c>
      <c r="B2" s="61"/>
    </row>
    <row r="3" spans="1:2" ht="12.75">
      <c r="A3" s="61"/>
      <c r="B3" s="61"/>
    </row>
    <row r="4" spans="1:2" ht="12.75">
      <c r="A4" s="61"/>
      <c r="B4" s="61"/>
    </row>
    <row r="5" spans="2:13" ht="12.75">
      <c r="B5" s="70"/>
      <c r="C5" s="63" t="s">
        <v>21</v>
      </c>
      <c r="D5" s="63" t="s">
        <v>22</v>
      </c>
      <c r="E5" s="63" t="s">
        <v>87</v>
      </c>
      <c r="F5" s="63" t="s">
        <v>50</v>
      </c>
      <c r="G5" s="63" t="s">
        <v>88</v>
      </c>
      <c r="H5" s="63" t="s">
        <v>24</v>
      </c>
      <c r="I5" s="63" t="s">
        <v>25</v>
      </c>
      <c r="J5" s="63" t="s">
        <v>26</v>
      </c>
      <c r="K5" s="63" t="s">
        <v>27</v>
      </c>
      <c r="L5" s="63" t="s">
        <v>28</v>
      </c>
      <c r="M5" s="63"/>
    </row>
    <row r="6" spans="1:13" ht="15.75" customHeight="1">
      <c r="A6" s="126">
        <f>'Single Family'!$C$6</f>
        <v>44682</v>
      </c>
      <c r="B6" s="66" t="s">
        <v>63</v>
      </c>
      <c r="C6" s="105">
        <f>'Single Family'!C74</f>
        <v>1590</v>
      </c>
      <c r="D6" s="106">
        <f>'Single Family'!C76</f>
        <v>-51.33</v>
      </c>
      <c r="E6" s="106">
        <f>'Single Family'!C77</f>
        <v>0</v>
      </c>
      <c r="F6" s="107">
        <f>'Single Family'!C72</f>
        <v>126.36</v>
      </c>
      <c r="G6" s="105">
        <f>'Single Family'!C75</f>
        <v>161.736</v>
      </c>
      <c r="H6" s="105">
        <f>'Single Family'!C79</f>
        <v>6.928000000000001</v>
      </c>
      <c r="I6" s="105">
        <f>'Single Family'!C73</f>
        <v>360.2549593495936</v>
      </c>
      <c r="J6" s="105">
        <f>'Single Family'!C73</f>
        <v>360.2549593495936</v>
      </c>
      <c r="K6" s="105">
        <f>'Single Family'!C70</f>
        <v>110.89600000000002</v>
      </c>
      <c r="L6" s="106">
        <f>'Single Family'!C78</f>
        <v>-84.61</v>
      </c>
      <c r="M6" s="70"/>
    </row>
    <row r="7" spans="1:13" ht="15.75" customHeight="1">
      <c r="A7" s="65">
        <f>+'Commodity Tonnages'!A7</f>
        <v>44742</v>
      </c>
      <c r="B7" s="66" t="s">
        <v>64</v>
      </c>
      <c r="C7" s="105">
        <f>'Single Family'!D74</f>
        <v>1425.584</v>
      </c>
      <c r="D7" s="106">
        <f>'Single Family'!D76</f>
        <v>-53.77</v>
      </c>
      <c r="E7" s="106">
        <f>'Single Family'!D77</f>
        <v>0</v>
      </c>
      <c r="F7" s="107">
        <f>'Single Family'!D72</f>
        <v>109.67200000000001</v>
      </c>
      <c r="G7" s="105">
        <f>'Single Family'!D75</f>
        <v>135.256</v>
      </c>
      <c r="H7" s="105">
        <f>'Single Family'!D79</f>
        <v>6.840000000000001</v>
      </c>
      <c r="I7" s="105">
        <f>'Single Family'!D73</f>
        <v>351.2541788617886</v>
      </c>
      <c r="J7" s="105">
        <f>'Single Family'!D73</f>
        <v>351.2541788617886</v>
      </c>
      <c r="K7" s="105">
        <f>'Single Family'!D70</f>
        <v>113.68800000000002</v>
      </c>
      <c r="L7" s="106">
        <f>'Single Family'!D78</f>
        <v>-84.61</v>
      </c>
      <c r="M7" s="70"/>
    </row>
    <row r="8" spans="1:13" ht="15.75" customHeight="1">
      <c r="A8" s="65">
        <f>+'Commodity Tonnages'!A8</f>
        <v>44773</v>
      </c>
      <c r="B8" s="66" t="s">
        <v>65</v>
      </c>
      <c r="C8" s="105">
        <f>'Single Family'!E74</f>
        <v>1222.3680000000002</v>
      </c>
      <c r="D8" s="106">
        <f>'Single Family'!E76</f>
        <v>-60.37</v>
      </c>
      <c r="E8" s="106">
        <f>'Single Family'!E77</f>
        <v>0</v>
      </c>
      <c r="F8" s="107">
        <f>'Single Family'!E72</f>
        <v>84.456</v>
      </c>
      <c r="G8" s="105">
        <f>'Single Family'!E75</f>
        <v>91.11200000000001</v>
      </c>
      <c r="H8" s="105">
        <f>'Single Family'!E79</f>
        <v>12.784</v>
      </c>
      <c r="I8" s="105">
        <f>'Single Family'!E73</f>
        <v>184.48515447154472</v>
      </c>
      <c r="J8" s="105">
        <f>'Single Family'!E73</f>
        <v>184.48515447154472</v>
      </c>
      <c r="K8" s="105">
        <f>'Single Family'!E70</f>
        <v>115.52000000000001</v>
      </c>
      <c r="L8" s="106">
        <f>'Single Family'!E78</f>
        <v>-84.61</v>
      </c>
      <c r="M8" s="67"/>
    </row>
    <row r="9" spans="1:13" ht="15.75" customHeight="1">
      <c r="A9" s="65">
        <f>+'Commodity Tonnages'!A9</f>
        <v>44804</v>
      </c>
      <c r="B9" s="66" t="s">
        <v>66</v>
      </c>
      <c r="C9" s="105">
        <f>'Single Family'!F74</f>
        <v>1225.72</v>
      </c>
      <c r="D9" s="106">
        <f>'Single Family'!F76</f>
        <v>-58.38</v>
      </c>
      <c r="E9" s="106">
        <f>'Single Family'!F77</f>
        <v>0</v>
      </c>
      <c r="F9" s="107">
        <f>'Single Family'!F72</f>
        <v>77.504</v>
      </c>
      <c r="G9" s="105">
        <f>'Single Family'!F75</f>
        <v>85.296</v>
      </c>
      <c r="H9" s="105">
        <f>'Single Family'!F79</f>
        <v>-0.49</v>
      </c>
      <c r="I9" s="105">
        <f>'Single Family'!F73</f>
        <v>105.90801219512196</v>
      </c>
      <c r="J9" s="105">
        <f>'Single Family'!F73</f>
        <v>105.90801219512196</v>
      </c>
      <c r="K9" s="105">
        <f>'Single Family'!F70</f>
        <v>104.128</v>
      </c>
      <c r="L9" s="106">
        <f>'Single Family'!F78</f>
        <v>-77.8</v>
      </c>
      <c r="M9" s="67"/>
    </row>
    <row r="10" spans="1:13" ht="15.75" customHeight="1">
      <c r="A10" s="65">
        <f>+'Commodity Tonnages'!A10</f>
        <v>44834</v>
      </c>
      <c r="B10" s="66" t="s">
        <v>67</v>
      </c>
      <c r="C10" s="105">
        <f>'Single Family'!G74</f>
        <v>1131.44</v>
      </c>
      <c r="D10" s="106">
        <f>'Single Family'!G76</f>
        <v>-60.06</v>
      </c>
      <c r="E10" s="106">
        <f>'Single Family'!G77</f>
        <v>0</v>
      </c>
      <c r="F10" s="107">
        <f>'Single Family'!G72</f>
        <v>76.248</v>
      </c>
      <c r="G10" s="105">
        <f>'Single Family'!G75</f>
        <v>94.80000000000001</v>
      </c>
      <c r="H10" s="105">
        <f>'Single Family'!G79</f>
        <v>-58.34</v>
      </c>
      <c r="I10" s="105">
        <f>'Single Family'!G73</f>
        <v>44.664658536585364</v>
      </c>
      <c r="J10" s="105">
        <f>'Single Family'!G73</f>
        <v>44.664658536585364</v>
      </c>
      <c r="K10" s="105">
        <f>'Single Family'!G70</f>
        <v>58.792</v>
      </c>
      <c r="L10" s="106">
        <f>'Single Family'!G78</f>
        <v>-85.68</v>
      </c>
      <c r="M10" s="67"/>
    </row>
    <row r="11" spans="1:13" ht="15.75" customHeight="1">
      <c r="A11" s="65">
        <f>+'Commodity Tonnages'!A11</f>
        <v>44865</v>
      </c>
      <c r="B11" s="66" t="s">
        <v>68</v>
      </c>
      <c r="C11" s="105">
        <f>'Single Family'!H74</f>
        <v>1033.976</v>
      </c>
      <c r="D11" s="106">
        <f>'Single Family'!H76</f>
        <v>-58.19</v>
      </c>
      <c r="E11" s="106">
        <f>'Single Family'!H77</f>
        <v>0</v>
      </c>
      <c r="F11" s="107">
        <f>'Single Family'!H72</f>
        <v>49.784</v>
      </c>
      <c r="G11" s="105">
        <f>'Single Family'!H75</f>
        <v>92.536</v>
      </c>
      <c r="H11" s="105">
        <f>'Single Family'!H79</f>
        <v>-58.13</v>
      </c>
      <c r="I11" s="105">
        <f>'Single Family'!H73</f>
        <v>112.69443902439025</v>
      </c>
      <c r="J11" s="105">
        <f>'Single Family'!H73</f>
        <v>112.69443902439025</v>
      </c>
      <c r="K11" s="105">
        <f>'Single Family'!H70</f>
        <v>32.480000000000004</v>
      </c>
      <c r="L11" s="106">
        <f>'Single Family'!H78</f>
        <v>-93.8</v>
      </c>
      <c r="M11" s="67"/>
    </row>
    <row r="12" spans="1:13" ht="15.75" customHeight="1">
      <c r="A12" s="65">
        <f>+'Commodity Tonnages'!A12</f>
        <v>44895</v>
      </c>
      <c r="B12" s="66" t="s">
        <v>69</v>
      </c>
      <c r="C12" s="105">
        <f>'Single Family'!I74</f>
        <v>1135.9840000000002</v>
      </c>
      <c r="D12" s="106">
        <f>'Single Family'!I76</f>
        <v>-48.54</v>
      </c>
      <c r="E12" s="106">
        <f>'Single Family'!I77</f>
        <v>0</v>
      </c>
      <c r="F12" s="107">
        <f>'Single Family'!I72</f>
        <v>46.392</v>
      </c>
      <c r="G12" s="105">
        <f>'Single Family'!I75</f>
        <v>95.352</v>
      </c>
      <c r="H12" s="105">
        <f>'Single Family'!I79</f>
        <v>-38.48</v>
      </c>
      <c r="I12" s="105">
        <f>'Single Family'!I73</f>
        <v>101.9769105691057</v>
      </c>
      <c r="J12" s="105">
        <f>'Single Family'!I73</f>
        <v>101.9769105691057</v>
      </c>
      <c r="K12" s="105">
        <f>'Single Family'!I70</f>
        <v>46.768</v>
      </c>
      <c r="L12" s="106">
        <f>'Single Family'!I78</f>
        <v>-84.89</v>
      </c>
      <c r="M12" s="67"/>
    </row>
    <row r="13" spans="1:13" ht="15.75" customHeight="1">
      <c r="A13" s="65">
        <f>+'Commodity Tonnages'!A13</f>
        <v>44926</v>
      </c>
      <c r="B13" s="66" t="s">
        <v>70</v>
      </c>
      <c r="C13" s="105">
        <f>'Single Family'!J74</f>
        <v>1183.9440000000002</v>
      </c>
      <c r="D13" s="106">
        <f>'Single Family'!J76</f>
        <v>-63.4</v>
      </c>
      <c r="E13" s="106">
        <f>'Single Family'!J77</f>
        <v>0</v>
      </c>
      <c r="F13" s="107">
        <f>'Single Family'!J72</f>
        <v>67.54400000000001</v>
      </c>
      <c r="G13" s="105">
        <f>'Single Family'!J75</f>
        <v>63.632000000000005</v>
      </c>
      <c r="H13" s="105">
        <f>'Single Family'!J79</f>
        <v>-42.59</v>
      </c>
      <c r="I13" s="105">
        <f>'Single Family'!J73</f>
        <v>96.7489837398374</v>
      </c>
      <c r="J13" s="105">
        <f>'Single Family'!J73</f>
        <v>96.7489837398374</v>
      </c>
      <c r="K13" s="105">
        <f>'Single Family'!J70</f>
        <v>44.368</v>
      </c>
      <c r="L13" s="106">
        <f>'Single Family'!J78</f>
        <v>-79.41</v>
      </c>
      <c r="M13" s="67"/>
    </row>
    <row r="14" spans="1:13" ht="15.75" customHeight="1">
      <c r="A14" s="65">
        <f>+'Commodity Tonnages'!A14</f>
        <v>44957</v>
      </c>
      <c r="B14" s="66" t="s">
        <v>71</v>
      </c>
      <c r="C14" s="105">
        <f>'Single Family'!K74</f>
        <v>1268.2</v>
      </c>
      <c r="D14" s="106">
        <f>'Single Family'!K76</f>
        <v>-59.42</v>
      </c>
      <c r="E14" s="106">
        <f>'Single Family'!K77</f>
        <v>0</v>
      </c>
      <c r="F14" s="107">
        <f>'Single Family'!K72</f>
        <v>88.144</v>
      </c>
      <c r="G14" s="105">
        <f>'Single Family'!K75</f>
        <v>100.38400000000001</v>
      </c>
      <c r="H14" s="105">
        <f>'Single Family'!K79</f>
        <v>-9.56</v>
      </c>
      <c r="I14" s="105">
        <f>'Single Family'!K73</f>
        <v>102.48647435897436</v>
      </c>
      <c r="J14" s="105">
        <f>'Single Family'!K73</f>
        <v>102.48647435897436</v>
      </c>
      <c r="K14" s="105">
        <f>'Single Family'!K70</f>
        <v>58.312000000000005</v>
      </c>
      <c r="L14" s="106">
        <f>'Single Family'!K78</f>
        <v>-80.42</v>
      </c>
      <c r="M14" s="67"/>
    </row>
    <row r="15" spans="1:13" ht="15.75" customHeight="1">
      <c r="A15" s="65">
        <f>+'Commodity Tonnages'!A15</f>
        <v>44985</v>
      </c>
      <c r="B15" s="66" t="s">
        <v>72</v>
      </c>
      <c r="C15" s="105">
        <f>'Single Family'!L74</f>
        <v>1309.928</v>
      </c>
      <c r="D15" s="106">
        <f>'Single Family'!L76</f>
        <v>-53.45</v>
      </c>
      <c r="E15" s="106">
        <f>'Single Family'!L77</f>
        <v>0</v>
      </c>
      <c r="F15" s="107">
        <f>'Single Family'!L72</f>
        <v>94.00800000000001</v>
      </c>
      <c r="G15" s="105">
        <f>'Single Family'!L75</f>
        <v>119.89600000000002</v>
      </c>
      <c r="H15" s="105">
        <f>'Single Family'!L79</f>
        <v>3.4640000000000004</v>
      </c>
      <c r="I15" s="105">
        <f>'Single Family'!L73</f>
        <v>154.70989743589743</v>
      </c>
      <c r="J15" s="105">
        <f>'Single Family'!L73</f>
        <v>154.70989743589743</v>
      </c>
      <c r="K15" s="105">
        <f>'Single Family'!L70</f>
        <v>77.82400000000001</v>
      </c>
      <c r="L15" s="106">
        <f>'Single Family'!L78</f>
        <v>-82.35</v>
      </c>
      <c r="M15" s="67"/>
    </row>
    <row r="16" spans="1:13" ht="15.75" customHeight="1">
      <c r="A16" s="65">
        <f>+'Commodity Tonnages'!A16</f>
        <v>45016</v>
      </c>
      <c r="B16" s="66" t="s">
        <v>73</v>
      </c>
      <c r="C16" s="105">
        <f>'Single Family'!M74</f>
        <v>1203.952</v>
      </c>
      <c r="D16" s="106">
        <f>'Single Family'!M76</f>
        <v>-53.69</v>
      </c>
      <c r="E16" s="106">
        <f>'Single Family'!M77</f>
        <v>0</v>
      </c>
      <c r="F16" s="107">
        <f>'Single Family'!M72</f>
        <v>121.49600000000001</v>
      </c>
      <c r="G16" s="105">
        <f>'Single Family'!M75</f>
        <v>133.592</v>
      </c>
      <c r="H16" s="105">
        <f>'Single Family'!M79</f>
        <v>11.032</v>
      </c>
      <c r="I16" s="105">
        <f>'Single Family'!M73</f>
        <v>129.5606837606838</v>
      </c>
      <c r="J16" s="105">
        <f>'Single Family'!M73</f>
        <v>129.5606837606838</v>
      </c>
      <c r="K16" s="105">
        <f>'Single Family'!M70</f>
        <v>78.32000000000001</v>
      </c>
      <c r="L16" s="106">
        <f>'Single Family'!M78</f>
        <v>-84.86</v>
      </c>
      <c r="M16" s="67"/>
    </row>
    <row r="17" spans="1:13" ht="15.75" customHeight="1">
      <c r="A17" s="65">
        <f>+'Commodity Tonnages'!A17</f>
        <v>45046</v>
      </c>
      <c r="B17" s="66" t="s">
        <v>74</v>
      </c>
      <c r="C17" s="105">
        <f>'Single Family'!N74</f>
        <v>1209.096</v>
      </c>
      <c r="D17" s="106">
        <f>'Single Family'!N76</f>
        <v>-75.95</v>
      </c>
      <c r="E17" s="106">
        <f>'Single Family'!N77</f>
        <v>0</v>
      </c>
      <c r="F17" s="107">
        <f>'Single Family'!N72</f>
        <v>103.128</v>
      </c>
      <c r="G17" s="105">
        <f>'Single Family'!N75</f>
        <v>118.456</v>
      </c>
      <c r="H17" s="105">
        <f>'Single Family'!N79</f>
        <v>24.248</v>
      </c>
      <c r="I17" s="105">
        <f>'Single Family'!N73</f>
        <v>195.09063247863247</v>
      </c>
      <c r="J17" s="105">
        <f>'Single Family'!N73</f>
        <v>195.09063247863247</v>
      </c>
      <c r="K17" s="105">
        <f>'Single Family'!N70</f>
        <v>75.304</v>
      </c>
      <c r="L17" s="106">
        <f>'Single Family'!N78</f>
        <v>-86.4</v>
      </c>
      <c r="M17" s="67"/>
    </row>
    <row r="18" spans="1:13" ht="12.75">
      <c r="A18" s="66"/>
      <c r="B18" s="66"/>
      <c r="C18" s="67"/>
      <c r="D18" s="67"/>
      <c r="E18" s="67"/>
      <c r="F18" s="67"/>
      <c r="G18" s="67"/>
      <c r="H18" s="67"/>
      <c r="I18" s="67"/>
      <c r="J18" s="67"/>
      <c r="K18" s="67"/>
      <c r="L18" s="66"/>
      <c r="M18" s="67"/>
    </row>
    <row r="19" spans="1:14" ht="12.75">
      <c r="A19" s="69"/>
      <c r="B19" s="66"/>
      <c r="C19" s="67"/>
      <c r="D19" s="67"/>
      <c r="E19" s="67"/>
      <c r="F19" s="67"/>
      <c r="G19" s="67"/>
      <c r="H19" s="67"/>
      <c r="I19" s="67"/>
      <c r="J19" s="67"/>
      <c r="K19" s="67"/>
      <c r="L19" s="67"/>
      <c r="M19" s="67"/>
      <c r="N19" s="67" t="s">
        <v>30</v>
      </c>
    </row>
    <row r="20" spans="1:13" ht="12.75">
      <c r="A20" s="66"/>
      <c r="B20" s="66"/>
      <c r="C20" s="66"/>
      <c r="D20" s="66"/>
      <c r="E20" s="66"/>
      <c r="F20" s="66"/>
      <c r="G20" s="66"/>
      <c r="H20" s="66"/>
      <c r="I20" s="66"/>
      <c r="J20" s="66"/>
      <c r="K20" s="66"/>
      <c r="L20" s="66"/>
      <c r="M20" s="67"/>
    </row>
    <row r="21" spans="1:13" ht="12.75">
      <c r="A21" s="66"/>
      <c r="B21" s="66"/>
      <c r="C21" s="66"/>
      <c r="D21" s="66"/>
      <c r="E21" s="66"/>
      <c r="F21" s="66"/>
      <c r="G21" s="66"/>
      <c r="H21" s="66"/>
      <c r="I21" s="66"/>
      <c r="J21" s="66"/>
      <c r="K21" s="66"/>
      <c r="L21" s="66"/>
      <c r="M21" s="67"/>
    </row>
    <row r="22" spans="1:13" ht="12.75">
      <c r="A22" s="66"/>
      <c r="B22" s="66"/>
      <c r="C22" s="66"/>
      <c r="D22" s="66"/>
      <c r="F22" s="66"/>
      <c r="G22" s="66"/>
      <c r="H22" s="66"/>
      <c r="I22" s="66"/>
      <c r="J22" s="66"/>
      <c r="K22" s="66"/>
      <c r="L22" s="66"/>
      <c r="M22" s="67"/>
    </row>
    <row r="23" spans="1:13" ht="12.75">
      <c r="A23" s="66"/>
      <c r="B23" s="66"/>
      <c r="C23" s="66"/>
      <c r="D23" s="66"/>
      <c r="F23" s="66"/>
      <c r="G23" s="66"/>
      <c r="H23" s="66"/>
      <c r="I23" s="66"/>
      <c r="J23" s="66"/>
      <c r="K23" s="66"/>
      <c r="L23" s="66"/>
      <c r="M23" s="67"/>
    </row>
    <row r="24" spans="1:13" ht="12.75">
      <c r="A24" s="66"/>
      <c r="B24" s="66"/>
      <c r="C24" s="66"/>
      <c r="D24" s="66"/>
      <c r="G24" s="66"/>
      <c r="H24" s="66"/>
      <c r="I24" s="66"/>
      <c r="J24" s="66"/>
      <c r="K24" s="66"/>
      <c r="L24" s="66"/>
      <c r="M24" s="67"/>
    </row>
    <row r="25" spans="1:13" ht="12.75">
      <c r="A25" s="66"/>
      <c r="B25" s="66"/>
      <c r="C25" s="66"/>
      <c r="D25" s="66"/>
      <c r="F25" s="66"/>
      <c r="G25" s="66"/>
      <c r="H25" s="66"/>
      <c r="I25" s="66"/>
      <c r="J25" s="66"/>
      <c r="K25" s="66"/>
      <c r="L25" s="66"/>
      <c r="M25" s="67"/>
    </row>
    <row r="26" spans="1:13" ht="12.75">
      <c r="A26" s="66"/>
      <c r="B26" s="66"/>
      <c r="C26" s="66"/>
      <c r="D26" s="66"/>
      <c r="F26" s="66"/>
      <c r="G26" s="66"/>
      <c r="H26" s="66"/>
      <c r="I26" s="66"/>
      <c r="J26" s="66"/>
      <c r="K26" s="66"/>
      <c r="L26" s="66"/>
      <c r="M26" s="67"/>
    </row>
    <row r="27" spans="1:13" ht="12.75">
      <c r="A27" s="66"/>
      <c r="B27" s="66"/>
      <c r="C27" s="66"/>
      <c r="D27" s="66"/>
      <c r="F27" s="66"/>
      <c r="G27" s="66"/>
      <c r="H27" s="66"/>
      <c r="I27" s="66"/>
      <c r="J27" s="66"/>
      <c r="K27" s="66"/>
      <c r="L27" s="66"/>
      <c r="M27" s="67"/>
    </row>
    <row r="28" spans="1:13" ht="12.75">
      <c r="A28" s="66"/>
      <c r="B28" s="66"/>
      <c r="C28" s="66"/>
      <c r="D28" s="66"/>
      <c r="F28" s="66"/>
      <c r="G28" s="66"/>
      <c r="H28" s="66"/>
      <c r="I28" s="66"/>
      <c r="J28" s="66"/>
      <c r="K28" s="66"/>
      <c r="L28" s="66"/>
      <c r="M28" s="67"/>
    </row>
    <row r="29" spans="1:13" ht="12.75">
      <c r="A29" s="66"/>
      <c r="B29" s="66"/>
      <c r="C29" s="66"/>
      <c r="D29" s="66"/>
      <c r="F29" s="66"/>
      <c r="G29" s="66"/>
      <c r="H29" s="66"/>
      <c r="I29" s="66"/>
      <c r="J29" s="66"/>
      <c r="K29" s="66"/>
      <c r="L29" s="66"/>
      <c r="M29" s="67"/>
    </row>
    <row r="30" spans="1:13" ht="12.75">
      <c r="A30" s="66"/>
      <c r="B30" s="66"/>
      <c r="C30" s="66"/>
      <c r="D30" s="66"/>
      <c r="F30" s="66"/>
      <c r="G30" s="66"/>
      <c r="H30" s="66"/>
      <c r="I30" s="66"/>
      <c r="J30" s="66"/>
      <c r="K30" s="66"/>
      <c r="L30" s="66"/>
      <c r="M30" s="66"/>
    </row>
    <row r="31" spans="1:13" ht="12.75">
      <c r="A31" s="66"/>
      <c r="B31" s="66"/>
      <c r="C31" s="66"/>
      <c r="D31" s="66"/>
      <c r="F31" s="66"/>
      <c r="G31" s="66"/>
      <c r="H31" s="66"/>
      <c r="I31" s="66"/>
      <c r="J31" s="66"/>
      <c r="K31" s="66"/>
      <c r="L31" s="66"/>
      <c r="M31" s="66"/>
    </row>
    <row r="32" spans="1:13" ht="12.75">
      <c r="A32" s="66"/>
      <c r="B32" s="66"/>
      <c r="C32" s="66"/>
      <c r="D32" s="66"/>
      <c r="F32" s="66"/>
      <c r="G32" s="66"/>
      <c r="H32" s="66"/>
      <c r="I32" s="66"/>
      <c r="J32" s="66"/>
      <c r="K32" s="66"/>
      <c r="L32" s="66"/>
      <c r="M32" s="66"/>
    </row>
    <row r="33" spans="1:13" ht="12.75">
      <c r="A33" s="66"/>
      <c r="B33" s="66"/>
      <c r="C33" s="66"/>
      <c r="D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row r="119" spans="1:13" ht="12.75">
      <c r="A119" s="66"/>
      <c r="B119" s="66"/>
      <c r="C119" s="66"/>
      <c r="D119" s="66"/>
      <c r="E119" s="66"/>
      <c r="F119" s="66"/>
      <c r="G119" s="66"/>
      <c r="H119" s="66"/>
      <c r="I119" s="66"/>
      <c r="J119" s="66"/>
      <c r="K119" s="66"/>
      <c r="L119" s="66"/>
      <c r="M119" s="66"/>
    </row>
    <row r="120" spans="1:13" ht="12.75">
      <c r="A120" s="66"/>
      <c r="B120" s="66"/>
      <c r="C120" s="66"/>
      <c r="D120" s="66"/>
      <c r="E120" s="66"/>
      <c r="F120" s="66"/>
      <c r="G120" s="66"/>
      <c r="H120" s="66"/>
      <c r="I120" s="66"/>
      <c r="J120" s="66"/>
      <c r="K120" s="66"/>
      <c r="L120" s="66"/>
      <c r="M120" s="66"/>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V105"/>
  <sheetViews>
    <sheetView showGridLines="0" zoomScalePageLayoutView="0" workbookViewId="0" topLeftCell="A1">
      <pane xSplit="2" ySplit="6" topLeftCell="C7" activePane="bottomRight" state="frozen"/>
      <selection pane="topLeft" activeCell="I58" sqref="I58"/>
      <selection pane="topRight" activeCell="I58" sqref="I58"/>
      <selection pane="bottomLeft" activeCell="I58" sqref="I58"/>
      <selection pane="bottomRight" activeCell="C69" sqref="C69:N79"/>
    </sheetView>
  </sheetViews>
  <sheetFormatPr defaultColWidth="9.140625" defaultRowHeight="12.75"/>
  <cols>
    <col min="1" max="1" width="6.00390625" style="66" customWidth="1"/>
    <col min="2" max="2" width="17.8515625" style="66" customWidth="1"/>
    <col min="3" max="3" width="10.421875" style="66" bestFit="1" customWidth="1"/>
    <col min="4" max="4" width="9.8515625" style="66" customWidth="1"/>
    <col min="5" max="5" width="11.28125" style="66" customWidth="1"/>
    <col min="6" max="7" width="9.57421875" style="66" customWidth="1"/>
    <col min="8" max="8" width="9.8515625" style="66" customWidth="1"/>
    <col min="9" max="9" width="10.421875" style="66" customWidth="1"/>
    <col min="10" max="10" width="10.7109375" style="66" customWidth="1"/>
    <col min="11" max="14" width="11.140625" style="66" bestFit="1" customWidth="1"/>
    <col min="15" max="16" width="10.7109375" style="66" bestFit="1" customWidth="1"/>
    <col min="17" max="17" width="9.140625" style="66" customWidth="1"/>
    <col min="18" max="18" width="16.28125" style="66" customWidth="1"/>
    <col min="19" max="20" width="9.421875" style="66" customWidth="1"/>
    <col min="21" max="16384" width="9.140625" style="66" customWidth="1"/>
  </cols>
  <sheetData>
    <row r="1" ht="11.25"/>
    <row r="2" spans="2:3" ht="11.25">
      <c r="B2" s="145" t="s">
        <v>85</v>
      </c>
      <c r="C2" s="84"/>
    </row>
    <row r="3" ht="11.25">
      <c r="C3" s="84"/>
    </row>
    <row r="4" spans="3:10" ht="11.25">
      <c r="C4" s="85"/>
      <c r="D4" s="85"/>
      <c r="E4" s="85"/>
      <c r="F4" s="85"/>
      <c r="G4" s="85"/>
      <c r="H4" s="86"/>
      <c r="I4" s="86"/>
      <c r="J4" s="83"/>
    </row>
    <row r="5" spans="3:10" ht="11.25">
      <c r="C5" s="85"/>
      <c r="D5" s="85"/>
      <c r="E5" s="85"/>
      <c r="F5" s="85"/>
      <c r="G5" s="85"/>
      <c r="H5" s="86"/>
      <c r="I5" s="86"/>
      <c r="J5" s="85"/>
    </row>
    <row r="6" spans="3:14" ht="9.75" customHeight="1">
      <c r="C6" s="124">
        <v>44682</v>
      </c>
      <c r="D6" s="171">
        <f>EOMONTH(C6,1)</f>
        <v>44742</v>
      </c>
      <c r="E6" s="171">
        <f aca="true" t="shared" si="0" ref="E6:N6">EOMONTH(D6,1)</f>
        <v>44773</v>
      </c>
      <c r="F6" s="171">
        <f t="shared" si="0"/>
        <v>44804</v>
      </c>
      <c r="G6" s="171">
        <f t="shared" si="0"/>
        <v>44834</v>
      </c>
      <c r="H6" s="171">
        <f t="shared" si="0"/>
        <v>44865</v>
      </c>
      <c r="I6" s="171">
        <f t="shared" si="0"/>
        <v>44895</v>
      </c>
      <c r="J6" s="171">
        <f t="shared" si="0"/>
        <v>44926</v>
      </c>
      <c r="K6" s="171">
        <f t="shared" si="0"/>
        <v>44957</v>
      </c>
      <c r="L6" s="171">
        <f t="shared" si="0"/>
        <v>44985</v>
      </c>
      <c r="M6" s="171">
        <f t="shared" si="0"/>
        <v>45016</v>
      </c>
      <c r="N6" s="171">
        <f t="shared" si="0"/>
        <v>45046</v>
      </c>
    </row>
    <row r="7" spans="1:14" s="67" customFormat="1" ht="11.25">
      <c r="A7" s="87" t="s">
        <v>44</v>
      </c>
      <c r="C7" s="151">
        <v>479.96000000000004</v>
      </c>
      <c r="D7" s="151">
        <v>508.65999999999997</v>
      </c>
      <c r="E7" s="151">
        <v>498.97999999999996</v>
      </c>
      <c r="F7" s="151">
        <v>556.91</v>
      </c>
      <c r="G7" s="151">
        <v>486.15999999999997</v>
      </c>
      <c r="H7" s="151">
        <v>454.27</v>
      </c>
      <c r="I7" s="151">
        <v>515.7900000000001</v>
      </c>
      <c r="J7" s="151">
        <v>406.38</v>
      </c>
      <c r="K7" s="151">
        <v>691.11</v>
      </c>
      <c r="L7" s="151">
        <v>425.92999999999995</v>
      </c>
      <c r="M7" s="151">
        <v>528.4999999999999</v>
      </c>
      <c r="N7" s="151">
        <v>431.3179047750045</v>
      </c>
    </row>
    <row r="8" spans="1:14" ht="11.25">
      <c r="A8" s="66" t="s">
        <v>45</v>
      </c>
      <c r="C8" s="88">
        <v>0</v>
      </c>
      <c r="D8" s="88">
        <v>0</v>
      </c>
      <c r="E8" s="88">
        <v>0</v>
      </c>
      <c r="F8" s="88">
        <v>0</v>
      </c>
      <c r="G8" s="88">
        <v>0</v>
      </c>
      <c r="H8" s="88">
        <v>0</v>
      </c>
      <c r="I8" s="88">
        <v>0</v>
      </c>
      <c r="J8" s="88">
        <v>0</v>
      </c>
      <c r="K8" s="88">
        <v>0</v>
      </c>
      <c r="L8" s="88">
        <v>0</v>
      </c>
      <c r="M8" s="88">
        <v>0</v>
      </c>
      <c r="N8" s="88">
        <v>0</v>
      </c>
    </row>
    <row r="9" spans="1:14" ht="11.25">
      <c r="A9" s="66" t="s">
        <v>46</v>
      </c>
      <c r="C9" s="89">
        <f aca="true" t="shared" si="1" ref="C9:N9">+C7*C8</f>
        <v>0</v>
      </c>
      <c r="D9" s="89">
        <f t="shared" si="1"/>
        <v>0</v>
      </c>
      <c r="E9" s="89">
        <f t="shared" si="1"/>
        <v>0</v>
      </c>
      <c r="F9" s="89">
        <f t="shared" si="1"/>
        <v>0</v>
      </c>
      <c r="G9" s="89">
        <f t="shared" si="1"/>
        <v>0</v>
      </c>
      <c r="H9" s="89">
        <f t="shared" si="1"/>
        <v>0</v>
      </c>
      <c r="I9" s="89">
        <f t="shared" si="1"/>
        <v>0</v>
      </c>
      <c r="J9" s="89">
        <f t="shared" si="1"/>
        <v>0</v>
      </c>
      <c r="K9" s="89">
        <f t="shared" si="1"/>
        <v>0</v>
      </c>
      <c r="L9" s="89">
        <f t="shared" si="1"/>
        <v>0</v>
      </c>
      <c r="M9" s="89">
        <f t="shared" si="1"/>
        <v>0</v>
      </c>
      <c r="N9" s="89">
        <f t="shared" si="1"/>
        <v>0</v>
      </c>
    </row>
    <row r="10" spans="1:14" ht="11.25">
      <c r="A10" s="83" t="s">
        <v>47</v>
      </c>
      <c r="C10" s="90">
        <f aca="true" t="shared" si="2" ref="C10:N10">+C7-C9</f>
        <v>479.96000000000004</v>
      </c>
      <c r="D10" s="90">
        <f t="shared" si="2"/>
        <v>508.65999999999997</v>
      </c>
      <c r="E10" s="90">
        <f t="shared" si="2"/>
        <v>498.97999999999996</v>
      </c>
      <c r="F10" s="90">
        <f t="shared" si="2"/>
        <v>556.91</v>
      </c>
      <c r="G10" s="90">
        <f t="shared" si="2"/>
        <v>486.15999999999997</v>
      </c>
      <c r="H10" s="90">
        <f t="shared" si="2"/>
        <v>454.27</v>
      </c>
      <c r="I10" s="90">
        <f t="shared" si="2"/>
        <v>515.7900000000001</v>
      </c>
      <c r="J10" s="90">
        <f t="shared" si="2"/>
        <v>406.38</v>
      </c>
      <c r="K10" s="90">
        <f t="shared" si="2"/>
        <v>691.11</v>
      </c>
      <c r="L10" s="90">
        <f t="shared" si="2"/>
        <v>425.92999999999995</v>
      </c>
      <c r="M10" s="90">
        <f t="shared" si="2"/>
        <v>528.4999999999999</v>
      </c>
      <c r="N10" s="90">
        <f t="shared" si="2"/>
        <v>431.3179047750045</v>
      </c>
    </row>
    <row r="11" ht="11.25"/>
    <row r="12" ht="11.25">
      <c r="A12" s="83" t="s">
        <v>48</v>
      </c>
    </row>
    <row r="13" spans="2:15" s="91" customFormat="1" ht="11.25">
      <c r="B13" s="91" t="s">
        <v>23</v>
      </c>
      <c r="C13" s="122">
        <v>0</v>
      </c>
      <c r="D13" s="122">
        <f>+C13</f>
        <v>0</v>
      </c>
      <c r="E13" s="122">
        <f>D13</f>
        <v>0</v>
      </c>
      <c r="F13" s="122">
        <f aca="true" t="shared" si="3" ref="F13:M13">+E13</f>
        <v>0</v>
      </c>
      <c r="G13" s="122">
        <f t="shared" si="3"/>
        <v>0</v>
      </c>
      <c r="H13" s="122">
        <f t="shared" si="3"/>
        <v>0</v>
      </c>
      <c r="I13" s="122">
        <f t="shared" si="3"/>
        <v>0</v>
      </c>
      <c r="J13" s="122">
        <f t="shared" si="3"/>
        <v>0</v>
      </c>
      <c r="K13" s="122">
        <v>0</v>
      </c>
      <c r="L13" s="122">
        <f t="shared" si="3"/>
        <v>0</v>
      </c>
      <c r="M13" s="122">
        <f t="shared" si="3"/>
        <v>0</v>
      </c>
      <c r="N13" s="122">
        <v>0</v>
      </c>
      <c r="O13" s="66"/>
    </row>
    <row r="14" spans="2:15" s="91" customFormat="1" ht="11.25">
      <c r="B14" s="91" t="s">
        <v>27</v>
      </c>
      <c r="C14" s="122">
        <v>0.261</v>
      </c>
      <c r="D14" s="122">
        <f aca="true" t="shared" si="4" ref="D14:M23">+C14</f>
        <v>0.261</v>
      </c>
      <c r="E14" s="122">
        <f aca="true" t="shared" si="5" ref="E14:E23">D14</f>
        <v>0.261</v>
      </c>
      <c r="F14" s="122">
        <f t="shared" si="4"/>
        <v>0.261</v>
      </c>
      <c r="G14" s="122">
        <f t="shared" si="4"/>
        <v>0.261</v>
      </c>
      <c r="H14" s="122">
        <f t="shared" si="4"/>
        <v>0.261</v>
      </c>
      <c r="I14" s="122">
        <f t="shared" si="4"/>
        <v>0.261</v>
      </c>
      <c r="J14" s="122">
        <f t="shared" si="4"/>
        <v>0.261</v>
      </c>
      <c r="K14" s="122">
        <v>0.2601</v>
      </c>
      <c r="L14" s="122">
        <f t="shared" si="4"/>
        <v>0.2601</v>
      </c>
      <c r="M14" s="122">
        <f t="shared" si="4"/>
        <v>0.2601</v>
      </c>
      <c r="N14" s="122">
        <v>0.2601</v>
      </c>
      <c r="O14" s="66"/>
    </row>
    <row r="15" spans="2:15" s="91" customFormat="1" ht="11.25">
      <c r="B15" s="91" t="s">
        <v>49</v>
      </c>
      <c r="C15" s="122">
        <v>0</v>
      </c>
      <c r="D15" s="122">
        <f t="shared" si="4"/>
        <v>0</v>
      </c>
      <c r="E15" s="122">
        <f t="shared" si="5"/>
        <v>0</v>
      </c>
      <c r="F15" s="122">
        <f t="shared" si="4"/>
        <v>0</v>
      </c>
      <c r="G15" s="122">
        <f t="shared" si="4"/>
        <v>0</v>
      </c>
      <c r="H15" s="122">
        <f t="shared" si="4"/>
        <v>0</v>
      </c>
      <c r="I15" s="122">
        <f t="shared" si="4"/>
        <v>0</v>
      </c>
      <c r="J15" s="122">
        <f t="shared" si="4"/>
        <v>0</v>
      </c>
      <c r="K15" s="122">
        <v>0</v>
      </c>
      <c r="L15" s="122">
        <f t="shared" si="4"/>
        <v>0</v>
      </c>
      <c r="M15" s="122">
        <f t="shared" si="4"/>
        <v>0</v>
      </c>
      <c r="N15" s="122">
        <v>0</v>
      </c>
      <c r="O15" s="66"/>
    </row>
    <row r="16" spans="2:15" s="91" customFormat="1" ht="11.25">
      <c r="B16" s="91" t="s">
        <v>50</v>
      </c>
      <c r="C16" s="122">
        <v>0.0147</v>
      </c>
      <c r="D16" s="122">
        <f t="shared" si="4"/>
        <v>0.0147</v>
      </c>
      <c r="E16" s="122">
        <f t="shared" si="5"/>
        <v>0.0147</v>
      </c>
      <c r="F16" s="122">
        <f t="shared" si="4"/>
        <v>0.0147</v>
      </c>
      <c r="G16" s="122">
        <f t="shared" si="4"/>
        <v>0.0147</v>
      </c>
      <c r="H16" s="122">
        <f t="shared" si="4"/>
        <v>0.0147</v>
      </c>
      <c r="I16" s="122">
        <f t="shared" si="4"/>
        <v>0.0147</v>
      </c>
      <c r="J16" s="122">
        <f t="shared" si="4"/>
        <v>0.0147</v>
      </c>
      <c r="K16" s="122">
        <v>0.0151</v>
      </c>
      <c r="L16" s="122">
        <f t="shared" si="4"/>
        <v>0.0151</v>
      </c>
      <c r="M16" s="122">
        <f t="shared" si="4"/>
        <v>0.0151</v>
      </c>
      <c r="N16" s="122">
        <v>0.0151</v>
      </c>
      <c r="O16" s="66"/>
    </row>
    <row r="17" spans="2:15" s="91" customFormat="1" ht="11.25">
      <c r="B17" s="91" t="s">
        <v>51</v>
      </c>
      <c r="C17" s="122">
        <v>0.0492</v>
      </c>
      <c r="D17" s="122">
        <f t="shared" si="4"/>
        <v>0.0492</v>
      </c>
      <c r="E17" s="122">
        <f t="shared" si="5"/>
        <v>0.0492</v>
      </c>
      <c r="F17" s="122">
        <f t="shared" si="4"/>
        <v>0.0492</v>
      </c>
      <c r="G17" s="122">
        <f t="shared" si="4"/>
        <v>0.0492</v>
      </c>
      <c r="H17" s="122">
        <f t="shared" si="4"/>
        <v>0.0492</v>
      </c>
      <c r="I17" s="122">
        <f t="shared" si="4"/>
        <v>0.0492</v>
      </c>
      <c r="J17" s="122">
        <f t="shared" si="4"/>
        <v>0.0492</v>
      </c>
      <c r="K17" s="122">
        <v>0.0468</v>
      </c>
      <c r="L17" s="122">
        <f t="shared" si="4"/>
        <v>0.0468</v>
      </c>
      <c r="M17" s="122">
        <f t="shared" si="4"/>
        <v>0.0468</v>
      </c>
      <c r="N17" s="122">
        <v>0.0468</v>
      </c>
      <c r="O17" s="66"/>
    </row>
    <row r="18" spans="2:15" s="91" customFormat="1" ht="11.25">
      <c r="B18" s="91" t="s">
        <v>52</v>
      </c>
      <c r="C18" s="122">
        <v>0.0178</v>
      </c>
      <c r="D18" s="122">
        <f t="shared" si="4"/>
        <v>0.0178</v>
      </c>
      <c r="E18" s="122">
        <f t="shared" si="5"/>
        <v>0.0178</v>
      </c>
      <c r="F18" s="122">
        <f t="shared" si="4"/>
        <v>0.0178</v>
      </c>
      <c r="G18" s="122">
        <f t="shared" si="4"/>
        <v>0.0178</v>
      </c>
      <c r="H18" s="122">
        <f t="shared" si="4"/>
        <v>0.0178</v>
      </c>
      <c r="I18" s="122">
        <f t="shared" si="4"/>
        <v>0.0178</v>
      </c>
      <c r="J18" s="122">
        <f t="shared" si="4"/>
        <v>0.0178</v>
      </c>
      <c r="K18" s="122">
        <v>0.0167</v>
      </c>
      <c r="L18" s="122">
        <f t="shared" si="4"/>
        <v>0.0167</v>
      </c>
      <c r="M18" s="122">
        <f t="shared" si="4"/>
        <v>0.0167</v>
      </c>
      <c r="N18" s="122">
        <v>0.0167</v>
      </c>
      <c r="O18" s="66"/>
    </row>
    <row r="19" spans="2:15" s="91" customFormat="1" ht="11.25">
      <c r="B19" s="66" t="s">
        <v>53</v>
      </c>
      <c r="C19" s="122">
        <v>0.0019</v>
      </c>
      <c r="D19" s="122">
        <f t="shared" si="4"/>
        <v>0.0019</v>
      </c>
      <c r="E19" s="122">
        <f t="shared" si="5"/>
        <v>0.0019</v>
      </c>
      <c r="F19" s="122">
        <f t="shared" si="4"/>
        <v>0.0019</v>
      </c>
      <c r="G19" s="122">
        <f t="shared" si="4"/>
        <v>0.0019</v>
      </c>
      <c r="H19" s="122">
        <f t="shared" si="4"/>
        <v>0.0019</v>
      </c>
      <c r="I19" s="122">
        <f t="shared" si="4"/>
        <v>0.0019</v>
      </c>
      <c r="J19" s="122">
        <f t="shared" si="4"/>
        <v>0.0019</v>
      </c>
      <c r="K19" s="122">
        <v>0.001</v>
      </c>
      <c r="L19" s="122">
        <f t="shared" si="4"/>
        <v>0.001</v>
      </c>
      <c r="M19" s="122">
        <f t="shared" si="4"/>
        <v>0.001</v>
      </c>
      <c r="N19" s="122">
        <v>0.001</v>
      </c>
      <c r="O19" s="66"/>
    </row>
    <row r="20" spans="2:15" s="91" customFormat="1" ht="11.25">
      <c r="B20" s="66" t="s">
        <v>22</v>
      </c>
      <c r="C20" s="122">
        <v>0.1775</v>
      </c>
      <c r="D20" s="122">
        <f t="shared" si="4"/>
        <v>0.1775</v>
      </c>
      <c r="E20" s="122">
        <f t="shared" si="5"/>
        <v>0.1775</v>
      </c>
      <c r="F20" s="122">
        <f t="shared" si="4"/>
        <v>0.1775</v>
      </c>
      <c r="G20" s="122">
        <f t="shared" si="4"/>
        <v>0.1775</v>
      </c>
      <c r="H20" s="122">
        <f t="shared" si="4"/>
        <v>0.1775</v>
      </c>
      <c r="I20" s="122">
        <f t="shared" si="4"/>
        <v>0.1775</v>
      </c>
      <c r="J20" s="122">
        <f t="shared" si="4"/>
        <v>0.1775</v>
      </c>
      <c r="K20" s="122">
        <v>0.159</v>
      </c>
      <c r="L20" s="122">
        <f t="shared" si="4"/>
        <v>0.159</v>
      </c>
      <c r="M20" s="122">
        <f t="shared" si="4"/>
        <v>0.159</v>
      </c>
      <c r="N20" s="122">
        <v>0.159</v>
      </c>
      <c r="O20" s="66"/>
    </row>
    <row r="21" spans="2:15" s="91" customFormat="1" ht="11.25">
      <c r="B21" s="91" t="s">
        <v>87</v>
      </c>
      <c r="C21" s="122">
        <v>0</v>
      </c>
      <c r="D21" s="122">
        <f t="shared" si="4"/>
        <v>0</v>
      </c>
      <c r="E21" s="122">
        <f t="shared" si="5"/>
        <v>0</v>
      </c>
      <c r="F21" s="122">
        <f t="shared" si="4"/>
        <v>0</v>
      </c>
      <c r="G21" s="122">
        <f t="shared" si="4"/>
        <v>0</v>
      </c>
      <c r="H21" s="122">
        <f t="shared" si="4"/>
        <v>0</v>
      </c>
      <c r="I21" s="122">
        <f t="shared" si="4"/>
        <v>0</v>
      </c>
      <c r="J21" s="122">
        <f t="shared" si="4"/>
        <v>0</v>
      </c>
      <c r="K21" s="122">
        <v>0</v>
      </c>
      <c r="L21" s="122">
        <f t="shared" si="4"/>
        <v>0</v>
      </c>
      <c r="M21" s="122">
        <f t="shared" si="4"/>
        <v>0</v>
      </c>
      <c r="N21" s="122">
        <v>0</v>
      </c>
      <c r="O21" s="66"/>
    </row>
    <row r="22" spans="2:15" s="91" customFormat="1" ht="11.25">
      <c r="B22" s="91" t="s">
        <v>54</v>
      </c>
      <c r="C22" s="122">
        <v>0.1469</v>
      </c>
      <c r="D22" s="122">
        <f t="shared" si="4"/>
        <v>0.1469</v>
      </c>
      <c r="E22" s="122">
        <f t="shared" si="5"/>
        <v>0.1469</v>
      </c>
      <c r="F22" s="122">
        <f t="shared" si="4"/>
        <v>0.1469</v>
      </c>
      <c r="G22" s="122">
        <f t="shared" si="4"/>
        <v>0.1469</v>
      </c>
      <c r="H22" s="122">
        <f t="shared" si="4"/>
        <v>0.1469</v>
      </c>
      <c r="I22" s="122">
        <f t="shared" si="4"/>
        <v>0.1469</v>
      </c>
      <c r="J22" s="122">
        <f t="shared" si="4"/>
        <v>0.1469</v>
      </c>
      <c r="K22" s="122">
        <v>0.1694</v>
      </c>
      <c r="L22" s="122">
        <f t="shared" si="4"/>
        <v>0.1694</v>
      </c>
      <c r="M22" s="122">
        <f t="shared" si="4"/>
        <v>0.1694</v>
      </c>
      <c r="N22" s="122">
        <v>0.1694</v>
      </c>
      <c r="O22" s="66"/>
    </row>
    <row r="23" spans="2:15" s="91" customFormat="1" ht="11.25">
      <c r="B23" s="91" t="s">
        <v>55</v>
      </c>
      <c r="C23" s="123">
        <v>0.331</v>
      </c>
      <c r="D23" s="122">
        <f t="shared" si="4"/>
        <v>0.331</v>
      </c>
      <c r="E23" s="122">
        <f t="shared" si="5"/>
        <v>0.331</v>
      </c>
      <c r="F23" s="122">
        <f t="shared" si="4"/>
        <v>0.331</v>
      </c>
      <c r="G23" s="122">
        <f t="shared" si="4"/>
        <v>0.331</v>
      </c>
      <c r="H23" s="122">
        <f t="shared" si="4"/>
        <v>0.331</v>
      </c>
      <c r="I23" s="122">
        <f t="shared" si="4"/>
        <v>0.331</v>
      </c>
      <c r="J23" s="122">
        <f t="shared" si="4"/>
        <v>0.331</v>
      </c>
      <c r="K23" s="122">
        <v>0.3319</v>
      </c>
      <c r="L23" s="122">
        <f t="shared" si="4"/>
        <v>0.3319</v>
      </c>
      <c r="M23" s="122">
        <f t="shared" si="4"/>
        <v>0.3319</v>
      </c>
      <c r="N23" s="122">
        <v>0.3319</v>
      </c>
      <c r="O23" s="66"/>
    </row>
    <row r="24" spans="3:14" ht="11.25">
      <c r="C24" s="92">
        <v>1</v>
      </c>
      <c r="D24" s="92">
        <v>1</v>
      </c>
      <c r="E24" s="92">
        <v>1</v>
      </c>
      <c r="F24" s="92">
        <v>1</v>
      </c>
      <c r="G24" s="92">
        <v>1</v>
      </c>
      <c r="H24" s="92">
        <v>1</v>
      </c>
      <c r="I24" s="92">
        <v>1</v>
      </c>
      <c r="J24" s="92">
        <v>1</v>
      </c>
      <c r="K24" s="92">
        <v>1</v>
      </c>
      <c r="L24" s="92">
        <v>1</v>
      </c>
      <c r="M24" s="92">
        <v>1</v>
      </c>
      <c r="N24" s="92">
        <v>1</v>
      </c>
    </row>
    <row r="25" ht="11.25"/>
    <row r="26" ht="11.25">
      <c r="A26" s="83" t="s">
        <v>56</v>
      </c>
    </row>
    <row r="27" spans="2:14" ht="11.25">
      <c r="B27" s="66" t="s">
        <v>23</v>
      </c>
      <c r="C27" s="75">
        <f aca="true" t="shared" si="6" ref="C27:M27">+C$10*C13</f>
        <v>0</v>
      </c>
      <c r="D27" s="75">
        <f t="shared" si="6"/>
        <v>0</v>
      </c>
      <c r="E27" s="75">
        <f t="shared" si="6"/>
        <v>0</v>
      </c>
      <c r="F27" s="75">
        <f t="shared" si="6"/>
        <v>0</v>
      </c>
      <c r="G27" s="75">
        <f t="shared" si="6"/>
        <v>0</v>
      </c>
      <c r="H27" s="75">
        <f t="shared" si="6"/>
        <v>0</v>
      </c>
      <c r="I27" s="75">
        <f t="shared" si="6"/>
        <v>0</v>
      </c>
      <c r="J27" s="75">
        <f t="shared" si="6"/>
        <v>0</v>
      </c>
      <c r="K27" s="75">
        <f t="shared" si="6"/>
        <v>0</v>
      </c>
      <c r="L27" s="75">
        <f t="shared" si="6"/>
        <v>0</v>
      </c>
      <c r="M27" s="75">
        <f t="shared" si="6"/>
        <v>0</v>
      </c>
      <c r="N27" s="75">
        <f>+N$10*N13</f>
        <v>0</v>
      </c>
    </row>
    <row r="28" spans="2:14" ht="11.25">
      <c r="B28" s="66" t="s">
        <v>27</v>
      </c>
      <c r="C28" s="75">
        <f aca="true" t="shared" si="7" ref="C28:M28">+C$10*C14</f>
        <v>125.26956000000001</v>
      </c>
      <c r="D28" s="75">
        <f t="shared" si="7"/>
        <v>132.76026</v>
      </c>
      <c r="E28" s="75">
        <f>+E$10*E14</f>
        <v>130.23378</v>
      </c>
      <c r="F28" s="75">
        <f t="shared" si="7"/>
        <v>145.35351</v>
      </c>
      <c r="G28" s="75">
        <f t="shared" si="7"/>
        <v>126.88776</v>
      </c>
      <c r="H28" s="75">
        <f t="shared" si="7"/>
        <v>118.56447</v>
      </c>
      <c r="I28" s="75">
        <f t="shared" si="7"/>
        <v>134.62119</v>
      </c>
      <c r="J28" s="75">
        <f t="shared" si="7"/>
        <v>106.06518</v>
      </c>
      <c r="K28" s="75">
        <f t="shared" si="7"/>
        <v>179.757711</v>
      </c>
      <c r="L28" s="75">
        <f t="shared" si="7"/>
        <v>110.78439299999998</v>
      </c>
      <c r="M28" s="75">
        <f t="shared" si="7"/>
        <v>137.46284999999997</v>
      </c>
      <c r="N28" s="75">
        <f>+N$10*N14</f>
        <v>112.18578703197866</v>
      </c>
    </row>
    <row r="29" spans="2:14" ht="11.25">
      <c r="B29" s="66" t="s">
        <v>49</v>
      </c>
      <c r="C29" s="75">
        <f aca="true" t="shared" si="8" ref="C29:N29">+C$10*C15</f>
        <v>0</v>
      </c>
      <c r="D29" s="75">
        <f t="shared" si="8"/>
        <v>0</v>
      </c>
      <c r="E29" s="75">
        <f t="shared" si="8"/>
        <v>0</v>
      </c>
      <c r="F29" s="75">
        <f t="shared" si="8"/>
        <v>0</v>
      </c>
      <c r="G29" s="75">
        <f t="shared" si="8"/>
        <v>0</v>
      </c>
      <c r="H29" s="75">
        <f t="shared" si="8"/>
        <v>0</v>
      </c>
      <c r="I29" s="75">
        <f t="shared" si="8"/>
        <v>0</v>
      </c>
      <c r="J29" s="75">
        <f t="shared" si="8"/>
        <v>0</v>
      </c>
      <c r="K29" s="75">
        <f t="shared" si="8"/>
        <v>0</v>
      </c>
      <c r="L29" s="75">
        <f t="shared" si="8"/>
        <v>0</v>
      </c>
      <c r="M29" s="75">
        <f t="shared" si="8"/>
        <v>0</v>
      </c>
      <c r="N29" s="75">
        <f t="shared" si="8"/>
        <v>0</v>
      </c>
    </row>
    <row r="30" spans="2:14" ht="11.25">
      <c r="B30" s="66" t="s">
        <v>50</v>
      </c>
      <c r="C30" s="75">
        <f aca="true" t="shared" si="9" ref="C30:N30">+C$10*C16</f>
        <v>7.0554120000000005</v>
      </c>
      <c r="D30" s="75">
        <f t="shared" si="9"/>
        <v>7.477301999999999</v>
      </c>
      <c r="E30" s="75">
        <f t="shared" si="9"/>
        <v>7.335005999999999</v>
      </c>
      <c r="F30" s="75">
        <f t="shared" si="9"/>
        <v>8.186577</v>
      </c>
      <c r="G30" s="75">
        <f t="shared" si="9"/>
        <v>7.146551999999999</v>
      </c>
      <c r="H30" s="75">
        <f t="shared" si="9"/>
        <v>6.677769</v>
      </c>
      <c r="I30" s="75">
        <f t="shared" si="9"/>
        <v>7.5821130000000005</v>
      </c>
      <c r="J30" s="75">
        <f t="shared" si="9"/>
        <v>5.973786</v>
      </c>
      <c r="K30" s="75">
        <f t="shared" si="9"/>
        <v>10.435761000000001</v>
      </c>
      <c r="L30" s="75">
        <f t="shared" si="9"/>
        <v>6.431543</v>
      </c>
      <c r="M30" s="75">
        <f t="shared" si="9"/>
        <v>7.980349999999999</v>
      </c>
      <c r="N30" s="75">
        <f t="shared" si="9"/>
        <v>6.512900362102568</v>
      </c>
    </row>
    <row r="31" spans="2:14" ht="11.25">
      <c r="B31" s="66" t="s">
        <v>51</v>
      </c>
      <c r="C31" s="75">
        <f aca="true" t="shared" si="10" ref="C31:N31">+C$10*C17</f>
        <v>23.614032</v>
      </c>
      <c r="D31" s="75">
        <f t="shared" si="10"/>
        <v>25.026072</v>
      </c>
      <c r="E31" s="75">
        <f t="shared" si="10"/>
        <v>24.549816</v>
      </c>
      <c r="F31" s="75">
        <f t="shared" si="10"/>
        <v>27.399971999999998</v>
      </c>
      <c r="G31" s="75">
        <f t="shared" si="10"/>
        <v>23.919072</v>
      </c>
      <c r="H31" s="75">
        <f t="shared" si="10"/>
        <v>22.350084</v>
      </c>
      <c r="I31" s="75">
        <f t="shared" si="10"/>
        <v>25.376868000000005</v>
      </c>
      <c r="J31" s="75">
        <f t="shared" si="10"/>
        <v>19.993896</v>
      </c>
      <c r="K31" s="75">
        <f t="shared" si="10"/>
        <v>32.343948000000005</v>
      </c>
      <c r="L31" s="75">
        <f t="shared" si="10"/>
        <v>19.933524</v>
      </c>
      <c r="M31" s="75">
        <f t="shared" si="10"/>
        <v>24.733799999999995</v>
      </c>
      <c r="N31" s="75">
        <f t="shared" si="10"/>
        <v>20.18567794347021</v>
      </c>
    </row>
    <row r="32" spans="2:14" ht="11.25">
      <c r="B32" s="66" t="s">
        <v>52</v>
      </c>
      <c r="C32" s="75">
        <f aca="true" t="shared" si="11" ref="C32:N32">+C$10*C18</f>
        <v>8.543288</v>
      </c>
      <c r="D32" s="75">
        <f t="shared" si="11"/>
        <v>9.054148</v>
      </c>
      <c r="E32" s="75">
        <f t="shared" si="11"/>
        <v>8.881844</v>
      </c>
      <c r="F32" s="75">
        <f t="shared" si="11"/>
        <v>9.912998</v>
      </c>
      <c r="G32" s="75">
        <f t="shared" si="11"/>
        <v>8.653647999999999</v>
      </c>
      <c r="H32" s="75">
        <f t="shared" si="11"/>
        <v>8.086006</v>
      </c>
      <c r="I32" s="75">
        <f t="shared" si="11"/>
        <v>9.181062</v>
      </c>
      <c r="J32" s="75">
        <f t="shared" si="11"/>
        <v>7.233563999999999</v>
      </c>
      <c r="K32" s="75">
        <f t="shared" si="11"/>
        <v>11.541537</v>
      </c>
      <c r="L32" s="75">
        <f t="shared" si="11"/>
        <v>7.1130309999999985</v>
      </c>
      <c r="M32" s="75">
        <f t="shared" si="11"/>
        <v>8.825949999999997</v>
      </c>
      <c r="N32" s="75">
        <f t="shared" si="11"/>
        <v>7.2030090097425745</v>
      </c>
    </row>
    <row r="33" spans="2:14" ht="11.25">
      <c r="B33" s="66" t="s">
        <v>53</v>
      </c>
      <c r="C33" s="75">
        <f aca="true" t="shared" si="12" ref="C33:N33">+C$10*C19</f>
        <v>0.9119240000000001</v>
      </c>
      <c r="D33" s="75">
        <f t="shared" si="12"/>
        <v>0.9664539999999999</v>
      </c>
      <c r="E33" s="75">
        <f t="shared" si="12"/>
        <v>0.948062</v>
      </c>
      <c r="F33" s="75">
        <f t="shared" si="12"/>
        <v>1.0581289999999999</v>
      </c>
      <c r="G33" s="75">
        <f t="shared" si="12"/>
        <v>0.923704</v>
      </c>
      <c r="H33" s="75">
        <f t="shared" si="12"/>
        <v>0.863113</v>
      </c>
      <c r="I33" s="75">
        <f t="shared" si="12"/>
        <v>0.9800010000000001</v>
      </c>
      <c r="J33" s="75">
        <f t="shared" si="12"/>
        <v>0.772122</v>
      </c>
      <c r="K33" s="75">
        <f t="shared" si="12"/>
        <v>0.69111</v>
      </c>
      <c r="L33" s="75">
        <f t="shared" si="12"/>
        <v>0.42593</v>
      </c>
      <c r="M33" s="75">
        <f t="shared" si="12"/>
        <v>0.5284999999999999</v>
      </c>
      <c r="N33" s="75">
        <f t="shared" si="12"/>
        <v>0.4313179047750045</v>
      </c>
    </row>
    <row r="34" spans="2:14" ht="11.25">
      <c r="B34" s="66" t="s">
        <v>22</v>
      </c>
      <c r="C34" s="75">
        <f aca="true" t="shared" si="13" ref="C34:N34">+C$10*C20</f>
        <v>85.19290000000001</v>
      </c>
      <c r="D34" s="75">
        <f t="shared" si="13"/>
        <v>90.28715</v>
      </c>
      <c r="E34" s="75">
        <f t="shared" si="13"/>
        <v>88.56894999999999</v>
      </c>
      <c r="F34" s="75">
        <f t="shared" si="13"/>
        <v>98.851525</v>
      </c>
      <c r="G34" s="75">
        <f t="shared" si="13"/>
        <v>86.29339999999999</v>
      </c>
      <c r="H34" s="75">
        <f t="shared" si="13"/>
        <v>80.63292499999999</v>
      </c>
      <c r="I34" s="75">
        <f t="shared" si="13"/>
        <v>91.55272500000001</v>
      </c>
      <c r="J34" s="75">
        <f t="shared" si="13"/>
        <v>72.13244999999999</v>
      </c>
      <c r="K34" s="75">
        <f t="shared" si="13"/>
        <v>109.88649000000001</v>
      </c>
      <c r="L34" s="75">
        <f t="shared" si="13"/>
        <v>67.72286999999999</v>
      </c>
      <c r="M34" s="75">
        <f t="shared" si="13"/>
        <v>84.03149999999998</v>
      </c>
      <c r="N34" s="75">
        <f t="shared" si="13"/>
        <v>68.57954685922572</v>
      </c>
    </row>
    <row r="35" spans="2:14" ht="11.25">
      <c r="B35" s="66" t="s">
        <v>87</v>
      </c>
      <c r="C35" s="75">
        <f aca="true" t="shared" si="14" ref="C35:N35">+C$10*C21</f>
        <v>0</v>
      </c>
      <c r="D35" s="75">
        <f t="shared" si="14"/>
        <v>0</v>
      </c>
      <c r="E35" s="75">
        <f t="shared" si="14"/>
        <v>0</v>
      </c>
      <c r="F35" s="75">
        <f t="shared" si="14"/>
        <v>0</v>
      </c>
      <c r="G35" s="75">
        <f t="shared" si="14"/>
        <v>0</v>
      </c>
      <c r="H35" s="75">
        <f t="shared" si="14"/>
        <v>0</v>
      </c>
      <c r="I35" s="75">
        <f t="shared" si="14"/>
        <v>0</v>
      </c>
      <c r="J35" s="75">
        <f t="shared" si="14"/>
        <v>0</v>
      </c>
      <c r="K35" s="75">
        <f t="shared" si="14"/>
        <v>0</v>
      </c>
      <c r="L35" s="75">
        <f t="shared" si="14"/>
        <v>0</v>
      </c>
      <c r="M35" s="75">
        <f t="shared" si="14"/>
        <v>0</v>
      </c>
      <c r="N35" s="75">
        <f t="shared" si="14"/>
        <v>0</v>
      </c>
    </row>
    <row r="36" spans="2:14" ht="11.25">
      <c r="B36" s="66" t="s">
        <v>54</v>
      </c>
      <c r="C36" s="75">
        <f aca="true" t="shared" si="15" ref="C36:N36">+C$10*C22</f>
        <v>70.506124</v>
      </c>
      <c r="D36" s="75">
        <f t="shared" si="15"/>
        <v>74.722154</v>
      </c>
      <c r="E36" s="75">
        <f t="shared" si="15"/>
        <v>73.300162</v>
      </c>
      <c r="F36" s="75">
        <f t="shared" si="15"/>
        <v>81.810079</v>
      </c>
      <c r="G36" s="75">
        <f t="shared" si="15"/>
        <v>71.416904</v>
      </c>
      <c r="H36" s="75">
        <f t="shared" si="15"/>
        <v>66.732263</v>
      </c>
      <c r="I36" s="75">
        <f t="shared" si="15"/>
        <v>75.769551</v>
      </c>
      <c r="J36" s="75">
        <f t="shared" si="15"/>
        <v>59.697222000000004</v>
      </c>
      <c r="K36" s="75">
        <f t="shared" si="15"/>
        <v>117.074034</v>
      </c>
      <c r="L36" s="75">
        <f t="shared" si="15"/>
        <v>72.15254199999998</v>
      </c>
      <c r="M36" s="75">
        <f t="shared" si="15"/>
        <v>89.52789999999997</v>
      </c>
      <c r="N36" s="75">
        <f t="shared" si="15"/>
        <v>73.06525306888575</v>
      </c>
    </row>
    <row r="37" spans="2:14" ht="11.25">
      <c r="B37" s="66" t="s">
        <v>55</v>
      </c>
      <c r="C37" s="89">
        <f aca="true" t="shared" si="16" ref="C37:N37">+C$10*C23</f>
        <v>158.86676000000003</v>
      </c>
      <c r="D37" s="89">
        <f t="shared" si="16"/>
        <v>168.36646</v>
      </c>
      <c r="E37" s="89">
        <f t="shared" si="16"/>
        <v>165.16237999999998</v>
      </c>
      <c r="F37" s="89">
        <f t="shared" si="16"/>
        <v>184.33721</v>
      </c>
      <c r="G37" s="89">
        <f t="shared" si="16"/>
        <v>160.91896</v>
      </c>
      <c r="H37" s="89">
        <f t="shared" si="16"/>
        <v>150.36337</v>
      </c>
      <c r="I37" s="89">
        <f t="shared" si="16"/>
        <v>170.72649000000004</v>
      </c>
      <c r="J37" s="89">
        <f t="shared" si="16"/>
        <v>134.51178000000002</v>
      </c>
      <c r="K37" s="89">
        <f t="shared" si="16"/>
        <v>229.37940899999998</v>
      </c>
      <c r="L37" s="89">
        <f t="shared" si="16"/>
        <v>141.36616699999996</v>
      </c>
      <c r="M37" s="89">
        <f t="shared" si="16"/>
        <v>175.40914999999995</v>
      </c>
      <c r="N37" s="89">
        <f t="shared" si="16"/>
        <v>143.15441259482398</v>
      </c>
    </row>
    <row r="38" spans="3:14" ht="11.25">
      <c r="C38" s="75">
        <f aca="true" t="shared" si="17" ref="C38:N38">SUM(C27:C37)</f>
        <v>479.96000000000004</v>
      </c>
      <c r="D38" s="75">
        <f t="shared" si="17"/>
        <v>508.65999999999997</v>
      </c>
      <c r="E38" s="75">
        <f t="shared" si="17"/>
        <v>498.97999999999996</v>
      </c>
      <c r="F38" s="75">
        <f t="shared" si="17"/>
        <v>556.91</v>
      </c>
      <c r="G38" s="75">
        <f t="shared" si="17"/>
        <v>486.15999999999997</v>
      </c>
      <c r="H38" s="75">
        <f t="shared" si="17"/>
        <v>454.27</v>
      </c>
      <c r="I38" s="75">
        <f t="shared" si="17"/>
        <v>515.79</v>
      </c>
      <c r="J38" s="75">
        <f t="shared" si="17"/>
        <v>406.38</v>
      </c>
      <c r="K38" s="75">
        <f>SUM(K27:K37)</f>
        <v>691.11</v>
      </c>
      <c r="L38" s="75">
        <f t="shared" si="17"/>
        <v>425.9299999999999</v>
      </c>
      <c r="M38" s="75">
        <f t="shared" si="17"/>
        <v>528.4999999999999</v>
      </c>
      <c r="N38" s="75">
        <f t="shared" si="17"/>
        <v>431.3179047750044</v>
      </c>
    </row>
    <row r="39" ht="11.25"/>
    <row r="40" ht="11.25">
      <c r="A40" s="83" t="s">
        <v>57</v>
      </c>
    </row>
    <row r="41" spans="2:14" ht="11.25">
      <c r="B41" s="66" t="s">
        <v>23</v>
      </c>
      <c r="C41" s="93">
        <v>1</v>
      </c>
      <c r="D41" s="94">
        <v>1</v>
      </c>
      <c r="E41" s="94">
        <v>1</v>
      </c>
      <c r="F41" s="94">
        <v>1</v>
      </c>
      <c r="G41" s="94">
        <v>1</v>
      </c>
      <c r="H41" s="94">
        <v>1</v>
      </c>
      <c r="I41" s="94">
        <v>1</v>
      </c>
      <c r="J41" s="94">
        <v>1</v>
      </c>
      <c r="K41" s="94">
        <v>1</v>
      </c>
      <c r="L41" s="94">
        <v>1</v>
      </c>
      <c r="M41" s="94">
        <v>1</v>
      </c>
      <c r="N41" s="94">
        <v>1</v>
      </c>
    </row>
    <row r="42" spans="2:14" ht="11.25">
      <c r="B42" s="66" t="s">
        <v>27</v>
      </c>
      <c r="C42" s="93">
        <v>1</v>
      </c>
      <c r="D42" s="94">
        <v>1</v>
      </c>
      <c r="E42" s="94">
        <v>1</v>
      </c>
      <c r="F42" s="94">
        <v>1</v>
      </c>
      <c r="G42" s="94">
        <v>1</v>
      </c>
      <c r="H42" s="94">
        <v>1</v>
      </c>
      <c r="I42" s="94">
        <v>1</v>
      </c>
      <c r="J42" s="94">
        <v>1</v>
      </c>
      <c r="K42" s="94">
        <v>1</v>
      </c>
      <c r="L42" s="94">
        <v>1</v>
      </c>
      <c r="M42" s="94">
        <v>1</v>
      </c>
      <c r="N42" s="94">
        <v>1</v>
      </c>
    </row>
    <row r="43" spans="2:14" ht="11.25">
      <c r="B43" s="66" t="s">
        <v>49</v>
      </c>
      <c r="C43" s="93">
        <v>1</v>
      </c>
      <c r="D43" s="94">
        <v>1</v>
      </c>
      <c r="E43" s="94">
        <v>1</v>
      </c>
      <c r="F43" s="94">
        <v>1</v>
      </c>
      <c r="G43" s="94">
        <v>1</v>
      </c>
      <c r="H43" s="94">
        <v>1</v>
      </c>
      <c r="I43" s="94">
        <v>1</v>
      </c>
      <c r="J43" s="94">
        <v>1</v>
      </c>
      <c r="K43" s="94">
        <v>1</v>
      </c>
      <c r="L43" s="94">
        <v>1</v>
      </c>
      <c r="M43" s="94">
        <v>1</v>
      </c>
      <c r="N43" s="94">
        <v>1</v>
      </c>
    </row>
    <row r="44" spans="2:14" ht="11.25">
      <c r="B44" s="66" t="s">
        <v>50</v>
      </c>
      <c r="C44" s="93">
        <v>1</v>
      </c>
      <c r="D44" s="94">
        <v>1</v>
      </c>
      <c r="E44" s="94">
        <v>1</v>
      </c>
      <c r="F44" s="94">
        <v>1</v>
      </c>
      <c r="G44" s="94">
        <v>1</v>
      </c>
      <c r="H44" s="94">
        <v>1</v>
      </c>
      <c r="I44" s="94">
        <v>1</v>
      </c>
      <c r="J44" s="94">
        <v>1</v>
      </c>
      <c r="K44" s="94">
        <v>1</v>
      </c>
      <c r="L44" s="94">
        <v>1</v>
      </c>
      <c r="M44" s="94">
        <v>1</v>
      </c>
      <c r="N44" s="94">
        <v>1</v>
      </c>
    </row>
    <row r="45" spans="2:14" ht="11.25">
      <c r="B45" s="66" t="s">
        <v>51</v>
      </c>
      <c r="C45" s="93">
        <v>1</v>
      </c>
      <c r="D45" s="94">
        <v>1</v>
      </c>
      <c r="E45" s="94">
        <v>1</v>
      </c>
      <c r="F45" s="94">
        <v>1</v>
      </c>
      <c r="G45" s="94">
        <v>1</v>
      </c>
      <c r="H45" s="94">
        <v>1</v>
      </c>
      <c r="I45" s="94">
        <v>1</v>
      </c>
      <c r="J45" s="94">
        <v>1</v>
      </c>
      <c r="K45" s="94">
        <v>1</v>
      </c>
      <c r="L45" s="94">
        <v>1</v>
      </c>
      <c r="M45" s="94">
        <v>1</v>
      </c>
      <c r="N45" s="94">
        <v>1</v>
      </c>
    </row>
    <row r="46" spans="2:14" ht="11.25">
      <c r="B46" s="66" t="s">
        <v>52</v>
      </c>
      <c r="C46" s="93">
        <v>1</v>
      </c>
      <c r="D46" s="94">
        <v>1</v>
      </c>
      <c r="E46" s="94">
        <v>1</v>
      </c>
      <c r="F46" s="94">
        <v>1</v>
      </c>
      <c r="G46" s="94">
        <v>1</v>
      </c>
      <c r="H46" s="94">
        <v>1</v>
      </c>
      <c r="I46" s="94">
        <v>1</v>
      </c>
      <c r="J46" s="94">
        <v>1</v>
      </c>
      <c r="K46" s="94">
        <v>1</v>
      </c>
      <c r="L46" s="94">
        <v>1</v>
      </c>
      <c r="M46" s="94">
        <v>1</v>
      </c>
      <c r="N46" s="94">
        <v>1</v>
      </c>
    </row>
    <row r="47" spans="2:14" ht="11.25">
      <c r="B47" s="66" t="s">
        <v>53</v>
      </c>
      <c r="C47" s="93">
        <v>1</v>
      </c>
      <c r="D47" s="94">
        <v>1</v>
      </c>
      <c r="E47" s="94">
        <v>1</v>
      </c>
      <c r="F47" s="94">
        <v>1</v>
      </c>
      <c r="G47" s="94">
        <v>1</v>
      </c>
      <c r="H47" s="94">
        <v>1</v>
      </c>
      <c r="I47" s="94">
        <v>1</v>
      </c>
      <c r="J47" s="94">
        <v>1</v>
      </c>
      <c r="K47" s="94">
        <v>1</v>
      </c>
      <c r="L47" s="94">
        <v>1</v>
      </c>
      <c r="M47" s="94">
        <v>1</v>
      </c>
      <c r="N47" s="94">
        <v>1</v>
      </c>
    </row>
    <row r="48" spans="2:14" ht="11.25">
      <c r="B48" s="66" t="s">
        <v>22</v>
      </c>
      <c r="C48" s="93">
        <v>1</v>
      </c>
      <c r="D48" s="94">
        <v>1</v>
      </c>
      <c r="E48" s="94">
        <v>1</v>
      </c>
      <c r="F48" s="94">
        <v>1</v>
      </c>
      <c r="G48" s="94">
        <v>1</v>
      </c>
      <c r="H48" s="94">
        <v>1</v>
      </c>
      <c r="I48" s="94">
        <v>1</v>
      </c>
      <c r="J48" s="94">
        <v>1</v>
      </c>
      <c r="K48" s="94">
        <v>1</v>
      </c>
      <c r="L48" s="94">
        <v>1</v>
      </c>
      <c r="M48" s="94">
        <v>1</v>
      </c>
      <c r="N48" s="94">
        <v>1</v>
      </c>
    </row>
    <row r="49" spans="2:14" ht="11.25">
      <c r="B49" s="66" t="s">
        <v>87</v>
      </c>
      <c r="C49" s="93">
        <v>1</v>
      </c>
      <c r="D49" s="94">
        <v>1</v>
      </c>
      <c r="E49" s="94">
        <v>1</v>
      </c>
      <c r="F49" s="94">
        <v>1</v>
      </c>
      <c r="G49" s="94">
        <v>1</v>
      </c>
      <c r="H49" s="94">
        <v>1</v>
      </c>
      <c r="I49" s="94">
        <v>1</v>
      </c>
      <c r="J49" s="94">
        <v>1</v>
      </c>
      <c r="K49" s="94">
        <v>1</v>
      </c>
      <c r="L49" s="94">
        <v>1</v>
      </c>
      <c r="M49" s="94">
        <v>1</v>
      </c>
      <c r="N49" s="94">
        <v>1</v>
      </c>
    </row>
    <row r="50" spans="2:14" ht="11.25">
      <c r="B50" s="66" t="s">
        <v>54</v>
      </c>
      <c r="C50" s="93">
        <v>1</v>
      </c>
      <c r="D50" s="94">
        <v>1</v>
      </c>
      <c r="E50" s="94">
        <v>1</v>
      </c>
      <c r="F50" s="94">
        <v>1</v>
      </c>
      <c r="G50" s="94">
        <v>1</v>
      </c>
      <c r="H50" s="94">
        <v>1</v>
      </c>
      <c r="I50" s="94">
        <v>1</v>
      </c>
      <c r="J50" s="94">
        <v>1</v>
      </c>
      <c r="K50" s="94">
        <v>1</v>
      </c>
      <c r="L50" s="94">
        <v>1</v>
      </c>
      <c r="M50" s="94">
        <v>1</v>
      </c>
      <c r="N50" s="94">
        <v>1</v>
      </c>
    </row>
    <row r="51" spans="3:14" ht="14.25" customHeight="1">
      <c r="C51" s="92"/>
      <c r="D51" s="94"/>
      <c r="E51" s="94"/>
      <c r="F51" s="94"/>
      <c r="G51" s="94"/>
      <c r="H51" s="94"/>
      <c r="I51" s="94"/>
      <c r="J51" s="94"/>
      <c r="K51" s="94"/>
      <c r="L51" s="94"/>
      <c r="M51" s="94"/>
      <c r="N51" s="94"/>
    </row>
    <row r="52" spans="1:14" ht="11.25">
      <c r="A52" s="66" t="s">
        <v>55</v>
      </c>
      <c r="C52" s="92">
        <f>+C65/C37</f>
        <v>0.9999999999999998</v>
      </c>
      <c r="D52" s="94">
        <v>1</v>
      </c>
      <c r="E52" s="94">
        <v>1</v>
      </c>
      <c r="F52" s="94">
        <v>1</v>
      </c>
      <c r="G52" s="94">
        <v>1</v>
      </c>
      <c r="H52" s="94">
        <v>1</v>
      </c>
      <c r="I52" s="94">
        <v>1</v>
      </c>
      <c r="J52" s="94">
        <v>1</v>
      </c>
      <c r="K52" s="94">
        <v>1</v>
      </c>
      <c r="L52" s="94">
        <v>1</v>
      </c>
      <c r="M52" s="94">
        <v>1</v>
      </c>
      <c r="N52" s="94">
        <v>1</v>
      </c>
    </row>
    <row r="53" spans="12:14" ht="11.25">
      <c r="L53" s="92"/>
      <c r="N53" s="94"/>
    </row>
    <row r="54" spans="1:17" ht="11.25">
      <c r="A54" s="83" t="s">
        <v>58</v>
      </c>
      <c r="L54" s="92"/>
      <c r="N54" s="94"/>
      <c r="Q54" s="102"/>
    </row>
    <row r="55" spans="2:17" ht="11.25">
      <c r="B55" s="66" t="s">
        <v>23</v>
      </c>
      <c r="C55" s="75">
        <f aca="true" t="shared" si="18" ref="C55:N55">+C27*C41</f>
        <v>0</v>
      </c>
      <c r="D55" s="75">
        <f t="shared" si="18"/>
        <v>0</v>
      </c>
      <c r="E55" s="75">
        <f>+E27*E41</f>
        <v>0</v>
      </c>
      <c r="F55" s="75">
        <f t="shared" si="18"/>
        <v>0</v>
      </c>
      <c r="G55" s="75">
        <f t="shared" si="18"/>
        <v>0</v>
      </c>
      <c r="H55" s="75">
        <f t="shared" si="18"/>
        <v>0</v>
      </c>
      <c r="I55" s="75">
        <f t="shared" si="18"/>
        <v>0</v>
      </c>
      <c r="J55" s="75">
        <f t="shared" si="18"/>
        <v>0</v>
      </c>
      <c r="K55" s="75">
        <f>+K27*K41</f>
        <v>0</v>
      </c>
      <c r="L55" s="75">
        <f t="shared" si="18"/>
        <v>0</v>
      </c>
      <c r="M55" s="75">
        <f t="shared" si="18"/>
        <v>0</v>
      </c>
      <c r="N55" s="75">
        <f t="shared" si="18"/>
        <v>0</v>
      </c>
      <c r="O55" s="102"/>
      <c r="Q55" s="102"/>
    </row>
    <row r="56" spans="2:17" ht="12.75">
      <c r="B56" s="66" t="s">
        <v>27</v>
      </c>
      <c r="C56" s="75">
        <f aca="true" t="shared" si="19" ref="C56:N56">+C28*C42</f>
        <v>125.26956000000001</v>
      </c>
      <c r="D56" s="75">
        <f t="shared" si="19"/>
        <v>132.76026</v>
      </c>
      <c r="E56" s="75">
        <f t="shared" si="19"/>
        <v>130.23378</v>
      </c>
      <c r="F56" s="75">
        <f t="shared" si="19"/>
        <v>145.35351</v>
      </c>
      <c r="G56" s="75">
        <f t="shared" si="19"/>
        <v>126.88776</v>
      </c>
      <c r="H56" s="75">
        <f t="shared" si="19"/>
        <v>118.56447</v>
      </c>
      <c r="I56" s="75">
        <f t="shared" si="19"/>
        <v>134.62119</v>
      </c>
      <c r="J56" s="75">
        <f t="shared" si="19"/>
        <v>106.06518</v>
      </c>
      <c r="K56" s="75">
        <f>+K28*K42</f>
        <v>179.757711</v>
      </c>
      <c r="L56" s="75">
        <f t="shared" si="19"/>
        <v>110.78439299999998</v>
      </c>
      <c r="M56" s="75">
        <f t="shared" si="19"/>
        <v>137.46284999999997</v>
      </c>
      <c r="N56" s="75">
        <f t="shared" si="19"/>
        <v>112.18578703197866</v>
      </c>
      <c r="O56" s="60"/>
      <c r="Q56" s="60"/>
    </row>
    <row r="57" spans="2:17" ht="12.75">
      <c r="B57" s="66" t="s">
        <v>49</v>
      </c>
      <c r="C57" s="75">
        <f aca="true" t="shared" si="20" ref="C57:N57">+C29*C43</f>
        <v>0</v>
      </c>
      <c r="D57" s="75">
        <f t="shared" si="20"/>
        <v>0</v>
      </c>
      <c r="E57" s="75">
        <f t="shared" si="20"/>
        <v>0</v>
      </c>
      <c r="F57" s="75">
        <f t="shared" si="20"/>
        <v>0</v>
      </c>
      <c r="G57" s="75">
        <f t="shared" si="20"/>
        <v>0</v>
      </c>
      <c r="H57" s="75">
        <f t="shared" si="20"/>
        <v>0</v>
      </c>
      <c r="I57" s="75">
        <f t="shared" si="20"/>
        <v>0</v>
      </c>
      <c r="J57" s="75">
        <f t="shared" si="20"/>
        <v>0</v>
      </c>
      <c r="K57" s="75">
        <f t="shared" si="20"/>
        <v>0</v>
      </c>
      <c r="L57" s="75">
        <f t="shared" si="20"/>
        <v>0</v>
      </c>
      <c r="M57" s="75">
        <f t="shared" si="20"/>
        <v>0</v>
      </c>
      <c r="N57" s="75">
        <f t="shared" si="20"/>
        <v>0</v>
      </c>
      <c r="O57" s="60"/>
      <c r="Q57" s="60"/>
    </row>
    <row r="58" spans="2:17" ht="12.75">
      <c r="B58" s="66" t="s">
        <v>50</v>
      </c>
      <c r="C58" s="75">
        <f aca="true" t="shared" si="21" ref="C58:N58">+C30*C44</f>
        <v>7.0554120000000005</v>
      </c>
      <c r="D58" s="75">
        <f t="shared" si="21"/>
        <v>7.477301999999999</v>
      </c>
      <c r="E58" s="75">
        <f t="shared" si="21"/>
        <v>7.335005999999999</v>
      </c>
      <c r="F58" s="75">
        <f t="shared" si="21"/>
        <v>8.186577</v>
      </c>
      <c r="G58" s="75">
        <f t="shared" si="21"/>
        <v>7.146551999999999</v>
      </c>
      <c r="H58" s="75">
        <f t="shared" si="21"/>
        <v>6.677769</v>
      </c>
      <c r="I58" s="75">
        <f t="shared" si="21"/>
        <v>7.5821130000000005</v>
      </c>
      <c r="J58" s="75">
        <f t="shared" si="21"/>
        <v>5.973786</v>
      </c>
      <c r="K58" s="75">
        <f t="shared" si="21"/>
        <v>10.435761000000001</v>
      </c>
      <c r="L58" s="75">
        <f t="shared" si="21"/>
        <v>6.431543</v>
      </c>
      <c r="M58" s="75">
        <f t="shared" si="21"/>
        <v>7.980349999999999</v>
      </c>
      <c r="N58" s="75">
        <f t="shared" si="21"/>
        <v>6.512900362102568</v>
      </c>
      <c r="O58" s="60"/>
      <c r="Q58" s="60"/>
    </row>
    <row r="59" spans="2:17" ht="12.75">
      <c r="B59" s="66" t="s">
        <v>51</v>
      </c>
      <c r="C59" s="75">
        <f aca="true" t="shared" si="22" ref="C59:N59">+C31*C45</f>
        <v>23.614032</v>
      </c>
      <c r="D59" s="75">
        <f t="shared" si="22"/>
        <v>25.026072</v>
      </c>
      <c r="E59" s="75">
        <f t="shared" si="22"/>
        <v>24.549816</v>
      </c>
      <c r="F59" s="75">
        <f t="shared" si="22"/>
        <v>27.399971999999998</v>
      </c>
      <c r="G59" s="75">
        <f t="shared" si="22"/>
        <v>23.919072</v>
      </c>
      <c r="H59" s="75">
        <f t="shared" si="22"/>
        <v>22.350084</v>
      </c>
      <c r="I59" s="75">
        <f t="shared" si="22"/>
        <v>25.376868000000005</v>
      </c>
      <c r="J59" s="75">
        <f t="shared" si="22"/>
        <v>19.993896</v>
      </c>
      <c r="K59" s="75">
        <f t="shared" si="22"/>
        <v>32.343948000000005</v>
      </c>
      <c r="L59" s="75">
        <f t="shared" si="22"/>
        <v>19.933524</v>
      </c>
      <c r="M59" s="75">
        <f t="shared" si="22"/>
        <v>24.733799999999995</v>
      </c>
      <c r="N59" s="75">
        <f t="shared" si="22"/>
        <v>20.18567794347021</v>
      </c>
      <c r="O59" s="60"/>
      <c r="Q59" s="60"/>
    </row>
    <row r="60" spans="2:17" ht="12.75">
      <c r="B60" s="66" t="s">
        <v>52</v>
      </c>
      <c r="C60" s="95">
        <f aca="true" t="shared" si="23" ref="C60:N60">+C32*C46</f>
        <v>8.543288</v>
      </c>
      <c r="D60" s="95">
        <f t="shared" si="23"/>
        <v>9.054148</v>
      </c>
      <c r="E60" s="95">
        <f t="shared" si="23"/>
        <v>8.881844</v>
      </c>
      <c r="F60" s="95">
        <f t="shared" si="23"/>
        <v>9.912998</v>
      </c>
      <c r="G60" s="95">
        <f t="shared" si="23"/>
        <v>8.653647999999999</v>
      </c>
      <c r="H60" s="95">
        <f t="shared" si="23"/>
        <v>8.086006</v>
      </c>
      <c r="I60" s="95">
        <f t="shared" si="23"/>
        <v>9.181062</v>
      </c>
      <c r="J60" s="95">
        <f t="shared" si="23"/>
        <v>7.233563999999999</v>
      </c>
      <c r="K60" s="95">
        <f t="shared" si="23"/>
        <v>11.541537</v>
      </c>
      <c r="L60" s="95">
        <f t="shared" si="23"/>
        <v>7.1130309999999985</v>
      </c>
      <c r="M60" s="95">
        <f t="shared" si="23"/>
        <v>8.825949999999997</v>
      </c>
      <c r="N60" s="95">
        <f t="shared" si="23"/>
        <v>7.2030090097425745</v>
      </c>
      <c r="O60" s="60"/>
      <c r="Q60" s="60"/>
    </row>
    <row r="61" spans="2:17" ht="12.75">
      <c r="B61" s="66" t="s">
        <v>53</v>
      </c>
      <c r="C61" s="75">
        <f aca="true" t="shared" si="24" ref="C61:N61">+C33*C47</f>
        <v>0.9119240000000001</v>
      </c>
      <c r="D61" s="75">
        <f t="shared" si="24"/>
        <v>0.9664539999999999</v>
      </c>
      <c r="E61" s="75">
        <f t="shared" si="24"/>
        <v>0.948062</v>
      </c>
      <c r="F61" s="75">
        <f t="shared" si="24"/>
        <v>1.0581289999999999</v>
      </c>
      <c r="G61" s="75">
        <f t="shared" si="24"/>
        <v>0.923704</v>
      </c>
      <c r="H61" s="75">
        <f t="shared" si="24"/>
        <v>0.863113</v>
      </c>
      <c r="I61" s="75">
        <f t="shared" si="24"/>
        <v>0.9800010000000001</v>
      </c>
      <c r="J61" s="75">
        <f t="shared" si="24"/>
        <v>0.772122</v>
      </c>
      <c r="K61" s="75">
        <f t="shared" si="24"/>
        <v>0.69111</v>
      </c>
      <c r="L61" s="75">
        <f t="shared" si="24"/>
        <v>0.42593</v>
      </c>
      <c r="M61" s="75">
        <f t="shared" si="24"/>
        <v>0.5284999999999999</v>
      </c>
      <c r="N61" s="75">
        <f t="shared" si="24"/>
        <v>0.4313179047750045</v>
      </c>
      <c r="O61" s="60"/>
      <c r="Q61" s="60"/>
    </row>
    <row r="62" spans="2:17" ht="12.75">
      <c r="B62" s="66" t="s">
        <v>46</v>
      </c>
      <c r="C62" s="75">
        <f aca="true" t="shared" si="25" ref="C62:N62">+C34*C48</f>
        <v>85.19290000000001</v>
      </c>
      <c r="D62" s="75">
        <f t="shared" si="25"/>
        <v>90.28715</v>
      </c>
      <c r="E62" s="75">
        <f t="shared" si="25"/>
        <v>88.56894999999999</v>
      </c>
      <c r="F62" s="75">
        <f t="shared" si="25"/>
        <v>98.851525</v>
      </c>
      <c r="G62" s="75">
        <f t="shared" si="25"/>
        <v>86.29339999999999</v>
      </c>
      <c r="H62" s="75">
        <f t="shared" si="25"/>
        <v>80.63292499999999</v>
      </c>
      <c r="I62" s="75">
        <f t="shared" si="25"/>
        <v>91.55272500000001</v>
      </c>
      <c r="J62" s="75">
        <f t="shared" si="25"/>
        <v>72.13244999999999</v>
      </c>
      <c r="K62" s="75">
        <f t="shared" si="25"/>
        <v>109.88649000000001</v>
      </c>
      <c r="L62" s="75">
        <f t="shared" si="25"/>
        <v>67.72286999999999</v>
      </c>
      <c r="M62" s="75">
        <f t="shared" si="25"/>
        <v>84.03149999999998</v>
      </c>
      <c r="N62" s="75">
        <f t="shared" si="25"/>
        <v>68.57954685922572</v>
      </c>
      <c r="O62" s="60"/>
      <c r="Q62" s="60"/>
    </row>
    <row r="63" spans="2:17" ht="12.75">
      <c r="B63" s="66" t="s">
        <v>87</v>
      </c>
      <c r="C63" s="75">
        <f aca="true" t="shared" si="26" ref="C63:N63">+C35*C49</f>
        <v>0</v>
      </c>
      <c r="D63" s="75">
        <f t="shared" si="26"/>
        <v>0</v>
      </c>
      <c r="E63" s="75">
        <f t="shared" si="26"/>
        <v>0</v>
      </c>
      <c r="F63" s="75">
        <f t="shared" si="26"/>
        <v>0</v>
      </c>
      <c r="G63" s="75">
        <f t="shared" si="26"/>
        <v>0</v>
      </c>
      <c r="H63" s="75">
        <f t="shared" si="26"/>
        <v>0</v>
      </c>
      <c r="I63" s="75">
        <f t="shared" si="26"/>
        <v>0</v>
      </c>
      <c r="J63" s="75">
        <f t="shared" si="26"/>
        <v>0</v>
      </c>
      <c r="K63" s="75">
        <f t="shared" si="26"/>
        <v>0</v>
      </c>
      <c r="L63" s="75">
        <f t="shared" si="26"/>
        <v>0</v>
      </c>
      <c r="M63" s="75">
        <f t="shared" si="26"/>
        <v>0</v>
      </c>
      <c r="N63" s="75">
        <f t="shared" si="26"/>
        <v>0</v>
      </c>
      <c r="O63" s="60"/>
      <c r="Q63" s="60"/>
    </row>
    <row r="64" spans="2:17" ht="12.75">
      <c r="B64" s="66" t="s">
        <v>54</v>
      </c>
      <c r="C64" s="75">
        <f aca="true" t="shared" si="27" ref="C64:N64">+C36*C50</f>
        <v>70.506124</v>
      </c>
      <c r="D64" s="75">
        <f t="shared" si="27"/>
        <v>74.722154</v>
      </c>
      <c r="E64" s="75">
        <f t="shared" si="27"/>
        <v>73.300162</v>
      </c>
      <c r="F64" s="75">
        <f t="shared" si="27"/>
        <v>81.810079</v>
      </c>
      <c r="G64" s="75">
        <f t="shared" si="27"/>
        <v>71.416904</v>
      </c>
      <c r="H64" s="75">
        <f t="shared" si="27"/>
        <v>66.732263</v>
      </c>
      <c r="I64" s="75">
        <f t="shared" si="27"/>
        <v>75.769551</v>
      </c>
      <c r="J64" s="75">
        <f t="shared" si="27"/>
        <v>59.697222000000004</v>
      </c>
      <c r="K64" s="75">
        <f t="shared" si="27"/>
        <v>117.074034</v>
      </c>
      <c r="L64" s="75">
        <f t="shared" si="27"/>
        <v>72.15254199999998</v>
      </c>
      <c r="M64" s="75">
        <f t="shared" si="27"/>
        <v>89.52789999999997</v>
      </c>
      <c r="N64" s="75">
        <f t="shared" si="27"/>
        <v>73.06525306888575</v>
      </c>
      <c r="P64" s="146"/>
      <c r="Q64" s="102"/>
    </row>
    <row r="65" spans="2:22" ht="12.75">
      <c r="B65" s="66" t="s">
        <v>55</v>
      </c>
      <c r="C65" s="89">
        <f aca="true" t="shared" si="28" ref="C65:N65">+C7-SUM(C55:C64)</f>
        <v>158.86676</v>
      </c>
      <c r="D65" s="89">
        <f t="shared" si="28"/>
        <v>168.36646000000002</v>
      </c>
      <c r="E65" s="89">
        <f t="shared" si="28"/>
        <v>165.16237999999998</v>
      </c>
      <c r="F65" s="89">
        <f t="shared" si="28"/>
        <v>184.33721000000003</v>
      </c>
      <c r="G65" s="89">
        <f t="shared" si="28"/>
        <v>160.91895999999997</v>
      </c>
      <c r="H65" s="89">
        <f t="shared" si="28"/>
        <v>150.36337000000003</v>
      </c>
      <c r="I65" s="89">
        <f t="shared" si="28"/>
        <v>170.72649000000013</v>
      </c>
      <c r="J65" s="89">
        <f t="shared" si="28"/>
        <v>134.51178</v>
      </c>
      <c r="K65" s="89">
        <f t="shared" si="28"/>
        <v>229.379409</v>
      </c>
      <c r="L65" s="89">
        <f t="shared" si="28"/>
        <v>141.36616700000002</v>
      </c>
      <c r="M65" s="89">
        <f t="shared" si="28"/>
        <v>175.40914999999995</v>
      </c>
      <c r="N65" s="89">
        <f t="shared" si="28"/>
        <v>143.154412594824</v>
      </c>
      <c r="P65" s="146"/>
      <c r="Q65" s="102"/>
      <c r="R65" s="102"/>
      <c r="S65" s="102"/>
      <c r="T65" s="102"/>
      <c r="U65" s="102"/>
      <c r="V65" s="102"/>
    </row>
    <row r="66" spans="3:22" ht="12.75">
      <c r="C66" s="75">
        <f aca="true" t="shared" si="29" ref="C66:N66">SUM(C55:C65)</f>
        <v>479.96000000000004</v>
      </c>
      <c r="D66" s="75">
        <f t="shared" si="29"/>
        <v>508.65999999999997</v>
      </c>
      <c r="E66" s="75">
        <f t="shared" si="29"/>
        <v>498.97999999999996</v>
      </c>
      <c r="F66" s="75">
        <f t="shared" si="29"/>
        <v>556.91</v>
      </c>
      <c r="G66" s="75">
        <f t="shared" si="29"/>
        <v>486.15999999999997</v>
      </c>
      <c r="H66" s="75">
        <f t="shared" si="29"/>
        <v>454.27</v>
      </c>
      <c r="I66" s="75">
        <f t="shared" si="29"/>
        <v>515.7900000000001</v>
      </c>
      <c r="J66" s="75">
        <f t="shared" si="29"/>
        <v>406.38</v>
      </c>
      <c r="K66" s="75">
        <f t="shared" si="29"/>
        <v>691.11</v>
      </c>
      <c r="L66" s="75">
        <f t="shared" si="29"/>
        <v>425.92999999999995</v>
      </c>
      <c r="M66" s="75">
        <f t="shared" si="29"/>
        <v>528.4999999999999</v>
      </c>
      <c r="N66" s="75">
        <f t="shared" si="29"/>
        <v>431.3179047750045</v>
      </c>
      <c r="P66" s="146"/>
      <c r="Q66" s="102"/>
      <c r="R66" s="102"/>
      <c r="S66" s="102"/>
      <c r="T66" s="102"/>
      <c r="U66" s="102"/>
      <c r="V66" s="102"/>
    </row>
    <row r="67" spans="16:22" ht="12.75">
      <c r="P67" s="148"/>
      <c r="Q67" s="102"/>
      <c r="R67" s="102"/>
      <c r="S67" s="102"/>
      <c r="T67" s="102"/>
      <c r="U67" s="102"/>
      <c r="V67" s="102"/>
    </row>
    <row r="68" spans="1:22" ht="12.75">
      <c r="A68" s="96" t="s">
        <v>59</v>
      </c>
      <c r="P68" s="148"/>
      <c r="Q68" s="102"/>
      <c r="R68" s="102"/>
      <c r="S68" s="102"/>
      <c r="T68" s="102"/>
      <c r="U68" s="102"/>
      <c r="V68" s="102"/>
    </row>
    <row r="69" spans="2:22" ht="12">
      <c r="B69" s="66" t="s">
        <v>23</v>
      </c>
      <c r="C69" s="155">
        <v>0</v>
      </c>
      <c r="D69" s="155">
        <v>0</v>
      </c>
      <c r="E69" s="155">
        <v>0</v>
      </c>
      <c r="F69" s="155">
        <v>0</v>
      </c>
      <c r="G69" s="156">
        <v>0</v>
      </c>
      <c r="H69" s="156">
        <v>0</v>
      </c>
      <c r="I69" s="155">
        <v>0</v>
      </c>
      <c r="J69" s="155">
        <v>0</v>
      </c>
      <c r="K69" s="155">
        <v>0</v>
      </c>
      <c r="L69" s="157">
        <v>0</v>
      </c>
      <c r="M69" s="157">
        <v>0</v>
      </c>
      <c r="N69" s="155">
        <v>0</v>
      </c>
      <c r="P69" s="147"/>
      <c r="Q69" s="102"/>
      <c r="R69" s="102"/>
      <c r="S69" s="102"/>
      <c r="T69" s="102"/>
      <c r="U69" s="152"/>
      <c r="V69" s="102"/>
    </row>
    <row r="70" spans="2:22" ht="12">
      <c r="B70" s="66" t="s">
        <v>27</v>
      </c>
      <c r="C70" s="155">
        <v>110.89600000000002</v>
      </c>
      <c r="D70" s="155">
        <v>113.68800000000002</v>
      </c>
      <c r="E70" s="155">
        <v>115.52000000000001</v>
      </c>
      <c r="F70" s="155">
        <v>104.128</v>
      </c>
      <c r="G70" s="156">
        <v>58.792</v>
      </c>
      <c r="H70" s="156">
        <v>32.480000000000004</v>
      </c>
      <c r="I70" s="155">
        <v>46.768</v>
      </c>
      <c r="J70" s="155">
        <v>44.368</v>
      </c>
      <c r="K70" s="155">
        <v>58.312000000000005</v>
      </c>
      <c r="L70" s="155">
        <v>77.82400000000001</v>
      </c>
      <c r="M70" s="155">
        <v>78.32000000000001</v>
      </c>
      <c r="N70" s="155">
        <v>75.304</v>
      </c>
      <c r="P70" s="147"/>
      <c r="Q70" s="102"/>
      <c r="R70" s="102"/>
      <c r="S70" s="102"/>
      <c r="T70" s="102"/>
      <c r="U70" s="152"/>
      <c r="V70" s="102"/>
    </row>
    <row r="71" spans="2:22" ht="12">
      <c r="B71" s="66" t="s">
        <v>49</v>
      </c>
      <c r="C71" s="155">
        <v>0</v>
      </c>
      <c r="D71" s="155">
        <v>0</v>
      </c>
      <c r="E71" s="155">
        <v>0</v>
      </c>
      <c r="F71" s="155">
        <v>0</v>
      </c>
      <c r="G71" s="156">
        <v>0</v>
      </c>
      <c r="H71" s="156">
        <v>0</v>
      </c>
      <c r="I71" s="155">
        <v>0</v>
      </c>
      <c r="J71" s="155">
        <v>0</v>
      </c>
      <c r="K71" s="155">
        <v>0</v>
      </c>
      <c r="L71" s="155">
        <v>0</v>
      </c>
      <c r="M71" s="155">
        <v>0</v>
      </c>
      <c r="N71" s="155">
        <v>0</v>
      </c>
      <c r="P71" s="147"/>
      <c r="Q71" s="102"/>
      <c r="R71" s="102"/>
      <c r="S71" s="102"/>
      <c r="T71" s="102"/>
      <c r="U71" s="152"/>
      <c r="V71" s="102"/>
    </row>
    <row r="72" spans="2:22" ht="12">
      <c r="B72" s="66" t="s">
        <v>50</v>
      </c>
      <c r="C72" s="155">
        <v>126.36</v>
      </c>
      <c r="D72" s="155">
        <v>109.67200000000001</v>
      </c>
      <c r="E72" s="155">
        <v>84.456</v>
      </c>
      <c r="F72" s="155">
        <v>77.504</v>
      </c>
      <c r="G72" s="156">
        <v>76.248</v>
      </c>
      <c r="H72" s="156">
        <v>49.784</v>
      </c>
      <c r="I72" s="155">
        <v>46.392</v>
      </c>
      <c r="J72" s="155">
        <v>67.54400000000001</v>
      </c>
      <c r="K72" s="155">
        <v>88.144</v>
      </c>
      <c r="L72" s="155">
        <v>94.00800000000001</v>
      </c>
      <c r="M72" s="155">
        <v>121.49600000000001</v>
      </c>
      <c r="N72" s="155">
        <v>103.128</v>
      </c>
      <c r="P72" s="147"/>
      <c r="Q72" s="102"/>
      <c r="R72" s="102"/>
      <c r="S72" s="102"/>
      <c r="T72" s="102"/>
      <c r="U72" s="152"/>
      <c r="V72" s="102"/>
    </row>
    <row r="73" spans="2:22" ht="12">
      <c r="B73" s="66" t="s">
        <v>51</v>
      </c>
      <c r="C73" s="155">
        <v>360.2549593495936</v>
      </c>
      <c r="D73" s="155">
        <v>351.2541788617886</v>
      </c>
      <c r="E73" s="155">
        <v>184.48515447154472</v>
      </c>
      <c r="F73" s="155">
        <v>105.90801219512196</v>
      </c>
      <c r="G73" s="156">
        <v>44.664658536585364</v>
      </c>
      <c r="H73" s="156">
        <v>112.69443902439025</v>
      </c>
      <c r="I73" s="155">
        <v>101.9769105691057</v>
      </c>
      <c r="J73" s="155">
        <v>96.7489837398374</v>
      </c>
      <c r="K73" s="155">
        <v>102.48647435897436</v>
      </c>
      <c r="L73" s="155">
        <v>154.70989743589743</v>
      </c>
      <c r="M73" s="155">
        <v>129.5606837606838</v>
      </c>
      <c r="N73" s="155">
        <v>195.09063247863247</v>
      </c>
      <c r="P73" s="147"/>
      <c r="Q73" s="102"/>
      <c r="R73" s="102"/>
      <c r="S73" s="102"/>
      <c r="T73" s="102"/>
      <c r="U73" s="152"/>
      <c r="V73" s="102"/>
    </row>
    <row r="74" spans="2:22" ht="12">
      <c r="B74" s="66" t="s">
        <v>52</v>
      </c>
      <c r="C74" s="155">
        <v>1590</v>
      </c>
      <c r="D74" s="155">
        <v>1425.584</v>
      </c>
      <c r="E74" s="155">
        <v>1222.3680000000002</v>
      </c>
      <c r="F74" s="155">
        <v>1225.72</v>
      </c>
      <c r="G74" s="156">
        <v>1131.44</v>
      </c>
      <c r="H74" s="156">
        <v>1033.976</v>
      </c>
      <c r="I74" s="155">
        <v>1135.9840000000002</v>
      </c>
      <c r="J74" s="155">
        <v>1183.9440000000002</v>
      </c>
      <c r="K74" s="155">
        <v>1268.2</v>
      </c>
      <c r="L74" s="155">
        <v>1309.928</v>
      </c>
      <c r="M74" s="155">
        <v>1203.952</v>
      </c>
      <c r="N74" s="155">
        <v>1209.096</v>
      </c>
      <c r="P74" s="147"/>
      <c r="Q74" s="102"/>
      <c r="R74" s="102"/>
      <c r="S74" s="102"/>
      <c r="T74" s="102"/>
      <c r="U74" s="152"/>
      <c r="V74" s="102"/>
    </row>
    <row r="75" spans="2:22" ht="12">
      <c r="B75" s="66" t="s">
        <v>53</v>
      </c>
      <c r="C75" s="155">
        <v>161.736</v>
      </c>
      <c r="D75" s="155">
        <v>135.256</v>
      </c>
      <c r="E75" s="155">
        <v>91.11200000000001</v>
      </c>
      <c r="F75" s="155">
        <v>85.296</v>
      </c>
      <c r="G75" s="156">
        <v>94.80000000000001</v>
      </c>
      <c r="H75" s="156">
        <v>92.536</v>
      </c>
      <c r="I75" s="155">
        <v>95.352</v>
      </c>
      <c r="J75" s="155">
        <v>63.632000000000005</v>
      </c>
      <c r="K75" s="155">
        <v>100.38400000000001</v>
      </c>
      <c r="L75" s="155">
        <v>119.89600000000002</v>
      </c>
      <c r="M75" s="155">
        <v>133.592</v>
      </c>
      <c r="N75" s="155">
        <v>118.456</v>
      </c>
      <c r="P75" s="147"/>
      <c r="Q75" s="102"/>
      <c r="R75" s="102"/>
      <c r="S75" s="102"/>
      <c r="T75" s="102"/>
      <c r="U75" s="152"/>
      <c r="V75" s="102"/>
    </row>
    <row r="76" spans="2:22" ht="12">
      <c r="B76" s="66" t="s">
        <v>46</v>
      </c>
      <c r="C76" s="157">
        <v>-51.33</v>
      </c>
      <c r="D76" s="157">
        <v>-53.77</v>
      </c>
      <c r="E76" s="157">
        <v>-60.37</v>
      </c>
      <c r="F76" s="157">
        <v>-58.38</v>
      </c>
      <c r="G76" s="158">
        <v>-60.06</v>
      </c>
      <c r="H76" s="158">
        <v>-58.19</v>
      </c>
      <c r="I76" s="155">
        <v>-48.54</v>
      </c>
      <c r="J76" s="155">
        <v>-63.4</v>
      </c>
      <c r="K76" s="155">
        <v>-59.42</v>
      </c>
      <c r="L76" s="155">
        <v>-53.45</v>
      </c>
      <c r="M76" s="155">
        <v>-53.69</v>
      </c>
      <c r="N76" s="155">
        <v>-75.95</v>
      </c>
      <c r="P76" s="147"/>
      <c r="Q76" s="102"/>
      <c r="R76" s="102"/>
      <c r="S76" s="102"/>
      <c r="T76" s="102"/>
      <c r="U76" s="152"/>
      <c r="V76" s="102"/>
    </row>
    <row r="77" spans="2:22" ht="12">
      <c r="B77" s="66" t="s">
        <v>87</v>
      </c>
      <c r="C77" s="157">
        <v>0</v>
      </c>
      <c r="D77" s="157">
        <v>0</v>
      </c>
      <c r="E77" s="157">
        <v>0</v>
      </c>
      <c r="F77" s="157">
        <v>0</v>
      </c>
      <c r="G77" s="158">
        <v>0</v>
      </c>
      <c r="H77" s="158">
        <v>0</v>
      </c>
      <c r="I77" s="157">
        <v>0</v>
      </c>
      <c r="J77" s="157">
        <v>0</v>
      </c>
      <c r="K77" s="157">
        <v>0</v>
      </c>
      <c r="L77" s="157">
        <v>0</v>
      </c>
      <c r="M77" s="157">
        <v>0</v>
      </c>
      <c r="N77" s="157">
        <v>0</v>
      </c>
      <c r="P77" s="147"/>
      <c r="Q77" s="102"/>
      <c r="R77" s="102"/>
      <c r="S77" s="102"/>
      <c r="T77" s="102"/>
      <c r="U77" s="152"/>
      <c r="V77" s="102"/>
    </row>
    <row r="78" spans="2:22" ht="12">
      <c r="B78" s="66" t="s">
        <v>54</v>
      </c>
      <c r="C78" s="157">
        <v>-84.61</v>
      </c>
      <c r="D78" s="157">
        <v>-84.61</v>
      </c>
      <c r="E78" s="157">
        <v>-84.61</v>
      </c>
      <c r="F78" s="157">
        <v>-77.8</v>
      </c>
      <c r="G78" s="158">
        <v>-85.68</v>
      </c>
      <c r="H78" s="158">
        <v>-93.8</v>
      </c>
      <c r="I78" s="157">
        <v>-84.89</v>
      </c>
      <c r="J78" s="157">
        <v>-79.41</v>
      </c>
      <c r="K78" s="157">
        <v>-80.42</v>
      </c>
      <c r="L78" s="157">
        <v>-82.35</v>
      </c>
      <c r="M78" s="157">
        <v>-84.86</v>
      </c>
      <c r="N78" s="157">
        <v>-86.4</v>
      </c>
      <c r="P78" s="147"/>
      <c r="Q78" s="102"/>
      <c r="R78" s="102"/>
      <c r="S78" s="102"/>
      <c r="T78" s="102"/>
      <c r="U78" s="152"/>
      <c r="V78" s="102"/>
    </row>
    <row r="79" spans="2:22" ht="12">
      <c r="B79" s="66" t="s">
        <v>55</v>
      </c>
      <c r="C79" s="155">
        <v>6.928000000000001</v>
      </c>
      <c r="D79" s="155">
        <v>6.840000000000001</v>
      </c>
      <c r="E79" s="155">
        <v>12.784</v>
      </c>
      <c r="F79" s="155">
        <v>-0.49</v>
      </c>
      <c r="G79" s="156">
        <v>-58.34</v>
      </c>
      <c r="H79" s="156">
        <v>-58.13</v>
      </c>
      <c r="I79" s="155">
        <v>-38.48</v>
      </c>
      <c r="J79" s="155">
        <v>-42.59</v>
      </c>
      <c r="K79" s="155">
        <v>-9.56</v>
      </c>
      <c r="L79" s="155">
        <v>3.4640000000000004</v>
      </c>
      <c r="M79" s="155">
        <v>11.032</v>
      </c>
      <c r="N79" s="157">
        <v>24.248</v>
      </c>
      <c r="O79" s="110">
        <f>SUM(C69:N79)</f>
        <v>18284.926984782152</v>
      </c>
      <c r="P79" s="147"/>
      <c r="Q79" s="102"/>
      <c r="R79" s="102"/>
      <c r="S79" s="102"/>
      <c r="T79" s="102"/>
      <c r="U79" s="152"/>
      <c r="V79" s="102"/>
    </row>
    <row r="80" spans="16:22" ht="11.25">
      <c r="P80" s="102"/>
      <c r="Q80" s="102"/>
      <c r="R80" s="153"/>
      <c r="S80" s="102"/>
      <c r="T80" s="102"/>
      <c r="U80" s="152"/>
      <c r="V80" s="102"/>
    </row>
    <row r="81" spans="1:22" ht="11.25">
      <c r="A81" s="83" t="s">
        <v>60</v>
      </c>
      <c r="P81" s="102"/>
      <c r="Q81" s="102"/>
      <c r="R81" s="102"/>
      <c r="S81" s="102"/>
      <c r="T81" s="102"/>
      <c r="U81" s="102"/>
      <c r="V81" s="102"/>
    </row>
    <row r="82" spans="2:22" ht="11.25">
      <c r="B82" s="66" t="s">
        <v>23</v>
      </c>
      <c r="C82" s="97">
        <f>+C69*C55</f>
        <v>0</v>
      </c>
      <c r="D82" s="75">
        <f aca="true" t="shared" si="30" ref="D82:M82">+D69*D55</f>
        <v>0</v>
      </c>
      <c r="E82" s="75">
        <f>+E69*E55</f>
        <v>0</v>
      </c>
      <c r="F82" s="75">
        <f t="shared" si="30"/>
        <v>0</v>
      </c>
      <c r="G82" s="75">
        <f>+G69*G55</f>
        <v>0</v>
      </c>
      <c r="H82" s="75">
        <f t="shared" si="30"/>
        <v>0</v>
      </c>
      <c r="I82" s="75">
        <f t="shared" si="30"/>
        <v>0</v>
      </c>
      <c r="J82" s="75">
        <f>+J69*J55</f>
        <v>0</v>
      </c>
      <c r="K82" s="75">
        <f t="shared" si="30"/>
        <v>0</v>
      </c>
      <c r="L82" s="75">
        <f t="shared" si="30"/>
        <v>0</v>
      </c>
      <c r="M82" s="75">
        <f t="shared" si="30"/>
        <v>0</v>
      </c>
      <c r="N82" s="75">
        <f>+N69*N55</f>
        <v>0</v>
      </c>
      <c r="P82" s="102"/>
      <c r="Q82" s="102"/>
      <c r="R82" s="102"/>
      <c r="S82" s="102"/>
      <c r="T82" s="102"/>
      <c r="U82" s="102"/>
      <c r="V82" s="102"/>
    </row>
    <row r="83" spans="2:22" ht="11.25">
      <c r="B83" s="66" t="s">
        <v>27</v>
      </c>
      <c r="C83" s="97">
        <f aca="true" t="shared" si="31" ref="C83:N83">+C70*C56</f>
        <v>13891.893125760003</v>
      </c>
      <c r="D83" s="75">
        <f t="shared" si="31"/>
        <v>15093.24843888</v>
      </c>
      <c r="E83" s="75">
        <f t="shared" si="31"/>
        <v>15044.606265600001</v>
      </c>
      <c r="F83" s="75">
        <f t="shared" si="31"/>
        <v>15135.37028928</v>
      </c>
      <c r="G83" s="75">
        <f>+G70*G56</f>
        <v>7459.98518592</v>
      </c>
      <c r="H83" s="75">
        <f t="shared" si="31"/>
        <v>3850.9739856000006</v>
      </c>
      <c r="I83" s="75">
        <f t="shared" si="31"/>
        <v>6295.963813920001</v>
      </c>
      <c r="J83" s="75">
        <f t="shared" si="31"/>
        <v>4705.89990624</v>
      </c>
      <c r="K83" s="75">
        <f t="shared" si="31"/>
        <v>10482.031643832</v>
      </c>
      <c r="L83" s="75">
        <f t="shared" si="31"/>
        <v>8621.684600831999</v>
      </c>
      <c r="M83" s="75">
        <f t="shared" si="31"/>
        <v>10766.090412</v>
      </c>
      <c r="N83" s="75">
        <f t="shared" si="31"/>
        <v>8448.038506656121</v>
      </c>
      <c r="P83" s="102"/>
      <c r="Q83" s="102"/>
      <c r="R83" s="102"/>
      <c r="S83" s="102"/>
      <c r="T83" s="102"/>
      <c r="U83" s="102"/>
      <c r="V83" s="102"/>
    </row>
    <row r="84" spans="2:22" ht="11.25">
      <c r="B84" s="66" t="s">
        <v>49</v>
      </c>
      <c r="C84" s="97">
        <f aca="true" t="shared" si="32" ref="C84:N84">+C71*C57</f>
        <v>0</v>
      </c>
      <c r="D84" s="75">
        <f t="shared" si="32"/>
        <v>0</v>
      </c>
      <c r="E84" s="75">
        <f t="shared" si="32"/>
        <v>0</v>
      </c>
      <c r="F84" s="75">
        <f t="shared" si="32"/>
        <v>0</v>
      </c>
      <c r="G84" s="75">
        <f t="shared" si="32"/>
        <v>0</v>
      </c>
      <c r="H84" s="75">
        <f t="shared" si="32"/>
        <v>0</v>
      </c>
      <c r="I84" s="75">
        <f t="shared" si="32"/>
        <v>0</v>
      </c>
      <c r="J84" s="75">
        <f t="shared" si="32"/>
        <v>0</v>
      </c>
      <c r="K84" s="75">
        <f t="shared" si="32"/>
        <v>0</v>
      </c>
      <c r="L84" s="75">
        <f t="shared" si="32"/>
        <v>0</v>
      </c>
      <c r="M84" s="75">
        <f t="shared" si="32"/>
        <v>0</v>
      </c>
      <c r="N84" s="75">
        <f t="shared" si="32"/>
        <v>0</v>
      </c>
      <c r="P84" s="102"/>
      <c r="Q84" s="102"/>
      <c r="R84" s="154"/>
      <c r="S84" s="102"/>
      <c r="T84" s="102"/>
      <c r="U84" s="102"/>
      <c r="V84" s="102"/>
    </row>
    <row r="85" spans="2:22" ht="11.25">
      <c r="B85" s="66" t="s">
        <v>50</v>
      </c>
      <c r="C85" s="97">
        <f aca="true" t="shared" si="33" ref="C85:N85">+C72*C58</f>
        <v>891.5218603200001</v>
      </c>
      <c r="D85" s="75">
        <f t="shared" si="33"/>
        <v>820.050664944</v>
      </c>
      <c r="E85" s="75">
        <f t="shared" si="33"/>
        <v>619.485266736</v>
      </c>
      <c r="F85" s="75">
        <f t="shared" si="33"/>
        <v>634.492463808</v>
      </c>
      <c r="G85" s="75">
        <f t="shared" si="33"/>
        <v>544.910296896</v>
      </c>
      <c r="H85" s="75">
        <f t="shared" si="33"/>
        <v>332.446051896</v>
      </c>
      <c r="I85" s="75">
        <f t="shared" si="33"/>
        <v>351.74938629600007</v>
      </c>
      <c r="J85" s="75">
        <f t="shared" si="33"/>
        <v>403.493401584</v>
      </c>
      <c r="K85" s="75">
        <f t="shared" si="33"/>
        <v>919.8497175840001</v>
      </c>
      <c r="L85" s="75">
        <f t="shared" si="33"/>
        <v>604.616494344</v>
      </c>
      <c r="M85" s="75">
        <f t="shared" si="33"/>
        <v>969.5806035999999</v>
      </c>
      <c r="N85" s="75">
        <f t="shared" si="33"/>
        <v>671.6623885429136</v>
      </c>
      <c r="P85" s="102"/>
      <c r="Q85" s="102"/>
      <c r="R85" s="154"/>
      <c r="S85" s="102"/>
      <c r="T85" s="102"/>
      <c r="U85" s="102"/>
      <c r="V85" s="102"/>
    </row>
    <row r="86" spans="2:22" ht="11.25">
      <c r="B86" s="66" t="s">
        <v>51</v>
      </c>
      <c r="C86" s="97">
        <f aca="true" t="shared" si="34" ref="C86:N86">+C73*C59</f>
        <v>8507.072138240002</v>
      </c>
      <c r="D86" s="75">
        <f t="shared" si="34"/>
        <v>8790.512370495999</v>
      </c>
      <c r="E86" s="75">
        <f t="shared" si="34"/>
        <v>4529.076597008</v>
      </c>
      <c r="F86" s="75">
        <f t="shared" si="34"/>
        <v>2901.876568722</v>
      </c>
      <c r="G86" s="75">
        <f t="shared" si="34"/>
        <v>1068.337183392</v>
      </c>
      <c r="H86" s="75">
        <f t="shared" si="34"/>
        <v>2518.730178528</v>
      </c>
      <c r="I86" s="75">
        <f t="shared" si="34"/>
        <v>2587.854598560001</v>
      </c>
      <c r="J86" s="75">
        <f t="shared" si="34"/>
        <v>1934.389119</v>
      </c>
      <c r="K86" s="75">
        <f t="shared" si="34"/>
        <v>3314.8171973700005</v>
      </c>
      <c r="L86" s="75">
        <f t="shared" si="34"/>
        <v>3083.9134535759995</v>
      </c>
      <c r="M86" s="75">
        <f t="shared" si="34"/>
        <v>3204.52804</v>
      </c>
      <c r="N86" s="75">
        <f t="shared" si="34"/>
        <v>3938.0366770015844</v>
      </c>
      <c r="P86" s="102"/>
      <c r="Q86" s="102"/>
      <c r="R86" s="102"/>
      <c r="S86" s="102"/>
      <c r="T86" s="102"/>
      <c r="U86" s="102"/>
      <c r="V86" s="102"/>
    </row>
    <row r="87" spans="2:20" ht="11.25">
      <c r="B87" s="66" t="s">
        <v>52</v>
      </c>
      <c r="C87" s="97">
        <f aca="true" t="shared" si="35" ref="C87:N87">+C74*C60</f>
        <v>13583.827920000002</v>
      </c>
      <c r="D87" s="75">
        <f t="shared" si="35"/>
        <v>12907.448522432</v>
      </c>
      <c r="E87" s="75">
        <f t="shared" si="35"/>
        <v>10856.881886592</v>
      </c>
      <c r="F87" s="75">
        <f t="shared" si="35"/>
        <v>12150.55990856</v>
      </c>
      <c r="G87" s="75">
        <f t="shared" si="35"/>
        <v>9791.083493119999</v>
      </c>
      <c r="H87" s="75">
        <f t="shared" si="35"/>
        <v>8360.736139856</v>
      </c>
      <c r="I87" s="75">
        <f t="shared" si="35"/>
        <v>10429.539535008002</v>
      </c>
      <c r="J87" s="75">
        <f t="shared" si="35"/>
        <v>8564.134696416</v>
      </c>
      <c r="K87" s="75">
        <f t="shared" si="35"/>
        <v>14636.977223400001</v>
      </c>
      <c r="L87" s="75">
        <f t="shared" si="35"/>
        <v>9317.558471768</v>
      </c>
      <c r="M87" s="75">
        <f t="shared" si="35"/>
        <v>10626.020154399996</v>
      </c>
      <c r="N87" s="75">
        <f t="shared" si="35"/>
        <v>8709.129381643708</v>
      </c>
      <c r="S87" s="102"/>
      <c r="T87" s="102"/>
    </row>
    <row r="88" spans="2:20" ht="11.25">
      <c r="B88" s="66" t="s">
        <v>53</v>
      </c>
      <c r="C88" s="97">
        <f aca="true" t="shared" si="36" ref="C88:N88">+C75*C61</f>
        <v>147.490940064</v>
      </c>
      <c r="D88" s="75">
        <f t="shared" si="36"/>
        <v>130.718702224</v>
      </c>
      <c r="E88" s="75">
        <f t="shared" si="36"/>
        <v>86.379824944</v>
      </c>
      <c r="F88" s="75">
        <f t="shared" si="36"/>
        <v>90.254171184</v>
      </c>
      <c r="G88" s="75">
        <f t="shared" si="36"/>
        <v>87.56713920000001</v>
      </c>
      <c r="H88" s="75">
        <f t="shared" si="36"/>
        <v>79.869024568</v>
      </c>
      <c r="I88" s="75">
        <f t="shared" si="36"/>
        <v>93.44505535200001</v>
      </c>
      <c r="J88" s="75">
        <f t="shared" si="36"/>
        <v>49.131667104</v>
      </c>
      <c r="K88" s="75">
        <f t="shared" si="36"/>
        <v>69.37638624000002</v>
      </c>
      <c r="L88" s="75">
        <f t="shared" si="36"/>
        <v>51.067303280000004</v>
      </c>
      <c r="M88" s="75">
        <f t="shared" si="36"/>
        <v>70.603372</v>
      </c>
      <c r="N88" s="75">
        <f t="shared" si="36"/>
        <v>51.09219372802793</v>
      </c>
      <c r="S88" s="102"/>
      <c r="T88" s="102"/>
    </row>
    <row r="89" spans="2:20" ht="11.25">
      <c r="B89" s="66" t="s">
        <v>46</v>
      </c>
      <c r="C89" s="97">
        <f aca="true" t="shared" si="37" ref="C89:N89">+C76*C62</f>
        <v>-4372.951557</v>
      </c>
      <c r="D89" s="75">
        <f t="shared" si="37"/>
        <v>-4854.7400555</v>
      </c>
      <c r="E89" s="75">
        <f t="shared" si="37"/>
        <v>-5346.907511499999</v>
      </c>
      <c r="F89" s="75">
        <f t="shared" si="37"/>
        <v>-5770.9520295</v>
      </c>
      <c r="G89" s="75">
        <f t="shared" si="37"/>
        <v>-5182.781604</v>
      </c>
      <c r="H89" s="75">
        <f t="shared" si="37"/>
        <v>-4692.029905749999</v>
      </c>
      <c r="I89" s="75">
        <f t="shared" si="37"/>
        <v>-4443.9692715</v>
      </c>
      <c r="J89" s="75">
        <f t="shared" si="37"/>
        <v>-4573.197329999999</v>
      </c>
      <c r="K89" s="75">
        <f t="shared" si="37"/>
        <v>-6529.455235800001</v>
      </c>
      <c r="L89" s="75">
        <f t="shared" si="37"/>
        <v>-3619.7874014999993</v>
      </c>
      <c r="M89" s="75">
        <f t="shared" si="37"/>
        <v>-4511.651234999998</v>
      </c>
      <c r="N89" s="75">
        <f t="shared" si="37"/>
        <v>-5208.616583958194</v>
      </c>
      <c r="S89" s="102"/>
      <c r="T89" s="102"/>
    </row>
    <row r="90" spans="2:20" ht="11.25">
      <c r="B90" s="66" t="s">
        <v>87</v>
      </c>
      <c r="C90" s="97">
        <f aca="true" t="shared" si="38" ref="C90:N90">+C77*C63</f>
        <v>0</v>
      </c>
      <c r="D90" s="75">
        <f t="shared" si="38"/>
        <v>0</v>
      </c>
      <c r="E90" s="75">
        <f t="shared" si="38"/>
        <v>0</v>
      </c>
      <c r="F90" s="75">
        <f t="shared" si="38"/>
        <v>0</v>
      </c>
      <c r="G90" s="75">
        <f t="shared" si="38"/>
        <v>0</v>
      </c>
      <c r="H90" s="75">
        <f t="shared" si="38"/>
        <v>0</v>
      </c>
      <c r="I90" s="75">
        <f t="shared" si="38"/>
        <v>0</v>
      </c>
      <c r="J90" s="75">
        <f t="shared" si="38"/>
        <v>0</v>
      </c>
      <c r="K90" s="75">
        <f t="shared" si="38"/>
        <v>0</v>
      </c>
      <c r="L90" s="75">
        <f t="shared" si="38"/>
        <v>0</v>
      </c>
      <c r="M90" s="75">
        <f t="shared" si="38"/>
        <v>0</v>
      </c>
      <c r="N90" s="75">
        <f t="shared" si="38"/>
        <v>0</v>
      </c>
      <c r="S90" s="102"/>
      <c r="T90" s="102"/>
    </row>
    <row r="91" spans="2:14" ht="11.25">
      <c r="B91" s="66" t="s">
        <v>54</v>
      </c>
      <c r="C91" s="97">
        <f aca="true" t="shared" si="39" ref="C91:N91">+C78*C64</f>
        <v>-5965.52315164</v>
      </c>
      <c r="D91" s="75">
        <f t="shared" si="39"/>
        <v>-6322.24144994</v>
      </c>
      <c r="E91" s="75">
        <f t="shared" si="39"/>
        <v>-6201.92670682</v>
      </c>
      <c r="F91" s="75">
        <f t="shared" si="39"/>
        <v>-6364.8241462</v>
      </c>
      <c r="G91" s="75">
        <f t="shared" si="39"/>
        <v>-6119.000334720001</v>
      </c>
      <c r="H91" s="75">
        <f t="shared" si="39"/>
        <v>-6259.4862694</v>
      </c>
      <c r="I91" s="75">
        <f t="shared" si="39"/>
        <v>-6432.07718439</v>
      </c>
      <c r="J91" s="75">
        <f t="shared" si="39"/>
        <v>-4740.55639902</v>
      </c>
      <c r="K91" s="75">
        <f t="shared" si="39"/>
        <v>-9415.09381428</v>
      </c>
      <c r="L91" s="75">
        <f t="shared" si="39"/>
        <v>-5941.7618336999985</v>
      </c>
      <c r="M91" s="75">
        <f t="shared" si="39"/>
        <v>-7597.337593999998</v>
      </c>
      <c r="N91" s="75">
        <f t="shared" si="39"/>
        <v>-6312.83786515173</v>
      </c>
    </row>
    <row r="92" spans="2:14" ht="11.25">
      <c r="B92" s="66" t="s">
        <v>55</v>
      </c>
      <c r="C92" s="98">
        <f aca="true" t="shared" si="40" ref="C92:N92">+C79*C65</f>
        <v>1100.6289132800002</v>
      </c>
      <c r="D92" s="89">
        <f t="shared" si="40"/>
        <v>1151.6265864000002</v>
      </c>
      <c r="E92" s="89">
        <f t="shared" si="40"/>
        <v>2111.4358659199997</v>
      </c>
      <c r="F92" s="89">
        <f t="shared" si="40"/>
        <v>-90.32523290000002</v>
      </c>
      <c r="G92" s="89">
        <f t="shared" si="40"/>
        <v>-9388.012126399999</v>
      </c>
      <c r="H92" s="89">
        <f t="shared" si="40"/>
        <v>-8740.622698100002</v>
      </c>
      <c r="I92" s="89">
        <f t="shared" si="40"/>
        <v>-6569.555335200004</v>
      </c>
      <c r="J92" s="89">
        <f t="shared" si="40"/>
        <v>-5728.8567102</v>
      </c>
      <c r="K92" s="75">
        <f t="shared" si="40"/>
        <v>-2192.86715004</v>
      </c>
      <c r="L92" s="75">
        <f t="shared" si="40"/>
        <v>489.69240248800014</v>
      </c>
      <c r="M92" s="75">
        <f t="shared" si="40"/>
        <v>1935.1137427999995</v>
      </c>
      <c r="N92" s="75">
        <f t="shared" si="40"/>
        <v>3471.208196599293</v>
      </c>
    </row>
    <row r="93" spans="1:16" ht="11.25">
      <c r="A93" s="83" t="s">
        <v>61</v>
      </c>
      <c r="B93" s="83"/>
      <c r="C93" s="99">
        <f aca="true" t="shared" si="41" ref="C93:N93">SUM(C82:C92)</f>
        <v>27783.96018902401</v>
      </c>
      <c r="D93" s="100">
        <f t="shared" si="41"/>
        <v>27716.623779936006</v>
      </c>
      <c r="E93" s="100">
        <f t="shared" si="41"/>
        <v>21699.031488480006</v>
      </c>
      <c r="F93" s="100">
        <f t="shared" si="41"/>
        <v>18686.451992953997</v>
      </c>
      <c r="G93" s="100">
        <f t="shared" si="41"/>
        <v>-1737.910766592001</v>
      </c>
      <c r="H93" s="100">
        <f t="shared" si="41"/>
        <v>-4549.383492801999</v>
      </c>
      <c r="I93" s="100">
        <f t="shared" si="41"/>
        <v>2312.950598045998</v>
      </c>
      <c r="J93" s="100">
        <f t="shared" si="41"/>
        <v>614.4383511240021</v>
      </c>
      <c r="K93" s="109">
        <f t="shared" si="41"/>
        <v>11285.635968306002</v>
      </c>
      <c r="L93" s="109">
        <f t="shared" si="41"/>
        <v>12606.983491088004</v>
      </c>
      <c r="M93" s="109">
        <f t="shared" si="41"/>
        <v>15462.947495800003</v>
      </c>
      <c r="N93" s="109">
        <f t="shared" si="41"/>
        <v>13767.712895061724</v>
      </c>
      <c r="O93" s="110">
        <f>SUM(C93:N93)</f>
        <v>145649.44199042575</v>
      </c>
      <c r="P93" s="110">
        <f>O93/2</f>
        <v>72824.72099521288</v>
      </c>
    </row>
    <row r="94" spans="1:14" ht="11.25">
      <c r="A94" s="83" t="s">
        <v>62</v>
      </c>
      <c r="B94" s="83"/>
      <c r="C94" s="99">
        <f>+C93/C66</f>
        <v>57.888074400000015</v>
      </c>
      <c r="D94" s="100">
        <f aca="true" t="shared" si="42" ref="D94:N94">+D93/D66</f>
        <v>54.48948960000001</v>
      </c>
      <c r="E94" s="100">
        <f>+E93/E66</f>
        <v>43.48677600000001</v>
      </c>
      <c r="F94" s="100">
        <f t="shared" si="42"/>
        <v>33.5538094</v>
      </c>
      <c r="G94" s="100">
        <f t="shared" si="42"/>
        <v>-3.574771200000002</v>
      </c>
      <c r="H94" s="100">
        <f t="shared" si="42"/>
        <v>-10.014712599999998</v>
      </c>
      <c r="I94" s="100">
        <f t="shared" si="42"/>
        <v>4.484287399999996</v>
      </c>
      <c r="J94" s="100">
        <f t="shared" si="42"/>
        <v>1.5119798000000053</v>
      </c>
      <c r="K94" s="75">
        <f t="shared" si="42"/>
        <v>16.329724600000002</v>
      </c>
      <c r="L94" s="75">
        <f t="shared" si="42"/>
        <v>29.59872160000001</v>
      </c>
      <c r="M94" s="75">
        <f t="shared" si="42"/>
        <v>29.25817880000001</v>
      </c>
      <c r="N94" s="75">
        <f t="shared" si="42"/>
        <v>31.9201052</v>
      </c>
    </row>
    <row r="95" ht="7.5" customHeight="1"/>
    <row r="96" spans="1:14" ht="11.25">
      <c r="A96" s="83"/>
      <c r="C96" s="110">
        <v>58.24</v>
      </c>
      <c r="D96" s="110">
        <v>76.24</v>
      </c>
      <c r="E96" s="110">
        <v>75.16</v>
      </c>
      <c r="F96" s="110">
        <v>81.6</v>
      </c>
      <c r="G96" s="110">
        <v>81.6</v>
      </c>
      <c r="H96" s="110">
        <v>79.11</v>
      </c>
      <c r="I96" s="110">
        <v>59.76</v>
      </c>
      <c r="J96" s="110">
        <v>42.14</v>
      </c>
      <c r="K96" s="110">
        <v>31.17</v>
      </c>
      <c r="L96" s="110">
        <v>40.52</v>
      </c>
      <c r="M96" s="110">
        <v>45.69</v>
      </c>
      <c r="N96" s="110">
        <v>53.3</v>
      </c>
    </row>
    <row r="97" spans="3:14" ht="11.25">
      <c r="C97" s="97">
        <f>C94-C96</f>
        <v>-0.35192559999998707</v>
      </c>
      <c r="D97" s="97">
        <f aca="true" t="shared" si="43" ref="D97:N97">D94-D96</f>
        <v>-21.750510399999982</v>
      </c>
      <c r="E97" s="97">
        <f t="shared" si="43"/>
        <v>-31.673223999999983</v>
      </c>
      <c r="F97" s="97">
        <f t="shared" si="43"/>
        <v>-48.046190599999996</v>
      </c>
      <c r="G97" s="97">
        <f t="shared" si="43"/>
        <v>-85.1747712</v>
      </c>
      <c r="H97" s="97">
        <f t="shared" si="43"/>
        <v>-89.1247126</v>
      </c>
      <c r="I97" s="97">
        <f t="shared" si="43"/>
        <v>-55.275712600000006</v>
      </c>
      <c r="J97" s="97">
        <f t="shared" si="43"/>
        <v>-40.628020199999995</v>
      </c>
      <c r="K97" s="97">
        <f t="shared" si="43"/>
        <v>-14.8402754</v>
      </c>
      <c r="L97" s="97">
        <f t="shared" si="43"/>
        <v>-10.921278399999991</v>
      </c>
      <c r="M97" s="97">
        <f t="shared" si="43"/>
        <v>-16.431821199999987</v>
      </c>
      <c r="N97" s="97">
        <f t="shared" si="43"/>
        <v>-21.3798948</v>
      </c>
    </row>
    <row r="98" spans="1:10" ht="11.25">
      <c r="A98" s="83"/>
      <c r="B98" s="83"/>
      <c r="C98" s="99"/>
      <c r="D98" s="99"/>
      <c r="E98" s="99"/>
      <c r="F98" s="99"/>
      <c r="G98" s="99"/>
      <c r="H98" s="99"/>
      <c r="I98" s="99"/>
      <c r="J98" s="103"/>
    </row>
    <row r="99" spans="3:10" ht="7.5" customHeight="1">
      <c r="C99" s="102"/>
      <c r="D99" s="102"/>
      <c r="E99" s="102"/>
      <c r="F99" s="102"/>
      <c r="G99" s="102"/>
      <c r="H99" s="102"/>
      <c r="I99" s="102"/>
      <c r="J99" s="102"/>
    </row>
    <row r="100" spans="1:10" ht="11.25">
      <c r="A100" s="83"/>
      <c r="B100" s="83"/>
      <c r="C100" s="103"/>
      <c r="D100" s="103"/>
      <c r="E100" s="103"/>
      <c r="F100" s="103"/>
      <c r="G100" s="103"/>
      <c r="H100" s="103"/>
      <c r="I100" s="103"/>
      <c r="J100" s="103"/>
    </row>
    <row r="101" spans="3:10" ht="7.5" customHeight="1">
      <c r="C101" s="102"/>
      <c r="D101" s="102"/>
      <c r="E101" s="102"/>
      <c r="F101" s="102"/>
      <c r="G101" s="102"/>
      <c r="H101" s="102"/>
      <c r="I101" s="102"/>
      <c r="J101" s="102"/>
    </row>
    <row r="102" spans="1:10" ht="11.25">
      <c r="A102" s="83"/>
      <c r="C102" s="101"/>
      <c r="D102" s="101"/>
      <c r="E102" s="101"/>
      <c r="F102" s="101"/>
      <c r="G102" s="101"/>
      <c r="H102" s="101"/>
      <c r="I102" s="101"/>
      <c r="J102" s="104"/>
    </row>
    <row r="105" ht="11.25">
      <c r="B105" s="66" t="str">
        <f ca="1">CELL("filename")</f>
        <v>X:\Division\Accounting II\WUTC Filings\Commodity Credits\Filing June 2023\Lynnwood\[Lynnwood Single Family Commodity Credit Template - June 2023.xls]Recap</v>
      </c>
    </row>
  </sheetData>
  <sheetProtection/>
  <printOptions/>
  <pageMargins left="0.5" right="0.5" top="0.75" bottom="0.75" header="0.5" footer="0.5"/>
  <pageSetup fitToWidth="0" fitToHeight="1" orientation="portrait" scale="55" r:id="rId3"/>
  <rowBreaks count="1" manualBreakCount="1">
    <brk id="53" max="14" man="1"/>
  </rowBreaks>
  <legacyDrawing r:id="rId2"/>
</worksheet>
</file>

<file path=xl/worksheets/sheet7.xml><?xml version="1.0" encoding="utf-8"?>
<worksheet xmlns="http://schemas.openxmlformats.org/spreadsheetml/2006/main" xmlns:r="http://schemas.openxmlformats.org/officeDocument/2006/relationships">
  <dimension ref="A4:F24"/>
  <sheetViews>
    <sheetView showGridLines="0" tabSelected="1" zoomScalePageLayoutView="0" workbookViewId="0" topLeftCell="A1">
      <selection activeCell="E24" sqref="E24"/>
    </sheetView>
  </sheetViews>
  <sheetFormatPr defaultColWidth="9.140625" defaultRowHeight="12.75"/>
  <cols>
    <col min="1" max="1" width="37.7109375" style="0" bestFit="1" customWidth="1"/>
    <col min="2" max="4" width="11.8515625" style="0" bestFit="1" customWidth="1"/>
    <col min="5" max="5" width="10.421875" style="0" bestFit="1" customWidth="1"/>
    <col min="6" max="6" width="10.7109375" style="0" bestFit="1" customWidth="1"/>
  </cols>
  <sheetData>
    <row r="3" ht="13.5" thickBot="1"/>
    <row r="4" spans="1:3" ht="13.5" thickBot="1">
      <c r="A4" s="172" t="s">
        <v>96</v>
      </c>
      <c r="B4" s="173"/>
      <c r="C4" s="174">
        <f>+Recap!D17</f>
        <v>29143.775249999948</v>
      </c>
    </row>
    <row r="6" spans="5:6" ht="12.75">
      <c r="E6" s="175" t="s">
        <v>98</v>
      </c>
      <c r="F6" s="175" t="s">
        <v>99</v>
      </c>
    </row>
    <row r="7" spans="1:6" ht="12.75">
      <c r="A7" t="s">
        <v>97</v>
      </c>
      <c r="C7" s="180">
        <f>C4</f>
        <v>29143.775249999948</v>
      </c>
      <c r="E7" s="178">
        <f>C7*E12</f>
        <v>24925.779759051948</v>
      </c>
      <c r="F7" s="179">
        <f>C7*F12</f>
        <v>4217.995490948001</v>
      </c>
    </row>
    <row r="11" spans="1:6" ht="12.75">
      <c r="A11" t="s">
        <v>100</v>
      </c>
      <c r="B11" t="s">
        <v>101</v>
      </c>
      <c r="C11" t="s">
        <v>102</v>
      </c>
      <c r="D11" t="s">
        <v>29</v>
      </c>
      <c r="E11" t="s">
        <v>103</v>
      </c>
      <c r="F11" t="s">
        <v>104</v>
      </c>
    </row>
    <row r="12" spans="1:6" ht="12.75">
      <c r="A12">
        <v>4197</v>
      </c>
      <c r="B12" s="176">
        <f>+Recap!Q22</f>
        <v>72750.97552518087</v>
      </c>
      <c r="C12" s="176">
        <f>+Recap!Q23</f>
        <v>12311.080724198488</v>
      </c>
      <c r="D12" s="176">
        <f>B12+C12</f>
        <v>85062.05624937935</v>
      </c>
      <c r="E12" s="177">
        <f>B12/$D$12</f>
        <v>0.8552694201500882</v>
      </c>
      <c r="F12" s="177">
        <f>C12/$D$12</f>
        <v>0.1447305798499118</v>
      </c>
    </row>
    <row r="20" spans="1:5" ht="12.75">
      <c r="A20" s="170" t="s">
        <v>106</v>
      </c>
      <c r="E20" s="180">
        <f>E7</f>
        <v>24925.779759051948</v>
      </c>
    </row>
    <row r="22" spans="1:5" ht="12.75">
      <c r="A22" s="170" t="s">
        <v>20</v>
      </c>
      <c r="E22" s="181">
        <f>'WUTC_AW of Lynnwood_SF'!B26</f>
        <v>236120</v>
      </c>
    </row>
    <row r="24" spans="1:5" ht="12.75">
      <c r="A24" s="170" t="s">
        <v>105</v>
      </c>
      <c r="E24" s="182">
        <f>E20/E22</f>
        <v>0.10556403421587306</v>
      </c>
    </row>
  </sheetData>
  <sheetProtection/>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S25"/>
  <sheetViews>
    <sheetView zoomScalePageLayoutView="0" workbookViewId="0" topLeftCell="A1">
      <selection activeCell="L40" sqref="L40"/>
    </sheetView>
  </sheetViews>
  <sheetFormatPr defaultColWidth="9.140625" defaultRowHeight="12.75"/>
  <cols>
    <col min="1" max="1" width="46.8515625" style="0" bestFit="1" customWidth="1"/>
    <col min="2" max="2" width="10.7109375" style="0" bestFit="1" customWidth="1"/>
    <col min="3" max="4" width="10.140625" style="0" bestFit="1" customWidth="1"/>
    <col min="9" max="9" width="30.28125" style="0" bestFit="1" customWidth="1"/>
    <col min="10" max="10" width="12.8515625" style="0" bestFit="1" customWidth="1"/>
    <col min="12" max="12" width="18.421875" style="0" bestFit="1" customWidth="1"/>
    <col min="14" max="14" width="24.8515625" style="0" bestFit="1" customWidth="1"/>
    <col min="17" max="17" width="19.421875" style="0" bestFit="1" customWidth="1"/>
    <col min="19" max="19" width="12.28125" style="0" bestFit="1" customWidth="1"/>
  </cols>
  <sheetData>
    <row r="1" spans="1:19" ht="12.75">
      <c r="A1" s="203" t="s">
        <v>127</v>
      </c>
      <c r="B1" s="204"/>
      <c r="C1" s="204"/>
      <c r="D1" s="203"/>
      <c r="H1" t="s">
        <v>107</v>
      </c>
      <c r="Q1" s="201" t="s">
        <v>115</v>
      </c>
      <c r="S1" t="s">
        <v>116</v>
      </c>
    </row>
    <row r="2" spans="1:17" ht="15.75">
      <c r="A2" s="205" t="s">
        <v>128</v>
      </c>
      <c r="B2" s="206">
        <v>44317</v>
      </c>
      <c r="C2" s="206">
        <v>45047</v>
      </c>
      <c r="D2" s="205"/>
      <c r="H2" t="s">
        <v>29</v>
      </c>
      <c r="I2" s="183" t="str">
        <f>"Revenue Retained "</f>
        <v>Revenue Retained </v>
      </c>
      <c r="J2" s="184"/>
      <c r="K2" s="185"/>
      <c r="L2" s="184"/>
      <c r="M2" s="185"/>
      <c r="N2" s="185"/>
      <c r="O2" s="186"/>
      <c r="Q2" s="201"/>
    </row>
    <row r="3" spans="9:17" ht="12.75">
      <c r="I3" s="187" t="s">
        <v>123</v>
      </c>
      <c r="J3" s="188"/>
      <c r="K3" s="189"/>
      <c r="L3" s="188"/>
      <c r="M3" s="189"/>
      <c r="N3" s="189"/>
      <c r="O3" s="190"/>
      <c r="Q3" s="201"/>
    </row>
    <row r="4" spans="2:19" ht="13.5" thickBot="1">
      <c r="B4" s="215" t="s">
        <v>129</v>
      </c>
      <c r="C4" s="215"/>
      <c r="D4" s="216"/>
      <c r="I4" s="170"/>
      <c r="J4" s="191" t="s">
        <v>29</v>
      </c>
      <c r="K4" s="170"/>
      <c r="L4" s="192" t="s">
        <v>108</v>
      </c>
      <c r="M4" s="170"/>
      <c r="N4" s="193" t="s">
        <v>109</v>
      </c>
      <c r="O4" s="170"/>
      <c r="Q4" s="201" t="s">
        <v>117</v>
      </c>
      <c r="S4" t="s">
        <v>116</v>
      </c>
    </row>
    <row r="5" spans="2:19" ht="12.75">
      <c r="B5" s="207" t="s">
        <v>130</v>
      </c>
      <c r="C5" s="207" t="s">
        <v>131</v>
      </c>
      <c r="D5" s="207" t="s">
        <v>29</v>
      </c>
      <c r="I5" t="s">
        <v>110</v>
      </c>
      <c r="J5" s="194">
        <f>L5*2</f>
        <v>541352.8427402534</v>
      </c>
      <c r="K5" s="170"/>
      <c r="L5" s="195">
        <f>L13+L22</f>
        <v>270676.4213701267</v>
      </c>
      <c r="M5" s="170"/>
      <c r="N5" s="195">
        <f>L5</f>
        <v>270676.4213701267</v>
      </c>
      <c r="O5" s="170"/>
      <c r="Q5" s="201">
        <f>Q13+Q22</f>
        <v>270512.3917222769</v>
      </c>
      <c r="S5" s="199">
        <f>L5-Q5</f>
        <v>164.02964784979122</v>
      </c>
    </row>
    <row r="6" spans="1:19" ht="12.75">
      <c r="A6" s="208" t="s">
        <v>132</v>
      </c>
      <c r="B6" s="203">
        <v>125.05</v>
      </c>
      <c r="C6" s="203">
        <v>212020.865</v>
      </c>
      <c r="D6" s="203">
        <f>SUM(B6:C6)</f>
        <v>212145.91499999998</v>
      </c>
      <c r="I6" t="s">
        <v>111</v>
      </c>
      <c r="J6" s="194">
        <f>L6*2</f>
        <v>92717.29924424346</v>
      </c>
      <c r="K6" s="170"/>
      <c r="L6" s="195">
        <f>L14+L23</f>
        <v>46358.64962212173</v>
      </c>
      <c r="M6" s="170"/>
      <c r="N6" s="195">
        <f>L6</f>
        <v>46358.64962212173</v>
      </c>
      <c r="O6" s="170"/>
      <c r="Q6" s="201">
        <f>Q14+Q23</f>
        <v>46337.29072419849</v>
      </c>
      <c r="S6" s="199">
        <f>L6-Q6</f>
        <v>21.358897923244513</v>
      </c>
    </row>
    <row r="7" spans="1:4" ht="12.75">
      <c r="A7" s="209" t="s">
        <v>133</v>
      </c>
      <c r="B7" s="204">
        <v>25887.983333333344</v>
      </c>
      <c r="C7" s="204">
        <v>29120.63</v>
      </c>
      <c r="D7" s="204">
        <f>SUM(B7:C7)</f>
        <v>55008.61333333334</v>
      </c>
    </row>
    <row r="8" spans="1:19" ht="13.5" thickBot="1">
      <c r="A8" s="209" t="s">
        <v>134</v>
      </c>
      <c r="B8" s="204">
        <v>7056</v>
      </c>
      <c r="C8" s="204"/>
      <c r="D8" s="204">
        <f>SUM(B8:C8)</f>
        <v>7056</v>
      </c>
      <c r="I8" s="196" t="s">
        <v>112</v>
      </c>
      <c r="J8" s="197">
        <f>SUM(J5:J6)</f>
        <v>634070.1419844968</v>
      </c>
      <c r="K8" s="170"/>
      <c r="L8" s="197">
        <f>SUM(L5:L6)</f>
        <v>317035.0709922484</v>
      </c>
      <c r="M8" s="198"/>
      <c r="N8" s="197">
        <f>SUM(N5:N6)</f>
        <v>317035.0709922484</v>
      </c>
      <c r="O8" s="199"/>
      <c r="Q8" s="197">
        <f>SUM(Q5:Q6)</f>
        <v>316849.68244647543</v>
      </c>
      <c r="S8" s="197">
        <f>L8-Q8</f>
        <v>185.38854577299207</v>
      </c>
    </row>
    <row r="9" spans="1:4" ht="12.75">
      <c r="A9" s="209" t="s">
        <v>135</v>
      </c>
      <c r="B9" s="210">
        <f>0.05*(B6+B7+B8)</f>
        <v>1653.451666666667</v>
      </c>
      <c r="C9" s="204">
        <f>(C6+C7+C8)*0.05</f>
        <v>12057.07475</v>
      </c>
      <c r="D9" s="204">
        <f>B9+C9</f>
        <v>13710.526416666668</v>
      </c>
    </row>
    <row r="10" spans="1:15" ht="15.75">
      <c r="A10" s="211" t="s">
        <v>29</v>
      </c>
      <c r="B10" s="212">
        <f>SUM(B6:B9)</f>
        <v>34722.48500000001</v>
      </c>
      <c r="C10" s="212">
        <f>SUM(C6:C9)</f>
        <v>253198.56975</v>
      </c>
      <c r="D10" s="212">
        <f>SUM(D6:D9)</f>
        <v>287921.05475</v>
      </c>
      <c r="H10" t="s">
        <v>113</v>
      </c>
      <c r="I10" s="183" t="str">
        <f>"Revenue Retained "</f>
        <v>Revenue Retained </v>
      </c>
      <c r="J10" s="184"/>
      <c r="K10" s="185"/>
      <c r="L10" s="184"/>
      <c r="M10" s="185"/>
      <c r="N10" s="185"/>
      <c r="O10" s="186"/>
    </row>
    <row r="11" ht="12.75">
      <c r="I11" s="187" t="s">
        <v>124</v>
      </c>
    </row>
    <row r="12" spans="2:19" ht="13.5" thickBot="1">
      <c r="B12" s="215" t="s">
        <v>136</v>
      </c>
      <c r="C12" s="215"/>
      <c r="D12" s="216"/>
      <c r="J12" s="191" t="s">
        <v>29</v>
      </c>
      <c r="K12" s="170"/>
      <c r="L12" s="192" t="s">
        <v>108</v>
      </c>
      <c r="M12" s="170"/>
      <c r="N12" s="193" t="s">
        <v>109</v>
      </c>
      <c r="Q12" s="201" t="s">
        <v>117</v>
      </c>
      <c r="S12" t="s">
        <v>116</v>
      </c>
    </row>
    <row r="13" spans="2:19" ht="12.75">
      <c r="B13" s="207" t="s">
        <v>130</v>
      </c>
      <c r="C13" s="207" t="s">
        <v>131</v>
      </c>
      <c r="D13" s="207" t="s">
        <v>29</v>
      </c>
      <c r="I13" t="s">
        <v>110</v>
      </c>
      <c r="J13" s="194">
        <f>L13*2</f>
        <v>395701.08</v>
      </c>
      <c r="K13" s="170"/>
      <c r="L13" s="200">
        <v>197850.54</v>
      </c>
      <c r="M13" s="170"/>
      <c r="N13" s="195">
        <f>L13</f>
        <v>197850.54</v>
      </c>
      <c r="Q13" s="202">
        <v>197761.41619709606</v>
      </c>
      <c r="S13" s="199">
        <f>L13-Q13</f>
        <v>89.12380290395231</v>
      </c>
    </row>
    <row r="14" spans="2:19" ht="12.75">
      <c r="B14" s="203">
        <v>231893.32999999996</v>
      </c>
      <c r="C14" s="203">
        <v>85171.50000000001</v>
      </c>
      <c r="D14" s="203">
        <f>SUM(B14:C14)</f>
        <v>317064.82999999996</v>
      </c>
      <c r="I14" t="s">
        <v>111</v>
      </c>
      <c r="J14" s="194">
        <f>L14*2</f>
        <v>68085.58</v>
      </c>
      <c r="K14" s="170"/>
      <c r="L14" s="200">
        <v>34042.79</v>
      </c>
      <c r="M14" s="170"/>
      <c r="N14" s="195">
        <f>L14</f>
        <v>34042.79</v>
      </c>
      <c r="Q14" s="202">
        <v>34026.21</v>
      </c>
      <c r="S14" s="199">
        <f>L14-Q14</f>
        <v>16.580000000001746</v>
      </c>
    </row>
    <row r="16" spans="2:19" ht="13.5" thickBot="1">
      <c r="B16" s="215" t="s">
        <v>137</v>
      </c>
      <c r="C16" s="215"/>
      <c r="D16" s="216"/>
      <c r="I16" s="196" t="s">
        <v>112</v>
      </c>
      <c r="J16" s="197">
        <f>SUM(J13:J14)</f>
        <v>463786.66000000003</v>
      </c>
      <c r="K16" s="170"/>
      <c r="L16" s="197">
        <f>SUM(L13:L14)</f>
        <v>231893.33000000002</v>
      </c>
      <c r="M16" s="198"/>
      <c r="N16" s="197">
        <f>SUM(N13:N14)</f>
        <v>231893.33000000002</v>
      </c>
      <c r="Q16" s="197">
        <f>SUM(Q13:Q14)</f>
        <v>231787.62619709605</v>
      </c>
      <c r="S16" s="197">
        <f>L16-Q16</f>
        <v>105.70380290396861</v>
      </c>
    </row>
    <row r="17" spans="2:4" ht="12.75">
      <c r="B17" s="213"/>
      <c r="C17" s="213"/>
      <c r="D17" s="214">
        <f>D14-D10</f>
        <v>29143.775249999948</v>
      </c>
    </row>
    <row r="18" spans="8:14" ht="15.75">
      <c r="H18" t="s">
        <v>114</v>
      </c>
      <c r="I18" s="183" t="str">
        <f>"Revenue Retained "</f>
        <v>Revenue Retained </v>
      </c>
      <c r="J18" s="184"/>
      <c r="K18" s="185"/>
      <c r="L18" s="184"/>
      <c r="M18" s="185"/>
      <c r="N18" s="185"/>
    </row>
    <row r="19" spans="9:14" ht="12.75">
      <c r="I19" s="187" t="s">
        <v>125</v>
      </c>
      <c r="J19" s="188"/>
      <c r="K19" s="189"/>
      <c r="L19" s="188"/>
      <c r="M19" s="189"/>
      <c r="N19" s="189"/>
    </row>
    <row r="21" spans="10:19" ht="13.5" thickBot="1">
      <c r="J21" s="191" t="s">
        <v>29</v>
      </c>
      <c r="K21" s="170"/>
      <c r="L21" s="192" t="s">
        <v>108</v>
      </c>
      <c r="M21" s="170"/>
      <c r="N21" s="193" t="s">
        <v>109</v>
      </c>
      <c r="Q21" s="201" t="s">
        <v>117</v>
      </c>
      <c r="S21" t="s">
        <v>116</v>
      </c>
    </row>
    <row r="22" spans="9:19" ht="12.75">
      <c r="I22" t="s">
        <v>110</v>
      </c>
      <c r="J22" s="194">
        <f>L22*2</f>
        <v>145651.76274025338</v>
      </c>
      <c r="K22" s="170"/>
      <c r="L22" s="200">
        <v>72825.88137012669</v>
      </c>
      <c r="M22" s="170"/>
      <c r="N22" s="195">
        <f>L22</f>
        <v>72825.88137012669</v>
      </c>
      <c r="Q22" s="202">
        <v>72750.97552518087</v>
      </c>
      <c r="S22" s="199">
        <f>L22-Q22</f>
        <v>74.90584494582436</v>
      </c>
    </row>
    <row r="23" spans="9:19" ht="12.75">
      <c r="I23" t="s">
        <v>111</v>
      </c>
      <c r="J23" s="194">
        <f>L23*2</f>
        <v>24631.71924424346</v>
      </c>
      <c r="K23" s="170"/>
      <c r="L23" s="200">
        <v>12315.85962212173</v>
      </c>
      <c r="M23" s="170"/>
      <c r="N23" s="195">
        <f>L23</f>
        <v>12315.85962212173</v>
      </c>
      <c r="Q23" s="202">
        <v>12311.080724198488</v>
      </c>
      <c r="S23" s="199">
        <f>L23-Q23</f>
        <v>4.778897923242766</v>
      </c>
    </row>
    <row r="25" spans="9:19" ht="13.5" thickBot="1">
      <c r="I25" s="196" t="s">
        <v>112</v>
      </c>
      <c r="J25" s="197">
        <f>SUM(J22:J23)</f>
        <v>170283.48198449684</v>
      </c>
      <c r="K25" s="170"/>
      <c r="L25" s="197">
        <f>SUM(L22:L23)</f>
        <v>85141.74099224842</v>
      </c>
      <c r="M25" s="198"/>
      <c r="N25" s="197">
        <f>SUM(N22:N23)</f>
        <v>85141.74099224842</v>
      </c>
      <c r="Q25" s="197">
        <f>SUM(Q22:Q23)</f>
        <v>85062.05624937935</v>
      </c>
      <c r="S25" s="197">
        <f>L25-Q25</f>
        <v>79.68474286906712</v>
      </c>
    </row>
  </sheetData>
  <sheetProtection/>
  <mergeCells count="3">
    <mergeCell ref="B4:D4"/>
    <mergeCell ref="B12:D12"/>
    <mergeCell ref="B16:D16"/>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Robinson, Kristen</cp:lastModifiedBy>
  <cp:lastPrinted>2019-06-13T22:49:02Z</cp:lastPrinted>
  <dcterms:created xsi:type="dcterms:W3CDTF">2008-05-23T15:47:44Z</dcterms:created>
  <dcterms:modified xsi:type="dcterms:W3CDTF">2023-05-30T20:56:44Z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DocumentSetType">
    <vt:lpwstr>Initial Filing</vt:lpwstr>
  </property>
  <property fmtid="{D5CDD505-2E9C-101B-9397-08002B2CF9AE}" pid="5" name="IsDocumentOrder">
    <vt:lpwstr>0</vt:lpwstr>
  </property>
  <property fmtid="{D5CDD505-2E9C-101B-9397-08002B2CF9AE}" pid="6" name="IsHighlyConfidential">
    <vt:lpwstr>0</vt:lpwstr>
  </property>
  <property fmtid="{D5CDD505-2E9C-101B-9397-08002B2CF9AE}" pid="7" name="CaseCompanyNames">
    <vt:lpwstr>RABANCO LTD.            </vt:lpwstr>
  </property>
  <property fmtid="{D5CDD505-2E9C-101B-9397-08002B2CF9AE}" pid="8" name="IsConfidential">
    <vt:lpwstr>0</vt:lpwstr>
  </property>
  <property fmtid="{D5CDD505-2E9C-101B-9397-08002B2CF9AE}" pid="9" name="DocketNumber">
    <vt:lpwstr>230458</vt:lpwstr>
  </property>
  <property fmtid="{D5CDD505-2E9C-101B-9397-08002B2CF9AE}" pid="10" name="Date1">
    <vt:lpwstr>2023-06-02T00:00:00Z</vt:lpwstr>
  </property>
  <property fmtid="{D5CDD505-2E9C-101B-9397-08002B2CF9AE}" pid="11" name="Nickname">
    <vt:lpwstr/>
  </property>
  <property fmtid="{D5CDD505-2E9C-101B-9397-08002B2CF9AE}" pid="12" name="CaseType">
    <vt:lpwstr>Tariff Revision</vt:lpwstr>
  </property>
  <property fmtid="{D5CDD505-2E9C-101B-9397-08002B2CF9AE}" pid="13" name="OpenedDate">
    <vt:lpwstr>2023-06-02T00:00:00Z</vt:lpwstr>
  </property>
  <property fmtid="{D5CDD505-2E9C-101B-9397-08002B2CF9AE}" pid="14" name="Prefix">
    <vt:lpwstr>TG</vt:lpwstr>
  </property>
  <property fmtid="{D5CDD505-2E9C-101B-9397-08002B2CF9AE}" pid="15" name="IndustryCode">
    <vt:lpwstr>227</vt:lpwstr>
  </property>
  <property fmtid="{D5CDD505-2E9C-101B-9397-08002B2CF9AE}" pid="16" name="CaseStatus">
    <vt:lpwstr>Closed</vt:lpwstr>
  </property>
  <property fmtid="{D5CDD505-2E9C-101B-9397-08002B2CF9AE}" pid="17" name="_docset_NoMedatataSyncRequired">
    <vt:lpwstr>False</vt:lpwstr>
  </property>
</Properties>
</file>