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threadedComments/threadedComment1.xml" ContentType="application/vnd.ms-excel.threadedcomment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Jean\Downloads\"/>
    </mc:Choice>
  </mc:AlternateContent>
  <xr:revisionPtr revIDLastSave="0" documentId="13_ncr:1_{28A705FE-4A7C-4D2B-83E1-91201F959E26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Notes" sheetId="8" r:id="rId1"/>
    <sheet name="References" sheetId="4" r:id="rId2"/>
    <sheet name="Calculations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7" l="1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00" i="7"/>
  <c r="O90" i="7"/>
  <c r="O91" i="7"/>
  <c r="O92" i="7"/>
  <c r="O93" i="7"/>
  <c r="O94" i="7"/>
  <c r="O95" i="7"/>
  <c r="O96" i="7"/>
  <c r="O97" i="7"/>
  <c r="O98" i="7"/>
  <c r="O99" i="7"/>
  <c r="O89" i="7"/>
  <c r="G90" i="7"/>
  <c r="G91" i="7"/>
  <c r="G92" i="7"/>
  <c r="G93" i="7"/>
  <c r="G94" i="7"/>
  <c r="I94" i="7" s="1"/>
  <c r="G95" i="7"/>
  <c r="I95" i="7" s="1"/>
  <c r="G96" i="7"/>
  <c r="G97" i="7"/>
  <c r="I97" i="7" s="1"/>
  <c r="G98" i="7"/>
  <c r="G99" i="7"/>
  <c r="I99" i="7"/>
  <c r="I98" i="7"/>
  <c r="I96" i="7"/>
  <c r="I93" i="7"/>
  <c r="I92" i="7"/>
  <c r="I91" i="7"/>
  <c r="I90" i="7"/>
  <c r="F89" i="7"/>
  <c r="G89" i="7" s="1"/>
  <c r="I89" i="7" s="1"/>
  <c r="H51" i="7"/>
  <c r="H62" i="7" s="1"/>
  <c r="H50" i="7"/>
  <c r="E35" i="7"/>
  <c r="G2" i="7"/>
  <c r="I47" i="7" l="1"/>
  <c r="I51" i="7"/>
  <c r="I50" i="7"/>
  <c r="P49" i="7"/>
  <c r="O31" i="7"/>
  <c r="Q31" i="7" s="1"/>
  <c r="O32" i="7"/>
  <c r="Q32" i="7" s="1"/>
  <c r="O28" i="7"/>
  <c r="Q28" i="7" s="1"/>
  <c r="F13" i="7"/>
  <c r="G23" i="7"/>
  <c r="I23" i="7" s="1"/>
  <c r="G24" i="7"/>
  <c r="I24" i="7" s="1"/>
  <c r="G25" i="7"/>
  <c r="I25" i="7" s="1"/>
  <c r="G26" i="7"/>
  <c r="G27" i="7"/>
  <c r="I27" i="7" s="1"/>
  <c r="G28" i="7"/>
  <c r="I28" i="7" s="1"/>
  <c r="G29" i="7"/>
  <c r="I29" i="7" s="1"/>
  <c r="G30" i="7"/>
  <c r="I30" i="7" s="1"/>
  <c r="G31" i="7"/>
  <c r="G32" i="7"/>
  <c r="I68" i="7"/>
  <c r="I69" i="7"/>
  <c r="P18" i="7"/>
  <c r="P19" i="7"/>
  <c r="P20" i="7"/>
  <c r="P21" i="7"/>
  <c r="O22" i="7"/>
  <c r="Q22" i="7" s="1"/>
  <c r="P22" i="7"/>
  <c r="P23" i="7"/>
  <c r="P24" i="7"/>
  <c r="O25" i="7"/>
  <c r="Q25" i="7" s="1"/>
  <c r="P25" i="7"/>
  <c r="O26" i="7"/>
  <c r="Q26" i="7" s="1"/>
  <c r="P26" i="7"/>
  <c r="O27" i="7"/>
  <c r="Q27" i="7" s="1"/>
  <c r="P27" i="7"/>
  <c r="P28" i="7"/>
  <c r="O29" i="7"/>
  <c r="Q29" i="7" s="1"/>
  <c r="P29" i="7"/>
  <c r="P30" i="7"/>
  <c r="P31" i="7"/>
  <c r="P32" i="7"/>
  <c r="I26" i="7"/>
  <c r="E122" i="7"/>
  <c r="G22" i="7"/>
  <c r="I22" i="7" s="1"/>
  <c r="G21" i="7"/>
  <c r="I21" i="7" s="1"/>
  <c r="G20" i="7"/>
  <c r="I20" i="7" s="1"/>
  <c r="G19" i="7"/>
  <c r="I19" i="7" s="1"/>
  <c r="G18" i="7"/>
  <c r="I18" i="7" s="1"/>
  <c r="D6" i="4"/>
  <c r="G6" i="4" s="1"/>
  <c r="R26" i="7" l="1"/>
  <c r="R28" i="7"/>
  <c r="R25" i="7"/>
  <c r="R31" i="7"/>
  <c r="R32" i="7"/>
  <c r="R29" i="7"/>
  <c r="R27" i="7"/>
  <c r="R22" i="7"/>
  <c r="I49" i="7"/>
  <c r="P48" i="7"/>
  <c r="I48" i="7"/>
  <c r="P51" i="7"/>
  <c r="P50" i="7"/>
  <c r="E6" i="4"/>
  <c r="I46" i="7" s="1"/>
  <c r="F6" i="4"/>
  <c r="P47" i="7" s="1"/>
  <c r="P46" i="7" l="1"/>
  <c r="E123" i="7"/>
  <c r="Q119" i="7"/>
  <c r="P119" i="7"/>
  <c r="G119" i="7"/>
  <c r="I119" i="7" s="1"/>
  <c r="Q118" i="7"/>
  <c r="P118" i="7"/>
  <c r="G118" i="7"/>
  <c r="I118" i="7" s="1"/>
  <c r="P107" i="7"/>
  <c r="P106" i="7"/>
  <c r="P105" i="7"/>
  <c r="P104" i="7"/>
  <c r="P103" i="7"/>
  <c r="Q96" i="7"/>
  <c r="P96" i="7"/>
  <c r="Q95" i="7"/>
  <c r="P95" i="7"/>
  <c r="Q94" i="7"/>
  <c r="P94" i="7"/>
  <c r="Q93" i="7"/>
  <c r="P93" i="7"/>
  <c r="Q92" i="7"/>
  <c r="P92" i="7"/>
  <c r="Q91" i="7"/>
  <c r="P91" i="7"/>
  <c r="Q90" i="7"/>
  <c r="P90" i="7"/>
  <c r="Q89" i="7"/>
  <c r="P89" i="7"/>
  <c r="P84" i="7"/>
  <c r="P74" i="7"/>
  <c r="P73" i="7"/>
  <c r="P70" i="7"/>
  <c r="P67" i="7"/>
  <c r="P66" i="7"/>
  <c r="E63" i="7"/>
  <c r="G45" i="7"/>
  <c r="P40" i="7"/>
  <c r="P39" i="7"/>
  <c r="P38" i="7"/>
  <c r="P37" i="7"/>
  <c r="P36" i="7"/>
  <c r="P33" i="7"/>
  <c r="P17" i="7"/>
  <c r="P6" i="7"/>
  <c r="P14" i="7"/>
  <c r="P13" i="7"/>
  <c r="P12" i="7"/>
  <c r="P11" i="7"/>
  <c r="P10" i="7"/>
  <c r="P9" i="7"/>
  <c r="P8" i="7"/>
  <c r="P7" i="7"/>
  <c r="G71" i="7" l="1"/>
  <c r="G85" i="7"/>
  <c r="R90" i="7"/>
  <c r="R92" i="7"/>
  <c r="R96" i="7"/>
  <c r="I45" i="7"/>
  <c r="P45" i="7"/>
  <c r="I66" i="7"/>
  <c r="R89" i="7"/>
  <c r="I84" i="7"/>
  <c r="I70" i="7"/>
  <c r="I65" i="7"/>
  <c r="I67" i="7"/>
  <c r="I72" i="7"/>
  <c r="I74" i="7"/>
  <c r="I73" i="7"/>
  <c r="R91" i="7"/>
  <c r="R95" i="7"/>
  <c r="E86" i="7"/>
  <c r="P65" i="7"/>
  <c r="P71" i="7" s="1"/>
  <c r="P72" i="7"/>
  <c r="P85" i="7" s="1"/>
  <c r="R93" i="7"/>
  <c r="R94" i="7"/>
  <c r="R118" i="7"/>
  <c r="R119" i="7"/>
  <c r="I85" i="7" l="1"/>
  <c r="I71" i="7"/>
  <c r="F15" i="4" l="1"/>
  <c r="F16" i="4"/>
  <c r="F17" i="4" s="1"/>
  <c r="F18" i="4" s="1"/>
  <c r="B17" i="4"/>
  <c r="B20" i="4" s="1"/>
  <c r="C16" i="4"/>
  <c r="C15" i="4"/>
  <c r="D9" i="4"/>
  <c r="D8" i="4"/>
  <c r="D7" i="4"/>
  <c r="B21" i="4" l="1"/>
  <c r="B23" i="4" s="1"/>
  <c r="R123" i="7" s="1"/>
  <c r="G8" i="4"/>
  <c r="F8" i="4"/>
  <c r="E8" i="4"/>
  <c r="I40" i="7"/>
  <c r="G13" i="7"/>
  <c r="I13" i="7" s="1"/>
  <c r="G44" i="7"/>
  <c r="G39" i="7"/>
  <c r="I39" i="7" s="1"/>
  <c r="F12" i="7"/>
  <c r="G12" i="7" s="1"/>
  <c r="I12" i="7" s="1"/>
  <c r="G7" i="4"/>
  <c r="G43" i="7" s="1"/>
  <c r="F7" i="4"/>
  <c r="E7" i="4"/>
  <c r="G42" i="7" s="1"/>
  <c r="G33" i="7"/>
  <c r="I33" i="7" s="1"/>
  <c r="G41" i="7"/>
  <c r="F16" i="7"/>
  <c r="G16" i="7" s="1"/>
  <c r="F6" i="7"/>
  <c r="G6" i="7" s="1"/>
  <c r="F11" i="7"/>
  <c r="G11" i="7" s="1"/>
  <c r="I11" i="7" s="1"/>
  <c r="F9" i="7"/>
  <c r="G9" i="7" s="1"/>
  <c r="I9" i="7" s="1"/>
  <c r="F7" i="7"/>
  <c r="G7" i="7" s="1"/>
  <c r="G38" i="7"/>
  <c r="I38" i="7" s="1"/>
  <c r="G37" i="7"/>
  <c r="I37" i="7" s="1"/>
  <c r="F10" i="7"/>
  <c r="G10" i="7" s="1"/>
  <c r="I10" i="7" s="1"/>
  <c r="F8" i="7"/>
  <c r="G8" i="7" s="1"/>
  <c r="I8" i="7" s="1"/>
  <c r="G9" i="4"/>
  <c r="F9" i="4"/>
  <c r="E9" i="4"/>
  <c r="G62" i="7"/>
  <c r="G17" i="7"/>
  <c r="I17" i="7" s="1"/>
  <c r="G15" i="7"/>
  <c r="G14" i="7"/>
  <c r="I14" i="7" s="1"/>
  <c r="C17" i="4"/>
  <c r="I6" i="7" l="1"/>
  <c r="G35" i="7"/>
  <c r="I36" i="7"/>
  <c r="G63" i="7"/>
  <c r="I44" i="7"/>
  <c r="P44" i="7"/>
  <c r="P15" i="7"/>
  <c r="I15" i="7"/>
  <c r="I62" i="7"/>
  <c r="P62" i="7"/>
  <c r="I7" i="7"/>
  <c r="I16" i="7"/>
  <c r="P16" i="7"/>
  <c r="I41" i="7"/>
  <c r="P41" i="7"/>
  <c r="I42" i="7"/>
  <c r="P42" i="7"/>
  <c r="I43" i="7"/>
  <c r="P43" i="7"/>
  <c r="P35" i="7" l="1"/>
  <c r="I35" i="7"/>
  <c r="P63" i="7"/>
  <c r="I63" i="7"/>
  <c r="E124" i="7"/>
  <c r="G86" i="7"/>
  <c r="I86" i="7" l="1"/>
  <c r="P86" i="7"/>
  <c r="E125" i="7"/>
  <c r="J90" i="7" l="1"/>
  <c r="K90" i="7" s="1"/>
  <c r="L90" i="7" s="1"/>
  <c r="J98" i="7"/>
  <c r="K98" i="7" s="1"/>
  <c r="L98" i="7" s="1"/>
  <c r="J110" i="7"/>
  <c r="K110" i="7" s="1"/>
  <c r="L110" i="7" s="1"/>
  <c r="O110" i="7" s="1"/>
  <c r="J91" i="7"/>
  <c r="K91" i="7" s="1"/>
  <c r="L91" i="7" s="1"/>
  <c r="J107" i="7"/>
  <c r="K107" i="7" s="1"/>
  <c r="L107" i="7" s="1"/>
  <c r="O107" i="7" s="1"/>
  <c r="Q107" i="7" s="1"/>
  <c r="R107" i="7" s="1"/>
  <c r="J108" i="7"/>
  <c r="K108" i="7" s="1"/>
  <c r="L108" i="7" s="1"/>
  <c r="O108" i="7" s="1"/>
  <c r="J94" i="7"/>
  <c r="K94" i="7" s="1"/>
  <c r="L94" i="7" s="1"/>
  <c r="J93" i="7"/>
  <c r="K93" i="7" s="1"/>
  <c r="L93" i="7" s="1"/>
  <c r="J89" i="7"/>
  <c r="K89" i="7" s="1"/>
  <c r="L89" i="7" s="1"/>
  <c r="J116" i="7"/>
  <c r="K116" i="7" s="1"/>
  <c r="L116" i="7" s="1"/>
  <c r="O116" i="7" s="1"/>
  <c r="J99" i="7"/>
  <c r="K99" i="7" s="1"/>
  <c r="L99" i="7" s="1"/>
  <c r="J92" i="7"/>
  <c r="K92" i="7" s="1"/>
  <c r="L92" i="7" s="1"/>
  <c r="J105" i="7"/>
  <c r="K105" i="7" s="1"/>
  <c r="L105" i="7" s="1"/>
  <c r="O105" i="7" s="1"/>
  <c r="Q105" i="7" s="1"/>
  <c r="R105" i="7" s="1"/>
  <c r="J109" i="7"/>
  <c r="K109" i="7" s="1"/>
  <c r="L109" i="7" s="1"/>
  <c r="O109" i="7" s="1"/>
  <c r="J104" i="7"/>
  <c r="K104" i="7" s="1"/>
  <c r="L104" i="7" s="1"/>
  <c r="O104" i="7" s="1"/>
  <c r="Q104" i="7" s="1"/>
  <c r="R104" i="7" s="1"/>
  <c r="J115" i="7"/>
  <c r="K115" i="7" s="1"/>
  <c r="L115" i="7" s="1"/>
  <c r="O115" i="7" s="1"/>
  <c r="J97" i="7"/>
  <c r="K97" i="7" s="1"/>
  <c r="L97" i="7" s="1"/>
  <c r="J106" i="7"/>
  <c r="K106" i="7" s="1"/>
  <c r="L106" i="7" s="1"/>
  <c r="O106" i="7" s="1"/>
  <c r="Q106" i="7" s="1"/>
  <c r="R106" i="7" s="1"/>
  <c r="J95" i="7"/>
  <c r="K95" i="7" s="1"/>
  <c r="L95" i="7" s="1"/>
  <c r="J112" i="7"/>
  <c r="K112" i="7" s="1"/>
  <c r="L112" i="7" s="1"/>
  <c r="O112" i="7" s="1"/>
  <c r="J114" i="7"/>
  <c r="K114" i="7" s="1"/>
  <c r="L114" i="7" s="1"/>
  <c r="O114" i="7" s="1"/>
  <c r="J102" i="7"/>
  <c r="K102" i="7" s="1"/>
  <c r="L102" i="7" s="1"/>
  <c r="O102" i="7" s="1"/>
  <c r="J111" i="7"/>
  <c r="K111" i="7" s="1"/>
  <c r="L111" i="7" s="1"/>
  <c r="O111" i="7" s="1"/>
  <c r="J103" i="7"/>
  <c r="K103" i="7" s="1"/>
  <c r="L103" i="7" s="1"/>
  <c r="O103" i="7" s="1"/>
  <c r="Q103" i="7" s="1"/>
  <c r="R103" i="7" s="1"/>
  <c r="J96" i="7"/>
  <c r="K96" i="7" s="1"/>
  <c r="L96" i="7" s="1"/>
  <c r="J101" i="7"/>
  <c r="K101" i="7" s="1"/>
  <c r="L101" i="7" s="1"/>
  <c r="O101" i="7" s="1"/>
  <c r="J100" i="7"/>
  <c r="K100" i="7" s="1"/>
  <c r="L100" i="7" s="1"/>
  <c r="O100" i="7" s="1"/>
  <c r="J113" i="7"/>
  <c r="K113" i="7" s="1"/>
  <c r="L113" i="7" s="1"/>
  <c r="O113" i="7" s="1"/>
  <c r="J50" i="7"/>
  <c r="K50" i="7" s="1"/>
  <c r="L50" i="7" s="1"/>
  <c r="M50" i="7" s="1"/>
  <c r="J51" i="7"/>
  <c r="K51" i="7" s="1"/>
  <c r="L51" i="7" s="1"/>
  <c r="M51" i="7" s="1"/>
  <c r="J69" i="7"/>
  <c r="K69" i="7" s="1"/>
  <c r="L69" i="7" s="1"/>
  <c r="J68" i="7"/>
  <c r="K68" i="7" s="1"/>
  <c r="L68" i="7" s="1"/>
  <c r="J20" i="7"/>
  <c r="K20" i="7" s="1"/>
  <c r="L20" i="7" s="1"/>
  <c r="J28" i="7"/>
  <c r="K28" i="7" s="1"/>
  <c r="L28" i="7" s="1"/>
  <c r="J17" i="7"/>
  <c r="K17" i="7" s="1"/>
  <c r="L17" i="7" s="1"/>
  <c r="J25" i="7"/>
  <c r="K25" i="7" s="1"/>
  <c r="L25" i="7" s="1"/>
  <c r="J22" i="7"/>
  <c r="K22" i="7" s="1"/>
  <c r="L22" i="7" s="1"/>
  <c r="J30" i="7"/>
  <c r="K30" i="7" s="1"/>
  <c r="L30" i="7" s="1"/>
  <c r="J26" i="7"/>
  <c r="K26" i="7" s="1"/>
  <c r="L26" i="7" s="1"/>
  <c r="J19" i="7"/>
  <c r="K19" i="7" s="1"/>
  <c r="L19" i="7" s="1"/>
  <c r="J27" i="7"/>
  <c r="K27" i="7" s="1"/>
  <c r="L27" i="7" s="1"/>
  <c r="J24" i="7"/>
  <c r="K24" i="7" s="1"/>
  <c r="L24" i="7" s="1"/>
  <c r="J23" i="7"/>
  <c r="K23" i="7" s="1"/>
  <c r="L23" i="7" s="1"/>
  <c r="J21" i="7"/>
  <c r="K21" i="7" s="1"/>
  <c r="L21" i="7" s="1"/>
  <c r="J29" i="7"/>
  <c r="K29" i="7" s="1"/>
  <c r="L29" i="7" s="1"/>
  <c r="J18" i="7"/>
  <c r="K18" i="7" s="1"/>
  <c r="L18" i="7" s="1"/>
  <c r="J62" i="7"/>
  <c r="K62" i="7" s="1"/>
  <c r="L62" i="7" s="1"/>
  <c r="O62" i="7" s="1"/>
  <c r="Q62" i="7" s="1"/>
  <c r="R62" i="7" s="1"/>
  <c r="J48" i="7"/>
  <c r="K48" i="7" s="1"/>
  <c r="L48" i="7" s="1"/>
  <c r="M48" i="7" s="1"/>
  <c r="J49" i="7"/>
  <c r="K49" i="7" s="1"/>
  <c r="L49" i="7" s="1"/>
  <c r="M49" i="7" s="1"/>
  <c r="J14" i="7"/>
  <c r="K14" i="7" s="1"/>
  <c r="L14" i="7" s="1"/>
  <c r="J7" i="7"/>
  <c r="K7" i="7" s="1"/>
  <c r="L7" i="7" s="1"/>
  <c r="J45" i="7"/>
  <c r="K45" i="7" s="1"/>
  <c r="L45" i="7" s="1"/>
  <c r="O45" i="7" s="1"/>
  <c r="Q45" i="7" s="1"/>
  <c r="R45" i="7" s="1"/>
  <c r="J37" i="7"/>
  <c r="K37" i="7" s="1"/>
  <c r="L37" i="7" s="1"/>
  <c r="O37" i="7" s="1"/>
  <c r="Q37" i="7" s="1"/>
  <c r="R37" i="7" s="1"/>
  <c r="J6" i="7"/>
  <c r="J39" i="7"/>
  <c r="K39" i="7" s="1"/>
  <c r="L39" i="7" s="1"/>
  <c r="O39" i="7" s="1"/>
  <c r="Q39" i="7" s="1"/>
  <c r="R39" i="7" s="1"/>
  <c r="J13" i="7"/>
  <c r="K13" i="7" s="1"/>
  <c r="L13" i="7" s="1"/>
  <c r="J10" i="7"/>
  <c r="K10" i="7" s="1"/>
  <c r="L10" i="7" s="1"/>
  <c r="J43" i="7"/>
  <c r="K43" i="7" s="1"/>
  <c r="L43" i="7" s="1"/>
  <c r="O43" i="7" s="1"/>
  <c r="Q43" i="7" s="1"/>
  <c r="R43" i="7" s="1"/>
  <c r="J42" i="7"/>
  <c r="K42" i="7" s="1"/>
  <c r="L42" i="7" s="1"/>
  <c r="O42" i="7" s="1"/>
  <c r="Q42" i="7" s="1"/>
  <c r="R42" i="7" s="1"/>
  <c r="J46" i="7"/>
  <c r="K46" i="7" s="1"/>
  <c r="L46" i="7" s="1"/>
  <c r="M46" i="7" s="1"/>
  <c r="O17" i="7"/>
  <c r="Q17" i="7" s="1"/>
  <c r="R17" i="7" s="1"/>
  <c r="J38" i="7"/>
  <c r="K38" i="7" s="1"/>
  <c r="L38" i="7" s="1"/>
  <c r="O38" i="7" s="1"/>
  <c r="Q38" i="7" s="1"/>
  <c r="R38" i="7" s="1"/>
  <c r="J119" i="7"/>
  <c r="K119" i="7" s="1"/>
  <c r="L119" i="7" s="1"/>
  <c r="J44" i="7"/>
  <c r="K44" i="7" s="1"/>
  <c r="L44" i="7" s="1"/>
  <c r="O44" i="7" s="1"/>
  <c r="Q44" i="7" s="1"/>
  <c r="R44" i="7" s="1"/>
  <c r="J67" i="7"/>
  <c r="K67" i="7" s="1"/>
  <c r="L67" i="7" s="1"/>
  <c r="O67" i="7" s="1"/>
  <c r="Q67" i="7" s="1"/>
  <c r="R67" i="7" s="1"/>
  <c r="J9" i="7"/>
  <c r="K9" i="7" s="1"/>
  <c r="L9" i="7" s="1"/>
  <c r="J40" i="7"/>
  <c r="K40" i="7" s="1"/>
  <c r="L40" i="7" s="1"/>
  <c r="M40" i="7" s="1"/>
  <c r="J11" i="7"/>
  <c r="K11" i="7" s="1"/>
  <c r="L11" i="7" s="1"/>
  <c r="O11" i="7" s="1"/>
  <c r="Q11" i="7" s="1"/>
  <c r="R11" i="7" s="1"/>
  <c r="J70" i="7"/>
  <c r="K70" i="7" s="1"/>
  <c r="L70" i="7" s="1"/>
  <c r="O70" i="7" s="1"/>
  <c r="Q70" i="7" s="1"/>
  <c r="R70" i="7" s="1"/>
  <c r="J74" i="7"/>
  <c r="K74" i="7" s="1"/>
  <c r="L74" i="7" s="1"/>
  <c r="O74" i="7" s="1"/>
  <c r="Q74" i="7" s="1"/>
  <c r="R74" i="7" s="1"/>
  <c r="J73" i="7"/>
  <c r="K73" i="7" s="1"/>
  <c r="L73" i="7" s="1"/>
  <c r="O73" i="7" s="1"/>
  <c r="Q73" i="7" s="1"/>
  <c r="R73" i="7" s="1"/>
  <c r="J36" i="7"/>
  <c r="K36" i="7" s="1"/>
  <c r="L36" i="7" s="1"/>
  <c r="J41" i="7"/>
  <c r="K41" i="7" s="1"/>
  <c r="L41" i="7" s="1"/>
  <c r="J8" i="7"/>
  <c r="K8" i="7" s="1"/>
  <c r="L8" i="7" s="1"/>
  <c r="J33" i="7"/>
  <c r="K33" i="7" s="1"/>
  <c r="L33" i="7" s="1"/>
  <c r="O33" i="7" s="1"/>
  <c r="Q33" i="7" s="1"/>
  <c r="R33" i="7" s="1"/>
  <c r="J118" i="7"/>
  <c r="K118" i="7" s="1"/>
  <c r="L118" i="7" s="1"/>
  <c r="J72" i="7"/>
  <c r="K72" i="7" s="1"/>
  <c r="L72" i="7" s="1"/>
  <c r="J84" i="7"/>
  <c r="K84" i="7" s="1"/>
  <c r="L84" i="7" s="1"/>
  <c r="O84" i="7" s="1"/>
  <c r="Q84" i="7" s="1"/>
  <c r="R84" i="7" s="1"/>
  <c r="J65" i="7"/>
  <c r="K65" i="7" s="1"/>
  <c r="L65" i="7" s="1"/>
  <c r="J12" i="7"/>
  <c r="K12" i="7" s="1"/>
  <c r="L12" i="7" s="1"/>
  <c r="J47" i="7"/>
  <c r="K47" i="7" s="1"/>
  <c r="L47" i="7" s="1"/>
  <c r="M47" i="7" s="1"/>
  <c r="J66" i="7"/>
  <c r="J15" i="7"/>
  <c r="K15" i="7" s="1"/>
  <c r="L15" i="7" s="1"/>
  <c r="J16" i="7"/>
  <c r="K16" i="7" s="1"/>
  <c r="L16" i="7" s="1"/>
  <c r="K6" i="7" l="1"/>
  <c r="L6" i="7" s="1"/>
  <c r="M6" i="7" s="1"/>
  <c r="O6" i="7" s="1"/>
  <c r="Q6" i="7" s="1"/>
  <c r="J35" i="7"/>
  <c r="M36" i="7"/>
  <c r="O36" i="7" s="1"/>
  <c r="Q36" i="7" s="1"/>
  <c r="R36" i="7" s="1"/>
  <c r="M16" i="7"/>
  <c r="O16" i="7" s="1"/>
  <c r="Q16" i="7" s="1"/>
  <c r="R16" i="7" s="1"/>
  <c r="O41" i="7"/>
  <c r="Q41" i="7" s="1"/>
  <c r="R41" i="7" s="1"/>
  <c r="O46" i="7"/>
  <c r="Q46" i="7" s="1"/>
  <c r="R46" i="7" s="1"/>
  <c r="M19" i="7"/>
  <c r="O19" i="7" s="1"/>
  <c r="Q19" i="7" s="1"/>
  <c r="R19" i="7" s="1"/>
  <c r="M7" i="7"/>
  <c r="O7" i="7" s="1"/>
  <c r="Q7" i="7" s="1"/>
  <c r="M18" i="7"/>
  <c r="O18" i="7" s="1"/>
  <c r="Q18" i="7" s="1"/>
  <c r="R18" i="7" s="1"/>
  <c r="M30" i="7"/>
  <c r="O30" i="7" s="1"/>
  <c r="Q30" i="7" s="1"/>
  <c r="R30" i="7" s="1"/>
  <c r="M10" i="7"/>
  <c r="O10" i="7" s="1"/>
  <c r="Q10" i="7" s="1"/>
  <c r="R10" i="7" s="1"/>
  <c r="O51" i="7"/>
  <c r="Q51" i="7" s="1"/>
  <c r="R51" i="7" s="1"/>
  <c r="M15" i="7"/>
  <c r="O15" i="7" s="1"/>
  <c r="Q15" i="7" s="1"/>
  <c r="R15" i="7" s="1"/>
  <c r="M13" i="7"/>
  <c r="O13" i="7" s="1"/>
  <c r="Q13" i="7" s="1"/>
  <c r="R13" i="7" s="1"/>
  <c r="M14" i="7"/>
  <c r="O14" i="7" s="1"/>
  <c r="Q14" i="7" s="1"/>
  <c r="R14" i="7" s="1"/>
  <c r="M21" i="7"/>
  <c r="O21" i="7" s="1"/>
  <c r="Q21" i="7" s="1"/>
  <c r="R21" i="7" s="1"/>
  <c r="O49" i="7"/>
  <c r="Q49" i="7" s="1"/>
  <c r="R49" i="7" s="1"/>
  <c r="M23" i="7"/>
  <c r="O23" i="7" s="1"/>
  <c r="Q23" i="7" s="1"/>
  <c r="R23" i="7" s="1"/>
  <c r="M12" i="7"/>
  <c r="O12" i="7" s="1"/>
  <c r="Q12" i="7" s="1"/>
  <c r="R12" i="7" s="1"/>
  <c r="M9" i="7"/>
  <c r="O9" i="7" s="1"/>
  <c r="Q9" i="7" s="1"/>
  <c r="R9" i="7" s="1"/>
  <c r="O48" i="7"/>
  <c r="Q48" i="7" s="1"/>
  <c r="R48" i="7" s="1"/>
  <c r="M20" i="7"/>
  <c r="O20" i="7" s="1"/>
  <c r="Q20" i="7" s="1"/>
  <c r="R20" i="7" s="1"/>
  <c r="O47" i="7"/>
  <c r="Q47" i="7" s="1"/>
  <c r="R47" i="7" s="1"/>
  <c r="M8" i="7"/>
  <c r="O8" i="7" s="1"/>
  <c r="Q8" i="7" s="1"/>
  <c r="R8" i="7" s="1"/>
  <c r="O40" i="7"/>
  <c r="Q40" i="7" s="1"/>
  <c r="R40" i="7" s="1"/>
  <c r="O50" i="7"/>
  <c r="Q50" i="7" s="1"/>
  <c r="R50" i="7" s="1"/>
  <c r="M24" i="7"/>
  <c r="O24" i="7" s="1"/>
  <c r="Q24" i="7" s="1"/>
  <c r="R24" i="7" s="1"/>
  <c r="J71" i="7"/>
  <c r="J85" i="7"/>
  <c r="K66" i="7"/>
  <c r="L66" i="7" s="1"/>
  <c r="O66" i="7" s="1"/>
  <c r="Q66" i="7" s="1"/>
  <c r="R66" i="7" s="1"/>
  <c r="J63" i="7"/>
  <c r="O72" i="7"/>
  <c r="Q72" i="7" s="1"/>
  <c r="O65" i="7"/>
  <c r="Q65" i="7" s="1"/>
  <c r="R6" i="7" l="1"/>
  <c r="Q35" i="7"/>
  <c r="R7" i="7"/>
  <c r="Q63" i="7"/>
  <c r="R63" i="7"/>
  <c r="J86" i="7"/>
  <c r="Q71" i="7"/>
  <c r="R65" i="7"/>
  <c r="R71" i="7" s="1"/>
  <c r="R72" i="7"/>
  <c r="R85" i="7" s="1"/>
  <c r="Q85" i="7"/>
  <c r="R35" i="7" l="1"/>
  <c r="R86" i="7" s="1"/>
  <c r="B25" i="4" s="1"/>
  <c r="B26" i="4" s="1"/>
  <c r="Q86" i="7"/>
  <c r="R122" i="7" l="1"/>
  <c r="R12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Young</author>
    <author>tc={BFF3E5BA-0F61-48E7-91EB-D8689F96B01C}</author>
  </authors>
  <commentList>
    <comment ref="H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not on Meeks wieght list</t>
        </r>
      </text>
    </comment>
    <comment ref="H1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Not on Meeks weights list; uses same interval as 3-4 cans</t>
        </r>
      </text>
    </comment>
    <comment ref="N4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per pick up rate</t>
        </r>
      </text>
    </comment>
    <comment ref="H50" authorId="1" shapeId="0" xr:uid="{BFF3E5BA-0F61-48E7-91EB-D8689F96B01C}">
      <text>
        <t>[Threaded comment]
Your version of Excel allows you to read this threaded comment; however, any edits to it will get removed if the file is opened in a newer version of Excel. Learn more: https://go.microsoft.com/fwlink/?linkid=870924
Comment:
    Weights doubled due to information from company in which overweight boxes caused a cable to snap when trying to empty the box into the truck.</t>
      </text>
    </comment>
    <comment ref="H89" authorId="0" shapeId="0" xr:uid="{D3D9A650-90A1-45F3-A04C-6FECCD38E09E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Not on Meeks weights list; uses same interval as 3-4 cans</t>
        </r>
      </text>
    </comment>
    <comment ref="N103" authorId="0" shapeId="0" xr:uid="{B0260A5D-CDA2-4544-9D88-05CFEB550B8C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per pick up rate</t>
        </r>
      </text>
    </comment>
    <comment ref="E12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sharedStrings.xml><?xml version="1.0" encoding="utf-8"?>
<sst xmlns="http://schemas.openxmlformats.org/spreadsheetml/2006/main" count="196" uniqueCount="154">
  <si>
    <t>Disposal Fee Increases</t>
  </si>
  <si>
    <t>Based on previous rate case (including disposal fee filing)</t>
  </si>
  <si>
    <t>Customer count/price out</t>
  </si>
  <si>
    <t>disposal tons</t>
  </si>
  <si>
    <t>Allocation of regulated and non-regulated</t>
  </si>
  <si>
    <t>Based on Meeks weights, or allowed company alternative (used in last rate case)</t>
  </si>
  <si>
    <t>container size or service offering not on Meeks list</t>
  </si>
  <si>
    <t>Tariff Changes</t>
  </si>
  <si>
    <t>Tariff complies with tariff requirements</t>
  </si>
  <si>
    <t>only weight based rates are changed</t>
  </si>
  <si>
    <t>Other language changes  or new rates</t>
  </si>
  <si>
    <t>Order required granting exemption from work paper filing requirements WAC 480-07-520 (4)</t>
  </si>
  <si>
    <t>Commission's own motion or Company request</t>
  </si>
  <si>
    <t>order templates</t>
  </si>
  <si>
    <t>Order language:</t>
  </si>
  <si>
    <t>no significant changes since the last rate case i.e. customer counts, tonnage, collection methods</t>
  </si>
  <si>
    <t>fees are set by the county and are expenses of the company…</t>
  </si>
  <si>
    <t>company's financial information supports the increase</t>
  </si>
  <si>
    <t>Staff's conclusion is rate increase is fair, just, and reasonable</t>
  </si>
  <si>
    <t>Use applicable disposal fee description for agenda</t>
  </si>
  <si>
    <t>Company X, G-1</t>
  </si>
  <si>
    <t>Disposal fee</t>
  </si>
  <si>
    <t>Some County-all customers</t>
  </si>
  <si>
    <t>Monthly Factor</t>
  </si>
  <si>
    <t>1 unit</t>
  </si>
  <si>
    <t>2 units</t>
  </si>
  <si>
    <t>3 units</t>
  </si>
  <si>
    <t>4 units</t>
  </si>
  <si>
    <t xml:space="preserve">Twice Weekly Pickup </t>
  </si>
  <si>
    <t>Weekly Pickup (WG)</t>
  </si>
  <si>
    <t>Every Other Week (EOWG)</t>
  </si>
  <si>
    <t>Monthly (MG)</t>
  </si>
  <si>
    <t>Lbs. per ton</t>
  </si>
  <si>
    <t>Yds. Per ton</t>
  </si>
  <si>
    <t>n/a</t>
  </si>
  <si>
    <t>Some County Disposal Fees</t>
  </si>
  <si>
    <t>Per Ton</t>
  </si>
  <si>
    <t>Per Pound</t>
  </si>
  <si>
    <t>Gross Up Factors</t>
  </si>
  <si>
    <t>Current Rate</t>
  </si>
  <si>
    <t>B&amp;O tax</t>
  </si>
  <si>
    <t>New Rate</t>
  </si>
  <si>
    <t>WUTC fees</t>
  </si>
  <si>
    <t>Increase</t>
  </si>
  <si>
    <t>Total</t>
  </si>
  <si>
    <t>Factor</t>
  </si>
  <si>
    <t>Increase per ton</t>
  </si>
  <si>
    <t>note: Include bad debt if it was included in Lurito model</t>
  </si>
  <si>
    <t>Grossed Up Increase per ton</t>
  </si>
  <si>
    <t>Tons Collected</t>
  </si>
  <si>
    <t>Disposal Fee Revenue Increase</t>
  </si>
  <si>
    <t>Revenue from Company Rates</t>
  </si>
  <si>
    <t>Collected Revenue Excess/(Deficiency)</t>
  </si>
  <si>
    <t>Rounding Factor</t>
  </si>
  <si>
    <t xml:space="preserve">Item No. </t>
  </si>
  <si>
    <t>Tariff Page</t>
  </si>
  <si>
    <t>Scheduled Service</t>
  </si>
  <si>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</si>
  <si>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</si>
  <si>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</si>
  <si>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</si>
  <si>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</si>
  <si>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</si>
  <si>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Gross Up</t>
  </si>
  <si>
    <t>Tariff Rate Increase</t>
  </si>
  <si>
    <t>Company Current Tariff</t>
  </si>
  <si>
    <t>Company Proposed Tariff</t>
  </si>
  <si>
    <t>Company Current Revenue</t>
  </si>
  <si>
    <t>Company Proposed Revenue</t>
  </si>
  <si>
    <t>Company Increased Revenue</t>
  </si>
  <si>
    <t>Residential</t>
  </si>
  <si>
    <t>1 minican week</t>
  </si>
  <si>
    <t>Commercial</t>
  </si>
  <si>
    <t>Extras</t>
  </si>
  <si>
    <t>Totals</t>
  </si>
  <si>
    <t>No Current Customers</t>
  </si>
  <si>
    <t>Total Tonnage</t>
  </si>
  <si>
    <t>Check Figures:</t>
  </si>
  <si>
    <t>Price Out</t>
  </si>
  <si>
    <t>Total Pounds</t>
  </si>
  <si>
    <t>Calculated</t>
  </si>
  <si>
    <t>Total Pick Ups</t>
  </si>
  <si>
    <t>Difference</t>
  </si>
  <si>
    <t>Adjustment factor</t>
  </si>
  <si>
    <t>1-32 gallon can wkly</t>
  </si>
  <si>
    <t>2-32 gallon can wkly</t>
  </si>
  <si>
    <t>3-32 gallon can wkly</t>
  </si>
  <si>
    <t>4-32 gallon can wkly</t>
  </si>
  <si>
    <t>5-32 gallon can wkly</t>
  </si>
  <si>
    <t>1-32 gallon can EOW</t>
  </si>
  <si>
    <t>1-32 gallon can MC</t>
  </si>
  <si>
    <t>1-45 gallon can wkly</t>
  </si>
  <si>
    <t>2-45 gallon can wkly</t>
  </si>
  <si>
    <t>3-45 gallon can wkly</t>
  </si>
  <si>
    <t>4-45 gallon can wkly</t>
  </si>
  <si>
    <t>45 gallon can EOW</t>
  </si>
  <si>
    <t>45 gallon can MC</t>
  </si>
  <si>
    <t>2-50 gallon can wkly</t>
  </si>
  <si>
    <t>3-50 gallon can wklly</t>
  </si>
  <si>
    <t>50 gallon can EOW</t>
  </si>
  <si>
    <t>50 gallon can MC</t>
  </si>
  <si>
    <t>1-50 gallon can wkly</t>
  </si>
  <si>
    <t>1-55 gallon can wkly</t>
  </si>
  <si>
    <t>2-55 gallon can wkly</t>
  </si>
  <si>
    <t>3-55 gallon can wkly</t>
  </si>
  <si>
    <t>55 gallon can EOW</t>
  </si>
  <si>
    <t>55 gallon can MC</t>
  </si>
  <si>
    <t>1-64 gallon can wkly</t>
  </si>
  <si>
    <t>2-64 gallon can wkly</t>
  </si>
  <si>
    <t>64 gallon can EOW</t>
  </si>
  <si>
    <t>64 gallon can MC</t>
  </si>
  <si>
    <t>32 gallon can or unit</t>
  </si>
  <si>
    <t>45 gallon can or unit</t>
  </si>
  <si>
    <t>50 gallon can or unit</t>
  </si>
  <si>
    <t>55 gallon can or unit</t>
  </si>
  <si>
    <t>64 gallon can or unit</t>
  </si>
  <si>
    <t>Bag</t>
  </si>
  <si>
    <t>32 gallon can</t>
  </si>
  <si>
    <t>Special Pickup</t>
  </si>
  <si>
    <t>45 gallon can</t>
  </si>
  <si>
    <t>50 gallon can</t>
  </si>
  <si>
    <t>55 gallon can</t>
  </si>
  <si>
    <t>64 gallon can</t>
  </si>
  <si>
    <t>1 Yard container</t>
  </si>
  <si>
    <t>2 Yard container</t>
  </si>
  <si>
    <t>3 Yard container</t>
  </si>
  <si>
    <t>4 Yard container</t>
  </si>
  <si>
    <t>6 Yard container</t>
  </si>
  <si>
    <t>8 Yard container</t>
  </si>
  <si>
    <t>1 &amp; 2 yard rental fee</t>
  </si>
  <si>
    <t>3 yard rental fee</t>
  </si>
  <si>
    <t>4 &amp; 6 yard rental fee</t>
  </si>
  <si>
    <t>8 yard rental fee</t>
  </si>
  <si>
    <t>Initial Delivery</t>
  </si>
  <si>
    <t>Temp 1 yard</t>
  </si>
  <si>
    <t>Temp 2 yard</t>
  </si>
  <si>
    <t>Temp 3 yard</t>
  </si>
  <si>
    <t>Temp 4 yard</t>
  </si>
  <si>
    <t>Temp 6 yard</t>
  </si>
  <si>
    <t>Temp 8 yard</t>
  </si>
  <si>
    <t>10 Yard Container</t>
  </si>
  <si>
    <t>20 Yard Container</t>
  </si>
  <si>
    <t>30 Yard Container</t>
  </si>
  <si>
    <t>40 Yard Container</t>
  </si>
  <si>
    <t>Temp Initial Delivery</t>
  </si>
  <si>
    <t>Temp 10 yard pickup</t>
  </si>
  <si>
    <t>Temp 20 yard pickup</t>
  </si>
  <si>
    <t>Temp 30 yard pickup</t>
  </si>
  <si>
    <t>Temp 40 yard pickup</t>
  </si>
  <si>
    <t>10 yard rental fee</t>
  </si>
  <si>
    <t>20 yard rental fee</t>
  </si>
  <si>
    <t>30 yard rental fee</t>
  </si>
  <si>
    <t>40 yard rental fee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</si>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</sst>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10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1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5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2" applyNumberFormat="0" applyFill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3" fontId="0" fillId="0" borderId="0" xfId="0" applyNumberFormat="1"/>
    <xf numFmtId="44" fontId="0" fillId="0" borderId="0" xfId="2" applyFont="1"/>
    <xf numFmtId="44" fontId="0" fillId="0" borderId="1" xfId="2" applyFont="1" applyBorder="1"/>
    <xf numFmtId="0" fontId="0" fillId="0" borderId="0" xfId="0" applyAlignment="1">
      <alignment horizontal="right"/>
    </xf>
    <xf numFmtId="165" fontId="0" fillId="0" borderId="0" xfId="2" applyNumberFormat="1" applyFont="1"/>
    <xf numFmtId="165" fontId="0" fillId="0" borderId="1" xfId="2" applyNumberFormat="1" applyFont="1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4" fillId="0" borderId="0" xfId="4" applyFont="1" applyAlignment="1">
      <alignment horizontal="left"/>
    </xf>
    <xf numFmtId="44" fontId="0" fillId="0" borderId="0" xfId="0" applyNumberFormat="1"/>
    <xf numFmtId="164" fontId="0" fillId="0" borderId="0" xfId="2" applyNumberFormat="1" applyFont="1" applyBorder="1"/>
    <xf numFmtId="164" fontId="0" fillId="0" borderId="0" xfId="0" applyNumberFormat="1"/>
    <xf numFmtId="10" fontId="0" fillId="0" borderId="0" xfId="3" applyNumberFormat="1" applyFont="1" applyBorder="1"/>
    <xf numFmtId="10" fontId="0" fillId="0" borderId="0" xfId="3" applyNumberFormat="1" applyFont="1"/>
    <xf numFmtId="43" fontId="0" fillId="0" borderId="0" xfId="1" applyFont="1" applyFill="1" applyBorder="1"/>
    <xf numFmtId="0" fontId="3" fillId="0" borderId="0" xfId="4" applyAlignment="1">
      <alignment horizontal="left"/>
    </xf>
    <xf numFmtId="0" fontId="0" fillId="0" borderId="0" xfId="0" applyAlignment="1">
      <alignment wrapText="1"/>
    </xf>
    <xf numFmtId="3" fontId="0" fillId="0" borderId="0" xfId="0" applyNumberFormat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 applyBorder="1"/>
    <xf numFmtId="3" fontId="0" fillId="0" borderId="1" xfId="0" applyNumberFormat="1" applyBorder="1"/>
    <xf numFmtId="43" fontId="0" fillId="0" borderId="1" xfId="1" applyFont="1" applyFill="1" applyBorder="1"/>
    <xf numFmtId="43" fontId="0" fillId="0" borderId="1" xfId="0" applyNumberFormat="1" applyBorder="1"/>
    <xf numFmtId="43" fontId="0" fillId="0" borderId="1" xfId="1" applyFont="1" applyFill="1" applyBorder="1" applyAlignment="1">
      <alignment horizontal="center" wrapText="1"/>
    </xf>
    <xf numFmtId="43" fontId="0" fillId="0" borderId="0" xfId="1" applyFont="1" applyBorder="1" applyAlignment="1">
      <alignment horizontal="center" wrapText="1"/>
    </xf>
    <xf numFmtId="43" fontId="0" fillId="0" borderId="0" xfId="1" applyFont="1" applyBorder="1" applyAlignment="1">
      <alignment wrapText="1"/>
    </xf>
    <xf numFmtId="0" fontId="0" fillId="0" borderId="0" xfId="0" applyAlignment="1">
      <alignment vertical="center"/>
    </xf>
    <xf numFmtId="3" fontId="0" fillId="0" borderId="3" xfId="0" applyNumberFormat="1" applyBorder="1"/>
    <xf numFmtId="43" fontId="0" fillId="0" borderId="3" xfId="1" applyFont="1" applyFill="1" applyBorder="1" applyAlignment="1">
      <alignment horizontal="center" wrapText="1"/>
    </xf>
    <xf numFmtId="43" fontId="0" fillId="0" borderId="3" xfId="1" applyFont="1" applyFill="1" applyBorder="1"/>
    <xf numFmtId="0" fontId="0" fillId="0" borderId="1" xfId="0" applyBorder="1" applyAlignment="1">
      <alignment vertical="center"/>
    </xf>
    <xf numFmtId="0" fontId="3" fillId="0" borderId="1" xfId="4" applyBorder="1" applyAlignment="1">
      <alignment horizontal="left"/>
    </xf>
    <xf numFmtId="167" fontId="0" fillId="0" borderId="1" xfId="1" applyNumberFormat="1" applyFont="1" applyFill="1" applyBorder="1"/>
    <xf numFmtId="0" fontId="7" fillId="0" borderId="0" xfId="4" applyFont="1" applyAlignment="1">
      <alignment horizontal="center"/>
    </xf>
    <xf numFmtId="43" fontId="0" fillId="0" borderId="0" xfId="1" applyFont="1" applyBorder="1"/>
    <xf numFmtId="167" fontId="0" fillId="0" borderId="0" xfId="1" applyNumberFormat="1" applyFont="1"/>
    <xf numFmtId="0" fontId="6" fillId="0" borderId="1" xfId="0" applyFont="1" applyBorder="1"/>
    <xf numFmtId="169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/>
    <xf numFmtId="0" fontId="2" fillId="0" borderId="0" xfId="0" applyFont="1"/>
    <xf numFmtId="168" fontId="2" fillId="0" borderId="0" xfId="1" applyNumberFormat="1" applyFont="1" applyBorder="1"/>
    <xf numFmtId="0" fontId="7" fillId="0" borderId="0" xfId="4" applyFont="1" applyAlignment="1">
      <alignment horizontal="left"/>
    </xf>
    <xf numFmtId="3" fontId="6" fillId="0" borderId="0" xfId="0" applyNumberFormat="1" applyFont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6" fillId="0" borderId="0" xfId="0" applyNumberFormat="1" applyFont="1"/>
    <xf numFmtId="3" fontId="6" fillId="0" borderId="1" xfId="0" applyNumberFormat="1" applyFont="1" applyBorder="1"/>
    <xf numFmtId="43" fontId="0" fillId="0" borderId="2" xfId="1" applyFont="1" applyFill="1" applyBorder="1"/>
    <xf numFmtId="44" fontId="0" fillId="0" borderId="0" xfId="2" applyFont="1" applyFill="1" applyBorder="1"/>
    <xf numFmtId="44" fontId="0" fillId="0" borderId="1" xfId="2" applyFont="1" applyFill="1" applyBorder="1"/>
    <xf numFmtId="167" fontId="0" fillId="0" borderId="3" xfId="0" applyNumberFormat="1" applyBorder="1"/>
    <xf numFmtId="167" fontId="0" fillId="0" borderId="0" xfId="0" applyNumberFormat="1"/>
    <xf numFmtId="167" fontId="0" fillId="0" borderId="1" xfId="0" applyNumberFormat="1" applyBorder="1"/>
    <xf numFmtId="167" fontId="6" fillId="0" borderId="0" xfId="0" applyNumberFormat="1" applyFont="1"/>
    <xf numFmtId="167" fontId="6" fillId="0" borderId="1" xfId="0" applyNumberFormat="1" applyFont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0" fontId="0" fillId="0" borderId="2" xfId="0" applyBorder="1"/>
    <xf numFmtId="0" fontId="7" fillId="0" borderId="2" xfId="4" applyFont="1" applyBorder="1" applyAlignment="1">
      <alignment horizontal="left"/>
    </xf>
    <xf numFmtId="0" fontId="0" fillId="0" borderId="2" xfId="0" applyBorder="1" applyAlignment="1">
      <alignment vertical="center" textRotation="90"/>
    </xf>
    <xf numFmtId="0" fontId="7" fillId="0" borderId="2" xfId="4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7" fontId="6" fillId="0" borderId="2" xfId="0" applyNumberFormat="1" applyFont="1" applyBorder="1"/>
    <xf numFmtId="43" fontId="6" fillId="0" borderId="2" xfId="1" applyFont="1" applyBorder="1" applyAlignment="1">
      <alignment horizontal="center" wrapText="1"/>
    </xf>
    <xf numFmtId="3" fontId="6" fillId="0" borderId="2" xfId="0" applyNumberFormat="1" applyFont="1" applyBorder="1"/>
    <xf numFmtId="0" fontId="7" fillId="0" borderId="0" xfId="4" applyFont="1" applyAlignment="1">
      <alignment horizontal="center" vertical="center"/>
    </xf>
    <xf numFmtId="164" fontId="0" fillId="0" borderId="3" xfId="1" applyNumberFormat="1" applyFont="1" applyFill="1" applyBorder="1"/>
    <xf numFmtId="164" fontId="6" fillId="0" borderId="1" xfId="0" applyNumberFormat="1" applyFont="1" applyBorder="1"/>
    <xf numFmtId="164" fontId="6" fillId="0" borderId="1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164" fontId="6" fillId="0" borderId="2" xfId="0" applyNumberFormat="1" applyFont="1" applyBorder="1"/>
    <xf numFmtId="44" fontId="0" fillId="0" borderId="0" xfId="1" applyNumberFormat="1" applyFont="1" applyFill="1" applyBorder="1" applyAlignment="1">
      <alignment horizontal="center" wrapText="1"/>
    </xf>
    <xf numFmtId="44" fontId="0" fillId="0" borderId="1" xfId="1" applyNumberFormat="1" applyFont="1" applyFill="1" applyBorder="1" applyAlignment="1">
      <alignment horizontal="center" wrapText="1"/>
    </xf>
    <xf numFmtId="44" fontId="6" fillId="0" borderId="2" xfId="1" applyNumberFormat="1" applyFont="1" applyFill="1" applyBorder="1" applyAlignment="1">
      <alignment horizontal="center" wrapText="1"/>
    </xf>
    <xf numFmtId="44" fontId="6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7" fillId="0" borderId="4" xfId="4" applyFont="1" applyBorder="1" applyAlignment="1">
      <alignment horizontal="left"/>
    </xf>
    <xf numFmtId="3" fontId="6" fillId="0" borderId="4" xfId="0" applyNumberFormat="1" applyFont="1" applyBorder="1"/>
    <xf numFmtId="2" fontId="0" fillId="0" borderId="4" xfId="0" applyNumberFormat="1" applyBorder="1"/>
    <xf numFmtId="164" fontId="6" fillId="0" borderId="4" xfId="0" applyNumberFormat="1" applyFont="1" applyBorder="1"/>
    <xf numFmtId="0" fontId="6" fillId="0" borderId="1" xfId="0" applyFont="1" applyBorder="1" applyAlignment="1">
      <alignment horizontal="center" vertical="center"/>
    </xf>
    <xf numFmtId="164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44" fontId="6" fillId="0" borderId="0" xfId="0" applyNumberFormat="1" applyFont="1"/>
    <xf numFmtId="43" fontId="0" fillId="0" borderId="0" xfId="1" applyFont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0" xfId="0" applyFont="1"/>
    <xf numFmtId="0" fontId="0" fillId="0" borderId="2" xfId="0" applyBorder="1" applyAlignment="1">
      <alignment horizontal="center" vertical="center" textRotation="90"/>
    </xf>
    <xf numFmtId="164" fontId="0" fillId="0" borderId="1" xfId="0" applyNumberFormat="1" applyBorder="1"/>
    <xf numFmtId="44" fontId="0" fillId="17" borderId="0" xfId="2" applyFont="1" applyFill="1"/>
    <xf numFmtId="44" fontId="0" fillId="17" borderId="1" xfId="2" applyFont="1" applyFill="1" applyBorder="1"/>
    <xf numFmtId="0" fontId="0" fillId="17" borderId="1" xfId="0" applyFill="1" applyBorder="1"/>
    <xf numFmtId="0" fontId="0" fillId="17" borderId="1" xfId="0" applyFill="1" applyBorder="1" applyAlignment="1">
      <alignment horizontal="center" wrapText="1"/>
    </xf>
    <xf numFmtId="44" fontId="0" fillId="17" borderId="0" xfId="1" applyNumberFormat="1" applyFont="1" applyFill="1" applyBorder="1"/>
    <xf numFmtId="44" fontId="0" fillId="17" borderId="0" xfId="2" applyFont="1" applyFill="1" applyBorder="1"/>
    <xf numFmtId="44" fontId="0" fillId="17" borderId="1" xfId="1" applyNumberFormat="1" applyFont="1" applyFill="1" applyBorder="1"/>
    <xf numFmtId="44" fontId="0" fillId="17" borderId="3" xfId="1" applyNumberFormat="1" applyFont="1" applyFill="1" applyBorder="1"/>
    <xf numFmtId="44" fontId="0" fillId="17" borderId="0" xfId="1" applyNumberFormat="1" applyFont="1" applyFill="1" applyBorder="1" applyAlignment="1">
      <alignment horizontal="center" wrapText="1"/>
    </xf>
    <xf numFmtId="44" fontId="0" fillId="17" borderId="1" xfId="1" applyNumberFormat="1" applyFont="1" applyFill="1" applyBorder="1" applyAlignment="1">
      <alignment horizontal="center" wrapText="1"/>
    </xf>
    <xf numFmtId="3" fontId="0" fillId="17" borderId="0" xfId="0" applyNumberFormat="1" applyFill="1"/>
    <xf numFmtId="3" fontId="0" fillId="17" borderId="1" xfId="0" applyNumberFormat="1" applyFill="1" applyBorder="1"/>
    <xf numFmtId="3" fontId="0" fillId="17" borderId="3" xfId="0" applyNumberFormat="1" applyFill="1" applyBorder="1"/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vertical="center"/>
    </xf>
    <xf numFmtId="0" fontId="3" fillId="17" borderId="0" xfId="4" applyFill="1" applyAlignment="1">
      <alignment horizontal="left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vertical="center"/>
    </xf>
    <xf numFmtId="0" fontId="3" fillId="17" borderId="1" xfId="4" applyFill="1" applyBorder="1" applyAlignment="1">
      <alignment horizontal="left"/>
    </xf>
    <xf numFmtId="0" fontId="0" fillId="17" borderId="3" xfId="0" applyFill="1" applyBorder="1" applyAlignment="1">
      <alignment vertical="center"/>
    </xf>
    <xf numFmtId="0" fontId="3" fillId="17" borderId="3" xfId="4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49" fontId="3" fillId="17" borderId="0" xfId="4" applyNumberFormat="1" applyFill="1" applyAlignment="1">
      <alignment horizontal="left"/>
    </xf>
    <xf numFmtId="167" fontId="0" fillId="0" borderId="2" xfId="0" applyNumberFormat="1" applyBorder="1"/>
    <xf numFmtId="43" fontId="0" fillId="0" borderId="2" xfId="0" applyNumberFormat="1" applyBorder="1"/>
    <xf numFmtId="164" fontId="0" fillId="0" borderId="2" xfId="1" applyNumberFormat="1" applyFont="1" applyFill="1" applyBorder="1"/>
    <xf numFmtId="3" fontId="0" fillId="18" borderId="0" xfId="0" applyNumberFormat="1" applyFill="1"/>
    <xf numFmtId="167" fontId="0" fillId="18" borderId="1" xfId="0" applyNumberFormat="1" applyFill="1" applyBorder="1"/>
    <xf numFmtId="167" fontId="0" fillId="18" borderId="0" xfId="0" applyNumberFormat="1" applyFill="1"/>
    <xf numFmtId="44" fontId="0" fillId="19" borderId="0" xfId="2" applyFont="1" applyFill="1" applyBorder="1"/>
    <xf numFmtId="44" fontId="0" fillId="19" borderId="1" xfId="2" applyFont="1" applyFill="1" applyBorder="1"/>
    <xf numFmtId="44" fontId="0" fillId="20" borderId="0" xfId="2" applyFont="1" applyFill="1" applyBorder="1"/>
    <xf numFmtId="44" fontId="0" fillId="20" borderId="1" xfId="2" applyFont="1" applyFill="1" applyBorder="1"/>
    <xf numFmtId="0" fontId="0" fillId="0" borderId="0" xfId="0" applyAlignment="1">
      <alignment horizontal="center" vertical="center"/>
    </xf>
    <xf numFmtId="49" fontId="3" fillId="0" borderId="0" xfId="4" applyNumberFormat="1" applyAlignment="1">
      <alignment horizontal="left"/>
    </xf>
    <xf numFmtId="44" fontId="0" fillId="21" borderId="0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</cellXfs>
  <cellStyles count="129">
    <cellStyle name="20% - Accent1 2" xfId="7" xr:uid="{00000000-0005-0000-0000-000000000000}"/>
    <cellStyle name="20% - Accent4 2" xfId="8" xr:uid="{00000000-0005-0000-0000-000001000000}"/>
    <cellStyle name="40% - Accent1 2" xfId="9" xr:uid="{00000000-0005-0000-0000-000002000000}"/>
    <cellStyle name="40% - Accent4 2" xfId="10" xr:uid="{00000000-0005-0000-0000-000003000000}"/>
    <cellStyle name="40% - Accent5 2" xfId="11" xr:uid="{00000000-0005-0000-0000-000004000000}"/>
    <cellStyle name="40% - Accent6 2" xfId="12" xr:uid="{00000000-0005-0000-0000-000005000000}"/>
    <cellStyle name="60% - Accent1 2" xfId="13" xr:uid="{00000000-0005-0000-0000-000006000000}"/>
    <cellStyle name="60% - Accent2 2" xfId="14" xr:uid="{00000000-0005-0000-0000-000007000000}"/>
    <cellStyle name="60% - Accent3 2" xfId="15" xr:uid="{00000000-0005-0000-0000-000008000000}"/>
    <cellStyle name="60% - Accent4 2" xfId="16" xr:uid="{00000000-0005-0000-0000-000009000000}"/>
    <cellStyle name="60% - Accent5 2" xfId="17" xr:uid="{00000000-0005-0000-0000-00000A000000}"/>
    <cellStyle name="Accent1 2" xfId="18" xr:uid="{00000000-0005-0000-0000-00000B000000}"/>
    <cellStyle name="Accent2 2" xfId="19" xr:uid="{00000000-0005-0000-0000-00000C000000}"/>
    <cellStyle name="Accent3 2" xfId="20" xr:uid="{00000000-0005-0000-0000-00000D000000}"/>
    <cellStyle name="Accent6 2" xfId="21" xr:uid="{00000000-0005-0000-0000-00000E000000}"/>
    <cellStyle name="Accounting" xfId="22" xr:uid="{00000000-0005-0000-0000-00000F000000}"/>
    <cellStyle name="Bad 2" xfId="23" xr:uid="{00000000-0005-0000-0000-000010000000}"/>
    <cellStyle name="Budget" xfId="24" xr:uid="{00000000-0005-0000-0000-000011000000}"/>
    <cellStyle name="Calculation 2" xfId="25" xr:uid="{00000000-0005-0000-0000-000012000000}"/>
    <cellStyle name="Comma" xfId="1" builtinId="3"/>
    <cellStyle name="Comma 10" xfId="26" xr:uid="{00000000-0005-0000-0000-000014000000}"/>
    <cellStyle name="Comma 11" xfId="27" xr:uid="{00000000-0005-0000-0000-000015000000}"/>
    <cellStyle name="Comma 12" xfId="28" xr:uid="{00000000-0005-0000-0000-000016000000}"/>
    <cellStyle name="Comma 13" xfId="29" xr:uid="{00000000-0005-0000-0000-000017000000}"/>
    <cellStyle name="Comma 14" xfId="30" xr:uid="{00000000-0005-0000-0000-000018000000}"/>
    <cellStyle name="Comma 15" xfId="31" xr:uid="{00000000-0005-0000-0000-000019000000}"/>
    <cellStyle name="Comma 16" xfId="32" xr:uid="{00000000-0005-0000-0000-00001A000000}"/>
    <cellStyle name="Comma 17" xfId="33" xr:uid="{00000000-0005-0000-0000-00001B000000}"/>
    <cellStyle name="Comma 2" xfId="5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3 2" xfId="37" xr:uid="{00000000-0005-0000-0000-000020000000}"/>
    <cellStyle name="Comma 3 2 2" xfId="38" xr:uid="{00000000-0005-0000-0000-000021000000}"/>
    <cellStyle name="Comma 3 3" xfId="39" xr:uid="{00000000-0005-0000-0000-000022000000}"/>
    <cellStyle name="Comma 4" xfId="40" xr:uid="{00000000-0005-0000-0000-000023000000}"/>
    <cellStyle name="Comma 4 2" xfId="41" xr:uid="{00000000-0005-0000-0000-000024000000}"/>
    <cellStyle name="Comma 4 3" xfId="42" xr:uid="{00000000-0005-0000-0000-000025000000}"/>
    <cellStyle name="Comma 4 4" xfId="43" xr:uid="{00000000-0005-0000-0000-000026000000}"/>
    <cellStyle name="Comma 4 5" xfId="44" xr:uid="{00000000-0005-0000-0000-000027000000}"/>
    <cellStyle name="Comma 5" xfId="45" xr:uid="{00000000-0005-0000-0000-000028000000}"/>
    <cellStyle name="Comma 6" xfId="46" xr:uid="{00000000-0005-0000-0000-000029000000}"/>
    <cellStyle name="Comma 7" xfId="47" xr:uid="{00000000-0005-0000-0000-00002A000000}"/>
    <cellStyle name="Comma 8" xfId="48" xr:uid="{00000000-0005-0000-0000-00002B000000}"/>
    <cellStyle name="Comma 9" xfId="49" xr:uid="{00000000-0005-0000-0000-00002C000000}"/>
    <cellStyle name="Comma(2)" xfId="50" xr:uid="{00000000-0005-0000-0000-00002D000000}"/>
    <cellStyle name="Comma0 - Style2" xfId="51" xr:uid="{00000000-0005-0000-0000-00002E000000}"/>
    <cellStyle name="Comma1 - Style1" xfId="52" xr:uid="{00000000-0005-0000-0000-00002F000000}"/>
    <cellStyle name="Comments" xfId="53" xr:uid="{00000000-0005-0000-0000-000030000000}"/>
    <cellStyle name="Currency" xfId="2" builtinId="4"/>
    <cellStyle name="Currency 2" xfId="6" xr:uid="{00000000-0005-0000-0000-000032000000}"/>
    <cellStyle name="Currency 2 2" xfId="54" xr:uid="{00000000-0005-0000-0000-000033000000}"/>
    <cellStyle name="Currency 3" xfId="55" xr:uid="{00000000-0005-0000-0000-000034000000}"/>
    <cellStyle name="Currency 4" xfId="56" xr:uid="{00000000-0005-0000-0000-000035000000}"/>
    <cellStyle name="Currency 5" xfId="57" xr:uid="{00000000-0005-0000-0000-000036000000}"/>
    <cellStyle name="Currency 6" xfId="58" xr:uid="{00000000-0005-0000-0000-000037000000}"/>
    <cellStyle name="Currency 7" xfId="59" xr:uid="{00000000-0005-0000-0000-000038000000}"/>
    <cellStyle name="Currency 9" xfId="60" xr:uid="{00000000-0005-0000-0000-000039000000}"/>
    <cellStyle name="Data Enter" xfId="61" xr:uid="{00000000-0005-0000-0000-00003A000000}"/>
    <cellStyle name="FactSheet" xfId="62" xr:uid="{00000000-0005-0000-0000-00003B000000}"/>
    <cellStyle name="Good 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yperlink 2" xfId="67" xr:uid="{00000000-0005-0000-0000-000040000000}"/>
    <cellStyle name="Hyperlink 3" xfId="68" xr:uid="{00000000-0005-0000-0000-000041000000}"/>
    <cellStyle name="input(0)" xfId="69" xr:uid="{00000000-0005-0000-0000-000042000000}"/>
    <cellStyle name="Input(2)" xfId="70" xr:uid="{00000000-0005-0000-0000-000043000000}"/>
    <cellStyle name="Linked Cell 2" xfId="71" xr:uid="{00000000-0005-0000-0000-000044000000}"/>
    <cellStyle name="Neutral 2" xfId="72" xr:uid="{00000000-0005-0000-0000-000045000000}"/>
    <cellStyle name="New_normal" xfId="73" xr:uid="{00000000-0005-0000-0000-000046000000}"/>
    <cellStyle name="Normal" xfId="0" builtinId="0"/>
    <cellStyle name="Normal - Style1" xfId="74" xr:uid="{00000000-0005-0000-0000-000048000000}"/>
    <cellStyle name="Normal - Style2" xfId="75" xr:uid="{00000000-0005-0000-0000-000049000000}"/>
    <cellStyle name="Normal - Style3" xfId="76" xr:uid="{00000000-0005-0000-0000-00004A000000}"/>
    <cellStyle name="Normal - Style4" xfId="77" xr:uid="{00000000-0005-0000-0000-00004B000000}"/>
    <cellStyle name="Normal - Style5" xfId="78" xr:uid="{00000000-0005-0000-0000-00004C000000}"/>
    <cellStyle name="Normal 10" xfId="79" xr:uid="{00000000-0005-0000-0000-00004D000000}"/>
    <cellStyle name="Normal 10 2" xfId="80" xr:uid="{00000000-0005-0000-0000-00004E000000}"/>
    <cellStyle name="Normal 11" xfId="81" xr:uid="{00000000-0005-0000-0000-00004F000000}"/>
    <cellStyle name="Normal 12" xfId="82" xr:uid="{00000000-0005-0000-0000-000050000000}"/>
    <cellStyle name="Normal 13" xfId="83" xr:uid="{00000000-0005-0000-0000-000051000000}"/>
    <cellStyle name="Normal 14" xfId="84" xr:uid="{00000000-0005-0000-0000-000052000000}"/>
    <cellStyle name="Normal 15" xfId="85" xr:uid="{00000000-0005-0000-0000-000053000000}"/>
    <cellStyle name="Normal 16" xfId="86" xr:uid="{00000000-0005-0000-0000-000054000000}"/>
    <cellStyle name="Normal 17" xfId="87" xr:uid="{00000000-0005-0000-0000-000055000000}"/>
    <cellStyle name="Normal 18" xfId="88" xr:uid="{00000000-0005-0000-0000-000056000000}"/>
    <cellStyle name="Normal 19" xfId="89" xr:uid="{00000000-0005-0000-0000-000057000000}"/>
    <cellStyle name="Normal 2" xfId="90" xr:uid="{00000000-0005-0000-0000-000058000000}"/>
    <cellStyle name="Normal 2 2" xfId="91" xr:uid="{00000000-0005-0000-0000-000059000000}"/>
    <cellStyle name="Normal 2 2 2" xfId="92" xr:uid="{00000000-0005-0000-0000-00005A000000}"/>
    <cellStyle name="Normal 2 2 3" xfId="93" xr:uid="{00000000-0005-0000-0000-00005B000000}"/>
    <cellStyle name="Normal 2 2_IS210PL" xfId="94" xr:uid="{00000000-0005-0000-0000-00005C000000}"/>
    <cellStyle name="Normal 2 3" xfId="95" xr:uid="{00000000-0005-0000-0000-00005D000000}"/>
    <cellStyle name="Normal 2 3 2" xfId="96" xr:uid="{00000000-0005-0000-0000-00005E000000}"/>
    <cellStyle name="Normal 2 3 3" xfId="97" xr:uid="{00000000-0005-0000-0000-00005F000000}"/>
    <cellStyle name="Normal 2 4" xfId="98" xr:uid="{00000000-0005-0000-0000-000060000000}"/>
    <cellStyle name="Normal 2 5" xfId="99" xr:uid="{00000000-0005-0000-0000-000061000000}"/>
    <cellStyle name="Normal 2_2180 Payroll Schedule 8-22-2011" xfId="100" xr:uid="{00000000-0005-0000-0000-000062000000}"/>
    <cellStyle name="Normal 20" xfId="101" xr:uid="{00000000-0005-0000-0000-000063000000}"/>
    <cellStyle name="Normal 3" xfId="102" xr:uid="{00000000-0005-0000-0000-000064000000}"/>
    <cellStyle name="Normal 3 2" xfId="103" xr:uid="{00000000-0005-0000-0000-000065000000}"/>
    <cellStyle name="Normal 3_2149 Depr 9-30-12" xfId="104" xr:uid="{00000000-0005-0000-0000-000066000000}"/>
    <cellStyle name="Normal 4" xfId="105" xr:uid="{00000000-0005-0000-0000-000067000000}"/>
    <cellStyle name="Normal 5" xfId="106" xr:uid="{00000000-0005-0000-0000-000068000000}"/>
    <cellStyle name="Normal 5 2" xfId="107" xr:uid="{00000000-0005-0000-0000-000069000000}"/>
    <cellStyle name="Normal 5_2183 UTC Depreciation 3 31 2012 Heather 6-6-2012" xfId="108" xr:uid="{00000000-0005-0000-0000-00006A000000}"/>
    <cellStyle name="Normal 6" xfId="109" xr:uid="{00000000-0005-0000-0000-00006B000000}"/>
    <cellStyle name="Normal 7" xfId="110" xr:uid="{00000000-0005-0000-0000-00006C000000}"/>
    <cellStyle name="Normal 8" xfId="111" xr:uid="{00000000-0005-0000-0000-00006D000000}"/>
    <cellStyle name="Normal 9" xfId="112" xr:uid="{00000000-0005-0000-0000-00006E000000}"/>
    <cellStyle name="Normal_Price out" xfId="4" xr:uid="{00000000-0005-0000-0000-00006F000000}"/>
    <cellStyle name="Note 2" xfId="113" xr:uid="{00000000-0005-0000-0000-000070000000}"/>
    <cellStyle name="Notes" xfId="114" xr:uid="{00000000-0005-0000-0000-000071000000}"/>
    <cellStyle name="Percent" xfId="3" builtinId="5"/>
    <cellStyle name="Percent 2" xfId="115" xr:uid="{00000000-0005-0000-0000-000073000000}"/>
    <cellStyle name="Percent 2 2" xfId="116" xr:uid="{00000000-0005-0000-0000-000074000000}"/>
    <cellStyle name="Percent 3" xfId="117" xr:uid="{00000000-0005-0000-0000-000075000000}"/>
    <cellStyle name="Percent 4" xfId="118" xr:uid="{00000000-0005-0000-0000-000076000000}"/>
    <cellStyle name="Percent 4 2" xfId="119" xr:uid="{00000000-0005-0000-0000-000077000000}"/>
    <cellStyle name="Percent 7" xfId="120" xr:uid="{00000000-0005-0000-0000-000078000000}"/>
    <cellStyle name="Percent(1)" xfId="121" xr:uid="{00000000-0005-0000-0000-000079000000}"/>
    <cellStyle name="Percent(2)" xfId="122" xr:uid="{00000000-0005-0000-0000-00007A000000}"/>
    <cellStyle name="PRM" xfId="123" xr:uid="{00000000-0005-0000-0000-00007B000000}"/>
    <cellStyle name="PSChar" xfId="124" xr:uid="{00000000-0005-0000-0000-00007C000000}"/>
    <cellStyle name="PSHeading" xfId="125" xr:uid="{00000000-0005-0000-0000-00007D000000}"/>
    <cellStyle name="Style 1" xfId="126" xr:uid="{00000000-0005-0000-0000-00007E000000}"/>
    <cellStyle name="STYLE1" xfId="127" xr:uid="{00000000-0005-0000-0000-00007F000000}"/>
    <cellStyle name="Total 2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3/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CNX%20Stuff/Excel/Financials/Excel%20Financials/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Young, Mike (UTC)" id="{808A1B86-60D6-48A9-AC6E-4DBC2E63A4E7}" userId="S::mike.young@utc.wa.gov::a35008aa-c43d-497f-8685-ae5ddd15f6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0" dT="2023-04-05T17:59:10.37" personId="{808A1B86-60D6-48A9-AC6E-4DBC2E63A4E7}" id="{BFF3E5BA-0F61-48E7-91EB-D8689F96B01C}">
    <text>Weights doubled due to information from company in which overweight boxes caused a cable to snap when trying to empty the box into the truck.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workbookViewId="0">
      <selection activeCell="B28" sqref="B28"/>
    </sheetView>
  </sheetViews>
  <sheetFormatPr defaultRowHeight="15"/>
  <sheetData>
    <row r="2" spans="1:3">
      <c r="A2" s="101" t="s">
        <v>0</v>
      </c>
    </row>
    <row r="4" spans="1:3">
      <c r="B4" t="s">
        <v>1</v>
      </c>
    </row>
    <row r="5" spans="1:3">
      <c r="C5" t="s">
        <v>2</v>
      </c>
    </row>
    <row r="6" spans="1:3">
      <c r="C6" t="s">
        <v>3</v>
      </c>
    </row>
    <row r="7" spans="1:3">
      <c r="C7" t="s">
        <v>4</v>
      </c>
    </row>
    <row r="9" spans="1:3">
      <c r="B9" t="s">
        <v>5</v>
      </c>
    </row>
    <row r="10" spans="1:3">
      <c r="C10" t="s">
        <v>6</v>
      </c>
    </row>
    <row r="12" spans="1:3">
      <c r="B12" t="s">
        <v>7</v>
      </c>
    </row>
    <row r="13" spans="1:3">
      <c r="C13" t="s">
        <v>8</v>
      </c>
    </row>
    <row r="14" spans="1:3">
      <c r="C14" t="s">
        <v>9</v>
      </c>
    </row>
    <row r="15" spans="1:3">
      <c r="C15" t="s">
        <v>10</v>
      </c>
    </row>
    <row r="17" spans="2:3">
      <c r="B17" t="s">
        <v>11</v>
      </c>
    </row>
    <row r="18" spans="2:3">
      <c r="C18" t="s">
        <v>12</v>
      </c>
    </row>
    <row r="19" spans="2:3">
      <c r="C19" t="s">
        <v>13</v>
      </c>
    </row>
    <row r="21" spans="2:3">
      <c r="B21" t="s">
        <v>14</v>
      </c>
    </row>
    <row r="22" spans="2:3">
      <c r="C22" t="s">
        <v>15</v>
      </c>
    </row>
    <row r="23" spans="2:3">
      <c r="C23" t="s">
        <v>16</v>
      </c>
    </row>
    <row r="24" spans="2:3">
      <c r="C24" t="s">
        <v>17</v>
      </c>
    </row>
    <row r="25" spans="2:3">
      <c r="C25" t="s">
        <v>18</v>
      </c>
    </row>
    <row r="27" spans="2:3">
      <c r="B27" t="s">
        <v>19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opLeftCell="A13" workbookViewId="0">
      <selection activeCell="B25" sqref="B25"/>
    </sheetView>
  </sheetViews>
  <sheetFormatPr defaultRowHeight="15"/>
  <cols>
    <col min="1" max="1" width="32.7109375" bestFit="1" customWidth="1"/>
    <col min="2" max="2" width="12.140625" customWidth="1"/>
    <col min="3" max="3" width="9.28515625" bestFit="1" customWidth="1"/>
    <col min="4" max="4" width="5.7109375" bestFit="1" customWidth="1"/>
    <col min="5" max="5" width="10.85546875" customWidth="1"/>
    <col min="6" max="6" width="9" bestFit="1" customWidth="1"/>
  </cols>
  <sheetData>
    <row r="1" spans="1:7">
      <c r="A1" s="42" t="s">
        <v>20</v>
      </c>
    </row>
    <row r="2" spans="1:7">
      <c r="A2" s="42" t="s">
        <v>21</v>
      </c>
    </row>
    <row r="3" spans="1:7">
      <c r="A3" s="42" t="s">
        <v>22</v>
      </c>
    </row>
    <row r="4" spans="1:7">
      <c r="A4" s="42"/>
      <c r="D4" s="142" t="s">
        <v>23</v>
      </c>
      <c r="E4" s="142"/>
      <c r="F4" s="142"/>
      <c r="G4" s="142"/>
    </row>
    <row r="5" spans="1:7">
      <c r="D5" s="97" t="s">
        <v>24</v>
      </c>
      <c r="E5" s="97" t="s">
        <v>25</v>
      </c>
      <c r="F5" s="97" t="s">
        <v>26</v>
      </c>
      <c r="G5" s="97" t="s">
        <v>27</v>
      </c>
    </row>
    <row r="6" spans="1:7">
      <c r="A6" t="s">
        <v>28</v>
      </c>
      <c r="D6" s="99">
        <f>52*2/12</f>
        <v>8.6666666666666661</v>
      </c>
      <c r="E6" s="99">
        <f>D6*2</f>
        <v>17.333333333333332</v>
      </c>
      <c r="F6" s="99">
        <f>D6*3</f>
        <v>26</v>
      </c>
      <c r="G6" s="99">
        <f>D6*4</f>
        <v>34.666666666666664</v>
      </c>
    </row>
    <row r="7" spans="1:7">
      <c r="A7" t="s">
        <v>29</v>
      </c>
      <c r="D7" s="99">
        <f>52/12</f>
        <v>4.333333333333333</v>
      </c>
      <c r="E7" s="99">
        <f t="shared" ref="E7:E9" si="0">D7*2</f>
        <v>8.6666666666666661</v>
      </c>
      <c r="F7" s="99">
        <f t="shared" ref="F7:F9" si="1">D7*3</f>
        <v>13</v>
      </c>
      <c r="G7" s="99">
        <f t="shared" ref="G7:G9" si="2">D7*4</f>
        <v>17.333333333333332</v>
      </c>
    </row>
    <row r="8" spans="1:7">
      <c r="A8" t="s">
        <v>30</v>
      </c>
      <c r="D8" s="99">
        <f>26/12</f>
        <v>2.1666666666666665</v>
      </c>
      <c r="E8" s="99">
        <f t="shared" si="0"/>
        <v>4.333333333333333</v>
      </c>
      <c r="F8" s="99">
        <f t="shared" si="1"/>
        <v>6.5</v>
      </c>
      <c r="G8" s="99">
        <f t="shared" si="2"/>
        <v>8.6666666666666661</v>
      </c>
    </row>
    <row r="9" spans="1:7">
      <c r="A9" t="s">
        <v>31</v>
      </c>
      <c r="D9" s="99">
        <f>12/12</f>
        <v>1</v>
      </c>
      <c r="E9" s="99">
        <f t="shared" si="0"/>
        <v>2</v>
      </c>
      <c r="F9" s="99">
        <f t="shared" si="1"/>
        <v>3</v>
      </c>
      <c r="G9" s="99">
        <f t="shared" si="2"/>
        <v>4</v>
      </c>
    </row>
    <row r="11" spans="1:7">
      <c r="A11" t="s">
        <v>32</v>
      </c>
      <c r="B11">
        <v>2000</v>
      </c>
    </row>
    <row r="12" spans="1:7">
      <c r="A12" t="s">
        <v>33</v>
      </c>
      <c r="B12" s="125" t="s">
        <v>34</v>
      </c>
    </row>
    <row r="14" spans="1:7">
      <c r="A14" s="40" t="s">
        <v>35</v>
      </c>
      <c r="B14" s="97" t="s">
        <v>36</v>
      </c>
      <c r="C14" s="1" t="s">
        <v>37</v>
      </c>
      <c r="E14" s="40" t="s">
        <v>38</v>
      </c>
      <c r="F14" s="1"/>
    </row>
    <row r="15" spans="1:7">
      <c r="A15" t="s">
        <v>39</v>
      </c>
      <c r="B15" s="104">
        <v>176</v>
      </c>
      <c r="C15" s="8">
        <f>B15/2000</f>
        <v>8.7999999999999995E-2</v>
      </c>
      <c r="E15" t="s">
        <v>40</v>
      </c>
      <c r="F15" s="41">
        <f>0.015</f>
        <v>1.4999999999999999E-2</v>
      </c>
    </row>
    <row r="16" spans="1:7">
      <c r="A16" t="s">
        <v>41</v>
      </c>
      <c r="B16" s="105">
        <v>193</v>
      </c>
      <c r="C16" s="9">
        <f>B16/2000</f>
        <v>9.6500000000000002E-2</v>
      </c>
      <c r="E16" t="s">
        <v>42</v>
      </c>
      <c r="F16" s="1">
        <f>0.004275</f>
        <v>4.2750000000000002E-3</v>
      </c>
    </row>
    <row r="17" spans="1:10">
      <c r="A17" t="s">
        <v>43</v>
      </c>
      <c r="B17" s="5">
        <f>B16-B15</f>
        <v>17</v>
      </c>
      <c r="C17" s="8">
        <f>C16-C15</f>
        <v>8.5000000000000075E-3</v>
      </c>
      <c r="E17" t="s">
        <v>44</v>
      </c>
      <c r="F17">
        <f>SUM(F15:F16)</f>
        <v>1.9275E-2</v>
      </c>
    </row>
    <row r="18" spans="1:10">
      <c r="E18" t="s">
        <v>45</v>
      </c>
      <c r="F18">
        <f>1-F17</f>
        <v>0.98072499999999996</v>
      </c>
    </row>
    <row r="20" spans="1:10">
      <c r="A20" t="s">
        <v>46</v>
      </c>
      <c r="B20" s="13">
        <f>B17</f>
        <v>17</v>
      </c>
      <c r="C20" s="13"/>
      <c r="E20" t="s">
        <v>47</v>
      </c>
    </row>
    <row r="21" spans="1:10">
      <c r="A21" t="s">
        <v>48</v>
      </c>
      <c r="B21" s="13">
        <f>B20/F18</f>
        <v>17.334115067934437</v>
      </c>
    </row>
    <row r="22" spans="1:10">
      <c r="A22" t="s">
        <v>49</v>
      </c>
      <c r="B22" s="106">
        <v>703</v>
      </c>
    </row>
    <row r="23" spans="1:10">
      <c r="A23" s="42" t="s">
        <v>50</v>
      </c>
      <c r="B23" s="98">
        <f>B21*B22</f>
        <v>12185.882892757909</v>
      </c>
    </row>
    <row r="25" spans="1:10">
      <c r="A25" t="s">
        <v>51</v>
      </c>
      <c r="B25" s="6" t="e">
        <f>Calculations!R86</f>
        <v>#VALUE!</v>
      </c>
    </row>
    <row r="26" spans="1:10">
      <c r="A26" s="43" t="s">
        <v>52</v>
      </c>
      <c r="B26" s="13" t="e">
        <f>B25-B23</f>
        <v>#VALUE!</v>
      </c>
      <c r="J26">
        <v>703</v>
      </c>
    </row>
    <row r="27" spans="1:10">
      <c r="E27" s="100" t="s">
        <v>53</v>
      </c>
      <c r="F27" s="1"/>
    </row>
    <row r="28" spans="1:10">
      <c r="A28" s="42"/>
      <c r="B28" s="98"/>
      <c r="E28">
        <v>0.01</v>
      </c>
    </row>
    <row r="29" spans="1:10">
      <c r="A29" s="43"/>
      <c r="B29" s="13"/>
      <c r="C29" s="16"/>
    </row>
  </sheetData>
  <mergeCells count="1">
    <mergeCell ref="D4:G4"/>
  </mergeCells>
  <pageMargins left="0.28000000000000003" right="0.5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0"/>
  <sheetViews>
    <sheetView tabSelected="1"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N25" sqref="N25"/>
    </sheetView>
  </sheetViews>
  <sheetFormatPr defaultColWidth="8.85546875" defaultRowHeight="15"/>
  <cols>
    <col min="1" max="1" width="4.5703125" bestFit="1" customWidth="1"/>
    <col min="2" max="2" width="4.5703125" customWidth="1"/>
    <col min="3" max="3" width="5.5703125" bestFit="1" customWidth="1"/>
    <col min="4" max="4" width="27" bestFit="1" customWidth="1"/>
    <col min="5" max="5" width="12.5703125" bestFit="1" customWidth="1"/>
    <col min="6" max="6" width="9.28515625" bestFit="1" customWidth="1"/>
    <col min="7" max="7" width="10.5703125" bestFit="1" customWidth="1"/>
    <col min="8" max="8" width="13.42578125" bestFit="1" customWidth="1"/>
    <col min="9" max="9" width="15.7109375" bestFit="1" customWidth="1"/>
    <col min="10" max="10" width="14.140625" bestFit="1" customWidth="1"/>
    <col min="11" max="12" width="10.140625" bestFit="1" customWidth="1"/>
    <col min="13" max="13" width="7.85546875" bestFit="1" customWidth="1"/>
    <col min="14" max="14" width="9" bestFit="1" customWidth="1"/>
    <col min="15" max="15" width="8.7109375" bestFit="1" customWidth="1"/>
    <col min="16" max="17" width="9.85546875" bestFit="1" customWidth="1"/>
    <col min="18" max="18" width="11.140625" bestFit="1" customWidth="1"/>
  </cols>
  <sheetData>
    <row r="1" spans="1:18">
      <c r="D1" s="42" t="s">
        <v>20</v>
      </c>
      <c r="K1" s="47"/>
      <c r="L1" s="48"/>
      <c r="M1" s="48"/>
    </row>
    <row r="2" spans="1:18">
      <c r="D2" s="42" t="s">
        <v>21</v>
      </c>
      <c r="G2">
        <f>E46*2.17*12</f>
        <v>1197.8399999999999</v>
      </c>
      <c r="K2" s="47"/>
      <c r="L2" s="48"/>
      <c r="M2" s="48"/>
    </row>
    <row r="3" spans="1:18">
      <c r="D3" s="42" t="s">
        <v>22</v>
      </c>
      <c r="K3" s="47"/>
      <c r="L3" s="48"/>
      <c r="M3" s="48"/>
    </row>
    <row r="4" spans="1:18">
      <c r="K4" s="47"/>
      <c r="L4" s="47"/>
      <c r="M4" s="47"/>
    </row>
    <row r="5" spans="1:18" ht="60">
      <c r="A5" s="1"/>
      <c r="B5" s="2" t="s">
        <v>54</v>
      </c>
      <c r="C5" s="2" t="s">
        <v>55</v>
      </c>
      <c r="D5" s="95" t="s">
        <v>56</v>
      </c>
      <c r="E5" s="2" t="s">
        <v>57</v>
      </c>
      <c r="F5" s="2" t="s">
        <v>58</v>
      </c>
      <c r="G5" s="1" t="s">
        <v>59</v>
      </c>
      <c r="H5" s="3" t="s">
        <v>60</v>
      </c>
      <c r="I5" s="3" t="s">
        <v>61</v>
      </c>
      <c r="J5" s="3" t="s">
        <v>62</v>
      </c>
      <c r="K5" s="2" t="s">
        <v>43</v>
      </c>
      <c r="L5" s="3" t="s">
        <v>63</v>
      </c>
      <c r="M5" s="3" t="s">
        <v>64</v>
      </c>
      <c r="N5" s="107" t="s">
        <v>65</v>
      </c>
      <c r="O5" s="3" t="s">
        <v>66</v>
      </c>
      <c r="P5" s="3" t="s">
        <v>67</v>
      </c>
      <c r="Q5" s="3" t="s">
        <v>68</v>
      </c>
      <c r="R5" s="3" t="s">
        <v>69</v>
      </c>
    </row>
    <row r="6" spans="1:18">
      <c r="A6" s="143" t="s">
        <v>70</v>
      </c>
      <c r="B6" s="117">
        <v>100</v>
      </c>
      <c r="C6" s="118">
        <v>24</v>
      </c>
      <c r="D6" s="119" t="s">
        <v>71</v>
      </c>
      <c r="E6" s="132">
        <v>1</v>
      </c>
      <c r="F6" s="18">
        <f>References!$D$7</f>
        <v>4.333333333333333</v>
      </c>
      <c r="G6" s="134">
        <f>E6*F6*12</f>
        <v>52</v>
      </c>
      <c r="H6" s="4">
        <v>20</v>
      </c>
      <c r="I6" s="4">
        <f>G6*H6</f>
        <v>1040</v>
      </c>
      <c r="J6" s="22">
        <f t="shared" ref="J6:J30" si="0">$E$125*I6</f>
        <v>871.20751087949259</v>
      </c>
      <c r="K6" s="52">
        <f>References!$C$17*J6</f>
        <v>7.4052638424756934</v>
      </c>
      <c r="L6" s="59">
        <f>K6/References!$F$18</f>
        <v>7.5508056208169405</v>
      </c>
      <c r="M6" s="59">
        <f>L6/G6*F6</f>
        <v>0.62923380173474497</v>
      </c>
      <c r="N6" s="108">
        <v>19.43</v>
      </c>
      <c r="O6" s="59">
        <f>MROUND(N6+M6,References!$E$28)</f>
        <v>20.059999999999999</v>
      </c>
      <c r="P6" s="54">
        <f t="shared" ref="P6:P14" si="1">E6*N6*12</f>
        <v>233.16</v>
      </c>
      <c r="Q6" s="54">
        <f t="shared" ref="Q6:Q14" si="2">E6*O6*12</f>
        <v>240.71999999999997</v>
      </c>
      <c r="R6" s="54">
        <f>Q6-P6</f>
        <v>7.5599999999999739</v>
      </c>
    </row>
    <row r="7" spans="1:18" ht="15" customHeight="1">
      <c r="A7" s="143"/>
      <c r="B7" s="117">
        <v>100</v>
      </c>
      <c r="C7" s="118">
        <v>24</v>
      </c>
      <c r="D7" s="119" t="s">
        <v>84</v>
      </c>
      <c r="E7" s="114">
        <v>112</v>
      </c>
      <c r="F7" s="18">
        <f>References!$D$7</f>
        <v>4.333333333333333</v>
      </c>
      <c r="G7" s="62">
        <f>E7*F7*12</f>
        <v>5824</v>
      </c>
      <c r="H7" s="4">
        <v>34</v>
      </c>
      <c r="I7" s="4">
        <f>G7*H7</f>
        <v>198016</v>
      </c>
      <c r="J7" s="22">
        <f t="shared" si="0"/>
        <v>165877.91007145541</v>
      </c>
      <c r="K7" s="52">
        <f>References!$C$17*J7</f>
        <v>1409.9622356073721</v>
      </c>
      <c r="L7" s="59">
        <f>K7/References!$F$18</f>
        <v>1437.6733902035455</v>
      </c>
      <c r="M7" s="59">
        <f t="shared" ref="M7:M30" si="3">L7/G7*F7</f>
        <v>1.0696974629490665</v>
      </c>
      <c r="N7" s="109">
        <v>24.27</v>
      </c>
      <c r="O7" s="59">
        <f>MROUND(N7+M7,References!$E$28)</f>
        <v>25.34</v>
      </c>
      <c r="P7" s="96">
        <f t="shared" si="1"/>
        <v>32618.879999999997</v>
      </c>
      <c r="Q7" s="96">
        <f t="shared" si="2"/>
        <v>34056.959999999999</v>
      </c>
      <c r="R7" s="96">
        <f>Q7-P7</f>
        <v>1438.0800000000017</v>
      </c>
    </row>
    <row r="8" spans="1:18">
      <c r="A8" s="143"/>
      <c r="B8" s="117">
        <v>100</v>
      </c>
      <c r="C8" s="118">
        <v>24</v>
      </c>
      <c r="D8" s="119" t="s">
        <v>85</v>
      </c>
      <c r="E8" s="114">
        <v>27</v>
      </c>
      <c r="F8" s="18">
        <f>References!$D$7</f>
        <v>4.333333333333333</v>
      </c>
      <c r="G8" s="62">
        <f t="shared" ref="G8:G62" si="4">E8*F8*12</f>
        <v>1403.9999999999998</v>
      </c>
      <c r="H8" s="4">
        <v>51</v>
      </c>
      <c r="I8" s="4">
        <f t="shared" ref="I8:I62" si="5">G8*H8</f>
        <v>71603.999999999985</v>
      </c>
      <c r="J8" s="22">
        <f t="shared" si="0"/>
        <v>59982.637124053057</v>
      </c>
      <c r="K8" s="52">
        <f>References!$C$17*J8</f>
        <v>509.85241555445145</v>
      </c>
      <c r="L8" s="59">
        <f>K8/References!$F$18</f>
        <v>519.87296699324634</v>
      </c>
      <c r="M8" s="59">
        <f t="shared" si="3"/>
        <v>1.6045461944236001</v>
      </c>
      <c r="N8" s="108">
        <v>33.99</v>
      </c>
      <c r="O8" s="59">
        <f>MROUND(N8+M8,References!$E$28)</f>
        <v>35.590000000000003</v>
      </c>
      <c r="P8" s="54">
        <f t="shared" si="1"/>
        <v>11012.76</v>
      </c>
      <c r="Q8" s="54">
        <f t="shared" si="2"/>
        <v>11531.16</v>
      </c>
      <c r="R8" s="54">
        <f t="shared" ref="R8:R62" si="6">Q8-P8</f>
        <v>518.39999999999964</v>
      </c>
    </row>
    <row r="9" spans="1:18">
      <c r="A9" s="143"/>
      <c r="B9" s="117">
        <v>100</v>
      </c>
      <c r="C9" s="118">
        <v>24</v>
      </c>
      <c r="D9" s="119" t="s">
        <v>86</v>
      </c>
      <c r="E9" s="114">
        <v>5</v>
      </c>
      <c r="F9" s="18">
        <f>References!$D$7</f>
        <v>4.333333333333333</v>
      </c>
      <c r="G9" s="62">
        <f t="shared" si="4"/>
        <v>260</v>
      </c>
      <c r="H9" s="4">
        <v>77</v>
      </c>
      <c r="I9" s="4">
        <f t="shared" si="5"/>
        <v>20020</v>
      </c>
      <c r="J9" s="22">
        <f t="shared" si="0"/>
        <v>16770.744584430231</v>
      </c>
      <c r="K9" s="52">
        <f>References!$C$17*J9</f>
        <v>142.5513289676571</v>
      </c>
      <c r="L9" s="59">
        <f>K9/References!$F$18</f>
        <v>145.35300820072609</v>
      </c>
      <c r="M9" s="59">
        <f t="shared" si="3"/>
        <v>2.4225501366787681</v>
      </c>
      <c r="N9" s="108">
        <v>42.32</v>
      </c>
      <c r="O9" s="59">
        <f>MROUND(N9+M9,References!$E$28)</f>
        <v>44.74</v>
      </c>
      <c r="P9" s="54">
        <f t="shared" si="1"/>
        <v>2539.1999999999998</v>
      </c>
      <c r="Q9" s="54">
        <f t="shared" si="2"/>
        <v>2684.4</v>
      </c>
      <c r="R9" s="54">
        <f t="shared" si="6"/>
        <v>145.20000000000027</v>
      </c>
    </row>
    <row r="10" spans="1:18">
      <c r="A10" s="143"/>
      <c r="B10" s="117">
        <v>100</v>
      </c>
      <c r="C10" s="118">
        <v>24</v>
      </c>
      <c r="D10" s="119" t="s">
        <v>87</v>
      </c>
      <c r="E10" s="114">
        <v>1</v>
      </c>
      <c r="F10" s="18">
        <f>References!$D$7</f>
        <v>4.333333333333333</v>
      </c>
      <c r="G10" s="62">
        <f t="shared" si="4"/>
        <v>52</v>
      </c>
      <c r="H10" s="4">
        <v>97</v>
      </c>
      <c r="I10" s="4">
        <f t="shared" si="5"/>
        <v>5044</v>
      </c>
      <c r="J10" s="22">
        <f t="shared" si="0"/>
        <v>4225.3564277655396</v>
      </c>
      <c r="K10" s="52">
        <f>References!$C$17*J10</f>
        <v>35.915529636007122</v>
      </c>
      <c r="L10" s="59">
        <f>K10/References!$F$18</f>
        <v>36.621407260962172</v>
      </c>
      <c r="M10" s="59">
        <f t="shared" si="3"/>
        <v>3.0517839384135139</v>
      </c>
      <c r="N10" s="108">
        <v>53.93</v>
      </c>
      <c r="O10" s="59">
        <f>MROUND(N10+M10,References!$E$28)</f>
        <v>56.980000000000004</v>
      </c>
      <c r="P10" s="54">
        <f t="shared" si="1"/>
        <v>647.16</v>
      </c>
      <c r="Q10" s="54">
        <f t="shared" si="2"/>
        <v>683.76</v>
      </c>
      <c r="R10" s="54">
        <f t="shared" si="6"/>
        <v>36.600000000000023</v>
      </c>
    </row>
    <row r="11" spans="1:18">
      <c r="A11" s="143"/>
      <c r="B11" s="117">
        <v>100</v>
      </c>
      <c r="C11" s="118">
        <v>24</v>
      </c>
      <c r="D11" s="119" t="s">
        <v>88</v>
      </c>
      <c r="E11" s="114">
        <v>0</v>
      </c>
      <c r="F11" s="18">
        <f>References!$D$7</f>
        <v>4.333333333333333</v>
      </c>
      <c r="G11" s="62">
        <f t="shared" si="4"/>
        <v>0</v>
      </c>
      <c r="H11" s="4">
        <v>117</v>
      </c>
      <c r="I11" s="4">
        <f t="shared" si="5"/>
        <v>0</v>
      </c>
      <c r="J11" s="22">
        <f t="shared" si="0"/>
        <v>0</v>
      </c>
      <c r="K11" s="52">
        <f>References!$C$17*J11</f>
        <v>0</v>
      </c>
      <c r="L11" s="59">
        <f>K11/References!$F$18</f>
        <v>0</v>
      </c>
      <c r="M11" s="59"/>
      <c r="N11" s="108">
        <v>63.32</v>
      </c>
      <c r="O11" s="135">
        <f>MROUND(N11+M11,References!$E$28)</f>
        <v>63.32</v>
      </c>
      <c r="P11" s="54">
        <f t="shared" si="1"/>
        <v>0</v>
      </c>
      <c r="Q11" s="54">
        <f t="shared" si="2"/>
        <v>0</v>
      </c>
      <c r="R11" s="54">
        <f t="shared" si="6"/>
        <v>0</v>
      </c>
    </row>
    <row r="12" spans="1:18">
      <c r="A12" s="143"/>
      <c r="B12" s="117">
        <v>100</v>
      </c>
      <c r="C12" s="118">
        <v>24</v>
      </c>
      <c r="D12" s="119" t="s">
        <v>89</v>
      </c>
      <c r="E12" s="114">
        <v>11</v>
      </c>
      <c r="F12" s="18">
        <f>References!$D$8</f>
        <v>2.1666666666666665</v>
      </c>
      <c r="G12" s="62">
        <f t="shared" si="4"/>
        <v>286</v>
      </c>
      <c r="H12" s="4">
        <v>34</v>
      </c>
      <c r="I12" s="4">
        <f t="shared" si="5"/>
        <v>9724</v>
      </c>
      <c r="J12" s="22">
        <f t="shared" si="0"/>
        <v>8145.7902267232557</v>
      </c>
      <c r="K12" s="52">
        <f>References!$C$17*J12</f>
        <v>69.239216927147737</v>
      </c>
      <c r="L12" s="59">
        <f>K12/References!$F$18</f>
        <v>70.600032554638389</v>
      </c>
      <c r="M12" s="59">
        <f t="shared" si="3"/>
        <v>0.53484873147453316</v>
      </c>
      <c r="N12" s="108">
        <v>19.66</v>
      </c>
      <c r="O12" s="59">
        <f>MROUND(N12+M12,References!$E$28)</f>
        <v>20.190000000000001</v>
      </c>
      <c r="P12" s="54">
        <f t="shared" si="1"/>
        <v>2595.12</v>
      </c>
      <c r="Q12" s="54">
        <f t="shared" si="2"/>
        <v>2665.08</v>
      </c>
      <c r="R12" s="54">
        <f t="shared" si="6"/>
        <v>69.960000000000036</v>
      </c>
    </row>
    <row r="13" spans="1:18">
      <c r="A13" s="143"/>
      <c r="B13" s="117">
        <v>100</v>
      </c>
      <c r="C13" s="118">
        <v>24</v>
      </c>
      <c r="D13" s="119" t="s">
        <v>90</v>
      </c>
      <c r="E13" s="114">
        <v>3</v>
      </c>
      <c r="F13" s="18">
        <f>References!D9</f>
        <v>1</v>
      </c>
      <c r="G13" s="62">
        <f t="shared" si="4"/>
        <v>36</v>
      </c>
      <c r="H13" s="4">
        <v>34</v>
      </c>
      <c r="I13" s="4">
        <f t="shared" si="5"/>
        <v>1224</v>
      </c>
      <c r="J13" s="22">
        <f t="shared" si="0"/>
        <v>1025.3442243427874</v>
      </c>
      <c r="K13" s="52">
        <f>References!$C$17*J13</f>
        <v>8.7154259069136994</v>
      </c>
      <c r="L13" s="59">
        <f>K13/References!$F$18</f>
        <v>8.8867173844999368</v>
      </c>
      <c r="M13" s="59">
        <f t="shared" si="3"/>
        <v>0.2468532606805538</v>
      </c>
      <c r="N13" s="108">
        <v>11.44</v>
      </c>
      <c r="O13" s="59">
        <f>MROUND(N13+M13,References!$E$28)</f>
        <v>11.69</v>
      </c>
      <c r="P13" s="54">
        <f t="shared" si="1"/>
        <v>411.84000000000003</v>
      </c>
      <c r="Q13" s="54">
        <f t="shared" si="2"/>
        <v>420.84000000000003</v>
      </c>
      <c r="R13" s="54">
        <f t="shared" si="6"/>
        <v>9</v>
      </c>
    </row>
    <row r="14" spans="1:18">
      <c r="A14" s="143"/>
      <c r="B14" s="117">
        <v>100</v>
      </c>
      <c r="C14" s="118">
        <v>24</v>
      </c>
      <c r="D14" s="119" t="s">
        <v>91</v>
      </c>
      <c r="E14" s="114">
        <v>17</v>
      </c>
      <c r="F14" s="18">
        <v>4.33</v>
      </c>
      <c r="G14" s="62">
        <f t="shared" si="4"/>
        <v>883.31999999999994</v>
      </c>
      <c r="H14" s="4">
        <v>37</v>
      </c>
      <c r="I14" s="4">
        <f t="shared" si="5"/>
        <v>32682.839999999997</v>
      </c>
      <c r="J14" s="22">
        <f t="shared" si="0"/>
        <v>27378.399696992994</v>
      </c>
      <c r="K14" s="52">
        <f>References!$C$17*J14</f>
        <v>232.71639742444066</v>
      </c>
      <c r="L14" s="59">
        <f>K14/References!$F$18</f>
        <v>237.29016536178915</v>
      </c>
      <c r="M14" s="59">
        <f t="shared" si="3"/>
        <v>1.1631870851068096</v>
      </c>
      <c r="N14" s="108">
        <v>29.71</v>
      </c>
      <c r="O14" s="59">
        <f>MROUND(N14+M14,References!$E$28)</f>
        <v>30.87</v>
      </c>
      <c r="P14" s="54">
        <f t="shared" si="1"/>
        <v>6060.84</v>
      </c>
      <c r="Q14" s="54">
        <f t="shared" si="2"/>
        <v>6297.48</v>
      </c>
      <c r="R14" s="54">
        <f t="shared" si="6"/>
        <v>236.63999999999942</v>
      </c>
    </row>
    <row r="15" spans="1:18" ht="14.45" customHeight="1">
      <c r="A15" s="143"/>
      <c r="B15" s="117">
        <v>100</v>
      </c>
      <c r="C15" s="118">
        <v>24</v>
      </c>
      <c r="D15" s="119" t="s">
        <v>92</v>
      </c>
      <c r="E15" s="114">
        <v>10</v>
      </c>
      <c r="F15" s="18">
        <v>4.33</v>
      </c>
      <c r="G15" s="62">
        <f t="shared" si="4"/>
        <v>519.59999999999991</v>
      </c>
      <c r="H15" s="4">
        <v>37</v>
      </c>
      <c r="I15" s="4">
        <f t="shared" si="5"/>
        <v>19225.199999999997</v>
      </c>
      <c r="J15" s="22">
        <f t="shared" si="0"/>
        <v>16104.940998231172</v>
      </c>
      <c r="K15" s="52">
        <f>References!$C$17*J15</f>
        <v>136.89199848496509</v>
      </c>
      <c r="L15" s="59">
        <f>K15/References!$F$18</f>
        <v>139.58245021281715</v>
      </c>
      <c r="M15" s="59">
        <f t="shared" si="3"/>
        <v>1.1631870851068098</v>
      </c>
      <c r="N15" s="108">
        <v>37.78</v>
      </c>
      <c r="O15" s="59">
        <f>MROUND(N15+M15,References!$E$28)</f>
        <v>38.94</v>
      </c>
      <c r="P15" s="54">
        <f>G15*N15</f>
        <v>19630.487999999998</v>
      </c>
      <c r="Q15" s="54">
        <f>G15*O15</f>
        <v>20233.223999999995</v>
      </c>
      <c r="R15" s="54">
        <f>Q15-P15</f>
        <v>602.73599999999715</v>
      </c>
    </row>
    <row r="16" spans="1:18">
      <c r="A16" s="143"/>
      <c r="B16" s="117">
        <v>100</v>
      </c>
      <c r="C16" s="118">
        <v>24</v>
      </c>
      <c r="D16" s="119" t="s">
        <v>93</v>
      </c>
      <c r="E16" s="114">
        <v>2</v>
      </c>
      <c r="F16" s="18">
        <f>References!$D$7</f>
        <v>4.333333333333333</v>
      </c>
      <c r="G16" s="62">
        <f t="shared" si="4"/>
        <v>104</v>
      </c>
      <c r="H16" s="4">
        <v>37</v>
      </c>
      <c r="I16" s="4">
        <f t="shared" si="5"/>
        <v>3848</v>
      </c>
      <c r="J16" s="22">
        <f t="shared" si="0"/>
        <v>3223.4677902541225</v>
      </c>
      <c r="K16" s="52">
        <f>References!$C$17*J16</f>
        <v>27.399476217160064</v>
      </c>
      <c r="L16" s="59">
        <f>K16/References!$F$18</f>
        <v>27.937980797022679</v>
      </c>
      <c r="M16" s="59">
        <f t="shared" si="3"/>
        <v>1.1640825332092781</v>
      </c>
      <c r="N16" s="108">
        <v>47.65</v>
      </c>
      <c r="O16" s="59">
        <f>MROUND(N16+M16,References!$E$28)</f>
        <v>48.81</v>
      </c>
      <c r="P16" s="54">
        <f>G16*N16</f>
        <v>4955.5999999999995</v>
      </c>
      <c r="Q16" s="54">
        <f>G16*O16</f>
        <v>5076.24</v>
      </c>
      <c r="R16" s="54">
        <f t="shared" si="6"/>
        <v>120.64000000000033</v>
      </c>
    </row>
    <row r="17" spans="1:18">
      <c r="A17" s="143"/>
      <c r="B17" s="117">
        <v>100</v>
      </c>
      <c r="C17" s="118">
        <v>24</v>
      </c>
      <c r="D17" s="119" t="s">
        <v>94</v>
      </c>
      <c r="E17" s="114">
        <v>0</v>
      </c>
      <c r="F17" s="18">
        <v>4.33</v>
      </c>
      <c r="G17" s="62">
        <f t="shared" si="4"/>
        <v>0</v>
      </c>
      <c r="H17" s="4">
        <v>37</v>
      </c>
      <c r="I17" s="4">
        <f t="shared" ref="I17:I30" si="7">G17*H17</f>
        <v>0</v>
      </c>
      <c r="J17" s="22">
        <f t="shared" si="0"/>
        <v>0</v>
      </c>
      <c r="K17" s="52">
        <f>References!$C$17*J17</f>
        <v>0</v>
      </c>
      <c r="L17" s="59">
        <f>K17/References!$F$18</f>
        <v>0</v>
      </c>
      <c r="M17" s="59"/>
      <c r="N17" s="108">
        <v>58.38</v>
      </c>
      <c r="O17" s="135">
        <f>MROUND(N17+M17,References!$E$28)</f>
        <v>58.38</v>
      </c>
      <c r="P17" s="54">
        <f>E17*N17*12</f>
        <v>0</v>
      </c>
      <c r="Q17" s="54">
        <f>E17*O17*12</f>
        <v>0</v>
      </c>
      <c r="R17" s="54">
        <f t="shared" si="6"/>
        <v>0</v>
      </c>
    </row>
    <row r="18" spans="1:18">
      <c r="A18" s="143"/>
      <c r="B18" s="117">
        <v>100</v>
      </c>
      <c r="C18" s="118">
        <v>24</v>
      </c>
      <c r="D18" s="119" t="s">
        <v>95</v>
      </c>
      <c r="E18" s="114">
        <v>4</v>
      </c>
      <c r="F18" s="18">
        <v>2.17</v>
      </c>
      <c r="G18" s="62">
        <f t="shared" si="4"/>
        <v>104.16</v>
      </c>
      <c r="H18" s="4">
        <v>37</v>
      </c>
      <c r="I18" s="4">
        <f t="shared" si="7"/>
        <v>3853.92</v>
      </c>
      <c r="J18" s="22">
        <f t="shared" si="0"/>
        <v>3228.4269714698985</v>
      </c>
      <c r="K18" s="52">
        <f>References!$C$17*J18</f>
        <v>27.44162925749416</v>
      </c>
      <c r="L18" s="59">
        <f>K18/References!$F$18</f>
        <v>27.980962305941176</v>
      </c>
      <c r="M18" s="59">
        <f t="shared" si="3"/>
        <v>0.58293671470710795</v>
      </c>
      <c r="N18" s="108">
        <v>23.88</v>
      </c>
      <c r="O18" s="59">
        <f>MROUND(N18+M18,References!$E$28)</f>
        <v>24.46</v>
      </c>
      <c r="P18" s="54">
        <f t="shared" ref="P18:P32" si="8">E18*N18*12</f>
        <v>1146.24</v>
      </c>
      <c r="Q18" s="54">
        <f t="shared" ref="Q18:Q32" si="9">E18*O18*12</f>
        <v>1174.08</v>
      </c>
      <c r="R18" s="54">
        <f t="shared" ref="R18:R32" si="10">Q18-P18</f>
        <v>27.839999999999918</v>
      </c>
    </row>
    <row r="19" spans="1:18">
      <c r="A19" s="143"/>
      <c r="B19" s="117">
        <v>100</v>
      </c>
      <c r="C19" s="118">
        <v>24</v>
      </c>
      <c r="D19" s="119" t="s">
        <v>96</v>
      </c>
      <c r="E19" s="114">
        <v>2</v>
      </c>
      <c r="F19" s="18">
        <v>1</v>
      </c>
      <c r="G19" s="62">
        <f t="shared" si="4"/>
        <v>24</v>
      </c>
      <c r="H19" s="4">
        <v>37</v>
      </c>
      <c r="I19" s="4">
        <f t="shared" si="7"/>
        <v>888</v>
      </c>
      <c r="J19" s="22">
        <f t="shared" si="0"/>
        <v>743.877182366336</v>
      </c>
      <c r="K19" s="52">
        <f>References!$C$17*J19</f>
        <v>6.322956050113862</v>
      </c>
      <c r="L19" s="59">
        <f>K19/References!$F$18</f>
        <v>6.447226337774465</v>
      </c>
      <c r="M19" s="59">
        <f t="shared" si="3"/>
        <v>0.26863443074060273</v>
      </c>
      <c r="N19" s="108">
        <v>13.17</v>
      </c>
      <c r="O19" s="59">
        <f>MROUND(N19+M19,References!$E$28)</f>
        <v>13.44</v>
      </c>
      <c r="P19" s="54">
        <f t="shared" si="8"/>
        <v>316.08</v>
      </c>
      <c r="Q19" s="54">
        <f t="shared" si="9"/>
        <v>322.56</v>
      </c>
      <c r="R19" s="54">
        <f t="shared" si="10"/>
        <v>6.4800000000000182</v>
      </c>
    </row>
    <row r="20" spans="1:18">
      <c r="A20" s="143"/>
      <c r="B20" s="117">
        <v>100</v>
      </c>
      <c r="C20" s="118">
        <v>24</v>
      </c>
      <c r="D20" s="119" t="s">
        <v>101</v>
      </c>
      <c r="E20" s="114">
        <v>15</v>
      </c>
      <c r="F20" s="18">
        <v>4.33</v>
      </c>
      <c r="G20" s="62">
        <f t="shared" si="4"/>
        <v>779.40000000000009</v>
      </c>
      <c r="H20" s="4">
        <v>37</v>
      </c>
      <c r="I20" s="4">
        <f t="shared" si="7"/>
        <v>28837.800000000003</v>
      </c>
      <c r="J20" s="22">
        <f t="shared" si="0"/>
        <v>24157.411497346766</v>
      </c>
      <c r="K20" s="52">
        <f>References!$C$17*J20</f>
        <v>205.33799772744769</v>
      </c>
      <c r="L20" s="59">
        <f>K20/References!$F$18</f>
        <v>209.37367531922578</v>
      </c>
      <c r="M20" s="59">
        <f t="shared" si="3"/>
        <v>1.1631870851068098</v>
      </c>
      <c r="N20" s="108">
        <v>34.43</v>
      </c>
      <c r="O20" s="59">
        <f>MROUND(N20+M20,References!$E$28)</f>
        <v>35.590000000000003</v>
      </c>
      <c r="P20" s="54">
        <f t="shared" si="8"/>
        <v>6197.4000000000005</v>
      </c>
      <c r="Q20" s="54">
        <f t="shared" si="9"/>
        <v>6406.2000000000007</v>
      </c>
      <c r="R20" s="54">
        <f t="shared" si="10"/>
        <v>208.80000000000018</v>
      </c>
    </row>
    <row r="21" spans="1:18">
      <c r="A21" s="143"/>
      <c r="B21" s="117">
        <v>100</v>
      </c>
      <c r="C21" s="118">
        <v>24</v>
      </c>
      <c r="D21" s="119" t="s">
        <v>97</v>
      </c>
      <c r="E21" s="114">
        <v>3</v>
      </c>
      <c r="F21" s="18">
        <v>4.33</v>
      </c>
      <c r="G21" s="62">
        <f t="shared" si="4"/>
        <v>155.88</v>
      </c>
      <c r="H21" s="4">
        <v>37</v>
      </c>
      <c r="I21" s="4">
        <f t="shared" si="7"/>
        <v>5767.5599999999995</v>
      </c>
      <c r="J21" s="22">
        <f t="shared" si="0"/>
        <v>4831.4822994693523</v>
      </c>
      <c r="K21" s="52">
        <f>References!$C$17*J21</f>
        <v>41.067599545489529</v>
      </c>
      <c r="L21" s="59">
        <f>K21/References!$F$18</f>
        <v>41.874735063845144</v>
      </c>
      <c r="M21" s="59">
        <f t="shared" si="3"/>
        <v>1.1631870851068096</v>
      </c>
      <c r="N21" s="108">
        <v>41.1</v>
      </c>
      <c r="O21" s="59">
        <f>MROUND(N21+M21,References!$E$28)</f>
        <v>42.26</v>
      </c>
      <c r="P21" s="54">
        <f t="shared" si="8"/>
        <v>1479.6000000000001</v>
      </c>
      <c r="Q21" s="54">
        <f t="shared" si="9"/>
        <v>1521.3600000000001</v>
      </c>
      <c r="R21" s="54">
        <f t="shared" si="10"/>
        <v>41.759999999999991</v>
      </c>
    </row>
    <row r="22" spans="1:18">
      <c r="A22" s="143"/>
      <c r="B22" s="117">
        <v>100</v>
      </c>
      <c r="C22" s="118">
        <v>24</v>
      </c>
      <c r="D22" s="119" t="s">
        <v>98</v>
      </c>
      <c r="E22" s="114">
        <v>0</v>
      </c>
      <c r="F22" s="18">
        <v>4.33</v>
      </c>
      <c r="G22" s="62">
        <f t="shared" si="4"/>
        <v>0</v>
      </c>
      <c r="H22" s="4">
        <v>37</v>
      </c>
      <c r="I22" s="4">
        <f t="shared" si="7"/>
        <v>0</v>
      </c>
      <c r="J22" s="22">
        <f t="shared" si="0"/>
        <v>0</v>
      </c>
      <c r="K22" s="52">
        <f>References!$C$17*J22</f>
        <v>0</v>
      </c>
      <c r="L22" s="59">
        <f>K22/References!$F$18</f>
        <v>0</v>
      </c>
      <c r="M22" s="59"/>
      <c r="N22" s="108">
        <v>53.1</v>
      </c>
      <c r="O22" s="135">
        <f>MROUND(N22+M22,References!$E$28)</f>
        <v>53.1</v>
      </c>
      <c r="P22" s="54">
        <f t="shared" si="8"/>
        <v>0</v>
      </c>
      <c r="Q22" s="54">
        <f t="shared" si="9"/>
        <v>0</v>
      </c>
      <c r="R22" s="54">
        <f t="shared" si="10"/>
        <v>0</v>
      </c>
    </row>
    <row r="23" spans="1:18">
      <c r="A23" s="143"/>
      <c r="B23" s="117">
        <v>100</v>
      </c>
      <c r="C23" s="118">
        <v>24</v>
      </c>
      <c r="D23" s="119" t="s">
        <v>99</v>
      </c>
      <c r="E23" s="114">
        <v>4</v>
      </c>
      <c r="F23" s="18">
        <v>2.17</v>
      </c>
      <c r="G23" s="62">
        <f t="shared" si="4"/>
        <v>104.16</v>
      </c>
      <c r="H23" s="4">
        <v>37</v>
      </c>
      <c r="I23" s="4">
        <f t="shared" si="7"/>
        <v>3853.92</v>
      </c>
      <c r="J23" s="22">
        <f t="shared" si="0"/>
        <v>3228.4269714698985</v>
      </c>
      <c r="K23" s="52">
        <f>References!$C$17*J23</f>
        <v>27.44162925749416</v>
      </c>
      <c r="L23" s="59">
        <f>K23/References!$F$18</f>
        <v>27.980962305941176</v>
      </c>
      <c r="M23" s="59">
        <f t="shared" si="3"/>
        <v>0.58293671470710795</v>
      </c>
      <c r="N23" s="108">
        <v>27.44</v>
      </c>
      <c r="O23" s="59">
        <f>MROUND(N23+M23,References!$E$28)</f>
        <v>28.02</v>
      </c>
      <c r="P23" s="54">
        <f t="shared" si="8"/>
        <v>1317.1200000000001</v>
      </c>
      <c r="Q23" s="54">
        <f t="shared" si="9"/>
        <v>1344.96</v>
      </c>
      <c r="R23" s="54">
        <f t="shared" si="10"/>
        <v>27.839999999999918</v>
      </c>
    </row>
    <row r="24" spans="1:18">
      <c r="A24" s="143"/>
      <c r="B24" s="117">
        <v>100</v>
      </c>
      <c r="C24" s="118">
        <v>24</v>
      </c>
      <c r="D24" s="119" t="s">
        <v>100</v>
      </c>
      <c r="E24" s="114">
        <v>1</v>
      </c>
      <c r="F24" s="18">
        <v>1</v>
      </c>
      <c r="G24" s="62">
        <f t="shared" si="4"/>
        <v>12</v>
      </c>
      <c r="H24" s="4">
        <v>37</v>
      </c>
      <c r="I24" s="4">
        <f t="shared" si="7"/>
        <v>444</v>
      </c>
      <c r="J24" s="22">
        <f t="shared" si="0"/>
        <v>371.938591183168</v>
      </c>
      <c r="K24" s="52">
        <f>References!$C$17*J24</f>
        <v>3.161478025056931</v>
      </c>
      <c r="L24" s="59">
        <f>K24/References!$F$18</f>
        <v>3.2236131688872325</v>
      </c>
      <c r="M24" s="59">
        <f t="shared" si="3"/>
        <v>0.26863443074060273</v>
      </c>
      <c r="N24" s="108">
        <v>15.22</v>
      </c>
      <c r="O24" s="59">
        <f>MROUND(N24+M24,References!$E$28)</f>
        <v>15.49</v>
      </c>
      <c r="P24" s="54">
        <f t="shared" si="8"/>
        <v>182.64000000000001</v>
      </c>
      <c r="Q24" s="54">
        <f t="shared" si="9"/>
        <v>185.88</v>
      </c>
      <c r="R24" s="54">
        <f t="shared" si="10"/>
        <v>3.2399999999999807</v>
      </c>
    </row>
    <row r="25" spans="1:18">
      <c r="A25" s="143"/>
      <c r="B25" s="117">
        <v>100</v>
      </c>
      <c r="C25" s="118">
        <v>24</v>
      </c>
      <c r="D25" s="128" t="s">
        <v>102</v>
      </c>
      <c r="E25" s="114">
        <v>0</v>
      </c>
      <c r="F25" s="18">
        <v>4.33</v>
      </c>
      <c r="G25" s="62">
        <f t="shared" si="4"/>
        <v>0</v>
      </c>
      <c r="H25" s="4">
        <v>47</v>
      </c>
      <c r="I25" s="4">
        <f t="shared" si="7"/>
        <v>0</v>
      </c>
      <c r="J25" s="22">
        <f t="shared" si="0"/>
        <v>0</v>
      </c>
      <c r="K25" s="52">
        <f>References!$C$17*J25</f>
        <v>0</v>
      </c>
      <c r="L25" s="59">
        <f>K25/References!$F$18</f>
        <v>0</v>
      </c>
      <c r="M25" s="59"/>
      <c r="N25" s="108" t="s">
        <v>153</v>
      </c>
      <c r="O25" s="135" t="e">
        <f>MROUND(N25+M25,References!$E$28)</f>
        <v>#VALUE!</v>
      </c>
      <c r="P25" s="54" t="e">
        <f t="shared" si="8"/>
        <v>#VALUE!</v>
      </c>
      <c r="Q25" s="54" t="e">
        <f t="shared" si="9"/>
        <v>#VALUE!</v>
      </c>
      <c r="R25" s="54" t="e">
        <f t="shared" si="10"/>
        <v>#VALUE!</v>
      </c>
    </row>
    <row r="26" spans="1:18">
      <c r="A26" s="143"/>
      <c r="B26" s="117">
        <v>100</v>
      </c>
      <c r="C26" s="118">
        <v>24</v>
      </c>
      <c r="D26" s="119" t="s">
        <v>103</v>
      </c>
      <c r="E26" s="114">
        <v>0</v>
      </c>
      <c r="F26" s="18">
        <v>4.33</v>
      </c>
      <c r="G26" s="62">
        <f t="shared" si="4"/>
        <v>0</v>
      </c>
      <c r="H26" s="4">
        <v>47</v>
      </c>
      <c r="I26" s="4">
        <f t="shared" si="7"/>
        <v>0</v>
      </c>
      <c r="J26" s="22">
        <f t="shared" si="0"/>
        <v>0</v>
      </c>
      <c r="K26" s="52">
        <f>References!$C$17*J26</f>
        <v>0</v>
      </c>
      <c r="L26" s="59">
        <f>K26/References!$F$18</f>
        <v>0</v>
      </c>
      <c r="M26" s="59"/>
      <c r="N26" s="108">
        <v>44.44</v>
      </c>
      <c r="O26" s="135">
        <f>MROUND(N26+M26,References!$E$28)</f>
        <v>44.44</v>
      </c>
      <c r="P26" s="54">
        <f t="shared" si="8"/>
        <v>0</v>
      </c>
      <c r="Q26" s="54">
        <f t="shared" si="9"/>
        <v>0</v>
      </c>
      <c r="R26" s="54">
        <f t="shared" si="10"/>
        <v>0</v>
      </c>
    </row>
    <row r="27" spans="1:18">
      <c r="A27" s="143"/>
      <c r="B27" s="117">
        <v>100</v>
      </c>
      <c r="C27" s="118">
        <v>24</v>
      </c>
      <c r="D27" s="119" t="s">
        <v>104</v>
      </c>
      <c r="E27" s="114">
        <v>0</v>
      </c>
      <c r="F27" s="18">
        <v>4.33</v>
      </c>
      <c r="G27" s="62">
        <f t="shared" si="4"/>
        <v>0</v>
      </c>
      <c r="H27" s="4">
        <v>47</v>
      </c>
      <c r="I27" s="4">
        <f t="shared" si="7"/>
        <v>0</v>
      </c>
      <c r="J27" s="22">
        <f t="shared" si="0"/>
        <v>0</v>
      </c>
      <c r="K27" s="52">
        <f>References!$C$17*J27</f>
        <v>0</v>
      </c>
      <c r="L27" s="59">
        <f>K27/References!$F$18</f>
        <v>0</v>
      </c>
      <c r="M27" s="59"/>
      <c r="N27" s="108">
        <v>58.76</v>
      </c>
      <c r="O27" s="135">
        <f>MROUND(N27+M27,References!$E$28)</f>
        <v>58.76</v>
      </c>
      <c r="P27" s="54">
        <f t="shared" si="8"/>
        <v>0</v>
      </c>
      <c r="Q27" s="54">
        <f t="shared" si="9"/>
        <v>0</v>
      </c>
      <c r="R27" s="54">
        <f t="shared" si="10"/>
        <v>0</v>
      </c>
    </row>
    <row r="28" spans="1:18">
      <c r="A28" s="143"/>
      <c r="B28" s="117">
        <v>100</v>
      </c>
      <c r="C28" s="118">
        <v>24</v>
      </c>
      <c r="D28" s="119" t="s">
        <v>105</v>
      </c>
      <c r="E28" s="114">
        <v>0</v>
      </c>
      <c r="F28" s="18">
        <v>2.17</v>
      </c>
      <c r="G28" s="62">
        <f t="shared" si="4"/>
        <v>0</v>
      </c>
      <c r="H28" s="4">
        <v>47</v>
      </c>
      <c r="I28" s="4">
        <f t="shared" si="7"/>
        <v>0</v>
      </c>
      <c r="J28" s="22">
        <f t="shared" si="0"/>
        <v>0</v>
      </c>
      <c r="K28" s="52">
        <f>References!$C$17*J28</f>
        <v>0</v>
      </c>
      <c r="L28" s="59">
        <f>K28/References!$F$18</f>
        <v>0</v>
      </c>
      <c r="M28" s="59"/>
      <c r="N28" s="108">
        <v>30.11</v>
      </c>
      <c r="O28" s="135">
        <f>MROUND(N28+M28,References!$E$28)</f>
        <v>30.11</v>
      </c>
      <c r="P28" s="54">
        <f t="shared" si="8"/>
        <v>0</v>
      </c>
      <c r="Q28" s="54">
        <f t="shared" si="9"/>
        <v>0</v>
      </c>
      <c r="R28" s="54">
        <f t="shared" si="10"/>
        <v>0</v>
      </c>
    </row>
    <row r="29" spans="1:18">
      <c r="A29" s="143"/>
      <c r="B29" s="117">
        <v>100</v>
      </c>
      <c r="C29" s="118">
        <v>24</v>
      </c>
      <c r="D29" s="119" t="s">
        <v>106</v>
      </c>
      <c r="E29" s="114">
        <v>0</v>
      </c>
      <c r="F29" s="18">
        <v>1</v>
      </c>
      <c r="G29" s="62">
        <f t="shared" si="4"/>
        <v>0</v>
      </c>
      <c r="H29" s="4">
        <v>47</v>
      </c>
      <c r="I29" s="4">
        <f t="shared" si="7"/>
        <v>0</v>
      </c>
      <c r="J29" s="22">
        <f t="shared" si="0"/>
        <v>0</v>
      </c>
      <c r="K29" s="52">
        <f>References!$C$17*J29</f>
        <v>0</v>
      </c>
      <c r="L29" s="59">
        <f>K29/References!$F$18</f>
        <v>0</v>
      </c>
      <c r="M29" s="59"/>
      <c r="N29" s="108">
        <v>16.11</v>
      </c>
      <c r="O29" s="135">
        <f>MROUND(N29+M29,References!$E$28)</f>
        <v>16.11</v>
      </c>
      <c r="P29" s="54">
        <f t="shared" si="8"/>
        <v>0</v>
      </c>
      <c r="Q29" s="54">
        <f t="shared" si="9"/>
        <v>0</v>
      </c>
      <c r="R29" s="54">
        <f t="shared" si="10"/>
        <v>0</v>
      </c>
    </row>
    <row r="30" spans="1:18">
      <c r="A30" s="143"/>
      <c r="B30" s="117">
        <v>100</v>
      </c>
      <c r="C30" s="118">
        <v>24</v>
      </c>
      <c r="D30" s="119" t="s">
        <v>107</v>
      </c>
      <c r="E30" s="114">
        <v>9</v>
      </c>
      <c r="F30" s="18">
        <v>4.33</v>
      </c>
      <c r="G30" s="62">
        <f t="shared" si="4"/>
        <v>467.64</v>
      </c>
      <c r="H30" s="4">
        <v>47</v>
      </c>
      <c r="I30" s="4">
        <f t="shared" si="7"/>
        <v>21979.079999999998</v>
      </c>
      <c r="J30" s="22">
        <f t="shared" si="0"/>
        <v>18411.864979058882</v>
      </c>
      <c r="K30" s="52">
        <f>References!$C$17*J30</f>
        <v>156.50085232200064</v>
      </c>
      <c r="L30" s="59">
        <f>K30/References!$F$18</f>
        <v>159.57669308113961</v>
      </c>
      <c r="M30" s="59">
        <f t="shared" si="3"/>
        <v>1.4775619729735148</v>
      </c>
      <c r="N30" s="108">
        <v>38.71</v>
      </c>
      <c r="O30" s="59">
        <f>MROUND(N30+M30,References!$E$28)</f>
        <v>40.19</v>
      </c>
      <c r="P30" s="54">
        <f t="shared" si="8"/>
        <v>4180.68</v>
      </c>
      <c r="Q30" s="54">
        <f t="shared" si="9"/>
        <v>4340.5199999999995</v>
      </c>
      <c r="R30" s="54">
        <f t="shared" si="10"/>
        <v>159.83999999999924</v>
      </c>
    </row>
    <row r="31" spans="1:18">
      <c r="A31" s="143"/>
      <c r="B31" s="117">
        <v>100</v>
      </c>
      <c r="C31" s="118">
        <v>24</v>
      </c>
      <c r="D31" s="119" t="s">
        <v>108</v>
      </c>
      <c r="E31" s="114">
        <v>0</v>
      </c>
      <c r="F31" s="18">
        <v>4.33</v>
      </c>
      <c r="G31" s="62">
        <f t="shared" si="4"/>
        <v>0</v>
      </c>
      <c r="H31" s="4">
        <v>47</v>
      </c>
      <c r="I31" s="4"/>
      <c r="J31" s="22"/>
      <c r="K31" s="52"/>
      <c r="L31" s="59"/>
      <c r="M31" s="59"/>
      <c r="N31" s="108">
        <v>50.55</v>
      </c>
      <c r="O31" s="135">
        <f>MROUND(N31+M31,References!$E$28)</f>
        <v>50.550000000000004</v>
      </c>
      <c r="P31" s="54">
        <f t="shared" si="8"/>
        <v>0</v>
      </c>
      <c r="Q31" s="54">
        <f t="shared" si="9"/>
        <v>0</v>
      </c>
      <c r="R31" s="54">
        <f t="shared" si="10"/>
        <v>0</v>
      </c>
    </row>
    <row r="32" spans="1:18">
      <c r="A32" s="143"/>
      <c r="B32" s="117">
        <v>100</v>
      </c>
      <c r="C32" s="118">
        <v>24</v>
      </c>
      <c r="D32" s="119" t="s">
        <v>109</v>
      </c>
      <c r="E32" s="114">
        <v>0</v>
      </c>
      <c r="F32" s="18">
        <v>2.17</v>
      </c>
      <c r="G32" s="62">
        <f t="shared" si="4"/>
        <v>0</v>
      </c>
      <c r="H32" s="4">
        <v>47</v>
      </c>
      <c r="I32" s="4"/>
      <c r="J32" s="22"/>
      <c r="K32" s="52"/>
      <c r="L32" s="59"/>
      <c r="M32" s="59"/>
      <c r="N32" s="108">
        <v>32.270000000000003</v>
      </c>
      <c r="O32" s="135">
        <f>MROUND(N32+M32,References!$E$28)</f>
        <v>32.270000000000003</v>
      </c>
      <c r="P32" s="54">
        <f t="shared" si="8"/>
        <v>0</v>
      </c>
      <c r="Q32" s="54">
        <f t="shared" si="9"/>
        <v>0</v>
      </c>
      <c r="R32" s="54">
        <f t="shared" si="10"/>
        <v>0</v>
      </c>
    </row>
    <row r="33" spans="1:18">
      <c r="A33" s="143"/>
      <c r="B33" s="120">
        <v>100</v>
      </c>
      <c r="C33" s="121">
        <v>24</v>
      </c>
      <c r="D33" s="122" t="s">
        <v>110</v>
      </c>
      <c r="E33" s="115">
        <v>0</v>
      </c>
      <c r="F33" s="25">
        <v>1</v>
      </c>
      <c r="G33" s="63">
        <f t="shared" si="4"/>
        <v>0</v>
      </c>
      <c r="H33" s="4">
        <v>47</v>
      </c>
      <c r="I33" s="26">
        <f t="shared" si="5"/>
        <v>0</v>
      </c>
      <c r="J33" s="27">
        <f>$E$125*I33</f>
        <v>0</v>
      </c>
      <c r="K33" s="53">
        <f>References!$C$17*J33</f>
        <v>0</v>
      </c>
      <c r="L33" s="60">
        <f>K33/References!$F$18</f>
        <v>0</v>
      </c>
      <c r="M33" s="60"/>
      <c r="N33" s="110">
        <v>17.329999999999998</v>
      </c>
      <c r="O33" s="136">
        <f>MROUND(N33+M33,References!$E$28)</f>
        <v>17.330000000000002</v>
      </c>
      <c r="P33" s="55">
        <f>E33*N33*12</f>
        <v>0</v>
      </c>
      <c r="Q33" s="55">
        <f>E33*O33*12</f>
        <v>0</v>
      </c>
      <c r="R33" s="55">
        <f t="shared" si="6"/>
        <v>0</v>
      </c>
    </row>
    <row r="34" spans="1:18">
      <c r="A34" s="143"/>
      <c r="B34" s="120"/>
      <c r="C34" s="118"/>
      <c r="D34" s="119"/>
      <c r="E34" s="114"/>
      <c r="F34" s="18"/>
      <c r="G34" s="129"/>
      <c r="H34" s="130"/>
      <c r="I34" s="26"/>
      <c r="J34" s="27"/>
      <c r="K34" s="52"/>
      <c r="L34" s="60"/>
      <c r="M34" s="60"/>
      <c r="N34" s="108"/>
      <c r="O34" s="60"/>
      <c r="P34" s="131"/>
      <c r="Q34" s="131"/>
      <c r="R34" s="131"/>
    </row>
    <row r="35" spans="1:18">
      <c r="A35" s="144"/>
      <c r="B35" s="102"/>
      <c r="C35" s="30"/>
      <c r="D35" s="49" t="s">
        <v>44</v>
      </c>
      <c r="E35" s="50">
        <f>SUM(E6:E33)</f>
        <v>227</v>
      </c>
      <c r="F35" s="58"/>
      <c r="G35" s="64">
        <f>SUM(G6:G33)</f>
        <v>11068.159999999998</v>
      </c>
      <c r="H35" s="130"/>
      <c r="I35" s="79">
        <f>SUM(I6:I33)</f>
        <v>428052.31999999995</v>
      </c>
      <c r="J35" s="79">
        <f>SUM(J6:J33)</f>
        <v>358579.22714749235</v>
      </c>
      <c r="K35" s="58"/>
      <c r="L35" s="58"/>
      <c r="M35" s="58"/>
      <c r="N35" s="18"/>
      <c r="O35" s="58"/>
      <c r="P35" s="56" t="e">
        <f>SUM(P6:P33)</f>
        <v>#VALUE!</v>
      </c>
      <c r="Q35" s="56" t="e">
        <f>SUM(Q6:Q33)</f>
        <v>#VALUE!</v>
      </c>
      <c r="R35" s="56" t="e">
        <f>SUM(R6:R33)</f>
        <v>#VALUE!</v>
      </c>
    </row>
    <row r="36" spans="1:18" ht="14.45" customHeight="1">
      <c r="A36" s="145" t="s">
        <v>72</v>
      </c>
      <c r="B36" s="117">
        <v>245</v>
      </c>
      <c r="C36" s="123">
        <v>34</v>
      </c>
      <c r="D36" s="124" t="s">
        <v>117</v>
      </c>
      <c r="E36" s="116">
        <v>1</v>
      </c>
      <c r="F36" s="18"/>
      <c r="G36" s="61">
        <v>52</v>
      </c>
      <c r="H36" s="4">
        <v>29</v>
      </c>
      <c r="I36" s="4">
        <f t="shared" si="5"/>
        <v>1508</v>
      </c>
      <c r="J36" s="22">
        <f t="shared" ref="J36:J51" si="11">$E$125*I36</f>
        <v>1263.2508907752642</v>
      </c>
      <c r="K36" s="52">
        <f>References!$C$17*J36</f>
        <v>10.737632571589755</v>
      </c>
      <c r="L36" s="59">
        <f>K36/References!$F$18</f>
        <v>10.948668150184563</v>
      </c>
      <c r="M36" s="59">
        <f>L36/G36</f>
        <v>0.21055131058047236</v>
      </c>
      <c r="N36" s="111">
        <v>8.4499999999999993</v>
      </c>
      <c r="O36" s="59">
        <f>MROUND(N36+M36,References!$E$28)</f>
        <v>8.66</v>
      </c>
      <c r="P36" s="81">
        <f>E36*N36*12</f>
        <v>101.39999999999999</v>
      </c>
      <c r="Q36" s="81">
        <f>E36*O36*12</f>
        <v>103.92</v>
      </c>
      <c r="R36" s="81">
        <f t="shared" si="6"/>
        <v>2.5200000000000102</v>
      </c>
    </row>
    <row r="37" spans="1:18">
      <c r="A37" s="143"/>
      <c r="B37" s="117">
        <v>245</v>
      </c>
      <c r="C37" s="118">
        <v>34</v>
      </c>
      <c r="D37" s="119" t="s">
        <v>118</v>
      </c>
      <c r="E37" s="114">
        <v>0</v>
      </c>
      <c r="F37" s="18"/>
      <c r="G37" s="62">
        <f t="shared" si="4"/>
        <v>0</v>
      </c>
      <c r="H37" s="4">
        <v>29</v>
      </c>
      <c r="I37" s="4">
        <f t="shared" si="5"/>
        <v>0</v>
      </c>
      <c r="J37" s="22">
        <f t="shared" si="11"/>
        <v>0</v>
      </c>
      <c r="K37" s="52">
        <f>References!$C$17*J37</f>
        <v>0</v>
      </c>
      <c r="L37" s="59">
        <f>K37/References!$F$18</f>
        <v>0</v>
      </c>
      <c r="M37" s="59"/>
      <c r="N37" s="108">
        <v>12.44</v>
      </c>
      <c r="O37" s="135">
        <f>MROUND(N37+M37,References!$E$28)</f>
        <v>12.44</v>
      </c>
      <c r="P37" s="54">
        <f>E37*N37*12</f>
        <v>0</v>
      </c>
      <c r="Q37" s="54">
        <f>E37*O37*12</f>
        <v>0</v>
      </c>
      <c r="R37" s="54">
        <f t="shared" si="6"/>
        <v>0</v>
      </c>
    </row>
    <row r="38" spans="1:18">
      <c r="A38" s="143"/>
      <c r="B38" s="117">
        <v>245</v>
      </c>
      <c r="C38" s="118">
        <v>34</v>
      </c>
      <c r="D38" s="119" t="s">
        <v>119</v>
      </c>
      <c r="E38" s="114">
        <v>0</v>
      </c>
      <c r="F38" s="18"/>
      <c r="G38" s="62">
        <f t="shared" si="4"/>
        <v>0</v>
      </c>
      <c r="H38" s="4">
        <v>37</v>
      </c>
      <c r="I38" s="4">
        <f t="shared" si="5"/>
        <v>0</v>
      </c>
      <c r="J38" s="22">
        <f t="shared" si="11"/>
        <v>0</v>
      </c>
      <c r="K38" s="52">
        <f>References!$C$17*J38</f>
        <v>0</v>
      </c>
      <c r="L38" s="59">
        <f>K38/References!$F$18</f>
        <v>0</v>
      </c>
      <c r="M38" s="59"/>
      <c r="N38" s="108">
        <v>9.4499999999999993</v>
      </c>
      <c r="O38" s="135">
        <f>MROUND(N38+M38,References!$E$28)</f>
        <v>9.4500000000000011</v>
      </c>
      <c r="P38" s="54">
        <f>E38*N38*12</f>
        <v>0</v>
      </c>
      <c r="Q38" s="54">
        <f>E38*O38*12</f>
        <v>0</v>
      </c>
      <c r="R38" s="54">
        <f t="shared" si="6"/>
        <v>0</v>
      </c>
    </row>
    <row r="39" spans="1:18">
      <c r="A39" s="143"/>
      <c r="B39" s="117">
        <v>245</v>
      </c>
      <c r="C39" s="118">
        <v>34</v>
      </c>
      <c r="D39" s="119" t="s">
        <v>118</v>
      </c>
      <c r="E39" s="114">
        <v>0</v>
      </c>
      <c r="F39" s="18"/>
      <c r="G39" s="62">
        <f t="shared" si="4"/>
        <v>0</v>
      </c>
      <c r="H39" s="4">
        <v>37</v>
      </c>
      <c r="I39" s="4">
        <f t="shared" si="5"/>
        <v>0</v>
      </c>
      <c r="J39" s="22">
        <f t="shared" si="11"/>
        <v>0</v>
      </c>
      <c r="K39" s="52">
        <f>References!$C$17*J39</f>
        <v>0</v>
      </c>
      <c r="L39" s="59">
        <f>K39/References!$F$18</f>
        <v>0</v>
      </c>
      <c r="M39" s="59"/>
      <c r="N39" s="108">
        <v>13.89</v>
      </c>
      <c r="O39" s="135">
        <f>MROUND(N39+M39,References!$E$28)</f>
        <v>13.89</v>
      </c>
      <c r="P39" s="54">
        <f>E39*N39*12</f>
        <v>0</v>
      </c>
      <c r="Q39" s="54">
        <f>E39*O39*12</f>
        <v>0</v>
      </c>
      <c r="R39" s="54">
        <f t="shared" si="6"/>
        <v>0</v>
      </c>
    </row>
    <row r="40" spans="1:18">
      <c r="A40" s="143"/>
      <c r="B40" s="117">
        <v>245</v>
      </c>
      <c r="C40" s="118">
        <v>34</v>
      </c>
      <c r="D40" s="119" t="s">
        <v>120</v>
      </c>
      <c r="E40" s="132">
        <v>1</v>
      </c>
      <c r="F40" s="18"/>
      <c r="G40" s="134">
        <v>300</v>
      </c>
      <c r="H40" s="4">
        <v>37</v>
      </c>
      <c r="I40" s="4">
        <f t="shared" si="5"/>
        <v>11100</v>
      </c>
      <c r="J40" s="22">
        <f t="shared" si="11"/>
        <v>9298.4647795792007</v>
      </c>
      <c r="K40" s="52">
        <f>References!$C$17*J40</f>
        <v>79.036950626423277</v>
      </c>
      <c r="L40" s="59">
        <f>K40/References!$F$18</f>
        <v>80.590329222180813</v>
      </c>
      <c r="M40" s="59">
        <f>L40/G40</f>
        <v>0.26863443074060273</v>
      </c>
      <c r="N40" s="108">
        <v>9.99</v>
      </c>
      <c r="O40" s="59">
        <f>MROUND(N40+M40,References!$E$28)</f>
        <v>10.26</v>
      </c>
      <c r="P40" s="54">
        <f>E40*N40*12</f>
        <v>119.88</v>
      </c>
      <c r="Q40" s="54">
        <f>E40*O40*12</f>
        <v>123.12</v>
      </c>
      <c r="R40" s="54">
        <f t="shared" si="6"/>
        <v>3.2400000000000091</v>
      </c>
    </row>
    <row r="41" spans="1:18">
      <c r="A41" s="143"/>
      <c r="B41" s="117">
        <v>245</v>
      </c>
      <c r="C41" s="118">
        <v>34</v>
      </c>
      <c r="D41" s="119" t="s">
        <v>118</v>
      </c>
      <c r="E41" s="114">
        <v>1</v>
      </c>
      <c r="F41" s="18"/>
      <c r="G41" s="62">
        <f t="shared" si="4"/>
        <v>0</v>
      </c>
      <c r="H41" s="4">
        <v>37</v>
      </c>
      <c r="I41" s="4">
        <f t="shared" si="5"/>
        <v>0</v>
      </c>
      <c r="J41" s="22">
        <f t="shared" si="11"/>
        <v>0</v>
      </c>
      <c r="K41" s="52">
        <f>References!$C$17*J41</f>
        <v>0</v>
      </c>
      <c r="L41" s="59">
        <f>K41/References!$F$18</f>
        <v>0</v>
      </c>
      <c r="M41" s="59"/>
      <c r="N41" s="108">
        <v>14.44</v>
      </c>
      <c r="O41" s="135">
        <f>MROUND(N41+M41,References!$E$28)</f>
        <v>14.44</v>
      </c>
      <c r="P41" s="54">
        <f t="shared" ref="P41:P62" si="12">G41*N41</f>
        <v>0</v>
      </c>
      <c r="Q41" s="54">
        <f t="shared" ref="Q41:Q62" si="13">G41*O41</f>
        <v>0</v>
      </c>
      <c r="R41" s="54">
        <f t="shared" si="6"/>
        <v>0</v>
      </c>
    </row>
    <row r="42" spans="1:18">
      <c r="A42" s="143"/>
      <c r="B42" s="117">
        <v>245</v>
      </c>
      <c r="C42" s="118">
        <v>34</v>
      </c>
      <c r="D42" s="119" t="s">
        <v>121</v>
      </c>
      <c r="E42" s="114">
        <v>0</v>
      </c>
      <c r="F42" s="18"/>
      <c r="G42" s="62">
        <f>E42*F42*12</f>
        <v>0</v>
      </c>
      <c r="H42" s="4">
        <v>47</v>
      </c>
      <c r="I42" s="4">
        <f t="shared" si="5"/>
        <v>0</v>
      </c>
      <c r="J42" s="22">
        <f t="shared" si="11"/>
        <v>0</v>
      </c>
      <c r="K42" s="52">
        <f>References!$C$17*J42</f>
        <v>0</v>
      </c>
      <c r="L42" s="59">
        <f>K42/References!$F$18</f>
        <v>0</v>
      </c>
      <c r="M42" s="59"/>
      <c r="N42" s="108">
        <v>10.59</v>
      </c>
      <c r="O42" s="135">
        <f>MROUND(N42+M42,References!$E$28)</f>
        <v>10.59</v>
      </c>
      <c r="P42" s="54">
        <f t="shared" si="12"/>
        <v>0</v>
      </c>
      <c r="Q42" s="54">
        <f t="shared" si="13"/>
        <v>0</v>
      </c>
      <c r="R42" s="54">
        <f t="shared" si="6"/>
        <v>0</v>
      </c>
    </row>
    <row r="43" spans="1:18">
      <c r="A43" s="143"/>
      <c r="B43" s="117">
        <v>245</v>
      </c>
      <c r="C43" s="118">
        <v>34</v>
      </c>
      <c r="D43" s="119" t="s">
        <v>118</v>
      </c>
      <c r="E43" s="114">
        <v>0</v>
      </c>
      <c r="F43" s="18"/>
      <c r="G43" s="62">
        <f>E43*F43*12</f>
        <v>0</v>
      </c>
      <c r="H43" s="4">
        <v>47</v>
      </c>
      <c r="I43" s="4">
        <f t="shared" si="5"/>
        <v>0</v>
      </c>
      <c r="J43" s="22">
        <f t="shared" si="11"/>
        <v>0</v>
      </c>
      <c r="K43" s="52">
        <f>References!$C$17*J43</f>
        <v>0</v>
      </c>
      <c r="L43" s="59">
        <f>K43/References!$F$18</f>
        <v>0</v>
      </c>
      <c r="M43" s="59"/>
      <c r="N43" s="108">
        <v>14.88</v>
      </c>
      <c r="O43" s="135">
        <f>MROUND(N43+M43,References!$E$28)</f>
        <v>14.88</v>
      </c>
      <c r="P43" s="54">
        <f t="shared" si="12"/>
        <v>0</v>
      </c>
      <c r="Q43" s="54">
        <f t="shared" si="13"/>
        <v>0</v>
      </c>
      <c r="R43" s="54">
        <f t="shared" si="6"/>
        <v>0</v>
      </c>
    </row>
    <row r="44" spans="1:18">
      <c r="A44" s="143"/>
      <c r="B44" s="117">
        <v>245</v>
      </c>
      <c r="C44" s="118">
        <v>34</v>
      </c>
      <c r="D44" s="119" t="s">
        <v>122</v>
      </c>
      <c r="E44" s="114">
        <v>0</v>
      </c>
      <c r="F44" s="18"/>
      <c r="G44" s="62">
        <f t="shared" si="4"/>
        <v>0</v>
      </c>
      <c r="H44" s="4">
        <v>47</v>
      </c>
      <c r="I44" s="4">
        <f t="shared" si="5"/>
        <v>0</v>
      </c>
      <c r="J44" s="22">
        <f t="shared" si="11"/>
        <v>0</v>
      </c>
      <c r="K44" s="52">
        <f>References!$C$17*J44</f>
        <v>0</v>
      </c>
      <c r="L44" s="59">
        <f>K44/References!$F$18</f>
        <v>0</v>
      </c>
      <c r="M44" s="59"/>
      <c r="N44" s="108">
        <v>11.11</v>
      </c>
      <c r="O44" s="135">
        <f>MROUND(N44+M44,References!$E$28)</f>
        <v>11.11</v>
      </c>
      <c r="P44" s="54">
        <f t="shared" si="12"/>
        <v>0</v>
      </c>
      <c r="Q44" s="54">
        <f t="shared" si="13"/>
        <v>0</v>
      </c>
      <c r="R44" s="54">
        <f t="shared" si="6"/>
        <v>0</v>
      </c>
    </row>
    <row r="45" spans="1:18">
      <c r="A45" s="143"/>
      <c r="B45" s="117">
        <v>245</v>
      </c>
      <c r="C45" s="118">
        <v>34</v>
      </c>
      <c r="D45" s="119" t="s">
        <v>118</v>
      </c>
      <c r="E45" s="114">
        <v>0</v>
      </c>
      <c r="F45" s="4"/>
      <c r="G45" s="62">
        <f t="shared" si="4"/>
        <v>0</v>
      </c>
      <c r="H45" s="4">
        <v>47</v>
      </c>
      <c r="I45" s="4">
        <f t="shared" si="5"/>
        <v>0</v>
      </c>
      <c r="J45" s="22">
        <f t="shared" si="11"/>
        <v>0</v>
      </c>
      <c r="K45" s="52">
        <f>References!$C$17*J45</f>
        <v>0</v>
      </c>
      <c r="L45" s="59">
        <f>K45/References!$F$18</f>
        <v>0</v>
      </c>
      <c r="M45" s="59"/>
      <c r="N45" s="108">
        <v>15.77</v>
      </c>
      <c r="O45" s="135">
        <f>MROUND(N45+M45,References!$E$28)</f>
        <v>15.77</v>
      </c>
      <c r="P45" s="54">
        <f t="shared" si="12"/>
        <v>0</v>
      </c>
      <c r="Q45" s="54">
        <f t="shared" si="13"/>
        <v>0</v>
      </c>
      <c r="R45" s="54">
        <f t="shared" si="6"/>
        <v>0</v>
      </c>
    </row>
    <row r="46" spans="1:18">
      <c r="A46" s="143"/>
      <c r="B46" s="117">
        <v>240</v>
      </c>
      <c r="C46" s="118">
        <v>33</v>
      </c>
      <c r="D46" s="119" t="s">
        <v>123</v>
      </c>
      <c r="E46" s="132">
        <v>46</v>
      </c>
      <c r="F46" s="18"/>
      <c r="G46" s="134">
        <v>900</v>
      </c>
      <c r="H46" s="4">
        <v>175</v>
      </c>
      <c r="I46" s="4">
        <f t="shared" si="5"/>
        <v>157500</v>
      </c>
      <c r="J46" s="22">
        <f t="shared" si="11"/>
        <v>131937.67592646161</v>
      </c>
      <c r="K46" s="52">
        <f>References!$C$17*J46</f>
        <v>1121.4702453749246</v>
      </c>
      <c r="L46" s="59">
        <f>K46/References!$F$18</f>
        <v>1143.5114281525653</v>
      </c>
      <c r="M46" s="59">
        <f t="shared" ref="M46:M51" si="14">L46/G46</f>
        <v>1.2705682535028502</v>
      </c>
      <c r="N46" s="108">
        <v>26.66</v>
      </c>
      <c r="O46" s="59">
        <f>MROUND(N46+M46,References!$E$28)</f>
        <v>27.93</v>
      </c>
      <c r="P46" s="54">
        <f t="shared" si="12"/>
        <v>23994</v>
      </c>
      <c r="Q46" s="54">
        <f t="shared" si="13"/>
        <v>25137</v>
      </c>
      <c r="R46" s="54">
        <f t="shared" si="6"/>
        <v>1143</v>
      </c>
    </row>
    <row r="47" spans="1:18">
      <c r="A47" s="143"/>
      <c r="B47" s="117">
        <v>240</v>
      </c>
      <c r="C47" s="118">
        <v>33</v>
      </c>
      <c r="D47" s="119" t="s">
        <v>124</v>
      </c>
      <c r="E47" s="132">
        <v>25</v>
      </c>
      <c r="F47" s="18"/>
      <c r="G47" s="134">
        <v>600</v>
      </c>
      <c r="H47" s="4">
        <v>324</v>
      </c>
      <c r="I47" s="4">
        <f t="shared" si="5"/>
        <v>194400</v>
      </c>
      <c r="J47" s="22">
        <f t="shared" si="11"/>
        <v>162848.78857208978</v>
      </c>
      <c r="K47" s="52">
        <f>References!$C$17*J47</f>
        <v>1384.2147028627644</v>
      </c>
      <c r="L47" s="59">
        <f>K47/References!$F$18</f>
        <v>1411.4198198911668</v>
      </c>
      <c r="M47" s="59">
        <f t="shared" si="14"/>
        <v>2.3523663664852781</v>
      </c>
      <c r="N47" s="108">
        <v>42.91</v>
      </c>
      <c r="O47" s="59">
        <f>MROUND(N47+M47,References!$E$28)</f>
        <v>45.26</v>
      </c>
      <c r="P47" s="54">
        <f t="shared" si="12"/>
        <v>25745.999999999996</v>
      </c>
      <c r="Q47" s="54">
        <f t="shared" si="13"/>
        <v>27156</v>
      </c>
      <c r="R47" s="54">
        <f t="shared" si="6"/>
        <v>1410.0000000000036</v>
      </c>
    </row>
    <row r="48" spans="1:18">
      <c r="A48" s="143"/>
      <c r="B48" s="117">
        <v>240</v>
      </c>
      <c r="C48" s="118">
        <v>33</v>
      </c>
      <c r="D48" s="119" t="s">
        <v>125</v>
      </c>
      <c r="E48" s="132">
        <v>14</v>
      </c>
      <c r="F48" s="18"/>
      <c r="G48" s="134">
        <v>200</v>
      </c>
      <c r="H48" s="4">
        <v>473</v>
      </c>
      <c r="I48" s="4">
        <f t="shared" ref="I48:I49" si="15">G48*H48</f>
        <v>94600</v>
      </c>
      <c r="J48" s="22">
        <f t="shared" si="11"/>
        <v>79246.375508846162</v>
      </c>
      <c r="K48" s="52">
        <f>References!$C$17*J48</f>
        <v>673.59419182519298</v>
      </c>
      <c r="L48" s="59">
        <f>K48/References!$F$18</f>
        <v>686.83289589354104</v>
      </c>
      <c r="M48" s="59">
        <f t="shared" si="14"/>
        <v>3.4341644794677051</v>
      </c>
      <c r="N48" s="108">
        <v>62.34</v>
      </c>
      <c r="O48" s="59">
        <f>MROUND(N48+M48,References!$E$28)</f>
        <v>65.77</v>
      </c>
      <c r="P48" s="54">
        <f t="shared" ref="P48:P51" si="16">G48*N48</f>
        <v>12468</v>
      </c>
      <c r="Q48" s="54">
        <f t="shared" ref="Q48:Q51" si="17">G48*O48</f>
        <v>13154</v>
      </c>
      <c r="R48" s="54">
        <f t="shared" ref="R48:R51" si="18">Q48-P48</f>
        <v>686</v>
      </c>
    </row>
    <row r="49" spans="1:18">
      <c r="A49" s="143"/>
      <c r="B49" s="117">
        <v>240</v>
      </c>
      <c r="C49" s="118">
        <v>33</v>
      </c>
      <c r="D49" s="119" t="s">
        <v>126</v>
      </c>
      <c r="E49" s="132">
        <v>11</v>
      </c>
      <c r="F49" s="18"/>
      <c r="G49" s="134">
        <v>200</v>
      </c>
      <c r="H49" s="4">
        <v>613</v>
      </c>
      <c r="I49" s="4">
        <f t="shared" si="15"/>
        <v>122600</v>
      </c>
      <c r="J49" s="22">
        <f t="shared" si="11"/>
        <v>102701.96234021711</v>
      </c>
      <c r="K49" s="52">
        <f>References!$C$17*J49</f>
        <v>872.96667989184618</v>
      </c>
      <c r="L49" s="59">
        <f>K49/References!$F$18</f>
        <v>890.12381645399705</v>
      </c>
      <c r="M49" s="59">
        <f t="shared" si="14"/>
        <v>4.4506190822699851</v>
      </c>
      <c r="N49" s="108">
        <v>80.959999999999994</v>
      </c>
      <c r="O49" s="59">
        <f>MROUND(N49+M49,References!$E$28)</f>
        <v>85.41</v>
      </c>
      <c r="P49" s="54">
        <f t="shared" si="16"/>
        <v>16191.999999999998</v>
      </c>
      <c r="Q49" s="54">
        <f t="shared" si="17"/>
        <v>17082</v>
      </c>
      <c r="R49" s="54">
        <f t="shared" si="18"/>
        <v>890.00000000000182</v>
      </c>
    </row>
    <row r="50" spans="1:18">
      <c r="A50" s="143"/>
      <c r="B50" s="117">
        <v>240</v>
      </c>
      <c r="C50" s="118">
        <v>33</v>
      </c>
      <c r="D50" s="119" t="s">
        <v>127</v>
      </c>
      <c r="E50" s="132">
        <v>7</v>
      </c>
      <c r="F50" s="18"/>
      <c r="G50" s="134">
        <v>312</v>
      </c>
      <c r="H50" s="4">
        <f>840*2</f>
        <v>1680</v>
      </c>
      <c r="I50" s="4">
        <f t="shared" ref="I50:I51" si="19">G50*H50</f>
        <v>524160</v>
      </c>
      <c r="J50" s="22">
        <f t="shared" si="11"/>
        <v>439088.58548326429</v>
      </c>
      <c r="K50" s="52">
        <f>References!$C$17*J50</f>
        <v>3732.25297660775</v>
      </c>
      <c r="L50" s="59">
        <f>K50/References!$F$18</f>
        <v>3805.6060328917383</v>
      </c>
      <c r="M50" s="59">
        <f t="shared" si="14"/>
        <v>12.197455233627366</v>
      </c>
      <c r="N50" s="108">
        <v>105.46</v>
      </c>
      <c r="O50" s="137">
        <f>MROUND(N50+M50,References!$E$28)</f>
        <v>117.66</v>
      </c>
      <c r="P50" s="54">
        <f t="shared" si="16"/>
        <v>32903.519999999997</v>
      </c>
      <c r="Q50" s="54">
        <f t="shared" si="17"/>
        <v>36709.919999999998</v>
      </c>
      <c r="R50" s="54">
        <f t="shared" si="18"/>
        <v>3806.4000000000015</v>
      </c>
    </row>
    <row r="51" spans="1:18">
      <c r="A51" s="143"/>
      <c r="B51" s="117">
        <v>240</v>
      </c>
      <c r="C51" s="118">
        <v>33</v>
      </c>
      <c r="D51" s="119" t="s">
        <v>128</v>
      </c>
      <c r="E51" s="132">
        <v>1</v>
      </c>
      <c r="F51" s="18"/>
      <c r="G51" s="134">
        <v>48</v>
      </c>
      <c r="H51" s="4">
        <f>980*2</f>
        <v>1960</v>
      </c>
      <c r="I51" s="4">
        <f t="shared" si="19"/>
        <v>94080</v>
      </c>
      <c r="J51" s="22">
        <f t="shared" si="11"/>
        <v>78810.771753406414</v>
      </c>
      <c r="K51" s="52">
        <f>References!$C$17*J51</f>
        <v>669.89155990395511</v>
      </c>
      <c r="L51" s="59">
        <f>K51/References!$F$18</f>
        <v>683.0574930831325</v>
      </c>
      <c r="M51" s="59">
        <f t="shared" si="14"/>
        <v>14.230364439231927</v>
      </c>
      <c r="N51" s="108">
        <v>156.13999999999999</v>
      </c>
      <c r="O51" s="137">
        <f>MROUND(N51+M51,References!$E$28)</f>
        <v>170.37</v>
      </c>
      <c r="P51" s="54">
        <f t="shared" si="16"/>
        <v>7494.7199999999993</v>
      </c>
      <c r="Q51" s="54">
        <f t="shared" si="17"/>
        <v>8177.76</v>
      </c>
      <c r="R51" s="54">
        <f t="shared" si="18"/>
        <v>683.04000000000087</v>
      </c>
    </row>
    <row r="52" spans="1:18">
      <c r="A52" s="143"/>
      <c r="B52" s="117">
        <v>240</v>
      </c>
      <c r="C52" s="118">
        <v>33</v>
      </c>
      <c r="D52" s="119" t="s">
        <v>129</v>
      </c>
      <c r="E52" s="114">
        <v>71</v>
      </c>
      <c r="F52" s="4"/>
      <c r="G52" s="62"/>
      <c r="H52" s="4"/>
      <c r="I52" s="4"/>
      <c r="J52" s="22"/>
      <c r="K52" s="52"/>
      <c r="L52" s="59"/>
      <c r="M52" s="59"/>
      <c r="N52" s="108">
        <v>8.33</v>
      </c>
      <c r="O52" s="135"/>
      <c r="P52" s="54"/>
      <c r="Q52" s="54"/>
      <c r="R52" s="54"/>
    </row>
    <row r="53" spans="1:18">
      <c r="A53" s="143"/>
      <c r="B53" s="117">
        <v>240</v>
      </c>
      <c r="C53" s="118">
        <v>33</v>
      </c>
      <c r="D53" s="119" t="s">
        <v>130</v>
      </c>
      <c r="E53" s="114">
        <v>14</v>
      </c>
      <c r="F53" s="4"/>
      <c r="G53" s="62"/>
      <c r="H53" s="4"/>
      <c r="I53" s="4"/>
      <c r="J53" s="22"/>
      <c r="K53" s="52"/>
      <c r="L53" s="59"/>
      <c r="M53" s="59"/>
      <c r="N53" s="108">
        <v>12.5</v>
      </c>
      <c r="O53" s="135"/>
      <c r="P53" s="54"/>
      <c r="Q53" s="54"/>
      <c r="R53" s="54"/>
    </row>
    <row r="54" spans="1:18">
      <c r="A54" s="143"/>
      <c r="B54" s="117">
        <v>240</v>
      </c>
      <c r="C54" s="118">
        <v>33</v>
      </c>
      <c r="D54" s="119" t="s">
        <v>131</v>
      </c>
      <c r="E54" s="114">
        <v>14</v>
      </c>
      <c r="F54" s="4"/>
      <c r="G54" s="62"/>
      <c r="H54" s="4"/>
      <c r="I54" s="4"/>
      <c r="J54" s="22"/>
      <c r="K54" s="52"/>
      <c r="L54" s="59"/>
      <c r="M54" s="59"/>
      <c r="N54" s="108">
        <v>17.22</v>
      </c>
      <c r="O54" s="135"/>
      <c r="P54" s="54"/>
      <c r="Q54" s="54"/>
      <c r="R54" s="54"/>
    </row>
    <row r="55" spans="1:18">
      <c r="A55" s="143"/>
      <c r="B55" s="117">
        <v>240</v>
      </c>
      <c r="C55" s="118">
        <v>33</v>
      </c>
      <c r="D55" s="119" t="s">
        <v>132</v>
      </c>
      <c r="E55" s="114">
        <v>1</v>
      </c>
      <c r="F55" s="4"/>
      <c r="G55" s="62"/>
      <c r="H55" s="4"/>
      <c r="I55" s="4"/>
      <c r="J55" s="22"/>
      <c r="K55" s="52"/>
      <c r="L55" s="59"/>
      <c r="M55" s="59"/>
      <c r="N55" s="108">
        <v>24.44</v>
      </c>
      <c r="O55" s="135"/>
      <c r="P55" s="54"/>
      <c r="Q55" s="54"/>
      <c r="R55" s="54"/>
    </row>
    <row r="56" spans="1:18">
      <c r="A56" s="143"/>
      <c r="B56" s="117">
        <v>240</v>
      </c>
      <c r="C56" s="118">
        <v>33</v>
      </c>
      <c r="D56" s="119" t="s">
        <v>133</v>
      </c>
      <c r="E56" s="114">
        <v>0</v>
      </c>
      <c r="F56" s="4"/>
      <c r="G56" s="62"/>
      <c r="H56" s="4"/>
      <c r="I56" s="4"/>
      <c r="J56" s="22"/>
      <c r="K56" s="52"/>
      <c r="L56" s="59"/>
      <c r="M56" s="59"/>
      <c r="N56" s="108">
        <v>82.94</v>
      </c>
      <c r="O56" s="135"/>
      <c r="P56" s="54"/>
      <c r="Q56" s="54"/>
      <c r="R56" s="54"/>
    </row>
    <row r="57" spans="1:18">
      <c r="A57" s="143"/>
      <c r="B57" s="117">
        <v>240</v>
      </c>
      <c r="C57" s="118">
        <v>33</v>
      </c>
      <c r="D57" s="119" t="s">
        <v>134</v>
      </c>
      <c r="E57" s="114">
        <v>0</v>
      </c>
      <c r="F57" s="4"/>
      <c r="G57" s="62"/>
      <c r="H57" s="4"/>
      <c r="I57" s="4"/>
      <c r="J57" s="22"/>
      <c r="K57" s="52"/>
      <c r="L57" s="59"/>
      <c r="M57" s="59"/>
      <c r="N57" s="108">
        <v>57.66</v>
      </c>
      <c r="O57" s="135"/>
      <c r="P57" s="54"/>
      <c r="Q57" s="54"/>
      <c r="R57" s="54"/>
    </row>
    <row r="58" spans="1:18">
      <c r="A58" s="143"/>
      <c r="B58" s="117">
        <v>240</v>
      </c>
      <c r="C58" s="118">
        <v>33</v>
      </c>
      <c r="D58" s="119" t="s">
        <v>135</v>
      </c>
      <c r="E58" s="114">
        <v>0</v>
      </c>
      <c r="F58" s="4"/>
      <c r="G58" s="62"/>
      <c r="H58" s="4"/>
      <c r="I58" s="4"/>
      <c r="J58" s="22"/>
      <c r="K58" s="52"/>
      <c r="L58" s="59"/>
      <c r="M58" s="59"/>
      <c r="N58" s="108">
        <v>94.64</v>
      </c>
      <c r="O58" s="135"/>
      <c r="P58" s="54"/>
      <c r="Q58" s="54"/>
      <c r="R58" s="54"/>
    </row>
    <row r="59" spans="1:18">
      <c r="A59" s="143"/>
      <c r="B59" s="117">
        <v>240</v>
      </c>
      <c r="C59" s="118">
        <v>22</v>
      </c>
      <c r="D59" s="119" t="s">
        <v>136</v>
      </c>
      <c r="E59" s="114">
        <v>0</v>
      </c>
      <c r="F59" s="4"/>
      <c r="G59" s="62"/>
      <c r="H59" s="4"/>
      <c r="I59" s="4"/>
      <c r="J59" s="22"/>
      <c r="K59" s="52"/>
      <c r="L59" s="59"/>
      <c r="M59" s="59"/>
      <c r="N59" s="108">
        <v>119.64</v>
      </c>
      <c r="O59" s="135"/>
      <c r="P59" s="54"/>
      <c r="Q59" s="54"/>
      <c r="R59" s="54"/>
    </row>
    <row r="60" spans="1:18">
      <c r="A60" s="143"/>
      <c r="B60" s="117">
        <v>240</v>
      </c>
      <c r="C60" s="118">
        <v>33</v>
      </c>
      <c r="D60" s="119" t="s">
        <v>137</v>
      </c>
      <c r="E60" s="114">
        <v>0</v>
      </c>
      <c r="F60" s="4"/>
      <c r="G60" s="62"/>
      <c r="H60" s="4"/>
      <c r="I60" s="4"/>
      <c r="J60" s="22"/>
      <c r="K60" s="52"/>
      <c r="L60" s="59"/>
      <c r="M60" s="59"/>
      <c r="N60" s="108">
        <v>144.51</v>
      </c>
      <c r="O60" s="135"/>
      <c r="P60" s="54"/>
      <c r="Q60" s="54"/>
      <c r="R60" s="54"/>
    </row>
    <row r="61" spans="1:18">
      <c r="A61" s="143"/>
      <c r="B61" s="117">
        <v>240</v>
      </c>
      <c r="C61" s="118">
        <v>33</v>
      </c>
      <c r="D61" s="119" t="s">
        <v>138</v>
      </c>
      <c r="E61" s="114">
        <v>0</v>
      </c>
      <c r="F61" s="4"/>
      <c r="G61" s="62"/>
      <c r="H61" s="4"/>
      <c r="I61" s="4"/>
      <c r="J61" s="22"/>
      <c r="K61" s="52"/>
      <c r="L61" s="59"/>
      <c r="M61" s="59"/>
      <c r="N61" s="108">
        <v>191.06</v>
      </c>
      <c r="O61" s="137"/>
      <c r="P61" s="54"/>
      <c r="Q61" s="54"/>
      <c r="R61" s="54"/>
    </row>
    <row r="62" spans="1:18">
      <c r="A62" s="143"/>
      <c r="B62" s="120">
        <v>240</v>
      </c>
      <c r="C62" s="121">
        <v>33</v>
      </c>
      <c r="D62" s="122" t="s">
        <v>139</v>
      </c>
      <c r="E62" s="115">
        <v>0</v>
      </c>
      <c r="F62" s="25"/>
      <c r="G62" s="63">
        <f t="shared" si="4"/>
        <v>0</v>
      </c>
      <c r="H62" s="26">
        <f>H51</f>
        <v>1960</v>
      </c>
      <c r="I62" s="26">
        <f t="shared" si="5"/>
        <v>0</v>
      </c>
      <c r="J62" s="27">
        <f>$E$125*I62</f>
        <v>0</v>
      </c>
      <c r="K62" s="53">
        <f>References!$C$17*J62</f>
        <v>0</v>
      </c>
      <c r="L62" s="60">
        <f>K62/References!$F$18</f>
        <v>0</v>
      </c>
      <c r="M62" s="60"/>
      <c r="N62" s="110">
        <v>236.6</v>
      </c>
      <c r="O62" s="138">
        <f>MROUND(N62+M62,References!$E$28)</f>
        <v>236.6</v>
      </c>
      <c r="P62" s="55">
        <f t="shared" si="12"/>
        <v>0</v>
      </c>
      <c r="Q62" s="55">
        <f t="shared" si="13"/>
        <v>0</v>
      </c>
      <c r="R62" s="55">
        <f t="shared" si="6"/>
        <v>0</v>
      </c>
    </row>
    <row r="63" spans="1:18">
      <c r="A63" s="144"/>
      <c r="B63" s="127"/>
      <c r="C63" s="71"/>
      <c r="D63" s="72" t="s">
        <v>44</v>
      </c>
      <c r="E63" s="57">
        <f>SUM(E36:E62)</f>
        <v>207</v>
      </c>
      <c r="F63" s="25"/>
      <c r="G63" s="65">
        <f>SUM(G36:G62)</f>
        <v>2612</v>
      </c>
      <c r="H63" s="26"/>
      <c r="I63" s="57">
        <f>SUM(I36:I62)</f>
        <v>1199948</v>
      </c>
      <c r="J63" s="57">
        <f>SUM(J36:J62)</f>
        <v>1005195.8752546398</v>
      </c>
      <c r="K63" s="25"/>
      <c r="L63" s="25"/>
      <c r="M63" s="25"/>
      <c r="N63" s="25"/>
      <c r="O63" s="25"/>
      <c r="P63" s="82">
        <f>SUM(P36:P62)</f>
        <v>119019.51999999999</v>
      </c>
      <c r="Q63" s="82">
        <f>SUM(Q36:Q62)</f>
        <v>127643.72</v>
      </c>
      <c r="R63" s="82">
        <f>SUM(R36:R62)</f>
        <v>8624.200000000008</v>
      </c>
    </row>
    <row r="64" spans="1:18" ht="24" customHeight="1">
      <c r="A64" s="73"/>
      <c r="B64" s="73"/>
      <c r="C64" s="71"/>
      <c r="D64" s="74" t="s">
        <v>73</v>
      </c>
      <c r="H64" s="7"/>
      <c r="I64" s="17"/>
      <c r="J64" s="4"/>
      <c r="P64" s="15"/>
      <c r="Q64" s="15"/>
      <c r="R64" s="15"/>
    </row>
    <row r="65" spans="1:18" ht="14.45" customHeight="1">
      <c r="A65" s="145" t="s">
        <v>70</v>
      </c>
      <c r="B65" s="117">
        <v>100</v>
      </c>
      <c r="C65" s="118">
        <v>25</v>
      </c>
      <c r="D65" s="119" t="s">
        <v>111</v>
      </c>
      <c r="E65" s="21">
        <v>0</v>
      </c>
      <c r="F65" s="18"/>
      <c r="G65" s="134">
        <v>554.46685878962535</v>
      </c>
      <c r="H65" s="4">
        <v>34</v>
      </c>
      <c r="I65" s="4">
        <f t="shared" ref="I65:I84" si="20">G65*H65</f>
        <v>18851.873198847261</v>
      </c>
      <c r="J65" s="22">
        <f t="shared" ref="J65:J70" si="21">$E$125*I65</f>
        <v>15792.205312484173</v>
      </c>
      <c r="K65" s="52">
        <f>References!$C$17*J65</f>
        <v>134.23374515611559</v>
      </c>
      <c r="L65" s="52">
        <f>K65/References!$F$18</f>
        <v>136.87195203152319</v>
      </c>
      <c r="M65" s="59"/>
      <c r="N65" s="108">
        <v>8.4499999999999993</v>
      </c>
      <c r="O65" s="135">
        <f>MROUND(N65+M65,References!$E$28)</f>
        <v>8.4499999999999993</v>
      </c>
      <c r="P65" s="54">
        <f>N65*G65</f>
        <v>4685.2449567723334</v>
      </c>
      <c r="Q65" s="54">
        <f>O65*G65</f>
        <v>4685.2449567723334</v>
      </c>
      <c r="R65" s="54">
        <f>Q65-P65</f>
        <v>0</v>
      </c>
    </row>
    <row r="66" spans="1:18">
      <c r="A66" s="143"/>
      <c r="B66" s="117">
        <v>100</v>
      </c>
      <c r="C66" s="118">
        <v>25</v>
      </c>
      <c r="D66" s="119" t="s">
        <v>112</v>
      </c>
      <c r="E66" s="20">
        <v>0</v>
      </c>
      <c r="F66" s="29"/>
      <c r="G66" s="134">
        <v>58.998935037273689</v>
      </c>
      <c r="H66" s="28">
        <v>37</v>
      </c>
      <c r="I66" s="4">
        <f t="shared" si="20"/>
        <v>2182.9605963791264</v>
      </c>
      <c r="J66" s="22">
        <f t="shared" si="21"/>
        <v>1828.6650649225687</v>
      </c>
      <c r="K66" s="52">
        <f>References!$C$17*J66</f>
        <v>15.543653051841847</v>
      </c>
      <c r="L66" s="52">
        <f>K66/References!$F$18</f>
        <v>15.849145328039816</v>
      </c>
      <c r="M66" s="59"/>
      <c r="N66" s="112">
        <v>9.4499999999999993</v>
      </c>
      <c r="O66" s="135">
        <f>MROUND(N66+M66,References!$E$28)</f>
        <v>9.4500000000000011</v>
      </c>
      <c r="P66" s="54">
        <f>N66*G66</f>
        <v>557.53993610223631</v>
      </c>
      <c r="Q66" s="54">
        <f>O66*G66</f>
        <v>557.53993610223642</v>
      </c>
      <c r="R66" s="54">
        <f t="shared" ref="R66:R70" si="22">Q66-P66</f>
        <v>0</v>
      </c>
    </row>
    <row r="67" spans="1:18">
      <c r="A67" s="143"/>
      <c r="B67" s="117">
        <v>100</v>
      </c>
      <c r="C67" s="118">
        <v>25</v>
      </c>
      <c r="D67" s="119" t="s">
        <v>113</v>
      </c>
      <c r="E67" s="20">
        <v>0</v>
      </c>
      <c r="F67" s="29"/>
      <c r="G67" s="134">
        <v>695.38508557457214</v>
      </c>
      <c r="H67" s="28">
        <v>37</v>
      </c>
      <c r="I67" s="4">
        <f t="shared" si="20"/>
        <v>25729.248166259171</v>
      </c>
      <c r="J67" s="22">
        <f t="shared" si="21"/>
        <v>21553.379088199425</v>
      </c>
      <c r="K67" s="52">
        <f>References!$C$17*J67</f>
        <v>183.20372224969526</v>
      </c>
      <c r="L67" s="52">
        <f>K67/References!$F$18</f>
        <v>186.80437660883047</v>
      </c>
      <c r="M67" s="59"/>
      <c r="N67" s="112">
        <v>9.99</v>
      </c>
      <c r="O67" s="135">
        <f>MROUND(N67+M67,References!$E$28)</f>
        <v>9.99</v>
      </c>
      <c r="P67" s="54">
        <f>N67*G67</f>
        <v>6946.8970048899755</v>
      </c>
      <c r="Q67" s="54">
        <f>O67*G67</f>
        <v>6946.8970048899755</v>
      </c>
      <c r="R67" s="54">
        <f t="shared" si="22"/>
        <v>0</v>
      </c>
    </row>
    <row r="68" spans="1:18">
      <c r="A68" s="143"/>
      <c r="B68" s="117">
        <v>100</v>
      </c>
      <c r="C68" s="118">
        <v>25</v>
      </c>
      <c r="D68" s="119" t="s">
        <v>114</v>
      </c>
      <c r="E68" s="20">
        <v>0</v>
      </c>
      <c r="F68" s="29"/>
      <c r="G68" s="134"/>
      <c r="H68" s="28">
        <v>47</v>
      </c>
      <c r="I68" s="4">
        <f t="shared" ref="I68:I69" si="23">G68*H68</f>
        <v>0</v>
      </c>
      <c r="J68" s="22">
        <f t="shared" si="21"/>
        <v>0</v>
      </c>
      <c r="K68" s="52">
        <f>References!$C$17*J68</f>
        <v>0</v>
      </c>
      <c r="L68" s="52">
        <f>K68/References!$F$18</f>
        <v>0</v>
      </c>
      <c r="M68" s="59"/>
      <c r="N68" s="112">
        <v>10.55</v>
      </c>
      <c r="O68" s="135"/>
      <c r="P68" s="54"/>
      <c r="Q68" s="54"/>
      <c r="R68" s="54"/>
    </row>
    <row r="69" spans="1:18">
      <c r="A69" s="143"/>
      <c r="B69" s="117">
        <v>100</v>
      </c>
      <c r="C69" s="118">
        <v>25</v>
      </c>
      <c r="D69" s="119" t="s">
        <v>115</v>
      </c>
      <c r="E69" s="20"/>
      <c r="F69" s="29"/>
      <c r="G69" s="134"/>
      <c r="H69" s="28">
        <v>47</v>
      </c>
      <c r="I69" s="4">
        <f t="shared" si="23"/>
        <v>0</v>
      </c>
      <c r="J69" s="22">
        <f t="shared" si="21"/>
        <v>0</v>
      </c>
      <c r="K69" s="52">
        <f>References!$C$17*J69</f>
        <v>0</v>
      </c>
      <c r="L69" s="52">
        <f>K69/References!$F$18</f>
        <v>0</v>
      </c>
      <c r="M69" s="59"/>
      <c r="N69" s="112">
        <v>11.11</v>
      </c>
      <c r="O69" s="135"/>
      <c r="P69" s="54"/>
      <c r="Q69" s="54"/>
      <c r="R69" s="54"/>
    </row>
    <row r="70" spans="1:18">
      <c r="A70" s="143"/>
      <c r="B70" s="120">
        <v>100</v>
      </c>
      <c r="C70" s="121">
        <v>25</v>
      </c>
      <c r="D70" s="122" t="s">
        <v>116</v>
      </c>
      <c r="E70" s="2">
        <v>0</v>
      </c>
      <c r="F70" s="66"/>
      <c r="G70" s="133">
        <v>77.48292170257487</v>
      </c>
      <c r="H70" s="67">
        <v>47</v>
      </c>
      <c r="I70" s="26">
        <f t="shared" si="20"/>
        <v>3641.6973200210191</v>
      </c>
      <c r="J70" s="27">
        <f t="shared" si="21"/>
        <v>3050.6481322615682</v>
      </c>
      <c r="K70" s="52">
        <f>References!$C$17*J70</f>
        <v>25.930509124223352</v>
      </c>
      <c r="L70" s="53">
        <f>K70/References!$F$18</f>
        <v>26.440142878200671</v>
      </c>
      <c r="M70" s="60"/>
      <c r="N70" s="113">
        <v>6.67</v>
      </c>
      <c r="O70" s="136">
        <f>MROUND(N70+M70,References!$E$28)</f>
        <v>6.67</v>
      </c>
      <c r="P70" s="55">
        <f>N70*G70</f>
        <v>516.8110877561744</v>
      </c>
      <c r="Q70" s="55">
        <f>O70*G70</f>
        <v>516.8110877561744</v>
      </c>
      <c r="R70" s="55">
        <f t="shared" si="22"/>
        <v>0</v>
      </c>
    </row>
    <row r="71" spans="1:18">
      <c r="A71" s="144"/>
      <c r="B71" s="102"/>
      <c r="C71" s="30"/>
      <c r="D71" s="49" t="s">
        <v>44</v>
      </c>
      <c r="E71" s="68"/>
      <c r="F71" s="68"/>
      <c r="G71" s="69">
        <f>SUM(G65:G70)</f>
        <v>1386.333801104046</v>
      </c>
      <c r="H71" s="78"/>
      <c r="I71" s="78">
        <f>SUM(I65:I70)</f>
        <v>50405.779281506577</v>
      </c>
      <c r="J71" s="69">
        <f>SUM(J65:J70)</f>
        <v>42224.897597867734</v>
      </c>
      <c r="K71" s="70"/>
      <c r="L71" s="88"/>
      <c r="M71" s="88"/>
      <c r="N71" s="89"/>
      <c r="O71" s="88"/>
      <c r="P71" s="83">
        <f>SUM(P65:P70)</f>
        <v>12706.492985520719</v>
      </c>
      <c r="Q71" s="84">
        <f>SUM(Q65:Q70)</f>
        <v>12706.492985520719</v>
      </c>
      <c r="R71" s="84">
        <f>SUM(R65:R70)</f>
        <v>0</v>
      </c>
    </row>
    <row r="72" spans="1:18" ht="14.45" customHeight="1">
      <c r="A72" s="145" t="s">
        <v>72</v>
      </c>
      <c r="B72" s="117">
        <v>260</v>
      </c>
      <c r="C72" s="123">
        <v>35</v>
      </c>
      <c r="D72" s="124" t="s">
        <v>140</v>
      </c>
      <c r="E72" s="31">
        <v>1</v>
      </c>
      <c r="F72" s="33"/>
      <c r="G72" s="61"/>
      <c r="H72" s="4"/>
      <c r="I72" s="4">
        <f t="shared" si="20"/>
        <v>0</v>
      </c>
      <c r="J72" s="32">
        <f>$E$125*I72</f>
        <v>0</v>
      </c>
      <c r="K72" s="52">
        <f>References!$C$17*J72</f>
        <v>0</v>
      </c>
      <c r="L72" s="51">
        <f>K72/References!$F$18</f>
        <v>0</v>
      </c>
      <c r="M72" s="59"/>
      <c r="N72" s="111">
        <v>90.98</v>
      </c>
      <c r="O72" s="135">
        <f>MROUND(N72+M72,References!$E$28)</f>
        <v>90.98</v>
      </c>
      <c r="P72" s="54">
        <f>N72*G72</f>
        <v>0</v>
      </c>
      <c r="Q72" s="54">
        <f>O72*G72</f>
        <v>0</v>
      </c>
      <c r="R72" s="54">
        <f t="shared" ref="R72:R84" si="24">Q72-P72</f>
        <v>0</v>
      </c>
    </row>
    <row r="73" spans="1:18">
      <c r="A73" s="143"/>
      <c r="B73" s="117">
        <v>260</v>
      </c>
      <c r="C73" s="118">
        <v>35</v>
      </c>
      <c r="D73" s="119" t="s">
        <v>141</v>
      </c>
      <c r="E73" s="21">
        <v>0</v>
      </c>
      <c r="F73" s="18"/>
      <c r="G73" s="62"/>
      <c r="H73" s="4"/>
      <c r="I73" s="4">
        <f t="shared" si="20"/>
        <v>0</v>
      </c>
      <c r="J73" s="22">
        <f>$E$125*I73</f>
        <v>0</v>
      </c>
      <c r="K73" s="52">
        <f>References!$C$17*J73</f>
        <v>0</v>
      </c>
      <c r="L73" s="52">
        <f>K73/References!$F$18</f>
        <v>0</v>
      </c>
      <c r="M73" s="59"/>
      <c r="N73" s="108">
        <v>173.29</v>
      </c>
      <c r="O73" s="135">
        <f>MROUND(N73+M73,References!$E$28)</f>
        <v>173.29</v>
      </c>
      <c r="P73" s="54">
        <f>N73*G73</f>
        <v>0</v>
      </c>
      <c r="Q73" s="54">
        <f>O73*G73</f>
        <v>0</v>
      </c>
      <c r="R73" s="54">
        <f t="shared" si="24"/>
        <v>0</v>
      </c>
    </row>
    <row r="74" spans="1:18">
      <c r="A74" s="143"/>
      <c r="B74" s="117">
        <v>260</v>
      </c>
      <c r="C74" s="118">
        <v>35</v>
      </c>
      <c r="D74" s="119" t="s">
        <v>142</v>
      </c>
      <c r="E74" s="21">
        <v>1</v>
      </c>
      <c r="F74" s="18"/>
      <c r="G74" s="62"/>
      <c r="H74" s="4"/>
      <c r="I74" s="4">
        <f t="shared" si="20"/>
        <v>0</v>
      </c>
      <c r="J74" s="22">
        <f>$E$125*I74</f>
        <v>0</v>
      </c>
      <c r="K74" s="52">
        <f>References!$C$17*J74</f>
        <v>0</v>
      </c>
      <c r="L74" s="52">
        <f>K74/References!$F$18</f>
        <v>0</v>
      </c>
      <c r="M74" s="59"/>
      <c r="N74" s="108">
        <v>260.04000000000002</v>
      </c>
      <c r="O74" s="135">
        <f>MROUND(N74+M74,References!$E$28)</f>
        <v>260.04000000000002</v>
      </c>
      <c r="P74" s="54">
        <f>N74*G74</f>
        <v>0</v>
      </c>
      <c r="Q74" s="54">
        <f>O74*G74</f>
        <v>0</v>
      </c>
      <c r="R74" s="54">
        <f t="shared" si="24"/>
        <v>0</v>
      </c>
    </row>
    <row r="75" spans="1:18">
      <c r="A75" s="143"/>
      <c r="B75" s="117">
        <v>260</v>
      </c>
      <c r="C75" s="118">
        <v>35</v>
      </c>
      <c r="D75" s="119" t="s">
        <v>143</v>
      </c>
      <c r="E75" s="21">
        <v>0</v>
      </c>
      <c r="F75" s="18"/>
      <c r="G75" s="62"/>
      <c r="H75" s="4"/>
      <c r="I75" s="4"/>
      <c r="J75" s="22"/>
      <c r="K75" s="52"/>
      <c r="L75" s="52"/>
      <c r="M75" s="59"/>
      <c r="N75" s="108">
        <v>306.26</v>
      </c>
      <c r="O75" s="135"/>
      <c r="P75" s="54"/>
      <c r="Q75" s="54"/>
      <c r="R75" s="54"/>
    </row>
    <row r="76" spans="1:18">
      <c r="A76" s="143"/>
      <c r="B76" s="117">
        <v>260</v>
      </c>
      <c r="C76" s="118">
        <v>35</v>
      </c>
      <c r="D76" s="119" t="s">
        <v>144</v>
      </c>
      <c r="E76" s="21">
        <v>0</v>
      </c>
      <c r="F76" s="18"/>
      <c r="G76" s="62"/>
      <c r="H76" s="4"/>
      <c r="I76" s="4"/>
      <c r="J76" s="22"/>
      <c r="K76" s="52"/>
      <c r="L76" s="52"/>
      <c r="M76" s="59"/>
      <c r="N76" s="108">
        <v>174.23</v>
      </c>
      <c r="O76" s="135"/>
      <c r="P76" s="54"/>
      <c r="Q76" s="54"/>
      <c r="R76" s="54"/>
    </row>
    <row r="77" spans="1:18">
      <c r="A77" s="143"/>
      <c r="B77" s="117">
        <v>260</v>
      </c>
      <c r="C77" s="118">
        <v>35</v>
      </c>
      <c r="D77" s="119" t="s">
        <v>145</v>
      </c>
      <c r="E77" s="21">
        <v>0</v>
      </c>
      <c r="F77" s="18"/>
      <c r="G77" s="62"/>
      <c r="H77" s="4"/>
      <c r="I77" s="4"/>
      <c r="J77" s="22"/>
      <c r="K77" s="52"/>
      <c r="L77" s="52"/>
      <c r="M77" s="59"/>
      <c r="N77" s="108">
        <v>90.98</v>
      </c>
      <c r="O77" s="135"/>
      <c r="P77" s="54"/>
      <c r="Q77" s="54"/>
      <c r="R77" s="54"/>
    </row>
    <row r="78" spans="1:18">
      <c r="A78" s="143"/>
      <c r="B78" s="117">
        <v>260</v>
      </c>
      <c r="C78" s="118">
        <v>35</v>
      </c>
      <c r="D78" s="119" t="s">
        <v>146</v>
      </c>
      <c r="E78" s="21">
        <v>0</v>
      </c>
      <c r="F78" s="18"/>
      <c r="G78" s="62"/>
      <c r="H78" s="4"/>
      <c r="I78" s="4"/>
      <c r="J78" s="22"/>
      <c r="K78" s="52"/>
      <c r="L78" s="52"/>
      <c r="M78" s="59"/>
      <c r="N78" s="108">
        <v>173.29</v>
      </c>
      <c r="O78" s="135"/>
      <c r="P78" s="54"/>
      <c r="Q78" s="54"/>
      <c r="R78" s="54"/>
    </row>
    <row r="79" spans="1:18">
      <c r="A79" s="143"/>
      <c r="B79" s="117">
        <v>260</v>
      </c>
      <c r="C79" s="118">
        <v>35</v>
      </c>
      <c r="D79" s="119" t="s">
        <v>147</v>
      </c>
      <c r="E79" s="21">
        <v>0</v>
      </c>
      <c r="F79" s="18"/>
      <c r="G79" s="62"/>
      <c r="H79" s="4"/>
      <c r="I79" s="4"/>
      <c r="J79" s="22"/>
      <c r="K79" s="52"/>
      <c r="L79" s="52"/>
      <c r="M79" s="59"/>
      <c r="N79" s="108">
        <v>260.04000000000002</v>
      </c>
      <c r="O79" s="135"/>
      <c r="P79" s="54"/>
      <c r="Q79" s="54"/>
      <c r="R79" s="54"/>
    </row>
    <row r="80" spans="1:18">
      <c r="A80" s="143"/>
      <c r="B80" s="117">
        <v>260</v>
      </c>
      <c r="C80" s="118">
        <v>35</v>
      </c>
      <c r="D80" s="119" t="s">
        <v>148</v>
      </c>
      <c r="E80" s="21">
        <v>0</v>
      </c>
      <c r="F80" s="18"/>
      <c r="G80" s="62"/>
      <c r="H80" s="4"/>
      <c r="I80" s="4"/>
      <c r="J80" s="22"/>
      <c r="K80" s="52"/>
      <c r="L80" s="52"/>
      <c r="M80" s="59"/>
      <c r="N80" s="108">
        <v>306.26</v>
      </c>
      <c r="O80" s="135"/>
      <c r="P80" s="54"/>
      <c r="Q80" s="54"/>
      <c r="R80" s="54"/>
    </row>
    <row r="81" spans="1:18">
      <c r="A81" s="143"/>
      <c r="B81" s="117">
        <v>260</v>
      </c>
      <c r="C81" s="118">
        <v>35</v>
      </c>
      <c r="D81" s="119" t="s">
        <v>149</v>
      </c>
      <c r="E81" s="21">
        <v>1</v>
      </c>
      <c r="F81" s="18"/>
      <c r="G81" s="62"/>
      <c r="H81" s="4"/>
      <c r="I81" s="4"/>
      <c r="J81" s="22"/>
      <c r="K81" s="52"/>
      <c r="L81" s="52"/>
      <c r="M81" s="59"/>
      <c r="N81" s="108">
        <v>56.21</v>
      </c>
      <c r="O81" s="137"/>
      <c r="P81" s="54"/>
      <c r="Q81" s="54"/>
      <c r="R81" s="54"/>
    </row>
    <row r="82" spans="1:18">
      <c r="A82" s="143"/>
      <c r="B82" s="117">
        <v>260</v>
      </c>
      <c r="C82" s="118">
        <v>35</v>
      </c>
      <c r="D82" s="119" t="s">
        <v>150</v>
      </c>
      <c r="E82" s="21">
        <v>0</v>
      </c>
      <c r="F82" s="18"/>
      <c r="G82" s="62"/>
      <c r="H82" s="4"/>
      <c r="I82" s="4"/>
      <c r="J82" s="22"/>
      <c r="K82" s="52"/>
      <c r="L82" s="52"/>
      <c r="M82" s="59"/>
      <c r="N82" s="108">
        <v>56.21</v>
      </c>
      <c r="O82" s="137"/>
      <c r="P82" s="54"/>
      <c r="Q82" s="54"/>
      <c r="R82" s="54"/>
    </row>
    <row r="83" spans="1:18">
      <c r="A83" s="143"/>
      <c r="B83" s="117">
        <v>260</v>
      </c>
      <c r="C83" s="118">
        <v>35</v>
      </c>
      <c r="D83" s="119" t="s">
        <v>151</v>
      </c>
      <c r="E83" s="21">
        <v>1</v>
      </c>
      <c r="F83" s="18"/>
      <c r="G83" s="62"/>
      <c r="H83" s="4"/>
      <c r="I83" s="4"/>
      <c r="J83" s="22"/>
      <c r="K83" s="52"/>
      <c r="L83" s="52"/>
      <c r="M83" s="59"/>
      <c r="N83" s="108">
        <v>174.23</v>
      </c>
      <c r="O83" s="137"/>
      <c r="P83" s="54"/>
      <c r="Q83" s="54"/>
      <c r="R83" s="54"/>
    </row>
    <row r="84" spans="1:18">
      <c r="A84" s="143"/>
      <c r="B84" s="120">
        <v>260</v>
      </c>
      <c r="C84" s="121">
        <v>35</v>
      </c>
      <c r="D84" s="122" t="s">
        <v>152</v>
      </c>
      <c r="E84" s="24">
        <v>0</v>
      </c>
      <c r="F84" s="25"/>
      <c r="G84" s="63"/>
      <c r="H84" s="26"/>
      <c r="I84" s="4">
        <f t="shared" si="20"/>
        <v>0</v>
      </c>
      <c r="J84" s="27">
        <f>$E$125*I84</f>
        <v>0</v>
      </c>
      <c r="K84" s="52">
        <f>References!$C$17*J84</f>
        <v>0</v>
      </c>
      <c r="L84" s="53">
        <f>K84/References!$F$18</f>
        <v>0</v>
      </c>
      <c r="M84" s="59"/>
      <c r="N84" s="110">
        <v>174.23</v>
      </c>
      <c r="O84" s="137">
        <f>MROUND(N84+M84,References!$E$28)</f>
        <v>174.23</v>
      </c>
      <c r="P84" s="54">
        <f>N84*G84</f>
        <v>0</v>
      </c>
      <c r="Q84" s="54">
        <f>O84*G84</f>
        <v>0</v>
      </c>
      <c r="R84" s="54">
        <f t="shared" si="24"/>
        <v>0</v>
      </c>
    </row>
    <row r="85" spans="1:18">
      <c r="A85" s="144"/>
      <c r="B85" s="127"/>
      <c r="C85" s="71"/>
      <c r="D85" s="72" t="s">
        <v>44</v>
      </c>
      <c r="E85" s="75"/>
      <c r="F85" s="75"/>
      <c r="G85" s="77">
        <f>SUM(G72:G84)</f>
        <v>0</v>
      </c>
      <c r="H85" s="76"/>
      <c r="I85" s="77">
        <f>SUM(I72:I84)</f>
        <v>0</v>
      </c>
      <c r="J85" s="77">
        <f>SUM(J72:J84)</f>
        <v>0</v>
      </c>
      <c r="K85" s="75"/>
      <c r="L85" s="76"/>
      <c r="M85" s="76"/>
      <c r="N85" s="76"/>
      <c r="O85" s="76"/>
      <c r="P85" s="85">
        <f t="shared" ref="P85:R85" si="25">SUM(P72:P84)</f>
        <v>0</v>
      </c>
      <c r="Q85" s="85">
        <f t="shared" si="25"/>
        <v>0</v>
      </c>
      <c r="R85" s="85">
        <f t="shared" si="25"/>
        <v>0</v>
      </c>
    </row>
    <row r="86" spans="1:18" ht="15.75" thickBot="1">
      <c r="A86" s="90"/>
      <c r="B86" s="90"/>
      <c r="C86" s="90"/>
      <c r="D86" s="91" t="s">
        <v>74</v>
      </c>
      <c r="E86" s="92">
        <f>E85+E71+E63+E35</f>
        <v>434</v>
      </c>
      <c r="F86" s="90"/>
      <c r="G86" s="92">
        <f>G85+G71+G63+G35</f>
        <v>15066.493801104043</v>
      </c>
      <c r="H86" s="90"/>
      <c r="I86" s="92">
        <f>I85+I71+I63+I35</f>
        <v>1678406.0992815066</v>
      </c>
      <c r="J86" s="92">
        <f>J85+J71+J63+J35</f>
        <v>1406000</v>
      </c>
      <c r="K86" s="93"/>
      <c r="L86" s="93"/>
      <c r="M86" s="93"/>
      <c r="N86" s="90"/>
      <c r="O86" s="90"/>
      <c r="P86" s="94" t="e">
        <f>P85+P71+P63+P35</f>
        <v>#VALUE!</v>
      </c>
      <c r="Q86" s="94" t="e">
        <f>Q85+Q71+Q63+Q35</f>
        <v>#VALUE!</v>
      </c>
      <c r="R86" s="94" t="e">
        <f>R85+R71+R63+R35</f>
        <v>#VALUE!</v>
      </c>
    </row>
    <row r="87" spans="1:18" ht="15.75" thickTop="1">
      <c r="J87" s="4"/>
    </row>
    <row r="88" spans="1:18" ht="26.45" customHeight="1">
      <c r="D88" s="80" t="s">
        <v>75</v>
      </c>
      <c r="H88" s="7"/>
      <c r="I88" s="17"/>
      <c r="J88" s="4"/>
    </row>
    <row r="89" spans="1:18" ht="14.45" customHeight="1">
      <c r="A89" s="143"/>
      <c r="B89" s="139">
        <v>100</v>
      </c>
      <c r="C89" s="30">
        <v>24</v>
      </c>
      <c r="D89" s="19" t="s">
        <v>88</v>
      </c>
      <c r="E89" s="21">
        <v>0</v>
      </c>
      <c r="F89" s="18">
        <f>References!$D$7</f>
        <v>4.333333333333333</v>
      </c>
      <c r="G89" s="62">
        <f>F89*12</f>
        <v>52</v>
      </c>
      <c r="H89" s="4">
        <v>117</v>
      </c>
      <c r="I89" s="28">
        <f t="shared" ref="I89:I99" si="26">G89*H89/12</f>
        <v>507</v>
      </c>
      <c r="J89" s="28">
        <f t="shared" ref="J89:J116" si="27">$E$125*I89</f>
        <v>424.71366155375267</v>
      </c>
      <c r="K89" s="52">
        <f>References!$C$17*J89</f>
        <v>3.6100661232069009</v>
      </c>
      <c r="L89" s="52">
        <f>K89/References!$F$18</f>
        <v>3.6810177401482589</v>
      </c>
      <c r="M89" s="52"/>
      <c r="N89" s="108">
        <v>63.32</v>
      </c>
      <c r="O89" s="141">
        <f>N89+L89</f>
        <v>67.001017740148257</v>
      </c>
      <c r="P89" s="23">
        <f t="shared" ref="P89:P119" si="28">E89*N89*12</f>
        <v>0</v>
      </c>
      <c r="Q89" s="23">
        <f t="shared" ref="Q89:Q119" si="29">E89*O89*12</f>
        <v>0</v>
      </c>
      <c r="R89" s="23">
        <f t="shared" ref="R89:R119" si="30">Q89-P89</f>
        <v>0</v>
      </c>
    </row>
    <row r="90" spans="1:18">
      <c r="A90" s="143"/>
      <c r="B90" s="139">
        <v>100</v>
      </c>
      <c r="C90" s="30">
        <v>24</v>
      </c>
      <c r="D90" s="19" t="s">
        <v>94</v>
      </c>
      <c r="E90" s="21">
        <v>0</v>
      </c>
      <c r="F90" s="18">
        <v>4.33</v>
      </c>
      <c r="G90" s="62">
        <f t="shared" ref="G90:G99" si="31">F90*12</f>
        <v>51.96</v>
      </c>
      <c r="H90" s="4">
        <v>37</v>
      </c>
      <c r="I90" s="28">
        <f t="shared" si="26"/>
        <v>160.21</v>
      </c>
      <c r="J90" s="28">
        <f t="shared" si="27"/>
        <v>134.20784165192646</v>
      </c>
      <c r="K90" s="52">
        <f>References!$C$17*J90</f>
        <v>1.1407666540413759</v>
      </c>
      <c r="L90" s="52">
        <f>K90/References!$F$18</f>
        <v>1.1631870851068098</v>
      </c>
      <c r="M90" s="52"/>
      <c r="N90" s="108">
        <v>58.38</v>
      </c>
      <c r="O90" s="141">
        <f t="shared" ref="O90:O116" si="32">N90+L90</f>
        <v>59.543187085106815</v>
      </c>
      <c r="P90" s="23">
        <f t="shared" si="28"/>
        <v>0</v>
      </c>
      <c r="Q90" s="23">
        <f t="shared" si="29"/>
        <v>0</v>
      </c>
      <c r="R90" s="23">
        <f t="shared" si="30"/>
        <v>0</v>
      </c>
    </row>
    <row r="91" spans="1:18">
      <c r="A91" s="143"/>
      <c r="B91" s="139">
        <v>100</v>
      </c>
      <c r="C91" s="30">
        <v>24</v>
      </c>
      <c r="D91" s="19" t="s">
        <v>98</v>
      </c>
      <c r="E91" s="21">
        <v>0</v>
      </c>
      <c r="F91" s="18">
        <v>4.33</v>
      </c>
      <c r="G91" s="62">
        <f t="shared" si="31"/>
        <v>51.96</v>
      </c>
      <c r="H91" s="4">
        <v>37</v>
      </c>
      <c r="I91" s="28">
        <f t="shared" si="26"/>
        <v>160.21</v>
      </c>
      <c r="J91" s="28">
        <f t="shared" si="27"/>
        <v>134.20784165192646</v>
      </c>
      <c r="K91" s="52">
        <f>References!$C$17*J91</f>
        <v>1.1407666540413759</v>
      </c>
      <c r="L91" s="52">
        <f>K91/References!$F$18</f>
        <v>1.1631870851068098</v>
      </c>
      <c r="M91" s="52"/>
      <c r="N91" s="108">
        <v>53.1</v>
      </c>
      <c r="O91" s="141">
        <f t="shared" si="32"/>
        <v>54.263187085106814</v>
      </c>
      <c r="P91" s="23">
        <f t="shared" si="28"/>
        <v>0</v>
      </c>
      <c r="Q91" s="23">
        <f t="shared" si="29"/>
        <v>0</v>
      </c>
      <c r="R91" s="23">
        <f t="shared" si="30"/>
        <v>0</v>
      </c>
    </row>
    <row r="92" spans="1:18">
      <c r="A92" s="143"/>
      <c r="B92" s="139">
        <v>100</v>
      </c>
      <c r="C92" s="30">
        <v>24</v>
      </c>
      <c r="D92" s="140" t="s">
        <v>102</v>
      </c>
      <c r="E92" s="21">
        <v>0</v>
      </c>
      <c r="F92" s="18">
        <v>4.33</v>
      </c>
      <c r="G92" s="62">
        <f t="shared" si="31"/>
        <v>51.96</v>
      </c>
      <c r="H92" s="4">
        <v>47</v>
      </c>
      <c r="I92" s="28">
        <f t="shared" si="26"/>
        <v>203.51</v>
      </c>
      <c r="J92" s="28">
        <f t="shared" si="27"/>
        <v>170.48023128758226</v>
      </c>
      <c r="K92" s="52">
        <f>References!$C$17*J92</f>
        <v>1.4490819659444505</v>
      </c>
      <c r="L92" s="52">
        <f>K92/References!$F$18</f>
        <v>1.477561972973515</v>
      </c>
      <c r="M92" s="52"/>
      <c r="N92" s="108">
        <v>36.049999999999997</v>
      </c>
      <c r="O92" s="141">
        <f t="shared" si="32"/>
        <v>37.527561972973515</v>
      </c>
      <c r="P92" s="23">
        <f t="shared" si="28"/>
        <v>0</v>
      </c>
      <c r="Q92" s="23">
        <f t="shared" si="29"/>
        <v>0</v>
      </c>
      <c r="R92" s="23">
        <f t="shared" si="30"/>
        <v>0</v>
      </c>
    </row>
    <row r="93" spans="1:18">
      <c r="A93" s="143"/>
      <c r="B93" s="139">
        <v>100</v>
      </c>
      <c r="C93" s="30">
        <v>24</v>
      </c>
      <c r="D93" s="19" t="s">
        <v>103</v>
      </c>
      <c r="E93" s="21">
        <v>0</v>
      </c>
      <c r="F93" s="18">
        <v>4.33</v>
      </c>
      <c r="G93" s="62">
        <f t="shared" si="31"/>
        <v>51.96</v>
      </c>
      <c r="H93" s="4">
        <v>47</v>
      </c>
      <c r="I93" s="28">
        <f t="shared" si="26"/>
        <v>203.51</v>
      </c>
      <c r="J93" s="28">
        <f t="shared" si="27"/>
        <v>170.48023128758226</v>
      </c>
      <c r="K93" s="52">
        <f>References!$C$17*J93</f>
        <v>1.4490819659444505</v>
      </c>
      <c r="L93" s="52">
        <f>K93/References!$F$18</f>
        <v>1.477561972973515</v>
      </c>
      <c r="M93" s="52"/>
      <c r="N93" s="108">
        <v>44.44</v>
      </c>
      <c r="O93" s="141">
        <f t="shared" si="32"/>
        <v>45.917561972973516</v>
      </c>
      <c r="P93" s="23">
        <f t="shared" si="28"/>
        <v>0</v>
      </c>
      <c r="Q93" s="23">
        <f t="shared" si="29"/>
        <v>0</v>
      </c>
      <c r="R93" s="23">
        <f t="shared" si="30"/>
        <v>0</v>
      </c>
    </row>
    <row r="94" spans="1:18">
      <c r="A94" s="143"/>
      <c r="B94" s="139">
        <v>100</v>
      </c>
      <c r="C94" s="30">
        <v>24</v>
      </c>
      <c r="D94" s="19" t="s">
        <v>104</v>
      </c>
      <c r="E94" s="21">
        <v>0</v>
      </c>
      <c r="F94" s="18">
        <v>4.33</v>
      </c>
      <c r="G94" s="62">
        <f t="shared" si="31"/>
        <v>51.96</v>
      </c>
      <c r="H94" s="4">
        <v>47</v>
      </c>
      <c r="I94" s="28">
        <f t="shared" si="26"/>
        <v>203.51</v>
      </c>
      <c r="J94" s="28">
        <f t="shared" si="27"/>
        <v>170.48023128758226</v>
      </c>
      <c r="K94" s="52">
        <f>References!$C$17*J94</f>
        <v>1.4490819659444505</v>
      </c>
      <c r="L94" s="52">
        <f>K94/References!$F$18</f>
        <v>1.477561972973515</v>
      </c>
      <c r="M94" s="52"/>
      <c r="N94" s="108">
        <v>58.76</v>
      </c>
      <c r="O94" s="141">
        <f t="shared" si="32"/>
        <v>60.237561972973516</v>
      </c>
      <c r="P94" s="23">
        <f t="shared" si="28"/>
        <v>0</v>
      </c>
      <c r="Q94" s="23">
        <f t="shared" si="29"/>
        <v>0</v>
      </c>
      <c r="R94" s="23">
        <f t="shared" si="30"/>
        <v>0</v>
      </c>
    </row>
    <row r="95" spans="1:18">
      <c r="A95" s="143"/>
      <c r="B95" s="139">
        <v>100</v>
      </c>
      <c r="C95" s="30">
        <v>24</v>
      </c>
      <c r="D95" s="19" t="s">
        <v>105</v>
      </c>
      <c r="E95" s="21">
        <v>0</v>
      </c>
      <c r="F95" s="18">
        <v>2.17</v>
      </c>
      <c r="G95" s="62">
        <f t="shared" si="31"/>
        <v>26.04</v>
      </c>
      <c r="H95" s="4">
        <v>47</v>
      </c>
      <c r="I95" s="28">
        <f t="shared" si="26"/>
        <v>101.99</v>
      </c>
      <c r="J95" s="28">
        <f t="shared" si="27"/>
        <v>85.436975033268695</v>
      </c>
      <c r="K95" s="52">
        <f>References!$C$17*J95</f>
        <v>0.72621428778278452</v>
      </c>
      <c r="L95" s="52">
        <f>K95/References!$F$18</f>
        <v>0.74048717814146126</v>
      </c>
      <c r="M95" s="52"/>
      <c r="N95" s="108">
        <v>30.11</v>
      </c>
      <c r="O95" s="141">
        <f t="shared" si="32"/>
        <v>30.85048717814146</v>
      </c>
      <c r="P95" s="23">
        <f t="shared" si="28"/>
        <v>0</v>
      </c>
      <c r="Q95" s="23">
        <f t="shared" si="29"/>
        <v>0</v>
      </c>
      <c r="R95" s="23">
        <f t="shared" si="30"/>
        <v>0</v>
      </c>
    </row>
    <row r="96" spans="1:18">
      <c r="A96" s="143"/>
      <c r="B96" s="139">
        <v>100</v>
      </c>
      <c r="C96" s="30">
        <v>24</v>
      </c>
      <c r="D96" s="19" t="s">
        <v>106</v>
      </c>
      <c r="E96" s="21">
        <v>0</v>
      </c>
      <c r="F96" s="18">
        <v>1</v>
      </c>
      <c r="G96" s="62">
        <f t="shared" si="31"/>
        <v>12</v>
      </c>
      <c r="H96" s="4">
        <v>47</v>
      </c>
      <c r="I96" s="28">
        <f t="shared" si="26"/>
        <v>47</v>
      </c>
      <c r="J96" s="28">
        <f t="shared" si="27"/>
        <v>39.371877895515532</v>
      </c>
      <c r="K96" s="52">
        <f>References!$C$17*J96</f>
        <v>0.33466096211188229</v>
      </c>
      <c r="L96" s="52">
        <f>K96/References!$F$18</f>
        <v>0.34123833094076556</v>
      </c>
      <c r="M96" s="52"/>
      <c r="N96" s="108">
        <v>16.11</v>
      </c>
      <c r="O96" s="141">
        <f t="shared" si="32"/>
        <v>16.451238330940765</v>
      </c>
      <c r="P96" s="23">
        <f t="shared" si="28"/>
        <v>0</v>
      </c>
      <c r="Q96" s="23">
        <f t="shared" si="29"/>
        <v>0</v>
      </c>
      <c r="R96" s="23">
        <f t="shared" si="30"/>
        <v>0</v>
      </c>
    </row>
    <row r="97" spans="1:18">
      <c r="A97" s="143"/>
      <c r="B97" s="139">
        <v>100</v>
      </c>
      <c r="C97" s="30">
        <v>24</v>
      </c>
      <c r="D97" s="19" t="s">
        <v>108</v>
      </c>
      <c r="E97" s="21">
        <v>0</v>
      </c>
      <c r="F97" s="18">
        <v>4.33</v>
      </c>
      <c r="G97" s="62">
        <f t="shared" si="31"/>
        <v>51.96</v>
      </c>
      <c r="H97" s="4">
        <v>47</v>
      </c>
      <c r="I97" s="28">
        <f t="shared" si="26"/>
        <v>203.51</v>
      </c>
      <c r="J97" s="28">
        <f t="shared" si="27"/>
        <v>170.48023128758226</v>
      </c>
      <c r="K97" s="52">
        <f>References!$C$17*J97</f>
        <v>1.4490819659444505</v>
      </c>
      <c r="L97" s="52">
        <f>K97/References!$F$18</f>
        <v>1.477561972973515</v>
      </c>
      <c r="M97" s="52"/>
      <c r="N97" s="108">
        <v>50.55</v>
      </c>
      <c r="O97" s="141">
        <f t="shared" si="32"/>
        <v>52.027561972973515</v>
      </c>
      <c r="P97" s="23"/>
      <c r="Q97" s="23"/>
      <c r="R97" s="23"/>
    </row>
    <row r="98" spans="1:18">
      <c r="A98" s="143"/>
      <c r="B98" s="139">
        <v>100</v>
      </c>
      <c r="C98" s="30">
        <v>24</v>
      </c>
      <c r="D98" s="19" t="s">
        <v>109</v>
      </c>
      <c r="E98" s="21">
        <v>0</v>
      </c>
      <c r="F98" s="18">
        <v>2.17</v>
      </c>
      <c r="G98" s="62">
        <f t="shared" si="31"/>
        <v>26.04</v>
      </c>
      <c r="H98" s="4">
        <v>47</v>
      </c>
      <c r="I98" s="28">
        <f t="shared" si="26"/>
        <v>101.99</v>
      </c>
      <c r="J98" s="28">
        <f t="shared" si="27"/>
        <v>85.436975033268695</v>
      </c>
      <c r="K98" s="52">
        <f>References!$C$17*J98</f>
        <v>0.72621428778278452</v>
      </c>
      <c r="L98" s="52">
        <f>K98/References!$F$18</f>
        <v>0.74048717814146126</v>
      </c>
      <c r="M98" s="52"/>
      <c r="N98" s="108">
        <v>32.270000000000003</v>
      </c>
      <c r="O98" s="141">
        <f t="shared" si="32"/>
        <v>33.010487178141467</v>
      </c>
      <c r="P98" s="23"/>
      <c r="Q98" s="23"/>
      <c r="R98" s="23"/>
    </row>
    <row r="99" spans="1:18">
      <c r="A99" s="143"/>
      <c r="B99" s="139">
        <v>100</v>
      </c>
      <c r="C99" s="30">
        <v>24</v>
      </c>
      <c r="D99" s="19" t="s">
        <v>110</v>
      </c>
      <c r="E99" s="21">
        <v>0</v>
      </c>
      <c r="F99" s="18">
        <v>1</v>
      </c>
      <c r="G99" s="62">
        <f t="shared" si="31"/>
        <v>12</v>
      </c>
      <c r="H99" s="4">
        <v>47</v>
      </c>
      <c r="I99" s="28">
        <f t="shared" si="26"/>
        <v>47</v>
      </c>
      <c r="J99" s="28">
        <f t="shared" si="27"/>
        <v>39.371877895515532</v>
      </c>
      <c r="K99" s="52">
        <f>References!$C$17*J99</f>
        <v>0.33466096211188229</v>
      </c>
      <c r="L99" s="52">
        <f>K99/References!$F$18</f>
        <v>0.34123833094076556</v>
      </c>
      <c r="M99" s="52"/>
      <c r="N99" s="108">
        <v>17.329999999999998</v>
      </c>
      <c r="O99" s="141">
        <f t="shared" si="32"/>
        <v>17.671238330940763</v>
      </c>
      <c r="P99" s="23"/>
      <c r="Q99" s="23"/>
      <c r="R99" s="23"/>
    </row>
    <row r="100" spans="1:18">
      <c r="A100" s="143"/>
      <c r="B100" s="139">
        <v>245</v>
      </c>
      <c r="C100" s="30">
        <v>34</v>
      </c>
      <c r="D100" s="19" t="s">
        <v>118</v>
      </c>
      <c r="E100" s="21">
        <v>0</v>
      </c>
      <c r="F100" s="18"/>
      <c r="G100" s="62">
        <v>1</v>
      </c>
      <c r="H100" s="4">
        <v>29</v>
      </c>
      <c r="I100" s="28">
        <f>G100*H100</f>
        <v>29</v>
      </c>
      <c r="J100" s="28">
        <f t="shared" si="27"/>
        <v>24.293286361062776</v>
      </c>
      <c r="K100" s="52">
        <f>References!$C$17*J100</f>
        <v>0.2064929340690338</v>
      </c>
      <c r="L100" s="52">
        <f>K100/References!$F$18</f>
        <v>0.21055131058047241</v>
      </c>
      <c r="M100" s="52"/>
      <c r="N100" s="108">
        <v>12.44</v>
      </c>
      <c r="O100" s="141">
        <f t="shared" si="32"/>
        <v>12.650551310580472</v>
      </c>
      <c r="P100" s="23"/>
      <c r="Q100" s="23"/>
      <c r="R100" s="23"/>
    </row>
    <row r="101" spans="1:18">
      <c r="A101" s="143"/>
      <c r="B101" s="139">
        <v>245</v>
      </c>
      <c r="C101" s="30">
        <v>34</v>
      </c>
      <c r="D101" s="19" t="s">
        <v>119</v>
      </c>
      <c r="E101" s="21">
        <v>0</v>
      </c>
      <c r="F101" s="18"/>
      <c r="G101" s="62">
        <v>1</v>
      </c>
      <c r="H101" s="4">
        <v>37</v>
      </c>
      <c r="I101" s="28">
        <f t="shared" ref="I101:I116" si="33">G101*H101</f>
        <v>37</v>
      </c>
      <c r="J101" s="28">
        <f t="shared" si="27"/>
        <v>30.994882598597332</v>
      </c>
      <c r="K101" s="52">
        <f>References!$C$17*J101</f>
        <v>0.26345650208807758</v>
      </c>
      <c r="L101" s="52">
        <f>K101/References!$F$18</f>
        <v>0.26863443074060273</v>
      </c>
      <c r="M101" s="52"/>
      <c r="N101" s="108">
        <v>9.4499999999999993</v>
      </c>
      <c r="O101" s="141">
        <f t="shared" si="32"/>
        <v>9.7186344307406021</v>
      </c>
      <c r="P101" s="23"/>
      <c r="Q101" s="23"/>
      <c r="R101" s="23"/>
    </row>
    <row r="102" spans="1:18">
      <c r="A102" s="143"/>
      <c r="B102" s="139">
        <v>245</v>
      </c>
      <c r="C102" s="30">
        <v>34</v>
      </c>
      <c r="D102" s="19" t="s">
        <v>118</v>
      </c>
      <c r="E102" s="21">
        <v>0</v>
      </c>
      <c r="F102" s="18"/>
      <c r="G102" s="62">
        <v>1</v>
      </c>
      <c r="H102" s="4">
        <v>37</v>
      </c>
      <c r="I102" s="28">
        <f t="shared" si="33"/>
        <v>37</v>
      </c>
      <c r="J102" s="28">
        <f t="shared" si="27"/>
        <v>30.994882598597332</v>
      </c>
      <c r="K102" s="52">
        <f>References!$C$17*J102</f>
        <v>0.26345650208807758</v>
      </c>
      <c r="L102" s="52">
        <f>K102/References!$F$18</f>
        <v>0.26863443074060273</v>
      </c>
      <c r="M102" s="52"/>
      <c r="N102" s="108">
        <v>13.89</v>
      </c>
      <c r="O102" s="141">
        <f t="shared" si="32"/>
        <v>14.158634430740603</v>
      </c>
      <c r="P102" s="23"/>
      <c r="Q102" s="23"/>
      <c r="R102" s="23"/>
    </row>
    <row r="103" spans="1:18">
      <c r="A103" s="143"/>
      <c r="B103" s="139">
        <v>245</v>
      </c>
      <c r="C103" s="30">
        <v>34</v>
      </c>
      <c r="D103" s="19" t="s">
        <v>118</v>
      </c>
      <c r="E103" s="21">
        <v>1</v>
      </c>
      <c r="F103" s="18"/>
      <c r="G103" s="62">
        <v>1</v>
      </c>
      <c r="H103" s="4">
        <v>37</v>
      </c>
      <c r="I103" s="28">
        <f t="shared" si="33"/>
        <v>37</v>
      </c>
      <c r="J103" s="28">
        <f t="shared" si="27"/>
        <v>30.994882598597332</v>
      </c>
      <c r="K103" s="52">
        <f>References!$C$17*J103</f>
        <v>0.26345650208807758</v>
      </c>
      <c r="L103" s="52">
        <f>K103/References!$F$18</f>
        <v>0.26863443074060273</v>
      </c>
      <c r="M103" s="52"/>
      <c r="N103" s="108">
        <v>14.44</v>
      </c>
      <c r="O103" s="141">
        <f t="shared" si="32"/>
        <v>14.708634430740602</v>
      </c>
      <c r="P103" s="23">
        <f t="shared" si="28"/>
        <v>173.28</v>
      </c>
      <c r="Q103" s="23">
        <f t="shared" si="29"/>
        <v>176.50361316888723</v>
      </c>
      <c r="R103" s="23">
        <f t="shared" si="30"/>
        <v>3.2236131688872263</v>
      </c>
    </row>
    <row r="104" spans="1:18">
      <c r="A104" s="143"/>
      <c r="B104" s="139">
        <v>245</v>
      </c>
      <c r="C104" s="30">
        <v>34</v>
      </c>
      <c r="D104" s="19" t="s">
        <v>121</v>
      </c>
      <c r="E104" s="21">
        <v>0</v>
      </c>
      <c r="F104" s="18"/>
      <c r="G104" s="62">
        <v>1</v>
      </c>
      <c r="H104" s="4">
        <v>47</v>
      </c>
      <c r="I104" s="28">
        <f t="shared" si="33"/>
        <v>47</v>
      </c>
      <c r="J104" s="28">
        <f t="shared" si="27"/>
        <v>39.371877895515532</v>
      </c>
      <c r="K104" s="52">
        <f>References!$C$17*J104</f>
        <v>0.33466096211188229</v>
      </c>
      <c r="L104" s="52">
        <f>K104/References!$F$18</f>
        <v>0.34123833094076556</v>
      </c>
      <c r="M104" s="52"/>
      <c r="N104" s="108">
        <v>10.59</v>
      </c>
      <c r="O104" s="141">
        <f t="shared" si="32"/>
        <v>10.931238330940765</v>
      </c>
      <c r="P104" s="23">
        <f t="shared" si="28"/>
        <v>0</v>
      </c>
      <c r="Q104" s="23">
        <f t="shared" si="29"/>
        <v>0</v>
      </c>
      <c r="R104" s="23">
        <f t="shared" si="30"/>
        <v>0</v>
      </c>
    </row>
    <row r="105" spans="1:18">
      <c r="A105" s="143"/>
      <c r="B105" s="139">
        <v>245</v>
      </c>
      <c r="C105" s="30">
        <v>34</v>
      </c>
      <c r="D105" s="19" t="s">
        <v>118</v>
      </c>
      <c r="E105" s="21">
        <v>0</v>
      </c>
      <c r="F105" s="18"/>
      <c r="G105" s="62">
        <v>1</v>
      </c>
      <c r="H105" s="4">
        <v>47</v>
      </c>
      <c r="I105" s="28">
        <f t="shared" si="33"/>
        <v>47</v>
      </c>
      <c r="J105" s="28">
        <f t="shared" si="27"/>
        <v>39.371877895515532</v>
      </c>
      <c r="K105" s="52">
        <f>References!$C$17*J105</f>
        <v>0.33466096211188229</v>
      </c>
      <c r="L105" s="52">
        <f>K105/References!$F$18</f>
        <v>0.34123833094076556</v>
      </c>
      <c r="M105" s="52"/>
      <c r="N105" s="108">
        <v>14.88</v>
      </c>
      <c r="O105" s="141">
        <f t="shared" si="32"/>
        <v>15.221238330940766</v>
      </c>
      <c r="P105" s="23">
        <f t="shared" si="28"/>
        <v>0</v>
      </c>
      <c r="Q105" s="23">
        <f t="shared" si="29"/>
        <v>0</v>
      </c>
      <c r="R105" s="23">
        <f t="shared" si="30"/>
        <v>0</v>
      </c>
    </row>
    <row r="106" spans="1:18">
      <c r="A106" s="143"/>
      <c r="B106" s="139">
        <v>245</v>
      </c>
      <c r="C106" s="30">
        <v>34</v>
      </c>
      <c r="D106" s="19" t="s">
        <v>122</v>
      </c>
      <c r="E106" s="21">
        <v>0</v>
      </c>
      <c r="F106" s="18"/>
      <c r="G106" s="62">
        <v>1</v>
      </c>
      <c r="H106" s="4">
        <v>47</v>
      </c>
      <c r="I106" s="28">
        <f t="shared" si="33"/>
        <v>47</v>
      </c>
      <c r="J106" s="28">
        <f t="shared" si="27"/>
        <v>39.371877895515532</v>
      </c>
      <c r="K106" s="52">
        <f>References!$C$17*J106</f>
        <v>0.33466096211188229</v>
      </c>
      <c r="L106" s="52">
        <f>K106/References!$F$18</f>
        <v>0.34123833094076556</v>
      </c>
      <c r="M106" s="52"/>
      <c r="N106" s="108">
        <v>11.11</v>
      </c>
      <c r="O106" s="141">
        <f t="shared" si="32"/>
        <v>11.451238330940765</v>
      </c>
      <c r="P106" s="23">
        <f t="shared" si="28"/>
        <v>0</v>
      </c>
      <c r="Q106" s="23">
        <f t="shared" si="29"/>
        <v>0</v>
      </c>
      <c r="R106" s="23">
        <f t="shared" si="30"/>
        <v>0</v>
      </c>
    </row>
    <row r="107" spans="1:18">
      <c r="A107" s="143"/>
      <c r="B107" s="139">
        <v>245</v>
      </c>
      <c r="C107" s="30">
        <v>34</v>
      </c>
      <c r="D107" s="19" t="s">
        <v>118</v>
      </c>
      <c r="E107" s="21">
        <v>0</v>
      </c>
      <c r="F107" s="4"/>
      <c r="G107" s="62">
        <v>1</v>
      </c>
      <c r="H107" s="4">
        <v>47</v>
      </c>
      <c r="I107" s="28">
        <f t="shared" si="33"/>
        <v>47</v>
      </c>
      <c r="J107" s="28">
        <f t="shared" si="27"/>
        <v>39.371877895515532</v>
      </c>
      <c r="K107" s="52">
        <f>References!$C$17*J107</f>
        <v>0.33466096211188229</v>
      </c>
      <c r="L107" s="52">
        <f>K107/References!$F$18</f>
        <v>0.34123833094076556</v>
      </c>
      <c r="M107" s="52"/>
      <c r="N107" s="108">
        <v>15.77</v>
      </c>
      <c r="O107" s="141">
        <f t="shared" si="32"/>
        <v>16.111238330940765</v>
      </c>
      <c r="P107" s="23">
        <f t="shared" si="28"/>
        <v>0</v>
      </c>
      <c r="Q107" s="23">
        <f t="shared" si="29"/>
        <v>0</v>
      </c>
      <c r="R107" s="23">
        <f t="shared" si="30"/>
        <v>0</v>
      </c>
    </row>
    <row r="108" spans="1:18">
      <c r="A108" s="143"/>
      <c r="B108" s="139">
        <v>100</v>
      </c>
      <c r="C108" s="30">
        <v>25</v>
      </c>
      <c r="D108" s="19" t="s">
        <v>111</v>
      </c>
      <c r="E108" s="21">
        <v>0</v>
      </c>
      <c r="F108" s="18"/>
      <c r="G108" s="62">
        <v>1</v>
      </c>
      <c r="H108" s="4">
        <v>34</v>
      </c>
      <c r="I108" s="28">
        <f t="shared" si="33"/>
        <v>34</v>
      </c>
      <c r="J108" s="28">
        <f t="shared" si="27"/>
        <v>28.481784009521874</v>
      </c>
      <c r="K108" s="52">
        <f>References!$C$17*J108</f>
        <v>0.24209516408093615</v>
      </c>
      <c r="L108" s="52">
        <f>K108/References!$F$18</f>
        <v>0.24685326068055383</v>
      </c>
      <c r="M108" s="52"/>
      <c r="N108" s="108">
        <v>8.4499999999999993</v>
      </c>
      <c r="O108" s="141">
        <f t="shared" si="32"/>
        <v>8.6968532606805535</v>
      </c>
      <c r="P108" s="23"/>
      <c r="Q108" s="23"/>
      <c r="R108" s="23"/>
    </row>
    <row r="109" spans="1:18">
      <c r="A109" s="143"/>
      <c r="B109" s="139">
        <v>100</v>
      </c>
      <c r="C109" s="30">
        <v>25</v>
      </c>
      <c r="D109" s="19" t="s">
        <v>112</v>
      </c>
      <c r="E109" s="20">
        <v>0</v>
      </c>
      <c r="F109" s="29"/>
      <c r="G109" s="62">
        <v>1</v>
      </c>
      <c r="H109" s="28">
        <v>37</v>
      </c>
      <c r="I109" s="28">
        <f t="shared" si="33"/>
        <v>37</v>
      </c>
      <c r="J109" s="28">
        <f t="shared" si="27"/>
        <v>30.994882598597332</v>
      </c>
      <c r="K109" s="52">
        <f>References!$C$17*J109</f>
        <v>0.26345650208807758</v>
      </c>
      <c r="L109" s="52">
        <f>K109/References!$F$18</f>
        <v>0.26863443074060273</v>
      </c>
      <c r="M109" s="52"/>
      <c r="N109" s="112">
        <v>9.4499999999999993</v>
      </c>
      <c r="O109" s="141">
        <f t="shared" si="32"/>
        <v>9.7186344307406021</v>
      </c>
      <c r="P109" s="23"/>
      <c r="Q109" s="23"/>
      <c r="R109" s="23"/>
    </row>
    <row r="110" spans="1:18">
      <c r="A110" s="143"/>
      <c r="B110" s="139">
        <v>100</v>
      </c>
      <c r="C110" s="30">
        <v>25</v>
      </c>
      <c r="D110" s="19" t="s">
        <v>113</v>
      </c>
      <c r="E110" s="20">
        <v>0</v>
      </c>
      <c r="F110" s="29"/>
      <c r="G110" s="62">
        <v>1</v>
      </c>
      <c r="H110" s="28">
        <v>37</v>
      </c>
      <c r="I110" s="28">
        <f t="shared" si="33"/>
        <v>37</v>
      </c>
      <c r="J110" s="28">
        <f t="shared" si="27"/>
        <v>30.994882598597332</v>
      </c>
      <c r="K110" s="52">
        <f>References!$C$17*J110</f>
        <v>0.26345650208807758</v>
      </c>
      <c r="L110" s="52">
        <f>K110/References!$F$18</f>
        <v>0.26863443074060273</v>
      </c>
      <c r="M110" s="52"/>
      <c r="N110" s="112">
        <v>9.99</v>
      </c>
      <c r="O110" s="141">
        <f t="shared" si="32"/>
        <v>10.258634430740603</v>
      </c>
      <c r="P110" s="23"/>
      <c r="Q110" s="23"/>
      <c r="R110" s="23"/>
    </row>
    <row r="111" spans="1:18">
      <c r="A111" s="143"/>
      <c r="B111" s="139">
        <v>100</v>
      </c>
      <c r="C111" s="30">
        <v>25</v>
      </c>
      <c r="D111" s="19" t="s">
        <v>114</v>
      </c>
      <c r="E111" s="20">
        <v>0</v>
      </c>
      <c r="F111" s="29"/>
      <c r="G111" s="62">
        <v>1</v>
      </c>
      <c r="H111" s="28">
        <v>47</v>
      </c>
      <c r="I111" s="28">
        <f t="shared" si="33"/>
        <v>47</v>
      </c>
      <c r="J111" s="28">
        <f t="shared" si="27"/>
        <v>39.371877895515532</v>
      </c>
      <c r="K111" s="52">
        <f>References!$C$17*J111</f>
        <v>0.33466096211188229</v>
      </c>
      <c r="L111" s="52">
        <f>K111/References!$F$18</f>
        <v>0.34123833094076556</v>
      </c>
      <c r="M111" s="52"/>
      <c r="N111" s="112">
        <v>10.55</v>
      </c>
      <c r="O111" s="141">
        <f t="shared" si="32"/>
        <v>10.891238330940766</v>
      </c>
      <c r="P111" s="23"/>
      <c r="Q111" s="23"/>
      <c r="R111" s="23"/>
    </row>
    <row r="112" spans="1:18">
      <c r="A112" s="143"/>
      <c r="B112" s="139">
        <v>100</v>
      </c>
      <c r="C112" s="30">
        <v>25</v>
      </c>
      <c r="D112" s="19" t="s">
        <v>115</v>
      </c>
      <c r="E112" s="20"/>
      <c r="F112" s="29"/>
      <c r="G112" s="62">
        <v>1</v>
      </c>
      <c r="H112" s="28">
        <v>47</v>
      </c>
      <c r="I112" s="28">
        <f t="shared" si="33"/>
        <v>47</v>
      </c>
      <c r="J112" s="28">
        <f t="shared" si="27"/>
        <v>39.371877895515532</v>
      </c>
      <c r="K112" s="52">
        <f>References!$C$17*J112</f>
        <v>0.33466096211188229</v>
      </c>
      <c r="L112" s="52">
        <f>K112/References!$F$18</f>
        <v>0.34123833094076556</v>
      </c>
      <c r="M112" s="52"/>
      <c r="N112" s="112">
        <v>11.11</v>
      </c>
      <c r="O112" s="141">
        <f t="shared" si="32"/>
        <v>11.451238330940765</v>
      </c>
      <c r="P112" s="23"/>
      <c r="Q112" s="23"/>
      <c r="R112" s="23"/>
    </row>
    <row r="113" spans="1:18">
      <c r="A113" s="143"/>
      <c r="B113" s="139">
        <v>100</v>
      </c>
      <c r="C113" s="30">
        <v>25</v>
      </c>
      <c r="D113" s="19" t="s">
        <v>116</v>
      </c>
      <c r="E113" s="20">
        <v>0</v>
      </c>
      <c r="F113" s="29"/>
      <c r="G113" s="62">
        <v>1</v>
      </c>
      <c r="H113" s="28">
        <v>47</v>
      </c>
      <c r="I113" s="28">
        <f t="shared" si="33"/>
        <v>47</v>
      </c>
      <c r="J113" s="28">
        <f t="shared" si="27"/>
        <v>39.371877895515532</v>
      </c>
      <c r="K113" s="52">
        <f>References!$C$17*J113</f>
        <v>0.33466096211188229</v>
      </c>
      <c r="L113" s="52">
        <f>K113/References!$F$18</f>
        <v>0.34123833094076556</v>
      </c>
      <c r="M113" s="52"/>
      <c r="N113" s="112">
        <v>6.67</v>
      </c>
      <c r="O113" s="141">
        <f t="shared" si="32"/>
        <v>7.0112383309407651</v>
      </c>
      <c r="P113" s="23"/>
      <c r="Q113" s="23"/>
      <c r="R113" s="23"/>
    </row>
    <row r="114" spans="1:18">
      <c r="A114" s="143"/>
      <c r="B114" s="139">
        <v>260</v>
      </c>
      <c r="C114" s="30">
        <v>35</v>
      </c>
      <c r="D114" s="19" t="s">
        <v>140</v>
      </c>
      <c r="E114" s="21">
        <v>1</v>
      </c>
      <c r="F114" s="18"/>
      <c r="G114" s="62">
        <v>1</v>
      </c>
      <c r="H114" s="4">
        <v>3182</v>
      </c>
      <c r="I114" s="28">
        <f t="shared" si="33"/>
        <v>3182</v>
      </c>
      <c r="J114" s="28">
        <f t="shared" si="27"/>
        <v>2665.5599034793709</v>
      </c>
      <c r="K114" s="52">
        <f>References!$C$17*J114</f>
        <v>22.657259179574673</v>
      </c>
      <c r="L114" s="52">
        <f>K114/References!$F$18</f>
        <v>23.102561043691836</v>
      </c>
      <c r="M114" s="52"/>
      <c r="N114" s="108">
        <v>90.98</v>
      </c>
      <c r="O114" s="141">
        <f t="shared" si="32"/>
        <v>114.08256104369184</v>
      </c>
      <c r="P114" s="23"/>
      <c r="Q114" s="23"/>
      <c r="R114" s="23"/>
    </row>
    <row r="115" spans="1:18">
      <c r="A115" s="143"/>
      <c r="B115" s="139">
        <v>260</v>
      </c>
      <c r="C115" s="30">
        <v>35</v>
      </c>
      <c r="D115" s="19" t="s">
        <v>141</v>
      </c>
      <c r="E115" s="21">
        <v>0</v>
      </c>
      <c r="F115" s="18"/>
      <c r="G115" s="62">
        <v>1</v>
      </c>
      <c r="H115" s="4">
        <v>5785</v>
      </c>
      <c r="I115" s="28">
        <f t="shared" si="33"/>
        <v>5785</v>
      </c>
      <c r="J115" s="28">
        <f t="shared" si="27"/>
        <v>4846.091779267178</v>
      </c>
      <c r="K115" s="52">
        <f>References!$C$17*J115</f>
        <v>41.191780123771046</v>
      </c>
      <c r="L115" s="52">
        <f>K115/References!$F$18</f>
        <v>42.001356265794229</v>
      </c>
      <c r="M115" s="52"/>
      <c r="N115" s="108">
        <v>173.29</v>
      </c>
      <c r="O115" s="141">
        <f t="shared" si="32"/>
        <v>215.29135626579421</v>
      </c>
      <c r="P115" s="23"/>
      <c r="Q115" s="23"/>
      <c r="R115" s="23"/>
    </row>
    <row r="116" spans="1:18">
      <c r="A116" s="143"/>
      <c r="B116" s="139">
        <v>260</v>
      </c>
      <c r="C116" s="30">
        <v>35</v>
      </c>
      <c r="D116" s="19" t="s">
        <v>142</v>
      </c>
      <c r="E116" s="21">
        <v>1</v>
      </c>
      <c r="F116" s="18"/>
      <c r="G116" s="62">
        <v>1</v>
      </c>
      <c r="H116" s="4">
        <v>7889</v>
      </c>
      <c r="I116" s="28">
        <f t="shared" si="33"/>
        <v>7889</v>
      </c>
      <c r="J116" s="28">
        <f t="shared" si="27"/>
        <v>6608.6115897387663</v>
      </c>
      <c r="K116" s="52">
        <f>References!$C$17*J116</f>
        <v>56.173198512779564</v>
      </c>
      <c r="L116" s="52">
        <f>K116/References!$F$18</f>
        <v>57.2772168679085</v>
      </c>
      <c r="M116" s="52"/>
      <c r="N116" s="108">
        <v>260.04000000000002</v>
      </c>
      <c r="O116" s="141">
        <f t="shared" si="32"/>
        <v>317.31721686790854</v>
      </c>
      <c r="P116" s="23"/>
      <c r="Q116" s="23"/>
      <c r="R116" s="23"/>
    </row>
    <row r="117" spans="1:18">
      <c r="A117" s="143"/>
      <c r="B117" s="139"/>
      <c r="C117" s="30"/>
      <c r="D117" s="19"/>
      <c r="E117" s="21"/>
      <c r="F117" s="4"/>
      <c r="G117" s="62"/>
      <c r="H117" s="4"/>
      <c r="I117" s="28"/>
      <c r="J117" s="28"/>
      <c r="K117" s="52"/>
      <c r="L117" s="52"/>
      <c r="M117" s="52"/>
      <c r="N117" s="52"/>
      <c r="O117" s="52"/>
      <c r="P117" s="23"/>
      <c r="Q117" s="23"/>
      <c r="R117" s="23"/>
    </row>
    <row r="118" spans="1:18">
      <c r="A118" s="143"/>
      <c r="B118" s="126"/>
      <c r="C118" s="30"/>
      <c r="D118" s="19"/>
      <c r="E118" s="20">
        <v>0</v>
      </c>
      <c r="F118" s="29">
        <v>1</v>
      </c>
      <c r="G118" s="4">
        <f t="shared" ref="G118:G119" si="34">F118*12</f>
        <v>12</v>
      </c>
      <c r="H118" s="28">
        <v>47</v>
      </c>
      <c r="I118" s="28">
        <f t="shared" ref="I118:I119" si="35">G118*H118/12</f>
        <v>47</v>
      </c>
      <c r="J118" s="28">
        <f>$E$125*I118</f>
        <v>39.371877895515532</v>
      </c>
      <c r="K118" s="52">
        <f>References!$C$17*J118</f>
        <v>0.33466096211188229</v>
      </c>
      <c r="L118" s="52">
        <f>K118/References!$F$18</f>
        <v>0.34123833094076556</v>
      </c>
      <c r="M118" s="52"/>
      <c r="N118" s="86">
        <v>8.6999999999999993</v>
      </c>
      <c r="O118" s="86">
        <v>8.98</v>
      </c>
      <c r="P118" s="23">
        <f t="shared" si="28"/>
        <v>0</v>
      </c>
      <c r="Q118" s="23">
        <f t="shared" si="29"/>
        <v>0</v>
      </c>
      <c r="R118" s="23">
        <f t="shared" si="30"/>
        <v>0</v>
      </c>
    </row>
    <row r="119" spans="1:18">
      <c r="A119" s="144"/>
      <c r="B119" s="127"/>
      <c r="C119" s="34"/>
      <c r="D119" s="35"/>
      <c r="E119" s="2">
        <v>0</v>
      </c>
      <c r="F119" s="66">
        <v>1</v>
      </c>
      <c r="G119" s="26">
        <f t="shared" si="34"/>
        <v>12</v>
      </c>
      <c r="H119" s="67">
        <v>68</v>
      </c>
      <c r="I119" s="67">
        <f t="shared" si="35"/>
        <v>68</v>
      </c>
      <c r="J119" s="67">
        <f>$E$125*I119</f>
        <v>56.963568019043748</v>
      </c>
      <c r="K119" s="53">
        <f>References!$C$17*J119</f>
        <v>0.4841903281618723</v>
      </c>
      <c r="L119" s="53">
        <f>K119/References!$F$18</f>
        <v>0.49370652136110765</v>
      </c>
      <c r="M119" s="53"/>
      <c r="N119" s="87">
        <v>11.57</v>
      </c>
      <c r="O119" s="87">
        <v>11.93</v>
      </c>
      <c r="P119" s="36">
        <f t="shared" si="28"/>
        <v>0</v>
      </c>
      <c r="Q119" s="36">
        <f t="shared" si="29"/>
        <v>0</v>
      </c>
      <c r="R119" s="36">
        <f t="shared" si="30"/>
        <v>0</v>
      </c>
    </row>
    <row r="120" spans="1:18">
      <c r="H120" s="7"/>
      <c r="I120" s="17"/>
      <c r="J120" s="4"/>
    </row>
    <row r="121" spans="1:18">
      <c r="E121" s="39"/>
      <c r="H121" s="19"/>
      <c r="I121" s="38"/>
      <c r="J121" s="38"/>
      <c r="K121" s="4"/>
      <c r="P121" s="7"/>
      <c r="Q121" s="4"/>
    </row>
    <row r="122" spans="1:18">
      <c r="D122" t="s">
        <v>76</v>
      </c>
      <c r="E122" s="39">
        <f>References!B22</f>
        <v>703</v>
      </c>
      <c r="H122" s="19"/>
      <c r="I122" s="38"/>
      <c r="J122" s="38"/>
      <c r="K122" s="4"/>
      <c r="O122" t="s">
        <v>77</v>
      </c>
      <c r="P122" s="7"/>
      <c r="Q122" s="44" t="s">
        <v>78</v>
      </c>
      <c r="R122" s="15" t="e">
        <f>R86</f>
        <v>#VALUE!</v>
      </c>
    </row>
    <row r="123" spans="1:18">
      <c r="D123" t="s">
        <v>79</v>
      </c>
      <c r="E123" s="4">
        <f>E122*2000</f>
        <v>1406000</v>
      </c>
      <c r="H123" s="19"/>
      <c r="I123" s="38"/>
      <c r="J123" s="38"/>
      <c r="K123" s="4"/>
      <c r="Q123" s="44" t="s">
        <v>80</v>
      </c>
      <c r="R123" s="103">
        <f>References!B23</f>
        <v>12185.882892757909</v>
      </c>
    </row>
    <row r="124" spans="1:18">
      <c r="D124" t="s">
        <v>81</v>
      </c>
      <c r="E124" s="4">
        <f>G85+G71+G63+G35</f>
        <v>15066.493801104043</v>
      </c>
      <c r="H124" s="19"/>
      <c r="I124" s="38"/>
      <c r="J124" s="38"/>
      <c r="K124" s="4"/>
      <c r="P124" s="7"/>
      <c r="Q124" s="44" t="s">
        <v>82</v>
      </c>
      <c r="R124" s="15" t="e">
        <f>R122-R123</f>
        <v>#VALUE!</v>
      </c>
    </row>
    <row r="125" spans="1:18">
      <c r="D125" s="43" t="s">
        <v>83</v>
      </c>
      <c r="E125" s="16">
        <f>E123/I86</f>
        <v>0.83769952969181982</v>
      </c>
      <c r="H125" s="19"/>
      <c r="I125" s="38"/>
      <c r="J125" s="18"/>
      <c r="K125" s="4"/>
      <c r="N125" s="10"/>
      <c r="O125" s="10"/>
      <c r="P125" s="11"/>
      <c r="Q125" s="11"/>
    </row>
    <row r="126" spans="1:18">
      <c r="H126" s="19"/>
      <c r="I126" s="38"/>
      <c r="J126" s="38"/>
      <c r="K126" s="4"/>
      <c r="N126" s="13"/>
      <c r="O126" s="14"/>
      <c r="P126" s="15"/>
      <c r="Q126" s="16"/>
    </row>
    <row r="127" spans="1:18">
      <c r="E127" s="44"/>
      <c r="F127" s="45"/>
      <c r="H127" s="19"/>
      <c r="I127" s="38"/>
      <c r="J127" s="38"/>
      <c r="K127" s="4"/>
      <c r="N127" s="13"/>
      <c r="O127" s="14"/>
      <c r="P127" s="15"/>
      <c r="Q127" s="16"/>
    </row>
    <row r="128" spans="1:18">
      <c r="E128" s="44"/>
      <c r="F128" s="45"/>
      <c r="H128" s="19"/>
      <c r="I128" s="38"/>
      <c r="J128" s="38"/>
      <c r="K128" s="4"/>
      <c r="N128" s="13"/>
      <c r="O128" s="14"/>
      <c r="P128" s="15"/>
      <c r="Q128" s="16"/>
    </row>
    <row r="129" spans="5:17">
      <c r="E129" s="44"/>
      <c r="F129" s="45"/>
      <c r="H129" s="37"/>
      <c r="J129" s="12"/>
      <c r="K129" s="4"/>
      <c r="N129" s="13"/>
      <c r="O129" s="14"/>
      <c r="P129" s="16"/>
      <c r="Q129" s="16"/>
    </row>
    <row r="130" spans="5:17">
      <c r="E130" s="46"/>
      <c r="J130" s="12"/>
      <c r="O130" s="15"/>
      <c r="P130" s="15"/>
      <c r="Q130" s="16"/>
    </row>
  </sheetData>
  <mergeCells count="5">
    <mergeCell ref="A89:A119"/>
    <mergeCell ref="A6:A35"/>
    <mergeCell ref="A36:A63"/>
    <mergeCell ref="A65:A71"/>
    <mergeCell ref="A72:A85"/>
  </mergeCells>
  <pageMargins left="0.2" right="0.22" top="0.38" bottom="0.34" header="0.19" footer="0.17"/>
  <pageSetup orientation="landscape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758741DF7D4D44A3C2B1B477385D9A" ma:contentTypeVersion="24" ma:contentTypeDescription="" ma:contentTypeScope="" ma:versionID="58bd1304b64db9ac37ac31666b8a88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2023-04-14T07:00:00+00:00</OpenedDate>
    <SignificantOrder xmlns="dc463f71-b30c-4ab2-9473-d307f9d35888">false</SignificantOrder>
    <Date1 xmlns="dc463f71-b30c-4ab2-9473-d307f9d35888">2023-04-14T07:00:00+00:00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Gary's Garbage Services, LLC</CaseCompanyNames>
    <Nickname xmlns="http://schemas.microsoft.com/sharepoint/v3" xsi:nil="true"/>
    <DocketNumber xmlns="dc463f71-b30c-4ab2-9473-d307f9d35888">230257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E5A4B8-6101-405D-995F-EA23BBEEF8A1}"/>
</file>

<file path=customXml/itemProps2.xml><?xml version="1.0" encoding="utf-8"?>
<ds:datastoreItem xmlns:ds="http://schemas.openxmlformats.org/officeDocument/2006/customXml" ds:itemID="{83D854A4-BA17-4F34-B7CF-9C51998D7905}"/>
</file>

<file path=customXml/itemProps3.xml><?xml version="1.0" encoding="utf-8"?>
<ds:datastoreItem xmlns:ds="http://schemas.openxmlformats.org/officeDocument/2006/customXml" ds:itemID="{52E66EC9-D2C3-4845-9CE1-17A6A2230C64}"/>
</file>

<file path=customXml/itemProps4.xml><?xml version="1.0" encoding="utf-8"?>
<ds:datastoreItem xmlns:ds="http://schemas.openxmlformats.org/officeDocument/2006/customXml" ds:itemID="{1E3C1B85-4EFD-48AA-9B82-5D484FCD5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References</vt:lpstr>
      <vt:lpstr>Calculations</vt:lpstr>
    </vt:vector>
  </TitlesOfParts>
  <Manager/>
  <Company>Washington Utilities and Transportation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Young</dc:creator>
  <cp:keywords/>
  <dc:description/>
  <cp:lastModifiedBy>LuJean Maupin</cp:lastModifiedBy>
  <cp:revision/>
  <cp:lastPrinted>2023-04-06T19:11:15Z</cp:lastPrinted>
  <dcterms:created xsi:type="dcterms:W3CDTF">2013-10-29T22:33:54Z</dcterms:created>
  <dcterms:modified xsi:type="dcterms:W3CDTF">2023-04-11T20:41:49Z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0x0101006E56B4D1795A2E4DB2F0B01679ED314A009E758741DF7D4D44A3C2B1B477385D9A</vt:lpwstr>
  </property>
  <property fmtid="{D5CDD505-2E9C-101B-9397-08002B2CF9AE}" pid="3" name="_docset_NoMedatataSyncRequired">
    <vt:lpwstr>False</vt:lpwstr>
  </property>
</Properties>
</file>