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3-XX Electric Schedule 140 - Property Tax Tracker (UE-23XXXX) (Eff. 05-01-23)\Workpapers\"/>
    </mc:Choice>
  </mc:AlternateContent>
  <bookViews>
    <workbookView xWindow="-10" yWindow="110" windowWidth="14520" windowHeight="8510" tabRatio="950"/>
  </bookViews>
  <sheets>
    <sheet name="2023 FINAL Rev Req" sheetId="74" r:id="rId1"/>
    <sheet name="2023 Est Payment Due " sheetId="80" r:id="rId2"/>
    <sheet name="Support" sheetId="78" r:id="rId3"/>
    <sheet name="2022 FINAL Rev Req" sheetId="79" r:id="rId4"/>
    <sheet name="Electric summary " sheetId="81" r:id="rId5"/>
    <sheet name="Gas summary " sheetId="82" r:id="rId6"/>
    <sheet name="Elec Load Variance" sheetId="84" r:id="rId7"/>
    <sheet name="Gas Load Variance" sheetId="83" r:id="rId8"/>
    <sheet name="E Conversion Factor" sheetId="85" r:id="rId9"/>
    <sheet name="G Conversion Factor" sheetId="86" r:id="rId10"/>
  </sheets>
  <externalReferences>
    <externalReference r:id="rId11"/>
    <externalReference r:id="rId12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ASE">[1]INPUTS!$C$11</definedName>
    <definedName name="CASE_GAS">'[2]Named Ranges G'!$C$4</definedName>
    <definedName name="CBWorkbookPriority">-2060790043</definedName>
    <definedName name="Comp_GAS">'[2]Named Ranges G'!$C$8</definedName>
    <definedName name="EffTax">[1]INPUTS!$F$36</definedName>
    <definedName name="FIT_GAS">'[2]Named Ranges G'!$C$3</definedName>
    <definedName name="FTAX">[1]INPUTS!$F$35</definedName>
    <definedName name="HTML_CodePage">1252</definedName>
    <definedName name="HTML_Control" localSheetId="6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1">'2023 Est Payment Due '!$A$1:$H$31</definedName>
    <definedName name="_xlnm.Print_Area" localSheetId="7">'Gas Load Variance'!$A$1:$O$21</definedName>
    <definedName name="_xlnm.Print_Titles" localSheetId="1">'2023 Est Payment Due '!$1:$10</definedName>
    <definedName name="ResRCF">[1]INPUTS!$F$44</definedName>
    <definedName name="ResUnc">[1]INPUTS!$F$39</definedName>
    <definedName name="ROD">[1]INPUTS!$F$30</definedName>
    <definedName name="ROR">[1]INPUTS!$F$29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STAX">[1]INPUTS!$F$34</definedName>
    <definedName name="TESTYEAR_GAS">'[2]Named Ranges G'!$C$5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 concurrentManualCount="8"/>
</workbook>
</file>

<file path=xl/calcChain.xml><?xml version="1.0" encoding="utf-8"?>
<calcChain xmlns="http://schemas.openxmlformats.org/spreadsheetml/2006/main">
  <c r="I6" i="74" l="1"/>
  <c r="I10" i="74" s="1"/>
  <c r="H6" i="74"/>
  <c r="H10" i="74" s="1"/>
  <c r="J25" i="74"/>
  <c r="I26" i="74"/>
  <c r="H26" i="74"/>
  <c r="I25" i="74"/>
  <c r="H25" i="74"/>
  <c r="E31" i="80" l="1"/>
  <c r="F31" i="80"/>
  <c r="G31" i="80"/>
  <c r="C31" i="80"/>
  <c r="D31" i="80"/>
  <c r="E16" i="85" l="1"/>
  <c r="E18" i="85" s="1"/>
  <c r="E20" i="85" s="1"/>
  <c r="E16" i="86"/>
  <c r="E18" i="86" s="1"/>
  <c r="E20" i="86" s="1"/>
  <c r="B16" i="86"/>
  <c r="B16" i="85"/>
  <c r="E21" i="86" l="1"/>
  <c r="E22" i="86" s="1"/>
  <c r="I5" i="74"/>
  <c r="I27" i="74" s="1"/>
  <c r="E21" i="85"/>
  <c r="E22" i="85" s="1"/>
  <c r="H5" i="74"/>
  <c r="H27" i="74" s="1"/>
  <c r="A9" i="84"/>
  <c r="A10" i="84" s="1"/>
  <c r="A11" i="84" s="1"/>
  <c r="A12" i="84" s="1"/>
  <c r="A13" i="84" s="1"/>
  <c r="A14" i="84" s="1"/>
  <c r="A15" i="84" s="1"/>
  <c r="A16" i="84" s="1"/>
  <c r="A17" i="84" s="1"/>
  <c r="A18" i="84" s="1"/>
  <c r="A19" i="84" s="1"/>
  <c r="A20" i="84" s="1"/>
  <c r="A21" i="84" s="1"/>
  <c r="A22" i="84" s="1"/>
  <c r="A23" i="84" s="1"/>
  <c r="A24" i="84" s="1"/>
  <c r="A25" i="84" s="1"/>
  <c r="A26" i="84" s="1"/>
  <c r="A27" i="84" s="1"/>
  <c r="A28" i="84" s="1"/>
  <c r="A29" i="84" s="1"/>
  <c r="A30" i="84" s="1"/>
  <c r="A31" i="84" s="1"/>
  <c r="A32" i="84" s="1"/>
  <c r="A33" i="84" s="1"/>
  <c r="A34" i="84" s="1"/>
  <c r="A35" i="84" s="1"/>
  <c r="K9" i="84"/>
  <c r="J9" i="84"/>
  <c r="E9" i="84"/>
  <c r="D9" i="84"/>
  <c r="F27" i="74" l="1"/>
  <c r="L13" i="84"/>
  <c r="N13" i="84" s="1"/>
  <c r="L20" i="84"/>
  <c r="F24" i="84"/>
  <c r="F14" i="84"/>
  <c r="F21" i="84"/>
  <c r="H21" i="84" s="1"/>
  <c r="F31" i="84"/>
  <c r="H31" i="84" s="1"/>
  <c r="J22" i="84"/>
  <c r="L31" i="84"/>
  <c r="N31" i="84" s="1"/>
  <c r="L12" i="84"/>
  <c r="N12" i="84" s="1"/>
  <c r="F15" i="84"/>
  <c r="H15" i="84" s="1"/>
  <c r="E29" i="84"/>
  <c r="F33" i="84"/>
  <c r="H33" i="84" s="1"/>
  <c r="K29" i="84"/>
  <c r="L15" i="84"/>
  <c r="N15" i="84" s="1"/>
  <c r="L24" i="84"/>
  <c r="N24" i="84" s="1"/>
  <c r="K22" i="84"/>
  <c r="F8" i="84"/>
  <c r="F9" i="84" s="1"/>
  <c r="F12" i="84"/>
  <c r="H12" i="84" s="1"/>
  <c r="L14" i="84"/>
  <c r="N14" i="84" s="1"/>
  <c r="L21" i="84"/>
  <c r="N21" i="84" s="1"/>
  <c r="F28" i="84"/>
  <c r="H28" i="84" s="1"/>
  <c r="F27" i="84"/>
  <c r="H27" i="84" s="1"/>
  <c r="E16" i="84"/>
  <c r="L28" i="84"/>
  <c r="N28" i="84" s="1"/>
  <c r="J16" i="84"/>
  <c r="F20" i="84"/>
  <c r="H20" i="84" s="1"/>
  <c r="H24" i="84"/>
  <c r="L27" i="84"/>
  <c r="N27" i="84" s="1"/>
  <c r="K16" i="84"/>
  <c r="E22" i="84"/>
  <c r="L19" i="84"/>
  <c r="D22" i="84"/>
  <c r="F13" i="84"/>
  <c r="H13" i="84" s="1"/>
  <c r="D29" i="84"/>
  <c r="L33" i="84"/>
  <c r="N33" i="84" s="1"/>
  <c r="H14" i="84"/>
  <c r="N20" i="84"/>
  <c r="J29" i="84"/>
  <c r="F19" i="84"/>
  <c r="L8" i="84"/>
  <c r="L9" i="84" s="1"/>
  <c r="D16" i="84"/>
  <c r="E35" i="84" l="1"/>
  <c r="J35" i="84"/>
  <c r="L22" i="84"/>
  <c r="P13" i="84"/>
  <c r="P21" i="84"/>
  <c r="H8" i="84"/>
  <c r="H9" i="84" s="1"/>
  <c r="L29" i="84"/>
  <c r="K35" i="84"/>
  <c r="P12" i="84"/>
  <c r="L16" i="84"/>
  <c r="P24" i="84"/>
  <c r="P33" i="84"/>
  <c r="P15" i="84"/>
  <c r="P14" i="84"/>
  <c r="N19" i="84"/>
  <c r="N22" i="84" s="1"/>
  <c r="D35" i="84"/>
  <c r="N8" i="84"/>
  <c r="N9" i="84" s="1"/>
  <c r="F29" i="84"/>
  <c r="N16" i="84"/>
  <c r="F16" i="84"/>
  <c r="P28" i="84"/>
  <c r="P31" i="84"/>
  <c r="F22" i="84"/>
  <c r="H19" i="84"/>
  <c r="P20" i="84"/>
  <c r="N29" i="84"/>
  <c r="P27" i="84"/>
  <c r="H16" i="84"/>
  <c r="H29" i="84"/>
  <c r="L35" i="84" l="1"/>
  <c r="P16" i="84"/>
  <c r="P29" i="84"/>
  <c r="P8" i="84"/>
  <c r="P9" i="84" s="1"/>
  <c r="N35" i="84"/>
  <c r="F35" i="84"/>
  <c r="H22" i="84"/>
  <c r="H35" i="84" s="1"/>
  <c r="P19" i="84"/>
  <c r="P22" i="84" s="1"/>
  <c r="P35" i="84" l="1"/>
  <c r="K13" i="83" l="1"/>
  <c r="M13" i="83" s="1"/>
  <c r="K8" i="83"/>
  <c r="M8" i="83" s="1"/>
  <c r="K12" i="83"/>
  <c r="M12" i="83" s="1"/>
  <c r="K16" i="83"/>
  <c r="M16" i="83" s="1"/>
  <c r="K19" i="83"/>
  <c r="M19" i="83" s="1"/>
  <c r="E7" i="83"/>
  <c r="E11" i="83"/>
  <c r="G11" i="83" s="1"/>
  <c r="E15" i="83"/>
  <c r="G15" i="83" s="1"/>
  <c r="E19" i="83"/>
  <c r="G19" i="83" s="1"/>
  <c r="E14" i="83"/>
  <c r="G14" i="83" s="1"/>
  <c r="K15" i="83"/>
  <c r="M15" i="83" s="1"/>
  <c r="K10" i="83"/>
  <c r="M10" i="83" s="1"/>
  <c r="E10" i="83"/>
  <c r="G10" i="83" s="1"/>
  <c r="J20" i="83"/>
  <c r="K11" i="83"/>
  <c r="M11" i="83" s="1"/>
  <c r="E8" i="83"/>
  <c r="G8" i="83" s="1"/>
  <c r="K14" i="83"/>
  <c r="M14" i="83" s="1"/>
  <c r="E9" i="83"/>
  <c r="G9" i="83" s="1"/>
  <c r="K17" i="83"/>
  <c r="M17" i="83" s="1"/>
  <c r="C20" i="83"/>
  <c r="E13" i="83"/>
  <c r="G13" i="83" s="1"/>
  <c r="D20" i="83"/>
  <c r="K9" i="83"/>
  <c r="M9" i="83" s="1"/>
  <c r="E12" i="83"/>
  <c r="G12" i="83" s="1"/>
  <c r="E18" i="83"/>
  <c r="G18" i="83" s="1"/>
  <c r="E17" i="83"/>
  <c r="G17" i="83" s="1"/>
  <c r="K7" i="83"/>
  <c r="M7" i="83" s="1"/>
  <c r="E16" i="83"/>
  <c r="G16" i="83" s="1"/>
  <c r="O16" i="83" s="1"/>
  <c r="K18" i="83"/>
  <c r="M18" i="83" s="1"/>
  <c r="I20" i="83"/>
  <c r="G7" i="83"/>
  <c r="O8" i="83" l="1"/>
  <c r="O11" i="83"/>
  <c r="O13" i="83"/>
  <c r="O17" i="83"/>
  <c r="O12" i="83"/>
  <c r="O14" i="83"/>
  <c r="O19" i="83"/>
  <c r="O15" i="83"/>
  <c r="M20" i="83"/>
  <c r="O10" i="83"/>
  <c r="O18" i="83"/>
  <c r="K20" i="83"/>
  <c r="E20" i="83"/>
  <c r="O9" i="83"/>
  <c r="G20" i="83"/>
  <c r="O7" i="83"/>
  <c r="O20" i="83" l="1"/>
  <c r="B40" i="82"/>
  <c r="B39" i="82"/>
  <c r="B38" i="82"/>
  <c r="B37" i="82"/>
  <c r="B36" i="82"/>
  <c r="B35" i="82"/>
  <c r="B34" i="82"/>
  <c r="B33" i="82"/>
  <c r="F33" i="82"/>
  <c r="B32" i="82"/>
  <c r="B31" i="82"/>
  <c r="B30" i="82"/>
  <c r="F30" i="82"/>
  <c r="E29" i="82"/>
  <c r="D29" i="82"/>
  <c r="B29" i="82"/>
  <c r="C29" i="82" s="1"/>
  <c r="F29" i="82"/>
  <c r="J22" i="82"/>
  <c r="I22" i="82"/>
  <c r="H14" i="82"/>
  <c r="H17" i="82" s="1"/>
  <c r="K13" i="82"/>
  <c r="E13" i="82"/>
  <c r="H10" i="82"/>
  <c r="K10" i="82" s="1"/>
  <c r="D9" i="82"/>
  <c r="K9" i="82"/>
  <c r="L9" i="82" s="1"/>
  <c r="K9" i="81"/>
  <c r="L9" i="81"/>
  <c r="L10" i="81" s="1"/>
  <c r="L11" i="81" s="1"/>
  <c r="L12" i="81" s="1"/>
  <c r="L13" i="81" s="1"/>
  <c r="L14" i="81" s="1"/>
  <c r="L15" i="81" s="1"/>
  <c r="L16" i="81" s="1"/>
  <c r="L17" i="81" s="1"/>
  <c r="L18" i="81" s="1"/>
  <c r="L19" i="81" s="1"/>
  <c r="L20" i="81" s="1"/>
  <c r="D9" i="81"/>
  <c r="H10" i="81"/>
  <c r="K10" i="81"/>
  <c r="K11" i="81"/>
  <c r="H12" i="81"/>
  <c r="K12" i="81"/>
  <c r="E13" i="81"/>
  <c r="K13" i="81"/>
  <c r="H14" i="81"/>
  <c r="K14" i="81"/>
  <c r="H15" i="81"/>
  <c r="K15" i="81"/>
  <c r="H16" i="81"/>
  <c r="K16" i="81"/>
  <c r="K22" i="81" s="1"/>
  <c r="H17" i="81"/>
  <c r="K17" i="81"/>
  <c r="H18" i="81"/>
  <c r="K18" i="81"/>
  <c r="H19" i="81"/>
  <c r="K19" i="81"/>
  <c r="H20" i="81"/>
  <c r="K20" i="81"/>
  <c r="H22" i="81"/>
  <c r="I22" i="81"/>
  <c r="J22" i="81"/>
  <c r="F29" i="81"/>
  <c r="B29" i="81"/>
  <c r="C29" i="81" s="1"/>
  <c r="D29" i="81"/>
  <c r="E29" i="81"/>
  <c r="F30" i="81"/>
  <c r="B30" i="81"/>
  <c r="F31" i="81"/>
  <c r="B31" i="81"/>
  <c r="F32" i="81"/>
  <c r="B32" i="81"/>
  <c r="F33" i="81"/>
  <c r="B33" i="81"/>
  <c r="F34" i="81"/>
  <c r="B34" i="81"/>
  <c r="F35" i="81"/>
  <c r="B35" i="81"/>
  <c r="F36" i="81"/>
  <c r="B36" i="81"/>
  <c r="F37" i="81"/>
  <c r="B37" i="81"/>
  <c r="F38" i="81"/>
  <c r="B38" i="81"/>
  <c r="F39" i="81"/>
  <c r="B39" i="81"/>
  <c r="F40" i="81"/>
  <c r="B40" i="81"/>
  <c r="C30" i="81" l="1"/>
  <c r="C31" i="81" s="1"/>
  <c r="D10" i="82"/>
  <c r="D11" i="82" s="1"/>
  <c r="D12" i="82" s="1"/>
  <c r="E30" i="81"/>
  <c r="E31" i="81" s="1"/>
  <c r="E32" i="81" s="1"/>
  <c r="G29" i="81"/>
  <c r="C9" i="81" s="1"/>
  <c r="F9" i="81" s="1"/>
  <c r="G9" i="81" s="1"/>
  <c r="G29" i="82"/>
  <c r="C9" i="82" s="1"/>
  <c r="F9" i="82" s="1"/>
  <c r="G9" i="82" s="1"/>
  <c r="D30" i="82"/>
  <c r="D31" i="82"/>
  <c r="E30" i="82"/>
  <c r="C30" i="82"/>
  <c r="L10" i="82"/>
  <c r="K17" i="82"/>
  <c r="F37" i="82"/>
  <c r="H11" i="82"/>
  <c r="K14" i="82"/>
  <c r="F34" i="82"/>
  <c r="H15" i="82"/>
  <c r="D10" i="81"/>
  <c r="D30" i="81"/>
  <c r="D31" i="81" s="1"/>
  <c r="G30" i="82" l="1"/>
  <c r="C10" i="82" s="1"/>
  <c r="F10" i="82" s="1"/>
  <c r="G10" i="82" s="1"/>
  <c r="D13" i="82"/>
  <c r="D14" i="82" s="1"/>
  <c r="L11" i="82"/>
  <c r="C31" i="82"/>
  <c r="E31" i="82"/>
  <c r="E32" i="82" s="1"/>
  <c r="H12" i="82"/>
  <c r="K11" i="82"/>
  <c r="F31" i="82"/>
  <c r="D32" i="82"/>
  <c r="F35" i="82"/>
  <c r="K15" i="82"/>
  <c r="H18" i="82"/>
  <c r="H16" i="82"/>
  <c r="G31" i="81"/>
  <c r="C11" i="81" s="1"/>
  <c r="E33" i="81"/>
  <c r="C32" i="81"/>
  <c r="D32" i="81"/>
  <c r="G30" i="81"/>
  <c r="C10" i="81" s="1"/>
  <c r="F10" i="81" s="1"/>
  <c r="G10" i="81" s="1"/>
  <c r="D11" i="81"/>
  <c r="H19" i="82" l="1"/>
  <c r="K18" i="82"/>
  <c r="F38" i="82"/>
  <c r="K12" i="82"/>
  <c r="L12" i="82" s="1"/>
  <c r="L13" i="82" s="1"/>
  <c r="L14" i="82" s="1"/>
  <c r="L15" i="82" s="1"/>
  <c r="L16" i="82" s="1"/>
  <c r="L17" i="82" s="1"/>
  <c r="L18" i="82" s="1"/>
  <c r="F32" i="82"/>
  <c r="E33" i="82"/>
  <c r="G31" i="82"/>
  <c r="C11" i="82" s="1"/>
  <c r="F11" i="82" s="1"/>
  <c r="G11" i="82" s="1"/>
  <c r="C32" i="82"/>
  <c r="C33" i="82" s="1"/>
  <c r="D33" i="82"/>
  <c r="F36" i="82"/>
  <c r="K16" i="82"/>
  <c r="D15" i="82"/>
  <c r="D33" i="81"/>
  <c r="D34" i="81" s="1"/>
  <c r="G32" i="81"/>
  <c r="C12" i="81" s="1"/>
  <c r="F11" i="81"/>
  <c r="G11" i="81" s="1"/>
  <c r="E34" i="81"/>
  <c r="E35" i="81" s="1"/>
  <c r="D12" i="81"/>
  <c r="D13" i="81" s="1"/>
  <c r="D14" i="81" s="1"/>
  <c r="C33" i="81"/>
  <c r="E36" i="81" l="1"/>
  <c r="E37" i="81" s="1"/>
  <c r="H20" i="82"/>
  <c r="K19" i="82"/>
  <c r="F39" i="82"/>
  <c r="D34" i="82"/>
  <c r="D35" i="82" s="1"/>
  <c r="D36" i="82" s="1"/>
  <c r="G32" i="82"/>
  <c r="C12" i="82" s="1"/>
  <c r="F12" i="82" s="1"/>
  <c r="G12" i="82" s="1"/>
  <c r="C35" i="82"/>
  <c r="E34" i="82"/>
  <c r="G33" i="82"/>
  <c r="C13" i="82" s="1"/>
  <c r="F13" i="82" s="1"/>
  <c r="D16" i="82"/>
  <c r="D17" i="82" s="1"/>
  <c r="C34" i="82"/>
  <c r="D15" i="81"/>
  <c r="F12" i="81"/>
  <c r="G12" i="81" s="1"/>
  <c r="G33" i="81"/>
  <c r="C13" i="81" s="1"/>
  <c r="F13" i="81" s="1"/>
  <c r="C34" i="81"/>
  <c r="G34" i="81" s="1"/>
  <c r="C14" i="81" s="1"/>
  <c r="F14" i="81" s="1"/>
  <c r="D35" i="81"/>
  <c r="E38" i="81" l="1"/>
  <c r="E39" i="81" s="1"/>
  <c r="G13" i="82"/>
  <c r="E35" i="82"/>
  <c r="E36" i="82" s="1"/>
  <c r="E37" i="82" s="1"/>
  <c r="L19" i="82"/>
  <c r="L20" i="82" s="1"/>
  <c r="K20" i="82"/>
  <c r="K22" i="82" s="1"/>
  <c r="F40" i="82"/>
  <c r="H22" i="82"/>
  <c r="D37" i="82"/>
  <c r="D38" i="82" s="1"/>
  <c r="D39" i="82" s="1"/>
  <c r="D40" i="82" s="1"/>
  <c r="G34" i="82"/>
  <c r="C14" i="82" s="1"/>
  <c r="F14" i="82" s="1"/>
  <c r="C36" i="82"/>
  <c r="D18" i="82"/>
  <c r="D19" i="82" s="1"/>
  <c r="D20" i="82" s="1"/>
  <c r="D16" i="81"/>
  <c r="D36" i="81"/>
  <c r="D37" i="81" s="1"/>
  <c r="D38" i="81" s="1"/>
  <c r="C35" i="81"/>
  <c r="G13" i="81"/>
  <c r="G14" i="81" s="1"/>
  <c r="G14" i="82" l="1"/>
  <c r="E40" i="81"/>
  <c r="G35" i="82"/>
  <c r="C15" i="82" s="1"/>
  <c r="F15" i="82" s="1"/>
  <c r="E38" i="82"/>
  <c r="E39" i="82" s="1"/>
  <c r="E40" i="82" s="1"/>
  <c r="G36" i="82"/>
  <c r="C16" i="82" s="1"/>
  <c r="F16" i="82" s="1"/>
  <c r="C37" i="82"/>
  <c r="D39" i="81"/>
  <c r="G35" i="81"/>
  <c r="C15" i="81" s="1"/>
  <c r="F15" i="81" s="1"/>
  <c r="G15" i="81" s="1"/>
  <c r="C36" i="81"/>
  <c r="D17" i="81"/>
  <c r="D18" i="81" s="1"/>
  <c r="D19" i="81" s="1"/>
  <c r="D20" i="81" s="1"/>
  <c r="G15" i="82" l="1"/>
  <c r="G16" i="82" s="1"/>
  <c r="G37" i="82"/>
  <c r="C17" i="82" s="1"/>
  <c r="F17" i="82" s="1"/>
  <c r="C38" i="82"/>
  <c r="G36" i="81"/>
  <c r="C16" i="81" s="1"/>
  <c r="F16" i="81" s="1"/>
  <c r="G16" i="81" s="1"/>
  <c r="C37" i="81"/>
  <c r="D40" i="81"/>
  <c r="G17" i="82" l="1"/>
  <c r="G38" i="82"/>
  <c r="C18" i="82" s="1"/>
  <c r="F18" i="82" s="1"/>
  <c r="C39" i="82"/>
  <c r="G37" i="81"/>
  <c r="C17" i="81" s="1"/>
  <c r="F17" i="81" s="1"/>
  <c r="G17" i="81" s="1"/>
  <c r="C38" i="81"/>
  <c r="G18" i="82" l="1"/>
  <c r="G39" i="82"/>
  <c r="C19" i="82" s="1"/>
  <c r="F19" i="82" s="1"/>
  <c r="C40" i="82"/>
  <c r="G40" i="82" s="1"/>
  <c r="C20" i="82" s="1"/>
  <c r="F20" i="82" s="1"/>
  <c r="G38" i="81"/>
  <c r="C18" i="81" s="1"/>
  <c r="F18" i="81" s="1"/>
  <c r="G18" i="81" s="1"/>
  <c r="C39" i="81"/>
  <c r="G19" i="82" l="1"/>
  <c r="G20" i="82" s="1"/>
  <c r="E19" i="74" s="1"/>
  <c r="G39" i="81"/>
  <c r="C40" i="81"/>
  <c r="G40" i="81" l="1"/>
  <c r="C19" i="81"/>
  <c r="F19" i="81" s="1"/>
  <c r="G19" i="81" l="1"/>
  <c r="C20" i="81"/>
  <c r="F20" i="81" s="1"/>
  <c r="G20" i="81" l="1"/>
  <c r="D19" i="74" s="1"/>
  <c r="D20" i="80" l="1"/>
  <c r="D24" i="80" s="1"/>
  <c r="C37" i="80" s="1"/>
  <c r="E9" i="74" s="1"/>
  <c r="C20" i="80"/>
  <c r="C24" i="80" s="1"/>
  <c r="G14" i="80"/>
  <c r="F14" i="80"/>
  <c r="E14" i="80"/>
  <c r="C36" i="80" l="1"/>
  <c r="H31" i="80"/>
  <c r="C38" i="80" l="1"/>
  <c r="C39" i="80" s="1"/>
  <c r="D9" i="74"/>
  <c r="D25" i="74" s="1"/>
  <c r="E25" i="74"/>
  <c r="E6" i="74"/>
  <c r="D6" i="74"/>
  <c r="A25" i="79"/>
  <c r="A26" i="79" s="1"/>
  <c r="A27" i="79" s="1"/>
  <c r="A30" i="79" s="1"/>
  <c r="A31" i="79" s="1"/>
  <c r="A32" i="79" s="1"/>
  <c r="A33" i="79" s="1"/>
  <c r="I28" i="79" l="1"/>
  <c r="I30" i="79"/>
  <c r="I31" i="79" s="1"/>
  <c r="E28" i="79"/>
  <c r="A31" i="74" l="1"/>
  <c r="A32" i="74" s="1"/>
  <c r="A33" i="74" s="1"/>
  <c r="A34" i="74" s="1"/>
  <c r="D11" i="74" l="1"/>
  <c r="D26" i="74" s="1"/>
  <c r="D28" i="74" s="1"/>
  <c r="E11" i="74"/>
  <c r="E26" i="74" s="1"/>
  <c r="E28" i="74" s="1"/>
  <c r="I9" i="74"/>
  <c r="J27" i="74" l="1"/>
  <c r="H9" i="74"/>
  <c r="F9" i="74"/>
  <c r="J9" i="74" l="1"/>
  <c r="H11" i="74" l="1"/>
  <c r="H12" i="74" s="1"/>
  <c r="I11" i="74" l="1"/>
  <c r="I12" i="74" s="1"/>
  <c r="F11" i="74"/>
  <c r="J11" i="74" l="1"/>
  <c r="I19" i="74" l="1"/>
  <c r="H19" i="74"/>
  <c r="F19" i="74"/>
  <c r="F26" i="74" l="1"/>
  <c r="F25" i="74"/>
  <c r="I28" i="74"/>
  <c r="J19" i="74"/>
  <c r="J26" i="74" l="1"/>
  <c r="H28" i="74"/>
  <c r="F28" i="74"/>
  <c r="J28" i="74"/>
  <c r="E10" i="74"/>
  <c r="I13" i="74" l="1"/>
  <c r="I29" i="74" s="1"/>
  <c r="E13" i="74"/>
  <c r="E29" i="74" s="1"/>
  <c r="I31" i="74"/>
  <c r="I32" i="74" s="1"/>
  <c r="E15" i="74" l="1"/>
  <c r="I15" i="74"/>
  <c r="E18" i="74" l="1"/>
  <c r="I18" i="74" s="1"/>
  <c r="I21" i="74" s="1"/>
  <c r="E21" i="74" l="1"/>
  <c r="D10" i="74"/>
  <c r="F6" i="74"/>
  <c r="D13" i="74" l="1"/>
  <c r="D29" i="74" s="1"/>
  <c r="F10" i="74"/>
  <c r="J6" i="74"/>
  <c r="H31" i="74"/>
  <c r="H32" i="74" s="1"/>
  <c r="F13" i="74" l="1"/>
  <c r="F29" i="74" s="1"/>
  <c r="D15" i="74"/>
  <c r="D18" i="74" s="1"/>
  <c r="H18" i="74" s="1"/>
  <c r="J10" i="74"/>
  <c r="H13" i="74"/>
  <c r="H29" i="74" s="1"/>
  <c r="J13" i="74" l="1"/>
  <c r="J29" i="74" s="1"/>
  <c r="H15" i="74"/>
  <c r="F15" i="74"/>
  <c r="D21" i="74"/>
  <c r="F18" i="74" l="1"/>
  <c r="F21" i="74"/>
  <c r="J15" i="74"/>
  <c r="H21" i="74"/>
  <c r="J21" i="74" l="1"/>
  <c r="J18" i="74"/>
  <c r="H30" i="79" l="1"/>
  <c r="H31" i="79" s="1"/>
  <c r="D28" i="79"/>
  <c r="F28" i="79"/>
  <c r="J28" i="79" l="1"/>
  <c r="H28" i="79"/>
</calcChain>
</file>

<file path=xl/comments1.xml><?xml version="1.0" encoding="utf-8"?>
<comments xmlns="http://schemas.openxmlformats.org/spreadsheetml/2006/main">
  <authors>
    <author>Puget Sound Energy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Update in Nov for new rates and amount</t>
        </r>
      </text>
    </comment>
  </commentList>
</comments>
</file>

<file path=xl/comments2.xml><?xml version="1.0" encoding="utf-8"?>
<comments xmlns="http://schemas.openxmlformats.org/spreadsheetml/2006/main">
  <authors>
    <author>Salama, Mark</author>
  </authors>
  <commentList>
    <comment ref="C18" authorId="0" shapeId="0">
      <text>
        <r>
          <rPr>
            <b/>
            <sz val="9"/>
            <color indexed="81"/>
            <rFont val="Tahoma"/>
            <family val="2"/>
          </rPr>
          <t>Salama, Mark:</t>
        </r>
        <r>
          <rPr>
            <sz val="9"/>
            <color indexed="81"/>
            <rFont val="Tahoma"/>
            <family val="2"/>
          </rPr>
          <t xml:space="preserve">
Override to tie to SAP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Salama, Mark:</t>
        </r>
        <r>
          <rPr>
            <sz val="9"/>
            <color indexed="81"/>
            <rFont val="Tahoma"/>
            <family val="2"/>
          </rPr>
          <t xml:space="preserve">
Override to tie to SAP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Salama, Mark:</t>
        </r>
        <r>
          <rPr>
            <sz val="9"/>
            <color indexed="81"/>
            <rFont val="Tahoma"/>
            <family val="2"/>
          </rPr>
          <t xml:space="preserve">
override to tie to SAP</t>
        </r>
      </text>
    </comment>
  </commentList>
</comments>
</file>

<file path=xl/sharedStrings.xml><?xml version="1.0" encoding="utf-8"?>
<sst xmlns="http://schemas.openxmlformats.org/spreadsheetml/2006/main" count="408" uniqueCount="236">
  <si>
    <t>Electric</t>
  </si>
  <si>
    <t>Gas</t>
  </si>
  <si>
    <t>Total</t>
  </si>
  <si>
    <t>Rate Increase</t>
  </si>
  <si>
    <t>Base Property Tax Revenue Requirement (140A)</t>
  </si>
  <si>
    <t>Deferral Revenue Requirement (140B)</t>
  </si>
  <si>
    <t>Components of Revenue Requirement Increase:</t>
  </si>
  <si>
    <t>Add Increment to New Cash Payment</t>
  </si>
  <si>
    <t>Change in Revenue Requirement</t>
  </si>
  <si>
    <t>Net Change in Load True-Up</t>
  </si>
  <si>
    <t>Description</t>
  </si>
  <si>
    <t>Montana</t>
  </si>
  <si>
    <t>Oregon</t>
  </si>
  <si>
    <t>Balance</t>
  </si>
  <si>
    <t>CONVERSION FACTOR</t>
  </si>
  <si>
    <t>LINE</t>
  </si>
  <si>
    <t>NO.</t>
  </si>
  <si>
    <t>DESCRIPTION</t>
  </si>
  <si>
    <t>BAD DEBTS</t>
  </si>
  <si>
    <t>ANNUAL FILING FEE</t>
  </si>
  <si>
    <t>SUM OF TAXES OTHER</t>
  </si>
  <si>
    <t xml:space="preserve">New Revenue Requirement </t>
  </si>
  <si>
    <t>Pre-Revenue Sensitive Items (RSI)</t>
  </si>
  <si>
    <t>Grossed Up for RSI</t>
  </si>
  <si>
    <t>= 1</t>
  </si>
  <si>
    <t>= 1 + 6</t>
  </si>
  <si>
    <t>= 3 - 4 + 5</t>
  </si>
  <si>
    <t>= 7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</si>
  <si>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</si>
  <si>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</si>
  <si>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(e) = (c * d)</t>
  </si>
  <si>
    <t>(d)</t>
  </si>
  <si>
    <t>(c) = (b - a)</t>
  </si>
  <si>
    <t>(b)</t>
  </si>
  <si>
    <t>(a)</t>
  </si>
  <si>
    <t>(c) = (a - b)</t>
  </si>
  <si>
    <t>Total Variance</t>
  </si>
  <si>
    <t>Variance</t>
  </si>
  <si>
    <t>Schedule</t>
  </si>
  <si>
    <t>Line No.</t>
  </si>
  <si>
    <t>Puget Sound Energy</t>
  </si>
  <si>
    <t>Rate Schedule</t>
  </si>
  <si>
    <t>Load Variance (Therms)</t>
  </si>
  <si>
    <t>Contracts</t>
  </si>
  <si>
    <t xml:space="preserve">Total </t>
  </si>
  <si>
    <t>Residential</t>
  </si>
  <si>
    <t>Interruptible</t>
  </si>
  <si>
    <t>Total Residential</t>
  </si>
  <si>
    <t>Secondary Voltage</t>
  </si>
  <si>
    <t>Demand &lt;= 50 kW</t>
  </si>
  <si>
    <t>8 / 24</t>
  </si>
  <si>
    <t>Demand &gt; 50 kW but &lt;= 350 kW</t>
  </si>
  <si>
    <t>7A / 11 / 25</t>
  </si>
  <si>
    <t>Demand &gt; 350 kW</t>
  </si>
  <si>
    <t>12 / 26 / 26P</t>
  </si>
  <si>
    <t>Seasonal Irrigation &amp; Drainage Pumping</t>
  </si>
  <si>
    <t>Total Secondary Voltage</t>
  </si>
  <si>
    <t>Primary Voltage</t>
  </si>
  <si>
    <t>General Service</t>
  </si>
  <si>
    <t>10 / 31</t>
  </si>
  <si>
    <t>Interruptible Total Electric Schools</t>
  </si>
  <si>
    <t>Total Primary Voltage</t>
  </si>
  <si>
    <t>High Voltage</t>
  </si>
  <si>
    <t>Total High Voltage</t>
  </si>
  <si>
    <t>Lighting</t>
  </si>
  <si>
    <t>50-59</t>
  </si>
  <si>
    <t>Total Choice /Retail Wheeling</t>
  </si>
  <si>
    <t>Total Jurisdictional Retail Sales</t>
  </si>
  <si>
    <t>Change</t>
  </si>
  <si>
    <t>July</t>
  </si>
  <si>
    <t>Increase as a percent of prior year's revenue</t>
  </si>
  <si>
    <t>requirement Filing Required?</t>
  </si>
  <si>
    <t>18238041 Current Period Deferral</t>
  </si>
  <si>
    <t>18238031 Prior Period Deferral</t>
  </si>
  <si>
    <t>Estimated</t>
  </si>
  <si>
    <t>Booked</t>
  </si>
  <si>
    <t>Received</t>
  </si>
  <si>
    <t>Year End</t>
  </si>
  <si>
    <t>To</t>
  </si>
  <si>
    <t>in</t>
  </si>
  <si>
    <t>to</t>
  </si>
  <si>
    <t>Deferral</t>
  </si>
  <si>
    <t>Net</t>
  </si>
  <si>
    <t>Month</t>
  </si>
  <si>
    <t>Accrual</t>
  </si>
  <si>
    <t>Payable</t>
  </si>
  <si>
    <t>Revenue</t>
  </si>
  <si>
    <t>Transfer</t>
  </si>
  <si>
    <t>Amortization</t>
  </si>
  <si>
    <t>True-Up</t>
  </si>
  <si>
    <t>(includes amort &amp; amort rev)</t>
  </si>
  <si>
    <t>Beginning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</si>
  <si>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</si>
  <si>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</si>
  <si>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</si>
  <si>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</si>
  <si>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</si>
  <si>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</si>
  <si>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</si>
  <si>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</si>
  <si>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October</t>
  </si>
  <si>
    <t>November</t>
  </si>
  <si>
    <t>December</t>
  </si>
  <si>
    <t>(Counties)</t>
  </si>
  <si>
    <t>(Cities)</t>
  </si>
  <si>
    <t>Prior Year</t>
  </si>
  <si>
    <t>Property Taxes</t>
  </si>
  <si>
    <t>Suface Water</t>
  </si>
  <si>
    <t>Tax Bill</t>
  </si>
  <si>
    <t>(Annual)</t>
  </si>
  <si>
    <t>(Monthly)</t>
  </si>
  <si>
    <t>Mgmt Fees</t>
  </si>
  <si>
    <t>Corrections</t>
  </si>
  <si>
    <t>Activity</t>
  </si>
  <si>
    <t>18238042 Current Period Deferral</t>
  </si>
  <si>
    <t>18238032 Prior Period Deferral</t>
  </si>
  <si>
    <t>May-Dec Variance</t>
  </si>
  <si>
    <t>&lt;==Check Load</t>
  </si>
  <si>
    <t>Revenue Requirement Increase / (Decrease)</t>
  </si>
  <si>
    <t>Total Variance ($)</t>
  </si>
  <si>
    <t>Residential Propane</t>
  </si>
  <si>
    <t>Commercial &amp; Industrial - Sales</t>
  </si>
  <si>
    <t>31T</t>
  </si>
  <si>
    <t>Commercial &amp; Industrial - Transportation</t>
  </si>
  <si>
    <t>Large Vol. High Load Factor - Sales</t>
  </si>
  <si>
    <t>41T</t>
  </si>
  <si>
    <t>Large Vol. High Load Factor - Transportation</t>
  </si>
  <si>
    <t>Interruptible - Sales</t>
  </si>
  <si>
    <t>85T</t>
  </si>
  <si>
    <t>Interruptible - Transportation</t>
  </si>
  <si>
    <t>Limited Interruptible - Sales</t>
  </si>
  <si>
    <t>86T</t>
  </si>
  <si>
    <t>Limited Interruptible - Transportation</t>
  </si>
  <si>
    <t>Non-exclusive Interruptible - Sales</t>
  </si>
  <si>
    <t>87T</t>
  </si>
  <si>
    <t>Non-exclusive Interruptible - Transportation</t>
  </si>
  <si>
    <t>Property Tax Variance Calculation</t>
  </si>
  <si>
    <t>= 7 - 9</t>
  </si>
  <si>
    <t>Step 1:</t>
  </si>
  <si>
    <t>Updated by Property Tax</t>
  </si>
  <si>
    <t>YTD</t>
  </si>
  <si>
    <t>relink cells</t>
  </si>
  <si>
    <t>Gas Schedule 140 Property Tax Tracker</t>
  </si>
  <si>
    <t>Revenue Variance</t>
  </si>
  <si>
    <t>16 &amp; 23</t>
  </si>
  <si>
    <t>check</t>
  </si>
  <si>
    <t>449/459</t>
  </si>
  <si>
    <t>Schedule 140 Rates Effective May 1, 2021</t>
  </si>
  <si>
    <t>Revenue Requirement from 2021 Filing</t>
  </si>
  <si>
    <t>Cash Payment expected to be made 2022</t>
  </si>
  <si>
    <t>True-up for 2021 Load Variance</t>
  </si>
  <si>
    <t>PUGET SOUND ENERGY</t>
  </si>
  <si>
    <t>PROPERTY TAX DEPT</t>
  </si>
  <si>
    <t>ELECTRIC</t>
  </si>
  <si>
    <t>GAS</t>
  </si>
  <si>
    <t>Total Est</t>
  </si>
  <si>
    <t>SAP #</t>
  </si>
  <si>
    <t>actual</t>
  </si>
  <si>
    <t>Tracker SAP #</t>
  </si>
  <si>
    <t>tracker</t>
  </si>
  <si>
    <t>Order #</t>
  </si>
  <si>
    <t>load</t>
  </si>
  <si>
    <t>JE 170</t>
  </si>
  <si>
    <t>JE 172</t>
  </si>
  <si>
    <t>JE 171</t>
  </si>
  <si>
    <t>JE 252</t>
  </si>
  <si>
    <t>Taxes</t>
  </si>
  <si>
    <t>Estimated change</t>
  </si>
  <si>
    <t>ADD LOCALLY ASSESSED TAXES</t>
  </si>
  <si>
    <t>Actual OPER CENTRALLY ASSESSED TAXES</t>
  </si>
  <si>
    <t>ADD OPER Centrally ASSESSED TAXES-Special</t>
  </si>
  <si>
    <t>&lt;= check</t>
  </si>
  <si>
    <t>Actual 1-1-21 DOR Value</t>
  </si>
  <si>
    <r>
      <t xml:space="preserve">Property Tax Revenue Requirement - </t>
    </r>
    <r>
      <rPr>
        <b/>
        <sz val="14"/>
        <color rgb="FFFF0000"/>
        <rFont val="Calibri"/>
        <family val="2"/>
      </rPr>
      <t>FINAL</t>
    </r>
    <r>
      <rPr>
        <b/>
        <sz val="14"/>
        <color theme="1"/>
        <rFont val="Calibri"/>
        <family val="2"/>
        <scheme val="minor"/>
      </rPr>
      <t xml:space="preserve"> Filing - April, 2022</t>
    </r>
  </si>
  <si>
    <t>Revenue Requirement from 2022 Filing</t>
  </si>
  <si>
    <t>Cash Payment expected to be made 2023</t>
  </si>
  <si>
    <t>True-up for 2022 Load Variance</t>
  </si>
  <si>
    <r>
      <t xml:space="preserve">ESTIMATED PROPERTY TAXES FOR </t>
    </r>
    <r>
      <rPr>
        <b/>
        <sz val="10"/>
        <color indexed="10"/>
        <rFont val="Arial"/>
        <family val="2"/>
      </rPr>
      <t>2022</t>
    </r>
    <r>
      <rPr>
        <b/>
        <sz val="10"/>
        <rFont val="Arial"/>
        <family val="2"/>
      </rPr>
      <t xml:space="preserve"> Payable in </t>
    </r>
    <r>
      <rPr>
        <b/>
        <sz val="10"/>
        <color indexed="10"/>
        <rFont val="Arial"/>
        <family val="2"/>
      </rPr>
      <t>2023</t>
    </r>
  </si>
  <si>
    <t>22-23</t>
  </si>
  <si>
    <r>
      <t>01-01-22</t>
    </r>
    <r>
      <rPr>
        <sz val="11"/>
        <color theme="1"/>
        <rFont val="Calibri"/>
        <family val="2"/>
        <scheme val="minor"/>
      </rPr>
      <t xml:space="preserve"> Increase / decrease</t>
    </r>
  </si>
  <si>
    <r>
      <t xml:space="preserve">1-1-22 </t>
    </r>
    <r>
      <rPr>
        <sz val="8"/>
        <rFont val="Arial"/>
        <family val="2"/>
      </rPr>
      <t>AVERAGE SYSTEM RATIO (22-23 rates)</t>
    </r>
  </si>
  <si>
    <r>
      <t xml:space="preserve">Actual </t>
    </r>
    <r>
      <rPr>
        <sz val="10"/>
        <color indexed="10"/>
        <rFont val="Arial"/>
        <family val="2"/>
      </rPr>
      <t xml:space="preserve">1-1-22 </t>
    </r>
    <r>
      <rPr>
        <sz val="11"/>
        <color theme="1"/>
        <rFont val="Calibri"/>
        <family val="2"/>
        <scheme val="minor"/>
      </rPr>
      <t>ASSESSED VALUE</t>
    </r>
  </si>
  <si>
    <r>
      <t>Actual</t>
    </r>
    <r>
      <rPr>
        <sz val="10"/>
        <color indexed="10"/>
        <rFont val="Arial"/>
        <family val="2"/>
      </rPr>
      <t xml:space="preserve"> 1-1-22</t>
    </r>
    <r>
      <rPr>
        <sz val="11"/>
        <color theme="1"/>
        <rFont val="Calibri"/>
        <family val="2"/>
        <scheme val="minor"/>
      </rPr>
      <t xml:space="preserve"> LEVY RATE (22-23 rates)</t>
    </r>
  </si>
  <si>
    <t>Total Actual Taxes 22-23</t>
  </si>
  <si>
    <r>
      <t xml:space="preserve">Final </t>
    </r>
    <r>
      <rPr>
        <sz val="10"/>
        <color indexed="10"/>
        <rFont val="Arial"/>
        <family val="2"/>
      </rPr>
      <t>1-1-22</t>
    </r>
    <r>
      <rPr>
        <sz val="11"/>
        <color theme="1"/>
        <rFont val="Calibri"/>
        <family val="2"/>
        <scheme val="minor"/>
      </rPr>
      <t xml:space="preserve"> DOR Value</t>
    </r>
  </si>
  <si>
    <t>December-22 Final</t>
  </si>
  <si>
    <t>November-22 Final</t>
  </si>
  <si>
    <t>October-22 Final</t>
  </si>
  <si>
    <t>September-22 Final</t>
  </si>
  <si>
    <t>August-22 Final</t>
  </si>
  <si>
    <t>July-22 Final</t>
  </si>
  <si>
    <t>June-22 Final</t>
  </si>
  <si>
    <t>May-22 Final</t>
  </si>
  <si>
    <t>APR-22 Final</t>
  </si>
  <si>
    <t>MAR-22 Final</t>
  </si>
  <si>
    <t>FEB-22 Final</t>
  </si>
  <si>
    <t>JAN-22 - Final</t>
  </si>
  <si>
    <t>Schedule 140 Rates Effective May 1, 2022</t>
  </si>
  <si>
    <t>F2020 Projected January 2022 to April 2022</t>
  </si>
  <si>
    <t>Actual Delivered January 2022 to April 2022</t>
  </si>
  <si>
    <t>Property Tracker Charge Effective 
5-1-21</t>
  </si>
  <si>
    <t>Jan 2022 to Apr 2022  Variance</t>
  </si>
  <si>
    <t>F2022 Projected 8 Months ended December 2022</t>
  </si>
  <si>
    <t>Actual 8 Months ended December 2022</t>
  </si>
  <si>
    <t>Property Tracker Charge Effective 5-1-22</t>
  </si>
  <si>
    <t>Special Contract</t>
  </si>
  <si>
    <t>SC</t>
  </si>
  <si>
    <r>
      <t xml:space="preserve">Property Tax Revenue Requirement - </t>
    </r>
    <r>
      <rPr>
        <b/>
        <sz val="14"/>
        <rFont val="Calibri"/>
        <family val="2"/>
      </rPr>
      <t>FINAL</t>
    </r>
    <r>
      <rPr>
        <b/>
        <sz val="14"/>
        <rFont val="Calibri"/>
        <family val="2"/>
        <scheme val="minor"/>
      </rPr>
      <t xml:space="preserve"> Filing - March, 2023</t>
    </r>
  </si>
  <si>
    <t>One time transfer of Schedule 141X residual balance</t>
  </si>
  <si>
    <t xml:space="preserve">Property Tax Revenue Requirement (without 141X) </t>
  </si>
  <si>
    <t>Change in Revenue Requirement (including 141X)</t>
  </si>
  <si>
    <t>2022 GENERAL RATE CASE</t>
  </si>
  <si>
    <t>%'s</t>
  </si>
  <si>
    <t>RATE</t>
  </si>
  <si>
    <t>CONVERSION FACTOR EXCLUDING FEDERAL INCOME TAX ( 1 - LINE 5)</t>
  </si>
  <si>
    <t>FEDERAL INCOME TAX</t>
  </si>
  <si>
    <t xml:space="preserve">CONVERSION FACTOR INCL FEDERAL INCOME TAX ( LINE 5 + LINE 8 ) </t>
  </si>
  <si>
    <t xml:space="preserve">FEDERAL INCOME TAX </t>
  </si>
  <si>
    <t>Schedule 54  (CNG)</t>
  </si>
  <si>
    <t>Surface water management</t>
  </si>
  <si>
    <t xml:space="preserve">PLNG </t>
  </si>
  <si>
    <t>PUGET SOUND ENERGY - ELECTRIC</t>
  </si>
  <si>
    <t>ELECTRIC RESULTS OF OPERATIONS</t>
  </si>
  <si>
    <t>12 MONTHS ENDED JUNE 30, 2021</t>
  </si>
  <si>
    <t>RATE YEARS CALENDAR 2023 AND 2024</t>
  </si>
  <si>
    <t>Electric Conversion Factor from UE-220066 updated for new Annual Filing Fee Rate</t>
  </si>
  <si>
    <t>`</t>
  </si>
  <si>
    <t>Deferral Revenue Requirement (140B) (with 141X residual  balance)</t>
  </si>
  <si>
    <t>= 8 + 9</t>
  </si>
  <si>
    <t>January 2022 - December 2022</t>
  </si>
  <si>
    <t>Jan - Apr 2022 (F2020 Forecasted Therms)</t>
  </si>
  <si>
    <t>Jan - Apr 2022 (Actual Therms)</t>
  </si>
  <si>
    <t>Jan - Apr 2022 Variance ($)</t>
  </si>
  <si>
    <t>May - Dec 2022 (F2022 Forecasted Therms)</t>
  </si>
  <si>
    <t>May - Dec 2022 (Actual Therms)</t>
  </si>
  <si>
    <t>May - Dec 2022 Variance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</si>
</sst>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%"/>
    <numFmt numFmtId="168" formatCode="_(&quot;$&quot;* #,##0.000000_);_(&quot;$&quot;* \(#,##0.000000\);_(&quot;$&quot;* &quot;-&quot;??_);_(@_)"/>
    <numFmt numFmtId="169" formatCode="_(&quot;$&quot;* #,##0.00000_);_(&quot;$&quot;* \(#,##0.00000\);_(&quot;$&quot;* &quot;-&quot;??_);_(@_)"/>
    <numFmt numFmtId="170" formatCode="_-* #,##0.00\ _€_-;\-* #,##0.00\ _€_-;_-* &quot;-&quot;??\ _€_-;_-@_-"/>
    <numFmt numFmtId="171" formatCode="_-* #,##0.00\ &quot;€&quot;_-;\-* #,##0.00\ &quot;€&quot;_-;_-* &quot;-&quot;??\ &quot;€&quot;_-;_-@_-"/>
    <numFmt numFmtId="172" formatCode="General_)"/>
    <numFmt numFmtId="173" formatCode="[$-409]mmmm\-yy;@"/>
    <numFmt numFmtId="174" formatCode="#,##0.000_);\(#,##0.000\)"/>
    <numFmt numFmtId="175" formatCode="0.0000000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FF0000"/>
      <name val="Calibri"/>
      <family val="2"/>
    </font>
    <font>
      <b/>
      <sz val="11"/>
      <color rgb="FF0000FF"/>
      <name val="Calibri"/>
      <family val="2"/>
      <scheme val="minor"/>
    </font>
    <font>
      <b/>
      <sz val="8"/>
      <color theme="4" tint="-0.249977111117893"/>
      <name val="Helv"/>
    </font>
    <font>
      <sz val="11"/>
      <color rgb="FF7500EA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10"/>
      <name val="Arial"/>
      <family val="2"/>
    </font>
    <font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sz val="11"/>
      <color rgb="FF008080"/>
      <name val="Calibri"/>
      <family val="2"/>
    </font>
    <font>
      <sz val="9"/>
      <color rgb="FFFF0000"/>
      <name val="Calibri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sz val="11"/>
      <color rgb="FF006100"/>
      <name val="Calibri"/>
      <family val="2"/>
      <scheme val="minor"/>
    </font>
    <font>
      <b/>
      <sz val="10"/>
      <color rgb="FF0000FF"/>
      <name val="Times New Roman"/>
      <family val="1"/>
    </font>
    <font>
      <sz val="10"/>
      <color rgb="FF00610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31" applyNumberFormat="0" applyAlignment="0" applyProtection="0"/>
    <xf numFmtId="0" fontId="24" fillId="21" borderId="32" applyNumberFormat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33" applyNumberFormat="0" applyFill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31" applyNumberFormat="0" applyAlignment="0" applyProtection="0"/>
    <xf numFmtId="0" fontId="32" fillId="0" borderId="36" applyNumberFormat="0" applyFill="0" applyAlignment="0" applyProtection="0"/>
    <xf numFmtId="0" fontId="3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172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23" borderId="37" applyNumberFormat="0" applyFont="0" applyAlignment="0" applyProtection="0"/>
    <xf numFmtId="0" fontId="20" fillId="23" borderId="37" applyNumberFormat="0" applyFont="0" applyAlignment="0" applyProtection="0"/>
    <xf numFmtId="0" fontId="34" fillId="20" borderId="3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39" applyNumberFormat="0" applyFill="0" applyAlignment="0" applyProtection="0"/>
    <xf numFmtId="0" fontId="37" fillId="0" borderId="0" applyNumberForma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/>
    <xf numFmtId="0" fontId="3" fillId="0" borderId="0"/>
    <xf numFmtId="172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58" fillId="29" borderId="0" applyNumberFormat="0" applyBorder="0" applyAlignment="0" applyProtection="0"/>
  </cellStyleXfs>
  <cellXfs count="277">
    <xf numFmtId="0" fontId="0" fillId="0" borderId="0" xfId="0"/>
    <xf numFmtId="164" fontId="0" fillId="0" borderId="0" xfId="1" applyNumberFormat="1" applyFont="1" applyFill="1"/>
    <xf numFmtId="0" fontId="0" fillId="0" borderId="0" xfId="0" applyFill="1"/>
    <xf numFmtId="41" fontId="0" fillId="0" borderId="0" xfId="0" applyNumberFormat="1" applyFill="1"/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indent="1"/>
    </xf>
    <xf numFmtId="0" fontId="7" fillId="0" borderId="0" xfId="0" quotePrefix="1" applyFont="1" applyFill="1" applyAlignment="1">
      <alignment horizontal="left"/>
    </xf>
    <xf numFmtId="0" fontId="7" fillId="0" borderId="0" xfId="0" quotePrefix="1" applyFont="1" applyFill="1" applyAlignment="1">
      <alignment horizontal="left" inden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17" fontId="0" fillId="0" borderId="4" xfId="0" quotePrefix="1" applyNumberFormat="1" applyFill="1" applyBorder="1" applyAlignment="1">
      <alignment horizontal="center" wrapText="1"/>
    </xf>
    <xf numFmtId="42" fontId="0" fillId="0" borderId="0" xfId="0" applyNumberFormat="1" applyFill="1"/>
    <xf numFmtId="0" fontId="0" fillId="0" borderId="1" xfId="0" applyFill="1" applyBorder="1"/>
    <xf numFmtId="42" fontId="0" fillId="0" borderId="3" xfId="0" applyNumberFormat="1" applyFill="1" applyBorder="1"/>
    <xf numFmtId="41" fontId="11" fillId="0" borderId="0" xfId="0" applyNumberFormat="1" applyFont="1" applyFill="1"/>
    <xf numFmtId="0" fontId="0" fillId="0" borderId="0" xfId="0" applyFill="1" applyAlignment="1">
      <alignment horizontal="center"/>
    </xf>
    <xf numFmtId="164" fontId="7" fillId="0" borderId="0" xfId="0" quotePrefix="1" applyNumberFormat="1" applyFont="1" applyFill="1" applyAlignment="1">
      <alignment horizontal="left"/>
    </xf>
    <xf numFmtId="168" fontId="0" fillId="0" borderId="0" xfId="0" applyNumberFormat="1" applyFont="1" applyFill="1" applyAlignment="1">
      <alignment horizontal="right"/>
    </xf>
    <xf numFmtId="165" fontId="7" fillId="0" borderId="0" xfId="0" quotePrefix="1" applyNumberFormat="1" applyFont="1" applyFill="1" applyAlignment="1">
      <alignment horizontal="left"/>
    </xf>
    <xf numFmtId="164" fontId="7" fillId="0" borderId="5" xfId="0" applyNumberFormat="1" applyFont="1" applyFill="1" applyBorder="1"/>
    <xf numFmtId="165" fontId="7" fillId="0" borderId="5" xfId="0" applyNumberFormat="1" applyFont="1" applyFill="1" applyBorder="1"/>
    <xf numFmtId="165" fontId="7" fillId="0" borderId="0" xfId="0" applyNumberFormat="1" applyFont="1" applyFill="1" applyBorder="1"/>
    <xf numFmtId="164" fontId="7" fillId="0" borderId="0" xfId="0" applyNumberFormat="1" applyFont="1" applyFill="1" applyBorder="1"/>
    <xf numFmtId="164" fontId="7" fillId="0" borderId="0" xfId="0" applyNumberFormat="1" applyFont="1" applyFill="1"/>
    <xf numFmtId="165" fontId="7" fillId="0" borderId="0" xfId="0" applyNumberFormat="1" applyFont="1" applyFill="1"/>
    <xf numFmtId="164" fontId="7" fillId="0" borderId="2" xfId="0" applyNumberFormat="1" applyFont="1" applyFill="1" applyBorder="1"/>
    <xf numFmtId="165" fontId="7" fillId="0" borderId="2" xfId="0" applyNumberFormat="1" applyFont="1" applyFill="1" applyBorder="1"/>
    <xf numFmtId="0" fontId="13" fillId="0" borderId="0" xfId="0" applyFont="1" applyFill="1"/>
    <xf numFmtId="166" fontId="18" fillId="0" borderId="0" xfId="0" applyNumberFormat="1" applyFont="1" applyFill="1" applyAlignment="1">
      <alignment horizontal="left" wrapText="1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9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left" indent="1"/>
    </xf>
    <xf numFmtId="0" fontId="0" fillId="0" borderId="0" xfId="0" quotePrefix="1" applyFill="1" applyAlignment="1">
      <alignment horizontal="left"/>
    </xf>
    <xf numFmtId="41" fontId="11" fillId="0" borderId="1" xfId="0" applyNumberFormat="1" applyFont="1" applyFill="1" applyBorder="1"/>
    <xf numFmtId="0" fontId="11" fillId="0" borderId="1" xfId="0" applyFont="1" applyFill="1" applyBorder="1"/>
    <xf numFmtId="42" fontId="0" fillId="0" borderId="2" xfId="0" applyNumberFormat="1" applyFill="1" applyBorder="1"/>
    <xf numFmtId="0" fontId="11" fillId="0" borderId="0" xfId="0" applyFont="1" applyFill="1"/>
    <xf numFmtId="0" fontId="2" fillId="0" borderId="0" xfId="0" applyFont="1" applyFill="1"/>
    <xf numFmtId="0" fontId="12" fillId="0" borderId="0" xfId="0" applyFont="1" applyFill="1"/>
    <xf numFmtId="0" fontId="8" fillId="0" borderId="0" xfId="0" applyFont="1" applyFill="1"/>
    <xf numFmtId="0" fontId="5" fillId="0" borderId="0" xfId="0" applyFont="1" applyFill="1"/>
    <xf numFmtId="0" fontId="19" fillId="0" borderId="0" xfId="0" applyFont="1" applyFill="1" applyAlignment="1">
      <alignment horizontal="left"/>
    </xf>
    <xf numFmtId="0" fontId="0" fillId="0" borderId="4" xfId="0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0" fontId="13" fillId="0" borderId="0" xfId="0" applyFont="1" applyFill="1" applyAlignment="1">
      <alignment horizontal="centerContinuous"/>
    </xf>
    <xf numFmtId="0" fontId="13" fillId="0" borderId="4" xfId="0" applyFont="1" applyFill="1" applyBorder="1" applyAlignment="1">
      <alignment wrapText="1"/>
    </xf>
    <xf numFmtId="0" fontId="13" fillId="0" borderId="4" xfId="0" applyFont="1" applyFill="1" applyBorder="1"/>
    <xf numFmtId="0" fontId="13" fillId="0" borderId="4" xfId="0" applyFont="1" applyFill="1" applyBorder="1" applyAlignment="1">
      <alignment horizontal="center" wrapText="1"/>
    </xf>
    <xf numFmtId="2" fontId="13" fillId="0" borderId="4" xfId="0" applyNumberFormat="1" applyFont="1" applyFill="1" applyBorder="1" applyAlignment="1">
      <alignment horizontal="center" wrapText="1"/>
    </xf>
    <xf numFmtId="0" fontId="13" fillId="0" borderId="0" xfId="0" applyFont="1" applyFill="1" applyAlignment="1">
      <alignment horizontal="left"/>
    </xf>
    <xf numFmtId="164" fontId="41" fillId="0" borderId="0" xfId="0" applyNumberFormat="1" applyFont="1" applyFill="1" applyBorder="1"/>
    <xf numFmtId="164" fontId="13" fillId="0" borderId="0" xfId="0" applyNumberFormat="1" applyFont="1" applyFill="1" applyBorder="1"/>
    <xf numFmtId="169" fontId="41" fillId="0" borderId="0" xfId="0" applyNumberFormat="1" applyFont="1" applyFill="1"/>
    <xf numFmtId="165" fontId="13" fillId="0" borderId="0" xfId="0" applyNumberFormat="1" applyFont="1" applyFill="1"/>
    <xf numFmtId="0" fontId="13" fillId="0" borderId="4" xfId="0" applyFont="1" applyFill="1" applyBorder="1" applyAlignment="1">
      <alignment horizontal="left"/>
    </xf>
    <xf numFmtId="169" fontId="41" fillId="0" borderId="4" xfId="0" applyNumberFormat="1" applyFont="1" applyFill="1" applyBorder="1"/>
    <xf numFmtId="165" fontId="13" fillId="0" borderId="4" xfId="0" applyNumberFormat="1" applyFont="1" applyFill="1" applyBorder="1"/>
    <xf numFmtId="164" fontId="13" fillId="0" borderId="1" xfId="0" applyNumberFormat="1" applyFont="1" applyFill="1" applyBorder="1"/>
    <xf numFmtId="165" fontId="13" fillId="0" borderId="1" xfId="0" applyNumberFormat="1" applyFont="1" applyFill="1" applyBorder="1"/>
    <xf numFmtId="0" fontId="42" fillId="0" borderId="0" xfId="0" applyFont="1" applyFill="1" applyAlignment="1">
      <alignment horizontal="right"/>
    </xf>
    <xf numFmtId="164" fontId="42" fillId="0" borderId="0" xfId="0" applyNumberFormat="1" applyFont="1" applyFill="1" applyBorder="1"/>
    <xf numFmtId="164" fontId="42" fillId="0" borderId="0" xfId="0" applyNumberFormat="1" applyFont="1" applyFill="1"/>
    <xf numFmtId="0" fontId="43" fillId="0" borderId="0" xfId="0" applyNumberFormat="1" applyFont="1" applyFill="1" applyAlignment="1">
      <alignment horizontal="center"/>
    </xf>
    <xf numFmtId="0" fontId="43" fillId="0" borderId="4" xfId="0" applyNumberFormat="1" applyFont="1" applyFill="1" applyBorder="1" applyAlignment="1">
      <alignment horizontal="center"/>
    </xf>
    <xf numFmtId="0" fontId="44" fillId="0" borderId="0" xfId="0" applyNumberFormat="1" applyFont="1" applyFill="1" applyAlignment="1">
      <alignment horizontal="left"/>
    </xf>
    <xf numFmtId="0" fontId="44" fillId="0" borderId="0" xfId="0" applyNumberFormat="1" applyFont="1" applyFill="1" applyAlignment="1"/>
    <xf numFmtId="166" fontId="44" fillId="0" borderId="0" xfId="0" applyNumberFormat="1" applyFont="1" applyFill="1" applyAlignment="1"/>
    <xf numFmtId="166" fontId="44" fillId="0" borderId="4" xfId="0" applyNumberFormat="1" applyFont="1" applyFill="1" applyBorder="1" applyAlignment="1"/>
    <xf numFmtId="166" fontId="44" fillId="0" borderId="0" xfId="0" applyNumberFormat="1" applyFont="1" applyFill="1" applyBorder="1" applyAlignment="1"/>
    <xf numFmtId="0" fontId="7" fillId="0" borderId="0" xfId="0" quotePrefix="1" applyFont="1" applyFill="1" applyAlignment="1">
      <alignment horizontal="center"/>
    </xf>
    <xf numFmtId="164" fontId="11" fillId="0" borderId="0" xfId="0" applyNumberFormat="1" applyFont="1" applyFill="1"/>
    <xf numFmtId="10" fontId="0" fillId="0" borderId="0" xfId="0" applyNumberFormat="1" applyFont="1" applyFill="1" applyAlignment="1">
      <alignment horizontal="center"/>
    </xf>
    <xf numFmtId="0" fontId="1" fillId="0" borderId="28" xfId="72" applyFill="1" applyBorder="1" applyAlignment="1">
      <alignment horizontal="center"/>
    </xf>
    <xf numFmtId="0" fontId="1" fillId="0" borderId="8" xfId="72" applyFill="1" applyBorder="1" applyAlignment="1">
      <alignment horizontal="center"/>
    </xf>
    <xf numFmtId="0" fontId="1" fillId="0" borderId="4" xfId="72" applyFill="1" applyBorder="1" applyAlignment="1">
      <alignment horizontal="center"/>
    </xf>
    <xf numFmtId="0" fontId="40" fillId="0" borderId="13" xfId="72" applyFont="1" applyFill="1" applyBorder="1" applyAlignment="1">
      <alignment horizontal="centerContinuous"/>
    </xf>
    <xf numFmtId="42" fontId="1" fillId="0" borderId="0" xfId="72" applyNumberFormat="1" applyFill="1" applyBorder="1"/>
    <xf numFmtId="41" fontId="1" fillId="0" borderId="0" xfId="72" applyNumberFormat="1" applyFill="1" applyBorder="1"/>
    <xf numFmtId="41" fontId="1" fillId="0" borderId="0" xfId="72" applyNumberFormat="1" applyFont="1" applyFill="1" applyBorder="1"/>
    <xf numFmtId="0" fontId="1" fillId="0" borderId="0" xfId="72" applyFill="1"/>
    <xf numFmtId="41" fontId="1" fillId="0" borderId="0" xfId="72" applyNumberFormat="1" applyFill="1"/>
    <xf numFmtId="41" fontId="1" fillId="0" borderId="13" xfId="72" applyNumberFormat="1" applyFill="1" applyBorder="1"/>
    <xf numFmtId="41" fontId="1" fillId="0" borderId="28" xfId="72" applyNumberFormat="1" applyFill="1" applyBorder="1"/>
    <xf numFmtId="41" fontId="1" fillId="0" borderId="8" xfId="3" applyNumberFormat="1" applyFont="1" applyFill="1" applyBorder="1"/>
    <xf numFmtId="41" fontId="1" fillId="0" borderId="15" xfId="72" applyNumberFormat="1" applyFill="1" applyBorder="1"/>
    <xf numFmtId="164" fontId="1" fillId="0" borderId="0" xfId="3" applyNumberFormat="1" applyFont="1" applyFill="1"/>
    <xf numFmtId="42" fontId="1" fillId="0" borderId="0" xfId="72" applyNumberFormat="1" applyFill="1"/>
    <xf numFmtId="164" fontId="3" fillId="0" borderId="17" xfId="3" applyNumberFormat="1" applyFont="1" applyFill="1" applyBorder="1"/>
    <xf numFmtId="164" fontId="3" fillId="0" borderId="17" xfId="3" applyNumberFormat="1" applyFill="1" applyBorder="1"/>
    <xf numFmtId="38" fontId="0" fillId="0" borderId="0" xfId="0" applyNumberFormat="1" applyFill="1"/>
    <xf numFmtId="38" fontId="49" fillId="0" borderId="2" xfId="0" applyNumberFormat="1" applyFont="1" applyFill="1" applyBorder="1"/>
    <xf numFmtId="38" fontId="5" fillId="0" borderId="0" xfId="0" applyNumberFormat="1" applyFont="1" applyFill="1"/>
    <xf numFmtId="0" fontId="3" fillId="0" borderId="41" xfId="68" applyFill="1" applyBorder="1" applyAlignment="1">
      <alignment horizontal="center"/>
    </xf>
    <xf numFmtId="0" fontId="3" fillId="0" borderId="17" xfId="68" applyFill="1" applyBorder="1" applyAlignment="1">
      <alignment horizontal="center"/>
    </xf>
    <xf numFmtId="37" fontId="51" fillId="0" borderId="17" xfId="68" applyNumberFormat="1" applyFont="1" applyFill="1" applyBorder="1" applyAlignment="1">
      <alignment horizontal="center"/>
    </xf>
    <xf numFmtId="37" fontId="52" fillId="0" borderId="18" xfId="68" applyNumberFormat="1" applyFont="1" applyFill="1" applyBorder="1"/>
    <xf numFmtId="37" fontId="52" fillId="0" borderId="17" xfId="68" applyNumberFormat="1" applyFont="1" applyFill="1" applyBorder="1"/>
    <xf numFmtId="37" fontId="52" fillId="0" borderId="0" xfId="68" applyNumberFormat="1" applyFont="1" applyFill="1"/>
    <xf numFmtId="10" fontId="3" fillId="0" borderId="20" xfId="68" applyNumberFormat="1" applyFill="1" applyBorder="1"/>
    <xf numFmtId="10" fontId="39" fillId="0" borderId="20" xfId="68" applyNumberFormat="1" applyFont="1" applyFill="1" applyBorder="1"/>
    <xf numFmtId="9" fontId="3" fillId="0" borderId="20" xfId="68" applyNumberFormat="1" applyFill="1" applyBorder="1"/>
    <xf numFmtId="38" fontId="3" fillId="0" borderId="17" xfId="68" applyNumberFormat="1" applyFill="1" applyBorder="1"/>
    <xf numFmtId="10" fontId="3" fillId="0" borderId="17" xfId="68" applyNumberFormat="1" applyFill="1" applyBorder="1"/>
    <xf numFmtId="38" fontId="3" fillId="0" borderId="20" xfId="68" applyNumberFormat="1" applyFill="1" applyBorder="1"/>
    <xf numFmtId="0" fontId="50" fillId="0" borderId="0" xfId="68" applyFont="1" applyFill="1" applyAlignment="1">
      <alignment horizontal="center"/>
    </xf>
    <xf numFmtId="0" fontId="3" fillId="0" borderId="17" xfId="68" applyFill="1" applyBorder="1"/>
    <xf numFmtId="37" fontId="3" fillId="0" borderId="17" xfId="68" applyNumberFormat="1" applyFill="1" applyBorder="1"/>
    <xf numFmtId="38" fontId="3" fillId="0" borderId="17" xfId="68" applyNumberFormat="1" applyFont="1" applyFill="1" applyBorder="1"/>
    <xf numFmtId="0" fontId="3" fillId="0" borderId="0" xfId="68" applyFont="1" applyFill="1"/>
    <xf numFmtId="10" fontId="50" fillId="0" borderId="0" xfId="68" applyNumberFormat="1" applyFont="1" applyFill="1" applyAlignment="1">
      <alignment horizontal="center"/>
    </xf>
    <xf numFmtId="174" fontId="51" fillId="0" borderId="17" xfId="68" applyNumberFormat="1" applyFont="1" applyFill="1" applyBorder="1"/>
    <xf numFmtId="38" fontId="3" fillId="0" borderId="17" xfId="68" applyNumberFormat="1" applyFill="1" applyBorder="1" applyAlignment="1">
      <alignment horizontal="center"/>
    </xf>
    <xf numFmtId="37" fontId="51" fillId="0" borderId="17" xfId="68" applyNumberFormat="1" applyFont="1" applyFill="1" applyBorder="1"/>
    <xf numFmtId="38" fontId="51" fillId="0" borderId="17" xfId="68" applyNumberFormat="1" applyFont="1" applyFill="1" applyBorder="1"/>
    <xf numFmtId="37" fontId="53" fillId="0" borderId="17" xfId="68" applyNumberFormat="1" applyFont="1" applyFill="1" applyBorder="1"/>
    <xf numFmtId="37" fontId="49" fillId="0" borderId="44" xfId="68" applyNumberFormat="1" applyFont="1" applyFill="1" applyBorder="1"/>
    <xf numFmtId="38" fontId="49" fillId="0" borderId="42" xfId="68" applyNumberFormat="1" applyFont="1" applyFill="1" applyBorder="1"/>
    <xf numFmtId="38" fontId="3" fillId="0" borderId="0" xfId="68" applyNumberFormat="1" applyFill="1"/>
    <xf numFmtId="0" fontId="3" fillId="0" borderId="0" xfId="68" applyFill="1"/>
    <xf numFmtId="165" fontId="6" fillId="0" borderId="2" xfId="0" applyNumberFormat="1" applyFont="1" applyFill="1" applyBorder="1"/>
    <xf numFmtId="173" fontId="48" fillId="0" borderId="0" xfId="68" applyNumberFormat="1" applyFont="1" applyFill="1" applyAlignment="1">
      <alignment horizontal="centerContinuous"/>
    </xf>
    <xf numFmtId="0" fontId="3" fillId="0" borderId="0" xfId="68" applyFill="1" applyAlignment="1">
      <alignment horizontal="centerContinuous"/>
    </xf>
    <xf numFmtId="0" fontId="49" fillId="0" borderId="0" xfId="68" applyFont="1" applyFill="1" applyAlignment="1">
      <alignment horizontal="centerContinuous"/>
    </xf>
    <xf numFmtId="16" fontId="48" fillId="0" borderId="3" xfId="68" applyNumberFormat="1" applyFont="1" applyFill="1" applyBorder="1" applyAlignment="1">
      <alignment horizontal="centerContinuous"/>
    </xf>
    <xf numFmtId="0" fontId="3" fillId="0" borderId="3" xfId="68" applyFill="1" applyBorder="1" applyAlignment="1">
      <alignment horizontal="centerContinuous"/>
    </xf>
    <xf numFmtId="0" fontId="3" fillId="0" borderId="0" xfId="68" applyFont="1" applyFill="1" applyAlignment="1">
      <alignment horizontal="left"/>
    </xf>
    <xf numFmtId="0" fontId="3" fillId="0" borderId="3" xfId="68" applyFill="1" applyBorder="1"/>
    <xf numFmtId="0" fontId="49" fillId="0" borderId="42" xfId="68" applyFont="1" applyFill="1" applyBorder="1" applyAlignment="1">
      <alignment horizontal="center"/>
    </xf>
    <xf numFmtId="0" fontId="49" fillId="0" borderId="43" xfId="68" applyFont="1" applyFill="1" applyBorder="1" applyAlignment="1">
      <alignment horizontal="center"/>
    </xf>
    <xf numFmtId="0" fontId="3" fillId="0" borderId="42" xfId="68" applyFill="1" applyBorder="1" applyAlignment="1">
      <alignment horizontal="center"/>
    </xf>
    <xf numFmtId="0" fontId="3" fillId="0" borderId="0" xfId="68" quotePrefix="1" applyFont="1" applyFill="1"/>
    <xf numFmtId="0" fontId="3" fillId="0" borderId="0" xfId="68" quotePrefix="1" applyFill="1"/>
    <xf numFmtId="37" fontId="52" fillId="0" borderId="17" xfId="68" applyNumberFormat="1" applyFont="1" applyFill="1" applyBorder="1" applyAlignment="1">
      <alignment horizontal="center"/>
    </xf>
    <xf numFmtId="14" fontId="3" fillId="0" borderId="18" xfId="68" applyNumberFormat="1" applyFill="1" applyBorder="1" applyAlignment="1">
      <alignment horizontal="center"/>
    </xf>
    <xf numFmtId="0" fontId="4" fillId="0" borderId="0" xfId="68" applyFont="1" applyFill="1"/>
    <xf numFmtId="0" fontId="48" fillId="0" borderId="0" xfId="68" applyFont="1" applyFill="1" applyAlignment="1">
      <alignment horizontal="center"/>
    </xf>
    <xf numFmtId="0" fontId="3" fillId="0" borderId="0" xfId="68" applyFont="1" applyFill="1" applyAlignment="1">
      <alignment horizontal="center"/>
    </xf>
    <xf numFmtId="0" fontId="38" fillId="0" borderId="0" xfId="68" applyFont="1" applyFill="1"/>
    <xf numFmtId="0" fontId="3" fillId="0" borderId="0" xfId="68" applyFont="1" applyFill="1" applyAlignment="1">
      <alignment horizontal="right"/>
    </xf>
    <xf numFmtId="0" fontId="49" fillId="0" borderId="0" xfId="68" applyFont="1" applyFill="1" applyAlignment="1">
      <alignment horizontal="center"/>
    </xf>
    <xf numFmtId="0" fontId="54" fillId="0" borderId="0" xfId="68" applyFont="1" applyFill="1" applyBorder="1"/>
    <xf numFmtId="37" fontId="54" fillId="0" borderId="0" xfId="68" applyNumberFormat="1" applyFont="1" applyFill="1" applyBorder="1"/>
    <xf numFmtId="0" fontId="3" fillId="0" borderId="0" xfId="111" applyFon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72"/>
    <xf numFmtId="4" fontId="1" fillId="0" borderId="0" xfId="72" applyNumberFormat="1"/>
    <xf numFmtId="41" fontId="1" fillId="0" borderId="0" xfId="72" applyNumberFormat="1"/>
    <xf numFmtId="0" fontId="1" fillId="0" borderId="0" xfId="72" applyFont="1"/>
    <xf numFmtId="41" fontId="1" fillId="25" borderId="16" xfId="72" applyNumberFormat="1" applyFill="1" applyBorder="1"/>
    <xf numFmtId="41" fontId="1" fillId="25" borderId="6" xfId="72" applyNumberFormat="1" applyFill="1" applyBorder="1"/>
    <xf numFmtId="41" fontId="1" fillId="25" borderId="40" xfId="72" applyNumberFormat="1" applyFill="1" applyBorder="1"/>
    <xf numFmtId="41" fontId="1" fillId="25" borderId="18" xfId="72" applyNumberFormat="1" applyFill="1" applyBorder="1"/>
    <xf numFmtId="41" fontId="1" fillId="25" borderId="0" xfId="72" applyNumberFormat="1" applyFill="1" applyBorder="1"/>
    <xf numFmtId="41" fontId="1" fillId="25" borderId="19" xfId="72" applyNumberFormat="1" applyFill="1" applyBorder="1"/>
    <xf numFmtId="42" fontId="1" fillId="25" borderId="0" xfId="72" applyNumberFormat="1" applyFill="1" applyBorder="1"/>
    <xf numFmtId="42" fontId="1" fillId="25" borderId="19" xfId="72" applyNumberFormat="1" applyFill="1" applyBorder="1"/>
    <xf numFmtId="42" fontId="1" fillId="0" borderId="0" xfId="72" applyNumberFormat="1"/>
    <xf numFmtId="0" fontId="47" fillId="0" borderId="18" xfId="72" applyFont="1" applyBorder="1" applyAlignment="1">
      <alignment horizontal="center"/>
    </xf>
    <xf numFmtId="0" fontId="47" fillId="0" borderId="0" xfId="72" applyFont="1" applyBorder="1" applyAlignment="1">
      <alignment horizontal="center"/>
    </xf>
    <xf numFmtId="0" fontId="47" fillId="0" borderId="19" xfId="72" applyFont="1" applyBorder="1"/>
    <xf numFmtId="0" fontId="46" fillId="25" borderId="0" xfId="72" quotePrefix="1" applyFont="1" applyFill="1" applyAlignment="1">
      <alignment horizontal="center"/>
    </xf>
    <xf numFmtId="0" fontId="1" fillId="0" borderId="18" xfId="72" applyBorder="1" applyAlignment="1">
      <alignment horizontal="center"/>
    </xf>
    <xf numFmtId="0" fontId="1" fillId="0" borderId="0" xfId="72" applyBorder="1" applyAlignment="1">
      <alignment horizontal="center"/>
    </xf>
    <xf numFmtId="0" fontId="1" fillId="0" borderId="19" xfId="72" applyBorder="1"/>
    <xf numFmtId="0" fontId="47" fillId="0" borderId="0" xfId="72" applyFont="1" applyAlignment="1">
      <alignment horizontal="center"/>
    </xf>
    <xf numFmtId="41" fontId="1" fillId="0" borderId="0" xfId="72" applyNumberFormat="1" applyFont="1"/>
    <xf numFmtId="0" fontId="1" fillId="0" borderId="0" xfId="72" applyAlignment="1">
      <alignment horizontal="center"/>
    </xf>
    <xf numFmtId="0" fontId="1" fillId="0" borderId="0" xfId="72" applyAlignment="1">
      <alignment horizontal="centerContinuous"/>
    </xf>
    <xf numFmtId="0" fontId="1" fillId="0" borderId="19" xfId="72" applyBorder="1" applyAlignment="1">
      <alignment horizontal="center"/>
    </xf>
    <xf numFmtId="0" fontId="1" fillId="0" borderId="18" xfId="72" applyBorder="1"/>
    <xf numFmtId="0" fontId="1" fillId="0" borderId="0" xfId="72" applyBorder="1"/>
    <xf numFmtId="42" fontId="1" fillId="0" borderId="3" xfId="72" applyNumberFormat="1" applyBorder="1"/>
    <xf numFmtId="41" fontId="1" fillId="0" borderId="28" xfId="72" applyNumberFormat="1" applyBorder="1"/>
    <xf numFmtId="0" fontId="1" fillId="0" borderId="28" xfId="72" applyBorder="1"/>
    <xf numFmtId="0" fontId="1" fillId="0" borderId="0" xfId="72" applyFont="1" applyBorder="1"/>
    <xf numFmtId="41" fontId="1" fillId="24" borderId="22" xfId="3" applyNumberFormat="1" applyFont="1" applyFill="1" applyBorder="1"/>
    <xf numFmtId="41" fontId="1" fillId="0" borderId="15" xfId="72" applyNumberFormat="1" applyBorder="1"/>
    <xf numFmtId="41" fontId="1" fillId="26" borderId="15" xfId="72" applyNumberFormat="1" applyFill="1" applyBorder="1"/>
    <xf numFmtId="41" fontId="1" fillId="24" borderId="30" xfId="72" applyNumberFormat="1" applyFill="1" applyBorder="1"/>
    <xf numFmtId="41" fontId="1" fillId="0" borderId="21" xfId="72" applyNumberFormat="1" applyBorder="1"/>
    <xf numFmtId="0" fontId="1" fillId="0" borderId="18" xfId="72" applyFont="1" applyBorder="1"/>
    <xf numFmtId="41" fontId="1" fillId="0" borderId="8" xfId="3" applyNumberFormat="1" applyFont="1" applyBorder="1"/>
    <xf numFmtId="41" fontId="1" fillId="0" borderId="0" xfId="72" applyNumberFormat="1" applyBorder="1"/>
    <xf numFmtId="41" fontId="1" fillId="26" borderId="0" xfId="72" applyNumberFormat="1" applyFill="1" applyBorder="1"/>
    <xf numFmtId="41" fontId="1" fillId="0" borderId="13" xfId="72" applyNumberFormat="1" applyBorder="1"/>
    <xf numFmtId="41" fontId="1" fillId="24" borderId="8" xfId="3" applyNumberFormat="1" applyFont="1" applyFill="1" applyBorder="1"/>
    <xf numFmtId="41" fontId="1" fillId="24" borderId="28" xfId="72" applyNumberFormat="1" applyFill="1" applyBorder="1"/>
    <xf numFmtId="42" fontId="1" fillId="0" borderId="0" xfId="72" applyNumberFormat="1" applyBorder="1"/>
    <xf numFmtId="42" fontId="1" fillId="26" borderId="0" xfId="72" applyNumberFormat="1" applyFill="1" applyBorder="1"/>
    <xf numFmtId="42" fontId="1" fillId="0" borderId="13" xfId="72" applyNumberFormat="1" applyBorder="1"/>
    <xf numFmtId="41" fontId="1" fillId="26" borderId="8" xfId="3" applyNumberFormat="1" applyFont="1" applyFill="1" applyBorder="1"/>
    <xf numFmtId="42" fontId="1" fillId="26" borderId="28" xfId="72" applyNumberFormat="1" applyFill="1" applyBorder="1"/>
    <xf numFmtId="0" fontId="1" fillId="0" borderId="13" xfId="72" applyBorder="1"/>
    <xf numFmtId="0" fontId="1" fillId="0" borderId="8" xfId="72" applyBorder="1"/>
    <xf numFmtId="0" fontId="40" fillId="0" borderId="0" xfId="72" applyFont="1" applyBorder="1" applyAlignment="1">
      <alignment horizontal="centerContinuous"/>
    </xf>
    <xf numFmtId="0" fontId="1" fillId="0" borderId="7" xfId="72" applyBorder="1" applyAlignment="1">
      <alignment horizontal="center"/>
    </xf>
    <xf numFmtId="0" fontId="1" fillId="0" borderId="29" xfId="72" applyBorder="1" applyAlignment="1">
      <alignment horizontal="center"/>
    </xf>
    <xf numFmtId="0" fontId="1" fillId="0" borderId="4" xfId="72" applyBorder="1" applyAlignment="1">
      <alignment horizontal="center"/>
    </xf>
    <xf numFmtId="0" fontId="1" fillId="0" borderId="14" xfId="72" applyBorder="1" applyAlignment="1">
      <alignment horizontal="center"/>
    </xf>
    <xf numFmtId="0" fontId="1" fillId="0" borderId="13" xfId="72" applyBorder="1" applyAlignment="1">
      <alignment horizontal="center"/>
    </xf>
    <xf numFmtId="0" fontId="1" fillId="0" borderId="12" xfId="72" applyBorder="1"/>
    <xf numFmtId="0" fontId="1" fillId="0" borderId="1" xfId="72" applyBorder="1"/>
    <xf numFmtId="0" fontId="1" fillId="0" borderId="27" xfId="72" applyBorder="1"/>
    <xf numFmtId="0" fontId="1" fillId="0" borderId="1" xfId="72" applyBorder="1" applyAlignment="1">
      <alignment horizontal="center"/>
    </xf>
    <xf numFmtId="0" fontId="1" fillId="0" borderId="11" xfId="72" applyBorder="1" applyAlignment="1">
      <alignment horizontal="center"/>
    </xf>
    <xf numFmtId="0" fontId="1" fillId="0" borderId="10" xfId="72" applyBorder="1" applyAlignment="1">
      <alignment horizontal="centerContinuous"/>
    </xf>
    <xf numFmtId="0" fontId="1" fillId="0" borderId="5" xfId="72" applyBorder="1" applyAlignment="1">
      <alignment horizontal="centerContinuous"/>
    </xf>
    <xf numFmtId="0" fontId="45" fillId="0" borderId="5" xfId="72" applyFont="1" applyBorder="1" applyAlignment="1">
      <alignment horizontal="centerContinuous"/>
    </xf>
    <xf numFmtId="0" fontId="1" fillId="0" borderId="26" xfId="72" applyBorder="1" applyAlignment="1">
      <alignment horizontal="centerContinuous"/>
    </xf>
    <xf numFmtId="0" fontId="45" fillId="0" borderId="9" xfId="72" applyFont="1" applyBorder="1" applyAlignment="1">
      <alignment horizontal="centerContinuous"/>
    </xf>
    <xf numFmtId="0" fontId="17" fillId="0" borderId="25" xfId="72" applyFont="1" applyBorder="1"/>
    <xf numFmtId="0" fontId="17" fillId="0" borderId="24" xfId="72" applyFont="1" applyBorder="1"/>
    <xf numFmtId="0" fontId="1" fillId="0" borderId="23" xfId="72" applyBorder="1"/>
    <xf numFmtId="0" fontId="45" fillId="0" borderId="0" xfId="72" applyFont="1"/>
    <xf numFmtId="0" fontId="2" fillId="0" borderId="0" xfId="72" applyFont="1" applyAlignment="1"/>
    <xf numFmtId="42" fontId="1" fillId="25" borderId="19" xfId="72" applyNumberFormat="1" applyFont="1" applyFill="1" applyBorder="1"/>
    <xf numFmtId="164" fontId="1" fillId="0" borderId="28" xfId="3" applyNumberFormat="1" applyFont="1" applyBorder="1"/>
    <xf numFmtId="0" fontId="1" fillId="0" borderId="19" xfId="72" applyFont="1" applyBorder="1" applyAlignment="1">
      <alignment horizontal="center"/>
    </xf>
    <xf numFmtId="164" fontId="1" fillId="24" borderId="0" xfId="3" applyNumberFormat="1" applyFont="1" applyFill="1"/>
    <xf numFmtId="41" fontId="55" fillId="0" borderId="0" xfId="0" applyNumberFormat="1" applyFont="1" applyFill="1"/>
    <xf numFmtId="17" fontId="0" fillId="0" borderId="4" xfId="0" applyNumberFormat="1" applyBorder="1" applyAlignment="1">
      <alignment horizontal="center" wrapText="1"/>
    </xf>
    <xf numFmtId="0" fontId="0" fillId="0" borderId="4" xfId="0" quotePrefix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7" fontId="0" fillId="0" borderId="4" xfId="0" quotePrefix="1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8" fontId="0" fillId="0" borderId="0" xfId="0" applyNumberFormat="1" applyFont="1" applyAlignment="1">
      <alignment horizontal="center"/>
    </xf>
    <xf numFmtId="164" fontId="7" fillId="27" borderId="0" xfId="0" quotePrefix="1" applyNumberFormat="1" applyFont="1" applyFill="1" applyAlignment="1">
      <alignment horizontal="left"/>
    </xf>
    <xf numFmtId="168" fontId="0" fillId="27" borderId="0" xfId="0" applyNumberFormat="1" applyFont="1" applyFill="1" applyAlignment="1">
      <alignment horizontal="right"/>
    </xf>
    <xf numFmtId="164" fontId="7" fillId="28" borderId="0" xfId="0" quotePrefix="1" applyNumberFormat="1" applyFont="1" applyFill="1" applyAlignment="1">
      <alignment horizontal="left"/>
    </xf>
    <xf numFmtId="168" fontId="0" fillId="28" borderId="0" xfId="0" applyNumberFormat="1" applyFont="1" applyFill="1" applyAlignment="1">
      <alignment horizontal="right"/>
    </xf>
    <xf numFmtId="165" fontId="0" fillId="0" borderId="0" xfId="0" applyNumberFormat="1"/>
    <xf numFmtId="164" fontId="0" fillId="0" borderId="0" xfId="0" applyNumberFormat="1"/>
    <xf numFmtId="164" fontId="7" fillId="27" borderId="0" xfId="0" applyNumberFormat="1" applyFont="1" applyFill="1" applyBorder="1"/>
    <xf numFmtId="164" fontId="7" fillId="27" borderId="5" xfId="0" applyNumberFormat="1" applyFont="1" applyFill="1" applyBorder="1"/>
    <xf numFmtId="164" fontId="7" fillId="28" borderId="5" xfId="0" applyNumberFormat="1" applyFont="1" applyFill="1" applyBorder="1"/>
    <xf numFmtId="164" fontId="7" fillId="28" borderId="0" xfId="0" applyNumberFormat="1" applyFont="1" applyFill="1" applyBorder="1"/>
    <xf numFmtId="164" fontId="5" fillId="27" borderId="0" xfId="0" applyNumberFormat="1" applyFont="1" applyFill="1"/>
    <xf numFmtId="42" fontId="0" fillId="0" borderId="0" xfId="0" applyNumberFormat="1"/>
    <xf numFmtId="43" fontId="0" fillId="28" borderId="0" xfId="0" applyNumberFormat="1" applyFill="1"/>
    <xf numFmtId="164" fontId="0" fillId="28" borderId="0" xfId="0" applyNumberFormat="1" applyFill="1"/>
    <xf numFmtId="0" fontId="55" fillId="0" borderId="0" xfId="0" applyFont="1" applyFill="1"/>
    <xf numFmtId="0" fontId="56" fillId="0" borderId="0" xfId="0" applyFont="1" applyFill="1"/>
    <xf numFmtId="0" fontId="43" fillId="0" borderId="0" xfId="0" applyNumberFormat="1" applyFont="1" applyFill="1" applyAlignment="1"/>
    <xf numFmtId="0" fontId="25" fillId="0" borderId="0" xfId="0" applyNumberFormat="1" applyFont="1" applyFill="1" applyAlignment="1"/>
    <xf numFmtId="0" fontId="43" fillId="0" borderId="4" xfId="0" applyNumberFormat="1" applyFont="1" applyFill="1" applyBorder="1" applyAlignment="1" applyProtection="1">
      <alignment horizontal="center"/>
      <protection locked="0"/>
    </xf>
    <xf numFmtId="0" fontId="44" fillId="0" borderId="0" xfId="0" applyNumberFormat="1" applyFont="1" applyFill="1" applyAlignment="1">
      <alignment horizontal="center"/>
    </xf>
    <xf numFmtId="167" fontId="44" fillId="0" borderId="0" xfId="0" applyNumberFormat="1" applyFont="1" applyFill="1" applyAlignment="1">
      <alignment horizontal="center"/>
    </xf>
    <xf numFmtId="9" fontId="44" fillId="0" borderId="0" xfId="0" applyNumberFormat="1" applyFont="1" applyFill="1" applyAlignment="1">
      <alignment horizontal="center"/>
    </xf>
    <xf numFmtId="166" fontId="44" fillId="0" borderId="45" xfId="0" applyNumberFormat="1" applyFont="1" applyFill="1" applyBorder="1" applyAlignment="1" applyProtection="1">
      <protection locked="0"/>
    </xf>
    <xf numFmtId="175" fontId="25" fillId="0" borderId="0" xfId="0" applyNumberFormat="1" applyFont="1" applyFill="1" applyAlignment="1"/>
    <xf numFmtId="0" fontId="3" fillId="0" borderId="0" xfId="68"/>
    <xf numFmtId="0" fontId="3" fillId="0" borderId="0" xfId="68" applyFont="1"/>
    <xf numFmtId="0" fontId="43" fillId="0" borderId="0" xfId="0" applyFont="1" applyFill="1" applyAlignment="1">
      <alignment horizontal="centerContinuous"/>
    </xf>
    <xf numFmtId="0" fontId="59" fillId="0" borderId="0" xfId="0" applyFont="1" applyFill="1" applyAlignment="1">
      <alignment horizontal="centerContinuous"/>
    </xf>
    <xf numFmtId="0" fontId="58" fillId="29" borderId="0" xfId="112" applyAlignment="1">
      <alignment horizontal="centerContinuous"/>
    </xf>
    <xf numFmtId="0" fontId="44" fillId="0" borderId="0" xfId="0" applyFont="1" applyFill="1"/>
    <xf numFmtId="0" fontId="44" fillId="0" borderId="0" xfId="0" applyFont="1" applyFill="1" applyAlignment="1">
      <alignment horizontal="centerContinuous"/>
    </xf>
    <xf numFmtId="0" fontId="60" fillId="29" borderId="0" xfId="112" applyFont="1" applyAlignment="1">
      <alignment horizontal="left"/>
    </xf>
    <xf numFmtId="166" fontId="60" fillId="29" borderId="0" xfId="112" applyNumberFormat="1" applyFont="1" applyAlignment="1"/>
    <xf numFmtId="42" fontId="0" fillId="0" borderId="0" xfId="0" applyNumberFormat="1" applyFill="1" applyBorder="1"/>
    <xf numFmtId="0" fontId="0" fillId="0" borderId="0" xfId="0" applyFill="1" applyBorder="1"/>
    <xf numFmtId="44" fontId="0" fillId="0" borderId="0" xfId="0" applyNumberFormat="1" applyFill="1"/>
    <xf numFmtId="164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Fill="1" applyAlignment="1">
      <alignment horizontal="center"/>
    </xf>
    <xf numFmtId="0" fontId="13" fillId="0" borderId="0" xfId="0" applyFont="1" applyFill="1" applyAlignment="1">
      <alignment horizontal="center"/>
    </xf>
    <xf numFmtId="17" fontId="13" fillId="0" borderId="0" xfId="0" applyNumberFormat="1" applyFont="1" applyFill="1" applyAlignment="1">
      <alignment horizontal="center"/>
    </xf>
  </cellXfs>
  <cellStyles count="113">
    <cellStyle name="20% - Accent1 2" xfId="4"/>
    <cellStyle name="20% - Accent1 2 2" xfId="5"/>
    <cellStyle name="20% - Accent2 2" xfId="6"/>
    <cellStyle name="20% - Accent2 2 2" xfId="7"/>
    <cellStyle name="20% - Accent3 2" xfId="8"/>
    <cellStyle name="20% - Accent3 2 2" xfId="9"/>
    <cellStyle name="20% - Accent4 2" xfId="10"/>
    <cellStyle name="20% - Accent4 2 2" xfId="11"/>
    <cellStyle name="20% - Accent5 2" xfId="12"/>
    <cellStyle name="20% - Accent5 2 2" xfId="13"/>
    <cellStyle name="20% - Accent6 2" xfId="14"/>
    <cellStyle name="20% - Accent6 2 2" xfId="15"/>
    <cellStyle name="40% - Accent1 2" xfId="16"/>
    <cellStyle name="40% - Accent1 2 2" xfId="17"/>
    <cellStyle name="40% - Accent2 2" xfId="18"/>
    <cellStyle name="40% - Accent2 2 2" xfId="19"/>
    <cellStyle name="40% - Accent3 2" xfId="20"/>
    <cellStyle name="40% - Accent3 2 2" xfId="21"/>
    <cellStyle name="40% - Accent4 2" xfId="22"/>
    <cellStyle name="40% - Accent4 2 2" xfId="23"/>
    <cellStyle name="40% - Accent5 2" xfId="24"/>
    <cellStyle name="40% - Accent5 2 2" xfId="25"/>
    <cellStyle name="40% - Accent6 2" xfId="26"/>
    <cellStyle name="40% - Accent6 2 2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Accent1 2" xfId="34"/>
    <cellStyle name="Accent2 2" xfId="35"/>
    <cellStyle name="Accent3 2" xfId="36"/>
    <cellStyle name="Accent4 2" xfId="37"/>
    <cellStyle name="Accent5 2" xfId="38"/>
    <cellStyle name="Accent6 2" xfId="39"/>
    <cellStyle name="Bad 2" xfId="40"/>
    <cellStyle name="Calculation 2" xfId="41"/>
    <cellStyle name="Check Cell 2" xfId="42"/>
    <cellStyle name="Comma" xfId="1" builtinId="3"/>
    <cellStyle name="Comma 2" xfId="3"/>
    <cellStyle name="Comma 2 2" xfId="43"/>
    <cellStyle name="Comma 2 2 2" xfId="100"/>
    <cellStyle name="Comma 2 3" xfId="101"/>
    <cellStyle name="Comma 3" xfId="44"/>
    <cellStyle name="Comma 3 2" xfId="102"/>
    <cellStyle name="Comma 4" xfId="45"/>
    <cellStyle name="Comma 4 2" xfId="46"/>
    <cellStyle name="Comma 4 3" xfId="47"/>
    <cellStyle name="Comma 4 4" xfId="48"/>
    <cellStyle name="Comma 4 5" xfId="49"/>
    <cellStyle name="Comma 5" xfId="50"/>
    <cellStyle name="Comma 6" xfId="51"/>
    <cellStyle name="Comma 6 2" xfId="52"/>
    <cellStyle name="Comma 6 3" xfId="53"/>
    <cellStyle name="Comma 6 4" xfId="54"/>
    <cellStyle name="Comma 6 5" xfId="55"/>
    <cellStyle name="Comma 7" xfId="56"/>
    <cellStyle name="Currency 2" xfId="57"/>
    <cellStyle name="Currency 2 2" xfId="103"/>
    <cellStyle name="Currency 3" xfId="58"/>
    <cellStyle name="Explanatory Text 2" xfId="59"/>
    <cellStyle name="Good" xfId="112" builtinId="26"/>
    <cellStyle name="Good 2" xfId="60"/>
    <cellStyle name="Heading 1 2" xfId="61"/>
    <cellStyle name="Heading 2 2" xfId="62"/>
    <cellStyle name="Heading 3 2" xfId="63"/>
    <cellStyle name="Heading 4 2" xfId="64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104"/>
    <cellStyle name="Normal 2 3" xfId="70"/>
    <cellStyle name="Normal 2 3 2" xfId="105"/>
    <cellStyle name="Normal 2 4" xfId="71"/>
    <cellStyle name="Normal 2 4 2" xfId="106"/>
    <cellStyle name="Normal 2 5" xfId="72"/>
    <cellStyle name="Normal 2 5 2" xfId="73"/>
    <cellStyle name="Normal 2 5 3" xfId="2"/>
    <cellStyle name="Normal 2 5 4" xfId="110"/>
    <cellStyle name="Normal 3" xfId="74"/>
    <cellStyle name="Normal 3 2" xfId="75"/>
    <cellStyle name="Normal 3 2 2" xfId="76"/>
    <cellStyle name="Normal 3 2 3" xfId="77"/>
    <cellStyle name="Normal 3 2 4" xfId="78"/>
    <cellStyle name="Normal 3 2 5" xfId="79"/>
    <cellStyle name="Normal 3 3" xfId="107"/>
    <cellStyle name="Normal 4" xfId="80"/>
    <cellStyle name="Normal 5" xfId="81"/>
    <cellStyle name="Normal 5 2" xfId="82"/>
    <cellStyle name="Normal 5 3" xfId="83"/>
    <cellStyle name="Normal 5 4" xfId="84"/>
    <cellStyle name="Normal 5 5" xfId="85"/>
    <cellStyle name="Normal 6" xfId="86"/>
    <cellStyle name="Normal 7" xfId="87"/>
    <cellStyle name="Normal 7 2" xfId="88"/>
    <cellStyle name="Normal 7 3" xfId="89"/>
    <cellStyle name="Normal 7 4" xfId="90"/>
    <cellStyle name="Normal 7 5" xfId="91"/>
    <cellStyle name="Normal 8" xfId="109"/>
    <cellStyle name="Normal 8 2" xfId="111"/>
    <cellStyle name="Note 2" xfId="92"/>
    <cellStyle name="Note 2 2" xfId="93"/>
    <cellStyle name="Output 2" xfId="94"/>
    <cellStyle name="Percent 2" xfId="95"/>
    <cellStyle name="Percent 2 2" xfId="108"/>
    <cellStyle name="Percent 3" xfId="96"/>
    <cellStyle name="Title 2" xfId="97"/>
    <cellStyle name="Total 2" xfId="98"/>
    <cellStyle name="Warning Text 2" xfId="99"/>
  </cellStyles>
  <dxfs count="0"/>
  <tableStyles count="0" defaultTableStyle="TableStyleMedium2" defaultPivotStyle="PivotStyleLight16"/>
  <colors>
    <mruColors>
      <color rgb="FF66FF66"/>
      <color rgb="FF0000FF"/>
      <color rgb="FFD6009E"/>
      <color rgb="FFCCFF33"/>
      <color rgb="FFFFCCFF"/>
      <color rgb="FF7500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552450</xdr:colOff>
      <xdr:row>2</xdr:row>
      <xdr:rowOff>123825</xdr:rowOff>
    </xdr:from>
    <xdr:to>
      <xdr:col>53</xdr:col>
      <xdr:colOff>513059</xdr:colOff>
      <xdr:row>21</xdr:row>
      <xdr:rowOff>59936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15670" y="459105"/>
          <a:ext cx="10064729" cy="31974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.puget.com\rpl\GrpRevnu\PUBLIC\%23%202019%20GRC\Compliance%20Filing\190529-30-PSE-WP-Cmpl-RevReq-COS-(9-23-20)(C)\190529-30-PSE-WP-BDJ-06-COS-Model-19GRC-01-20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Compliance%20Filing/190529-30-PSE-WP-Cmpl-RevReq-COS-(9-23-20)(C)/190529-30-PSE-WP-SEF-18.00G-GAS-MODEL-19GRC-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Old Reports===&gt;"/>
      <sheetName val="Account Summary"/>
      <sheetName val="Salary &amp; Wage Summary"/>
      <sheetName val="ErrorCheck"/>
      <sheetName val="COS Reports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/>
      <sheetData sheetId="1">
        <row r="11">
          <cell r="C11">
            <v>2</v>
          </cell>
        </row>
        <row r="29">
          <cell r="F29">
            <v>7.3899999999999993E-2</v>
          </cell>
        </row>
        <row r="30">
          <cell r="F30">
            <v>2.8299999999999999E-2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0.75138099999999997</v>
          </cell>
        </row>
      </sheetData>
      <sheetData sheetId="2"/>
      <sheetData sheetId="3"/>
      <sheetData sheetId="4"/>
      <sheetData sheetId="5">
        <row r="1">
          <cell r="A1" t="str">
            <v>Account Inputs</v>
          </cell>
        </row>
      </sheetData>
      <sheetData sheetId="6"/>
      <sheetData sheetId="7"/>
      <sheetData sheetId="8"/>
      <sheetData sheetId="9">
        <row r="1">
          <cell r="A1" t="str">
            <v>Account Allocation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E6" t="str">
            <v>Total Company</v>
          </cell>
        </row>
      </sheetData>
      <sheetData sheetId="18"/>
      <sheetData sheetId="19"/>
      <sheetData sheetId="20"/>
      <sheetData sheetId="21"/>
      <sheetData sheetId="22">
        <row r="1">
          <cell r="A1" t="str">
            <v>Puget Sound Energy</v>
          </cell>
        </row>
      </sheetData>
      <sheetData sheetId="23">
        <row r="1">
          <cell r="A1" t="str">
            <v>Puget Sound Energy</v>
          </cell>
        </row>
      </sheetData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Appendix A"/>
      <sheetName val="BR 11 &amp; Other Adjs"/>
      <sheetName val="COC-Restating"/>
      <sheetName val="Summary"/>
      <sheetName val="Detailed Summary"/>
      <sheetName val="Common Adj"/>
      <sheetName val="Gas Adj"/>
      <sheetName val="Named Ranges G"/>
      <sheetName val="Combined Impacts"/>
      <sheetName val="Sch. 141X Reven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8">
          <cell r="C8" t="str">
            <v>PUGET SOUND ENERGY - NATURAL GAS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zoomScale="120" zoomScaleNormal="120" workbookViewId="0">
      <pane xSplit="2" ySplit="4" topLeftCell="C5" activePane="bottomRight" state="frozen"/>
      <selection activeCell="B31" sqref="B31"/>
      <selection pane="topRight" activeCell="B31" sqref="B31"/>
      <selection pane="bottomLeft" activeCell="B31" sqref="B31"/>
      <selection pane="bottomRight" activeCell="I12" sqref="I12"/>
    </sheetView>
  </sheetViews>
  <sheetFormatPr defaultColWidth="9.08984375" defaultRowHeight="14.5" x14ac:dyDescent="0.35"/>
  <cols>
    <col min="1" max="1" width="5.08984375" style="17" customWidth="1"/>
    <col min="2" max="2" width="59.54296875" style="2" customWidth="1"/>
    <col min="3" max="3" width="8.90625" style="33" bestFit="1" customWidth="1"/>
    <col min="4" max="4" width="14" style="2" bestFit="1" customWidth="1"/>
    <col min="5" max="6" width="13.36328125" style="2" bestFit="1" customWidth="1"/>
    <col min="7" max="7" width="3.6328125" style="2" customWidth="1"/>
    <col min="8" max="9" width="16.08984375" style="2" bestFit="1" customWidth="1"/>
    <col min="10" max="10" width="14.54296875" style="2" bestFit="1" customWidth="1"/>
    <col min="11" max="13" width="9.08984375" style="2"/>
    <col min="14" max="14" width="13.90625" style="2" bestFit="1" customWidth="1"/>
    <col min="15" max="15" width="17.1796875" style="2" bestFit="1" customWidth="1"/>
    <col min="16" max="16" width="9.08984375" style="2"/>
    <col min="17" max="17" width="12.1796875" style="2" bestFit="1" customWidth="1"/>
    <col min="18" max="19" width="9.08984375" style="2"/>
    <col min="20" max="20" width="16.08984375" style="2" bestFit="1" customWidth="1"/>
    <col min="21" max="16384" width="9.08984375" style="2"/>
  </cols>
  <sheetData>
    <row r="1" spans="1:10" ht="18.5" x14ac:dyDescent="0.45">
      <c r="A1" s="250" t="s">
        <v>207</v>
      </c>
      <c r="B1" s="249"/>
      <c r="C1" s="32"/>
    </row>
    <row r="2" spans="1:10" ht="18.5" x14ac:dyDescent="0.45">
      <c r="B2" s="31"/>
      <c r="C2" s="32"/>
    </row>
    <row r="3" spans="1:10" x14ac:dyDescent="0.35">
      <c r="D3" s="34" t="s">
        <v>22</v>
      </c>
      <c r="E3" s="35"/>
      <c r="F3" s="36"/>
      <c r="H3" s="34" t="s">
        <v>23</v>
      </c>
      <c r="I3" s="36"/>
      <c r="J3" s="36"/>
    </row>
    <row r="4" spans="1:10" x14ac:dyDescent="0.35">
      <c r="D4" s="37" t="s">
        <v>0</v>
      </c>
      <c r="E4" s="37" t="s">
        <v>1</v>
      </c>
      <c r="F4" s="37" t="s">
        <v>2</v>
      </c>
      <c r="H4" s="37" t="s">
        <v>0</v>
      </c>
      <c r="I4" s="37" t="s">
        <v>1</v>
      </c>
      <c r="J4" s="37" t="s">
        <v>2</v>
      </c>
    </row>
    <row r="5" spans="1:10" x14ac:dyDescent="0.35">
      <c r="H5" s="2">
        <f>'E Conversion Factor'!E20</f>
        <v>0.95034799999999997</v>
      </c>
      <c r="I5" s="2">
        <f>'G Conversion Factor'!E20</f>
        <v>0.95344399999999996</v>
      </c>
    </row>
    <row r="6" spans="1:10" x14ac:dyDescent="0.35">
      <c r="A6" s="17">
        <v>1</v>
      </c>
      <c r="B6" s="2" t="s">
        <v>174</v>
      </c>
      <c r="C6" s="39"/>
      <c r="D6" s="13">
        <f>'2022 FINAL Rev Req'!D21</f>
        <v>48394031.682091251</v>
      </c>
      <c r="E6" s="13">
        <f>'2022 FINAL Rev Req'!E21</f>
        <v>20641601.57342061</v>
      </c>
      <c r="F6" s="13">
        <f>SUM(D6:E6)</f>
        <v>69035633.255511865</v>
      </c>
      <c r="H6" s="268">
        <f>'2022 FINAL Rev Req'!H21</f>
        <v>50881367.323710859</v>
      </c>
      <c r="I6" s="268">
        <f>'2022 FINAL Rev Req'!I15</f>
        <v>21624364.046229605</v>
      </c>
      <c r="J6" s="13">
        <f>SUM(H6:I6)</f>
        <v>72505731.36994046</v>
      </c>
    </row>
    <row r="7" spans="1:10" x14ac:dyDescent="0.35">
      <c r="H7" s="269"/>
      <c r="I7" s="269"/>
    </row>
    <row r="8" spans="1:10" x14ac:dyDescent="0.35">
      <c r="A8" s="17">
        <v>2</v>
      </c>
      <c r="B8" s="2" t="s">
        <v>3</v>
      </c>
      <c r="E8" s="48"/>
    </row>
    <row r="9" spans="1:10" x14ac:dyDescent="0.35">
      <c r="A9" s="17">
        <v>3</v>
      </c>
      <c r="B9" s="38" t="s">
        <v>175</v>
      </c>
      <c r="C9" s="48"/>
      <c r="D9" s="3">
        <f>'2023 Est Payment Due '!C36</f>
        <v>49350560</v>
      </c>
      <c r="E9" s="3">
        <f>'2023 Est Payment Due '!C37</f>
        <v>20923321</v>
      </c>
      <c r="F9" s="3">
        <f>SUM(D9:E9)</f>
        <v>70273881</v>
      </c>
      <c r="H9" s="13">
        <f>D9/$H$5</f>
        <v>51928935.505730532</v>
      </c>
      <c r="I9" s="13">
        <f>E9/$I$5</f>
        <v>21944992.049873933</v>
      </c>
      <c r="J9" s="3">
        <f>SUM(H9:I9)</f>
        <v>73873927.555604458</v>
      </c>
    </row>
    <row r="10" spans="1:10" x14ac:dyDescent="0.35">
      <c r="A10" s="17">
        <v>4</v>
      </c>
      <c r="B10" s="38" t="s">
        <v>174</v>
      </c>
      <c r="C10" s="39" t="s">
        <v>24</v>
      </c>
      <c r="D10" s="3">
        <f>D6</f>
        <v>48394031.682091251</v>
      </c>
      <c r="E10" s="3">
        <f>E6</f>
        <v>20641601.57342061</v>
      </c>
      <c r="F10" s="3">
        <f>SUM(D10:E10)</f>
        <v>69035633.255511865</v>
      </c>
      <c r="H10" s="13">
        <f>H6</f>
        <v>50881367.323710859</v>
      </c>
      <c r="I10" s="13">
        <f>I6</f>
        <v>21624364.046229605</v>
      </c>
      <c r="J10" s="3">
        <f>SUM(H10:I10)</f>
        <v>72505731.36994046</v>
      </c>
    </row>
    <row r="11" spans="1:10" x14ac:dyDescent="0.35">
      <c r="A11" s="17">
        <v>5</v>
      </c>
      <c r="B11" s="2" t="s">
        <v>176</v>
      </c>
      <c r="D11" s="3">
        <f>'Elec Load Variance'!P35*H5</f>
        <v>-3732404.1749474755</v>
      </c>
      <c r="E11" s="227">
        <f>'Gas Load Variance'!O20*I5</f>
        <v>-589949.27753827244</v>
      </c>
      <c r="F11" s="3">
        <f>SUM(D11:E11)</f>
        <v>-4322353.4524857476</v>
      </c>
      <c r="H11" s="13">
        <f>D11/$H$5</f>
        <v>-3927407.828445449</v>
      </c>
      <c r="I11" s="13">
        <f>E11/$I$5</f>
        <v>-618756.08587213559</v>
      </c>
      <c r="J11" s="3">
        <f>SUM(H11:I11)</f>
        <v>-4546163.9143175846</v>
      </c>
    </row>
    <row r="12" spans="1:10" x14ac:dyDescent="0.35">
      <c r="D12" s="14"/>
      <c r="E12" s="14"/>
      <c r="F12" s="14"/>
      <c r="H12" s="40">
        <f>'Elec Load Variance'!P35-'2023 FINAL Rev Req'!H11</f>
        <v>0</v>
      </c>
      <c r="I12" s="40">
        <f>'Gas Load Variance'!O20-'2023 FINAL Rev Req'!I11</f>
        <v>0</v>
      </c>
      <c r="J12" s="41" t="s">
        <v>117</v>
      </c>
    </row>
    <row r="13" spans="1:10" x14ac:dyDescent="0.35">
      <c r="A13" s="17">
        <v>6</v>
      </c>
      <c r="B13" s="2" t="s">
        <v>118</v>
      </c>
      <c r="C13" s="39" t="s">
        <v>26</v>
      </c>
      <c r="D13" s="3">
        <f>D9-D10+D11</f>
        <v>-2775875.8570387266</v>
      </c>
      <c r="E13" s="3">
        <f>E9-E10+E11</f>
        <v>-308229.85095888271</v>
      </c>
      <c r="F13" s="3">
        <f>SUM(D13:E13)</f>
        <v>-3084105.7079976094</v>
      </c>
      <c r="H13" s="3">
        <f>H9-H10+H11</f>
        <v>-2879839.6464257757</v>
      </c>
      <c r="I13" s="3">
        <f>I9-I10+I11</f>
        <v>-298128.08222780703</v>
      </c>
      <c r="J13" s="3">
        <f>SUM(H13:I13)</f>
        <v>-3177967.7286535827</v>
      </c>
    </row>
    <row r="14" spans="1:10" x14ac:dyDescent="0.35">
      <c r="D14" s="14"/>
      <c r="E14" s="14"/>
      <c r="F14" s="14"/>
      <c r="H14" s="14"/>
      <c r="I14" s="14"/>
      <c r="J14" s="14"/>
    </row>
    <row r="15" spans="1:10" ht="15" thickBot="1" x14ac:dyDescent="0.4">
      <c r="A15" s="17">
        <v>7</v>
      </c>
      <c r="B15" s="2" t="s">
        <v>209</v>
      </c>
      <c r="C15" s="39" t="s">
        <v>25</v>
      </c>
      <c r="D15" s="15">
        <f>D6+D13</f>
        <v>45618155.825052522</v>
      </c>
      <c r="E15" s="15">
        <f>E6+E13</f>
        <v>20333371.722461727</v>
      </c>
      <c r="F15" s="15">
        <f>SUM(D15:E15)</f>
        <v>65951527.547514245</v>
      </c>
      <c r="H15" s="15">
        <f>H6+H13</f>
        <v>48001527.677285083</v>
      </c>
      <c r="I15" s="15">
        <f>I6+I13</f>
        <v>21326235.964001797</v>
      </c>
      <c r="J15" s="15">
        <f>SUM(H15:I15)</f>
        <v>69327763.64128688</v>
      </c>
    </row>
    <row r="16" spans="1:10" ht="15" thickTop="1" x14ac:dyDescent="0.35"/>
    <row r="18" spans="1:20" x14ac:dyDescent="0.35">
      <c r="A18" s="17">
        <v>8</v>
      </c>
      <c r="B18" s="2" t="s">
        <v>4</v>
      </c>
      <c r="C18" s="39" t="s">
        <v>137</v>
      </c>
      <c r="D18" s="13">
        <f>D15-'Electric summary '!G20</f>
        <v>41187638.920130678</v>
      </c>
      <c r="E18" s="13">
        <f>E15-'Gas summary '!G20</f>
        <v>16985416.009793624</v>
      </c>
      <c r="F18" s="13">
        <f>SUM(D18:E18)</f>
        <v>58173054.929924302</v>
      </c>
      <c r="H18" s="13">
        <f>D18/H5</f>
        <v>43339533.434205867</v>
      </c>
      <c r="I18" s="13">
        <f>E18/I5</f>
        <v>17814801.928370859</v>
      </c>
      <c r="J18" s="13">
        <f>SUM(H18:I18)</f>
        <v>61154335.362576723</v>
      </c>
      <c r="O18" s="270"/>
    </row>
    <row r="19" spans="1:20" x14ac:dyDescent="0.35">
      <c r="A19" s="17">
        <v>9</v>
      </c>
      <c r="B19" s="2" t="s">
        <v>227</v>
      </c>
      <c r="C19" s="48"/>
      <c r="D19" s="3">
        <f>'Electric summary '!G20+D27</f>
        <v>3288786.9049218465</v>
      </c>
      <c r="E19" s="3">
        <f>'Gas summary '!G20+E27</f>
        <v>3416307.7126681004</v>
      </c>
      <c r="F19" s="3">
        <f>SUM(D19:E19)</f>
        <v>6705094.6175899468</v>
      </c>
      <c r="H19" s="1">
        <f>D19/$H$5</f>
        <v>3460613.2752653202</v>
      </c>
      <c r="I19" s="1">
        <f>E19/$I$5</f>
        <v>3583123.6157216369</v>
      </c>
      <c r="J19" s="3">
        <f>SUM(H19:I19)</f>
        <v>7043736.8909869567</v>
      </c>
    </row>
    <row r="20" spans="1:20" x14ac:dyDescent="0.35">
      <c r="D20" s="14"/>
      <c r="E20" s="14"/>
      <c r="F20" s="14"/>
      <c r="H20" s="14"/>
      <c r="I20" s="14"/>
      <c r="J20" s="14"/>
    </row>
    <row r="21" spans="1:20" ht="15" thickBot="1" x14ac:dyDescent="0.4">
      <c r="A21" s="17">
        <v>10</v>
      </c>
      <c r="B21" s="2" t="s">
        <v>21</v>
      </c>
      <c r="C21" s="39" t="s">
        <v>228</v>
      </c>
      <c r="D21" s="15">
        <f>SUM(D18:D19)</f>
        <v>44476425.825052522</v>
      </c>
      <c r="E21" s="15">
        <f>SUM(E18:E20)</f>
        <v>20401723.722461723</v>
      </c>
      <c r="F21" s="15">
        <f>SUM(D21:E21)</f>
        <v>64878149.547514245</v>
      </c>
      <c r="H21" s="15">
        <f>SUM(H18:H19)</f>
        <v>46800146.709471188</v>
      </c>
      <c r="I21" s="15">
        <f>SUM(I18:I19)</f>
        <v>21397925.544092495</v>
      </c>
      <c r="J21" s="15">
        <f>SUM(H21:I21)</f>
        <v>68198072.253563687</v>
      </c>
    </row>
    <row r="22" spans="1:20" ht="15" thickTop="1" x14ac:dyDescent="0.35"/>
    <row r="23" spans="1:20" x14ac:dyDescent="0.35">
      <c r="D23" s="13"/>
      <c r="E23" s="13"/>
      <c r="F23" s="13"/>
    </row>
    <row r="24" spans="1:20" x14ac:dyDescent="0.35">
      <c r="A24" s="17">
        <v>11</v>
      </c>
      <c r="B24" s="2" t="s">
        <v>6</v>
      </c>
    </row>
    <row r="25" spans="1:20" x14ac:dyDescent="0.35">
      <c r="A25" s="151">
        <v>12</v>
      </c>
      <c r="B25" s="38" t="s">
        <v>7</v>
      </c>
      <c r="D25" s="3">
        <f>-'2022 FINAL Rev Req'!D9+'2023 FINAL Rev Req'!D9</f>
        <v>-843533</v>
      </c>
      <c r="E25" s="3">
        <f>-'2022 FINAL Rev Req'!E9+'2023 FINAL Rev Req'!E9</f>
        <v>419171</v>
      </c>
      <c r="F25" s="3">
        <f>SUM(D25:E25)</f>
        <v>-424362</v>
      </c>
      <c r="H25" s="1">
        <f>-'2022 FINAL Rev Req'!H9+'2023 FINAL Rev Req'!H9</f>
        <v>-845011.91387698054</v>
      </c>
      <c r="I25" s="1">
        <f>-'2022 FINAL Rev Req'!I9+'2023 FINAL Rev Req'!I9</f>
        <v>464623.75183286145</v>
      </c>
      <c r="J25" s="3">
        <f>SUM(H25:I25)</f>
        <v>-380388.16204411909</v>
      </c>
      <c r="N25" s="13"/>
    </row>
    <row r="26" spans="1:20" x14ac:dyDescent="0.35">
      <c r="A26" s="151">
        <v>13</v>
      </c>
      <c r="B26" s="38" t="s">
        <v>9</v>
      </c>
      <c r="D26" s="3">
        <f>-'2022 FINAL Rev Req'!D11+'2023 FINAL Rev Req'!D11</f>
        <v>-1932342.8570387298</v>
      </c>
      <c r="E26" s="3">
        <f>-'2022 FINAL Rev Req'!E11+'2023 FINAL Rev Req'!E11</f>
        <v>-727400.85095888213</v>
      </c>
      <c r="F26" s="3">
        <f>SUM(D26:E26)</f>
        <v>-2659743.7079976117</v>
      </c>
      <c r="H26" s="3">
        <f>-'2022 FINAL Rev Req'!H11+'2023 FINAL Rev Req'!H11</f>
        <v>-2034827.7325487954</v>
      </c>
      <c r="I26" s="3">
        <f>-'2022 FINAL Rev Req'!I11+'2023 FINAL Rev Req'!I11</f>
        <v>-762751.83406066953</v>
      </c>
      <c r="J26" s="3">
        <f>SUM(H26:I26)</f>
        <v>-2797579.5666094651</v>
      </c>
      <c r="O26" s="270"/>
    </row>
    <row r="27" spans="1:20" x14ac:dyDescent="0.35">
      <c r="A27" s="151">
        <v>14</v>
      </c>
      <c r="B27" s="38" t="s">
        <v>208</v>
      </c>
      <c r="D27" s="3">
        <v>-1141730</v>
      </c>
      <c r="E27" s="3">
        <v>68352</v>
      </c>
      <c r="F27" s="3">
        <f>SUM(D27:E27)</f>
        <v>-1073378</v>
      </c>
      <c r="H27" s="1">
        <f>D27/H5</f>
        <v>-1201380.9678138955</v>
      </c>
      <c r="I27" s="1">
        <f>E27/I5</f>
        <v>71689.580090702759</v>
      </c>
      <c r="J27" s="3">
        <f>SUM(H27:I27)</f>
        <v>-1129691.3877231928</v>
      </c>
    </row>
    <row r="28" spans="1:20" ht="15" thickBot="1" x14ac:dyDescent="0.4">
      <c r="A28" s="151">
        <v>16</v>
      </c>
      <c r="B28" s="2" t="s">
        <v>210</v>
      </c>
      <c r="D28" s="42">
        <f>SUM(D25:D27)</f>
        <v>-3917605.8570387298</v>
      </c>
      <c r="E28" s="42">
        <f>SUM(E25:E27)</f>
        <v>-239877.85095888213</v>
      </c>
      <c r="F28" s="42">
        <f>SUM(F25:F27)</f>
        <v>-4157483.7079976117</v>
      </c>
      <c r="H28" s="42">
        <f>SUM(H25:H27)</f>
        <v>-4081220.6142396717</v>
      </c>
      <c r="I28" s="42">
        <f>SUM(I25:I27)</f>
        <v>-226438.50213710533</v>
      </c>
      <c r="J28" s="42">
        <f>SUM(J25:J27)</f>
        <v>-4307659.1163767772</v>
      </c>
      <c r="O28" s="13"/>
      <c r="Q28" s="13"/>
      <c r="T28" s="270"/>
    </row>
    <row r="29" spans="1:20" ht="15" thickTop="1" x14ac:dyDescent="0.35">
      <c r="D29" s="16">
        <f>D28-D13-D27</f>
        <v>-3.2596290111541748E-9</v>
      </c>
      <c r="E29" s="16">
        <f>E28-E13-E27</f>
        <v>5.8207660913467407E-10</v>
      </c>
      <c r="F29" s="16">
        <f>F28-F13-F27</f>
        <v>-2.3283064365386963E-9</v>
      </c>
      <c r="G29" s="43"/>
      <c r="H29" s="16">
        <f>H28-H13-H27</f>
        <v>0</v>
      </c>
      <c r="I29" s="16">
        <f>I28-I13-I27</f>
        <v>-1.0622898116707802E-9</v>
      </c>
      <c r="J29" s="16">
        <f>J28-J13-J27</f>
        <v>0</v>
      </c>
    </row>
    <row r="30" spans="1:20" x14ac:dyDescent="0.35">
      <c r="D30" s="1"/>
      <c r="E30" s="1"/>
      <c r="H30" s="13"/>
      <c r="I30" s="13"/>
      <c r="J30" s="13"/>
      <c r="T30" s="271"/>
    </row>
    <row r="31" spans="1:20" x14ac:dyDescent="0.35">
      <c r="A31" s="17">
        <f>+A28+1</f>
        <v>17</v>
      </c>
      <c r="B31" s="44" t="s">
        <v>70</v>
      </c>
      <c r="C31" s="39"/>
      <c r="H31" s="78">
        <f>H28/H6</f>
        <v>-8.0210513767734609E-2</v>
      </c>
      <c r="I31" s="78">
        <f>I28/I6</f>
        <v>-1.0471452554767124E-2</v>
      </c>
    </row>
    <row r="32" spans="1:20" x14ac:dyDescent="0.35">
      <c r="A32" s="17">
        <f>+A31+1</f>
        <v>18</v>
      </c>
      <c r="B32" s="44" t="s">
        <v>71</v>
      </c>
      <c r="H32" s="17" t="str">
        <f>IF(ABS(H31)&gt;1%,"yes","no")</f>
        <v>yes</v>
      </c>
      <c r="I32" s="17" t="str">
        <f>IF(ABS(I31)&gt;1%,"yes","no")</f>
        <v>yes</v>
      </c>
    </row>
    <row r="33" spans="1:2" x14ac:dyDescent="0.35">
      <c r="A33" s="17">
        <f t="shared" ref="A33:A34" si="0">+A32+1</f>
        <v>19</v>
      </c>
      <c r="B33" s="45" t="s">
        <v>28</v>
      </c>
    </row>
    <row r="34" spans="1:2" x14ac:dyDescent="0.35">
      <c r="A34" s="17">
        <f t="shared" si="0"/>
        <v>20</v>
      </c>
      <c r="B34" s="45" t="s">
        <v>29</v>
      </c>
    </row>
    <row r="36" spans="1:2" x14ac:dyDescent="0.35">
      <c r="B36" s="46"/>
    </row>
    <row r="37" spans="1:2" x14ac:dyDescent="0.35">
      <c r="B37" s="46"/>
    </row>
  </sheetData>
  <pageMargins left="0.7" right="0.7" top="0.75" bottom="0.75" header="0.3" footer="0.3"/>
  <pageSetup scale="86" orientation="landscape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zoomScale="110" zoomScaleNormal="110" workbookViewId="0">
      <selection activeCell="A15" sqref="A15:XFD15"/>
    </sheetView>
  </sheetViews>
  <sheetFormatPr defaultColWidth="9.08984375" defaultRowHeight="12.5" x14ac:dyDescent="0.25"/>
  <cols>
    <col min="1" max="1" width="5.453125" style="252" customWidth="1"/>
    <col min="2" max="2" width="63.36328125" style="252" bestFit="1" customWidth="1"/>
    <col min="3" max="3" width="3.453125" style="252" customWidth="1"/>
    <col min="4" max="4" width="10" style="252" bestFit="1" customWidth="1"/>
    <col min="5" max="5" width="18.08984375" style="252" customWidth="1"/>
    <col min="6" max="16384" width="9.08984375" style="252"/>
  </cols>
  <sheetData>
    <row r="2" spans="1:5" ht="14.5" x14ac:dyDescent="0.35">
      <c r="A2" s="263" t="s">
        <v>226</v>
      </c>
      <c r="B2" s="263" t="s">
        <v>225</v>
      </c>
      <c r="C2" s="263"/>
      <c r="D2" s="263"/>
      <c r="E2" s="263"/>
    </row>
    <row r="3" spans="1:5" ht="14.5" x14ac:dyDescent="0.35">
      <c r="A3" s="251"/>
      <c r="B3" s="264"/>
      <c r="C3" s="264"/>
      <c r="D3"/>
      <c r="E3"/>
    </row>
    <row r="4" spans="1:5" ht="13" x14ac:dyDescent="0.3">
      <c r="A4" s="261"/>
      <c r="B4" s="261" t="s">
        <v>221</v>
      </c>
      <c r="C4" s="261"/>
      <c r="D4" s="265"/>
      <c r="E4" s="265"/>
    </row>
    <row r="5" spans="1:5" ht="13" x14ac:dyDescent="0.3">
      <c r="A5" s="261"/>
      <c r="B5" s="261" t="s">
        <v>222</v>
      </c>
      <c r="C5" s="261"/>
      <c r="D5" s="265"/>
      <c r="E5" s="265"/>
    </row>
    <row r="6" spans="1:5" ht="13" x14ac:dyDescent="0.3">
      <c r="A6" s="261"/>
      <c r="B6" s="261" t="s">
        <v>211</v>
      </c>
      <c r="C6" s="261"/>
      <c r="D6" s="265"/>
      <c r="E6" s="265"/>
    </row>
    <row r="7" spans="1:5" ht="13" x14ac:dyDescent="0.3">
      <c r="A7" s="261"/>
      <c r="B7" s="261" t="s">
        <v>223</v>
      </c>
      <c r="C7" s="261"/>
      <c r="D7" s="265"/>
      <c r="E7" s="265"/>
    </row>
    <row r="8" spans="1:5" ht="13" x14ac:dyDescent="0.3">
      <c r="A8" s="261"/>
      <c r="B8" s="261" t="s">
        <v>224</v>
      </c>
      <c r="C8" s="261"/>
      <c r="D8" s="265"/>
      <c r="E8" s="265"/>
    </row>
    <row r="9" spans="1:5" ht="13" x14ac:dyDescent="0.3">
      <c r="A9" s="262"/>
      <c r="B9" s="262" t="s">
        <v>14</v>
      </c>
      <c r="C9" s="262"/>
      <c r="D9" s="262"/>
      <c r="E9" s="262"/>
    </row>
    <row r="10" spans="1:5" ht="13" x14ac:dyDescent="0.3">
      <c r="A10" s="262"/>
      <c r="B10" s="262"/>
      <c r="C10" s="262"/>
      <c r="D10" s="262"/>
      <c r="E10" s="262"/>
    </row>
    <row r="11" spans="1:5" ht="13" x14ac:dyDescent="0.3">
      <c r="A11" s="69" t="s">
        <v>15</v>
      </c>
      <c r="B11" s="69"/>
      <c r="C11" s="69"/>
      <c r="D11" s="69"/>
      <c r="E11" s="69"/>
    </row>
    <row r="12" spans="1:5" ht="13" x14ac:dyDescent="0.3">
      <c r="A12" s="70" t="s">
        <v>16</v>
      </c>
      <c r="B12" s="253" t="s">
        <v>17</v>
      </c>
      <c r="C12" s="70"/>
      <c r="D12" s="70" t="s">
        <v>212</v>
      </c>
      <c r="E12" s="70" t="s">
        <v>213</v>
      </c>
    </row>
    <row r="13" spans="1:5" ht="13" x14ac:dyDescent="0.3">
      <c r="A13" s="72"/>
      <c r="B13" s="72"/>
      <c r="C13" s="72"/>
      <c r="D13" s="72"/>
      <c r="E13" s="254"/>
    </row>
    <row r="14" spans="1:5" ht="13" x14ac:dyDescent="0.3">
      <c r="A14" s="254">
        <v>1</v>
      </c>
      <c r="B14" s="71" t="s">
        <v>18</v>
      </c>
      <c r="C14" s="72"/>
      <c r="D14" s="72"/>
      <c r="E14" s="73">
        <v>4.1980000000000003E-3</v>
      </c>
    </row>
    <row r="15" spans="1:5" ht="14.5" x14ac:dyDescent="0.35">
      <c r="A15" s="263">
        <v>2</v>
      </c>
      <c r="B15" s="266" t="s">
        <v>19</v>
      </c>
      <c r="C15" s="263"/>
      <c r="D15" s="263"/>
      <c r="E15" s="267">
        <v>4.0000000000000001E-3</v>
      </c>
    </row>
    <row r="16" spans="1:5" ht="13" x14ac:dyDescent="0.3">
      <c r="A16" s="254">
        <v>3</v>
      </c>
      <c r="B16" s="71" t="str">
        <f>"STATE UTILITY TAX - NET OF BAD DEBTS ( "&amp;D16*100&amp;"% - ( LINE 1 * "&amp;D16*100&amp;"%) )"</f>
        <v>STATE UTILITY TAX - NET OF BAD DEBTS ( 3.852% - ( LINE 1 * 3.852%) )</v>
      </c>
      <c r="C16" s="72"/>
      <c r="D16" s="255">
        <v>3.8519999999999999E-2</v>
      </c>
      <c r="E16" s="74">
        <f>ROUND(D16-(D16*E14),6)</f>
        <v>3.8358000000000003E-2</v>
      </c>
    </row>
    <row r="17" spans="1:5" ht="13" x14ac:dyDescent="0.3">
      <c r="A17" s="254">
        <v>4</v>
      </c>
      <c r="B17" s="71"/>
      <c r="C17" s="72"/>
      <c r="D17" s="254"/>
      <c r="E17" s="75"/>
    </row>
    <row r="18" spans="1:5" ht="13" x14ac:dyDescent="0.3">
      <c r="A18" s="254">
        <v>5</v>
      </c>
      <c r="B18" s="71" t="s">
        <v>20</v>
      </c>
      <c r="C18" s="72"/>
      <c r="D18" s="254"/>
      <c r="E18" s="73">
        <f>ROUND(SUM(E14:E16),6)</f>
        <v>4.6556E-2</v>
      </c>
    </row>
    <row r="19" spans="1:5" ht="13" x14ac:dyDescent="0.3">
      <c r="A19" s="254">
        <v>6</v>
      </c>
      <c r="B19" s="72"/>
      <c r="C19" s="72"/>
      <c r="D19" s="254"/>
      <c r="E19" s="73"/>
    </row>
    <row r="20" spans="1:5" ht="13" x14ac:dyDescent="0.3">
      <c r="A20" s="254">
        <v>7</v>
      </c>
      <c r="B20" s="72" t="s">
        <v>214</v>
      </c>
      <c r="C20" s="72"/>
      <c r="D20" s="254"/>
      <c r="E20" s="73">
        <f>ROUND(1-E18,6)</f>
        <v>0.95344399999999996</v>
      </c>
    </row>
    <row r="21" spans="1:5" ht="13" x14ac:dyDescent="0.3">
      <c r="A21" s="254">
        <v>8</v>
      </c>
      <c r="B21" s="71" t="s">
        <v>217</v>
      </c>
      <c r="C21" s="72"/>
      <c r="D21" s="256">
        <v>0.21</v>
      </c>
      <c r="E21" s="73">
        <f>ROUND((E20)*D21,6)</f>
        <v>0.20022300000000001</v>
      </c>
    </row>
    <row r="22" spans="1:5" ht="13" x14ac:dyDescent="0.3">
      <c r="A22" s="254">
        <v>9</v>
      </c>
      <c r="B22" s="71" t="s">
        <v>216</v>
      </c>
      <c r="C22" s="72"/>
      <c r="D22" s="72"/>
      <c r="E22" s="257">
        <f>ROUND(1-E21-E18,6)</f>
        <v>0.75322100000000003</v>
      </c>
    </row>
    <row r="23" spans="1:5" ht="13" x14ac:dyDescent="0.3">
      <c r="A23" s="72"/>
      <c r="B23" s="72"/>
      <c r="C23" s="72"/>
      <c r="D23" s="72"/>
      <c r="E23" s="254"/>
    </row>
    <row r="26" spans="1:5" x14ac:dyDescent="0.25">
      <c r="E26" s="258"/>
    </row>
  </sheetData>
  <printOptions horizontalCentered="1"/>
  <pageMargins left="0.68" right="0.56000000000000005" top="1" bottom="1" header="0.5" footer="0.5"/>
  <pageSetup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9"/>
  <sheetViews>
    <sheetView workbookViewId="0">
      <selection activeCell="A38" sqref="A38"/>
    </sheetView>
  </sheetViews>
  <sheetFormatPr defaultColWidth="8.6328125" defaultRowHeight="12.5" x14ac:dyDescent="0.25"/>
  <cols>
    <col min="1" max="1" width="37.36328125" style="125" customWidth="1"/>
    <col min="2" max="2" width="11.54296875" style="125" customWidth="1"/>
    <col min="3" max="4" width="15.6328125" style="125" bestFit="1" customWidth="1"/>
    <col min="5" max="5" width="13.90625" style="125" bestFit="1" customWidth="1"/>
    <col min="6" max="6" width="12.453125" style="125" customWidth="1"/>
    <col min="7" max="7" width="13.08984375" style="125" customWidth="1"/>
    <col min="8" max="8" width="13.36328125" style="125" customWidth="1"/>
    <col min="9" max="16384" width="8.6328125" style="125"/>
  </cols>
  <sheetData>
    <row r="1" spans="1:8" ht="13" x14ac:dyDescent="0.3">
      <c r="A1" s="127">
        <v>44925</v>
      </c>
      <c r="B1" s="128"/>
      <c r="C1" s="128"/>
      <c r="D1" s="128"/>
      <c r="E1" s="128"/>
      <c r="F1" s="128"/>
      <c r="G1" s="128"/>
      <c r="H1" s="128"/>
    </row>
    <row r="2" spans="1:8" ht="13" x14ac:dyDescent="0.3">
      <c r="A2" s="129" t="s">
        <v>151</v>
      </c>
      <c r="B2" s="128"/>
      <c r="C2" s="128"/>
      <c r="D2" s="128"/>
      <c r="E2" s="128"/>
      <c r="F2" s="128"/>
      <c r="G2" s="128"/>
      <c r="H2" s="128"/>
    </row>
    <row r="3" spans="1:8" ht="13" x14ac:dyDescent="0.3">
      <c r="A3" s="129" t="s">
        <v>152</v>
      </c>
      <c r="B3" s="128"/>
      <c r="C3" s="128"/>
      <c r="D3" s="128"/>
      <c r="E3" s="128"/>
      <c r="F3" s="128"/>
      <c r="G3" s="128"/>
      <c r="H3" s="128"/>
    </row>
    <row r="4" spans="1:8" ht="13" x14ac:dyDescent="0.3">
      <c r="A4" s="129" t="s">
        <v>177</v>
      </c>
      <c r="B4" s="128"/>
      <c r="C4" s="128"/>
      <c r="D4" s="128"/>
      <c r="E4" s="128"/>
      <c r="F4" s="128"/>
      <c r="G4" s="128"/>
      <c r="H4" s="128"/>
    </row>
    <row r="5" spans="1:8" ht="13.5" thickBot="1" x14ac:dyDescent="0.35">
      <c r="A5" s="130" t="s">
        <v>178</v>
      </c>
      <c r="B5" s="131"/>
      <c r="C5" s="131"/>
      <c r="D5" s="131"/>
      <c r="E5" s="131"/>
      <c r="F5" s="131"/>
      <c r="G5" s="131"/>
      <c r="H5" s="131"/>
    </row>
    <row r="6" spans="1:8" ht="13" thickTop="1" x14ac:dyDescent="0.25">
      <c r="C6" s="99" t="s">
        <v>153</v>
      </c>
      <c r="D6" s="99" t="s">
        <v>154</v>
      </c>
      <c r="E6" s="99" t="s">
        <v>11</v>
      </c>
      <c r="F6" s="99" t="s">
        <v>12</v>
      </c>
      <c r="G6" s="99" t="s">
        <v>12</v>
      </c>
      <c r="H6" s="99" t="s">
        <v>155</v>
      </c>
    </row>
    <row r="7" spans="1:8" x14ac:dyDescent="0.25">
      <c r="A7" s="132" t="s">
        <v>156</v>
      </c>
      <c r="B7" s="125" t="s">
        <v>157</v>
      </c>
      <c r="C7" s="100">
        <v>23600201</v>
      </c>
      <c r="D7" s="100">
        <v>23600232</v>
      </c>
      <c r="E7" s="100">
        <v>23600211</v>
      </c>
      <c r="F7" s="100">
        <v>23600221</v>
      </c>
      <c r="G7" s="100">
        <v>23600221</v>
      </c>
      <c r="H7" s="100"/>
    </row>
    <row r="8" spans="1:8" x14ac:dyDescent="0.25">
      <c r="A8" s="115" t="s">
        <v>158</v>
      </c>
      <c r="B8" s="125" t="s">
        <v>159</v>
      </c>
      <c r="C8" s="100">
        <v>18238041</v>
      </c>
      <c r="D8" s="100">
        <v>18238042</v>
      </c>
      <c r="E8" s="100">
        <v>18238041</v>
      </c>
      <c r="F8" s="100">
        <v>18238041</v>
      </c>
      <c r="G8" s="100">
        <v>18238041</v>
      </c>
      <c r="H8" s="100"/>
    </row>
    <row r="9" spans="1:8" x14ac:dyDescent="0.25">
      <c r="A9" s="125" t="s">
        <v>160</v>
      </c>
      <c r="B9" s="125" t="s">
        <v>161</v>
      </c>
      <c r="C9" s="100">
        <v>40810006</v>
      </c>
      <c r="D9" s="100">
        <v>40810304</v>
      </c>
      <c r="E9" s="100">
        <v>40810013</v>
      </c>
      <c r="F9" s="100">
        <v>40810012</v>
      </c>
      <c r="G9" s="100">
        <v>40810012</v>
      </c>
      <c r="H9" s="100"/>
    </row>
    <row r="10" spans="1:8" ht="13.5" thickBot="1" x14ac:dyDescent="0.35">
      <c r="A10" s="133"/>
      <c r="B10" s="133"/>
      <c r="C10" s="134" t="s">
        <v>162</v>
      </c>
      <c r="D10" s="134" t="s">
        <v>163</v>
      </c>
      <c r="E10" s="134" t="s">
        <v>164</v>
      </c>
      <c r="F10" s="135" t="s">
        <v>165</v>
      </c>
      <c r="G10" s="135" t="s">
        <v>165</v>
      </c>
      <c r="H10" s="136" t="s">
        <v>166</v>
      </c>
    </row>
    <row r="11" spans="1:8" ht="13" thickTop="1" x14ac:dyDescent="0.25">
      <c r="A11" s="137"/>
      <c r="B11" s="138"/>
      <c r="C11" s="101"/>
      <c r="D11" s="101"/>
      <c r="E11" s="101"/>
      <c r="F11" s="139"/>
      <c r="G11" s="139"/>
      <c r="H11" s="112"/>
    </row>
    <row r="12" spans="1:8" ht="14.5" x14ac:dyDescent="0.35">
      <c r="A12" s="115" t="s">
        <v>184</v>
      </c>
      <c r="B12" s="140"/>
      <c r="C12" s="102">
        <v>4171425000</v>
      </c>
      <c r="D12" s="103">
        <v>2188594000</v>
      </c>
      <c r="E12" s="103">
        <v>234944003</v>
      </c>
      <c r="F12" s="103">
        <v>47700000</v>
      </c>
      <c r="G12" s="104">
        <v>47700000</v>
      </c>
      <c r="H12" s="108"/>
    </row>
    <row r="13" spans="1:8" x14ac:dyDescent="0.25">
      <c r="A13" s="115" t="s">
        <v>167</v>
      </c>
      <c r="C13" s="105">
        <v>0.05</v>
      </c>
      <c r="D13" s="105">
        <v>0.05</v>
      </c>
      <c r="E13" s="106"/>
      <c r="F13" s="107"/>
      <c r="G13" s="107"/>
      <c r="H13" s="108"/>
    </row>
    <row r="14" spans="1:8" ht="14.5" x14ac:dyDescent="0.35">
      <c r="A14" s="141" t="s">
        <v>179</v>
      </c>
      <c r="B14" s="142"/>
      <c r="C14" s="108">
        <v>208571250</v>
      </c>
      <c r="D14" s="108">
        <v>109429700</v>
      </c>
      <c r="E14" s="108">
        <f>+E12*E13</f>
        <v>0</v>
      </c>
      <c r="F14" s="108">
        <f>+F12*F13</f>
        <v>0</v>
      </c>
      <c r="G14" s="108">
        <f>+G12*G13</f>
        <v>0</v>
      </c>
      <c r="H14" s="108"/>
    </row>
    <row r="15" spans="1:8" x14ac:dyDescent="0.25">
      <c r="A15" s="143"/>
      <c r="C15" s="109"/>
      <c r="D15" s="109"/>
      <c r="E15" s="109"/>
      <c r="F15" s="109"/>
      <c r="G15" s="108"/>
      <c r="H15" s="108"/>
    </row>
    <row r="16" spans="1:8" ht="13" x14ac:dyDescent="0.3">
      <c r="A16" s="115" t="s">
        <v>172</v>
      </c>
      <c r="B16" s="142"/>
      <c r="C16" s="94">
        <v>4379996250</v>
      </c>
      <c r="D16" s="94">
        <v>2298023700</v>
      </c>
      <c r="E16" s="94">
        <v>234944003</v>
      </c>
      <c r="F16" s="95">
        <v>47700000</v>
      </c>
      <c r="G16" s="95">
        <v>47900000</v>
      </c>
      <c r="H16" s="108"/>
    </row>
    <row r="17" spans="1:9" x14ac:dyDescent="0.25">
      <c r="A17" s="143"/>
      <c r="C17" s="105"/>
      <c r="D17" s="105"/>
      <c r="E17" s="105"/>
      <c r="F17" s="110"/>
      <c r="G17" s="110"/>
      <c r="H17" s="108"/>
    </row>
    <row r="18" spans="1:9" ht="13" x14ac:dyDescent="0.3">
      <c r="A18" s="144" t="s">
        <v>180</v>
      </c>
      <c r="B18" s="111"/>
      <c r="C18" s="109">
        <v>0.94279999999999997</v>
      </c>
      <c r="D18" s="109">
        <v>0.95579999999999998</v>
      </c>
      <c r="E18" s="109">
        <v>0.06</v>
      </c>
      <c r="F18" s="109"/>
      <c r="G18" s="109"/>
      <c r="H18" s="108"/>
    </row>
    <row r="19" spans="1:9" x14ac:dyDescent="0.25">
      <c r="A19" s="115"/>
      <c r="C19" s="112"/>
      <c r="D19" s="112"/>
      <c r="E19" s="112"/>
      <c r="F19" s="112"/>
      <c r="G19" s="108"/>
      <c r="H19" s="108"/>
    </row>
    <row r="20" spans="1:9" ht="14.5" x14ac:dyDescent="0.35">
      <c r="A20" s="115" t="s">
        <v>181</v>
      </c>
      <c r="B20" s="142"/>
      <c r="C20" s="113">
        <f>ROUND(C16*C18,0)</f>
        <v>4129460465</v>
      </c>
      <c r="D20" s="113">
        <f>ROUND(D16*D18,0)</f>
        <v>2196451052</v>
      </c>
      <c r="E20" s="113">
        <v>14096640</v>
      </c>
      <c r="F20" s="113">
        <v>47700000</v>
      </c>
      <c r="G20" s="113">
        <v>47900000</v>
      </c>
      <c r="H20" s="108"/>
    </row>
    <row r="21" spans="1:9" x14ac:dyDescent="0.25">
      <c r="A21" s="115"/>
      <c r="C21" s="112"/>
      <c r="D21" s="112"/>
      <c r="E21" s="112"/>
      <c r="F21" s="112"/>
      <c r="G21" s="108"/>
      <c r="H21" s="114"/>
    </row>
    <row r="22" spans="1:9" ht="14.5" x14ac:dyDescent="0.35">
      <c r="A22" s="115" t="s">
        <v>182</v>
      </c>
      <c r="B22" s="116"/>
      <c r="C22" s="117">
        <v>10.06</v>
      </c>
      <c r="D22" s="117">
        <v>10.16</v>
      </c>
      <c r="E22" s="117">
        <v>457.97</v>
      </c>
      <c r="F22" s="117">
        <v>11.37</v>
      </c>
      <c r="G22" s="117">
        <v>11.37</v>
      </c>
      <c r="H22" s="108"/>
    </row>
    <row r="23" spans="1:9" x14ac:dyDescent="0.25">
      <c r="A23" s="115"/>
      <c r="C23" s="112"/>
      <c r="D23" s="112"/>
      <c r="E23" s="112"/>
      <c r="F23" s="100"/>
      <c r="G23" s="118"/>
      <c r="H23" s="108"/>
    </row>
    <row r="24" spans="1:9" x14ac:dyDescent="0.25">
      <c r="A24" s="115" t="s">
        <v>169</v>
      </c>
      <c r="C24" s="113">
        <f>ROUND(C20*C22/1000,0)</f>
        <v>41542372</v>
      </c>
      <c r="D24" s="113">
        <f>ROUND(D20*D22/1000,0)</f>
        <v>22315943</v>
      </c>
      <c r="E24" s="113">
        <v>6455838</v>
      </c>
      <c r="F24" s="113">
        <v>271175</v>
      </c>
      <c r="G24" s="113">
        <v>271175</v>
      </c>
      <c r="H24" s="108"/>
    </row>
    <row r="25" spans="1:9" x14ac:dyDescent="0.25">
      <c r="A25" s="115"/>
      <c r="C25" s="113"/>
      <c r="D25" s="113"/>
      <c r="E25" s="113">
        <v>0</v>
      </c>
      <c r="F25" s="113"/>
      <c r="G25" s="113"/>
      <c r="H25" s="108"/>
    </row>
    <row r="26" spans="1:9" x14ac:dyDescent="0.25">
      <c r="A26" s="115" t="s">
        <v>170</v>
      </c>
      <c r="C26" s="119">
        <v>490000</v>
      </c>
      <c r="D26" s="119">
        <v>100000</v>
      </c>
      <c r="E26" s="119"/>
      <c r="F26" s="119"/>
      <c r="G26" s="108"/>
      <c r="H26" s="108"/>
    </row>
    <row r="27" spans="1:9" x14ac:dyDescent="0.25">
      <c r="A27" s="115" t="s">
        <v>168</v>
      </c>
      <c r="C27" s="119">
        <v>240000</v>
      </c>
      <c r="D27" s="119">
        <v>7000</v>
      </c>
      <c r="E27" s="119"/>
      <c r="F27" s="119"/>
      <c r="G27" s="108"/>
      <c r="H27" s="108"/>
    </row>
    <row r="28" spans="1:9" x14ac:dyDescent="0.25">
      <c r="A28" s="145" t="s">
        <v>220</v>
      </c>
      <c r="C28" s="120"/>
      <c r="D28" s="120">
        <v>-1505280</v>
      </c>
      <c r="E28" s="119"/>
      <c r="F28" s="119"/>
      <c r="G28" s="108"/>
      <c r="H28" s="108"/>
    </row>
    <row r="29" spans="1:9" ht="13" x14ac:dyDescent="0.3">
      <c r="A29" s="145" t="s">
        <v>219</v>
      </c>
      <c r="B29" s="146"/>
      <c r="C29" s="121">
        <v>75000</v>
      </c>
      <c r="D29" s="121">
        <v>10000</v>
      </c>
      <c r="E29" s="119">
        <v>5000</v>
      </c>
      <c r="F29" s="119"/>
      <c r="G29" s="108"/>
      <c r="H29" s="120"/>
    </row>
    <row r="30" spans="1:9" s="259" customFormat="1" x14ac:dyDescent="0.25">
      <c r="A30" s="145" t="s">
        <v>218</v>
      </c>
      <c r="C30" s="121"/>
      <c r="D30" s="121">
        <v>-4342</v>
      </c>
      <c r="E30" s="119"/>
      <c r="F30" s="119"/>
      <c r="G30" s="108"/>
      <c r="H30" s="120"/>
      <c r="I30" s="260"/>
    </row>
    <row r="31" spans="1:9" ht="13.5" thickBot="1" x14ac:dyDescent="0.35">
      <c r="A31" s="145" t="s">
        <v>183</v>
      </c>
      <c r="C31" s="122">
        <f>SUM(C24:C30)</f>
        <v>42347372</v>
      </c>
      <c r="D31" s="122">
        <f>SUM(D24:D30)</f>
        <v>20923321</v>
      </c>
      <c r="E31" s="122">
        <f t="shared" ref="E31:G31" si="0">SUM(E24:E30)</f>
        <v>6460838</v>
      </c>
      <c r="F31" s="122">
        <f t="shared" si="0"/>
        <v>271175</v>
      </c>
      <c r="G31" s="122">
        <f t="shared" si="0"/>
        <v>271175</v>
      </c>
      <c r="H31" s="123">
        <f>SUM(C31:G31)</f>
        <v>70273881</v>
      </c>
    </row>
    <row r="32" spans="1:9" ht="13" thickTop="1" x14ac:dyDescent="0.25"/>
    <row r="33" spans="1:8" x14ac:dyDescent="0.25">
      <c r="A33" s="147"/>
      <c r="B33" s="147"/>
      <c r="C33" s="148"/>
      <c r="D33" s="148"/>
      <c r="E33" s="148"/>
      <c r="F33" s="148"/>
      <c r="G33" s="148"/>
      <c r="H33" s="147"/>
    </row>
    <row r="34" spans="1:8" x14ac:dyDescent="0.25">
      <c r="A34" s="149"/>
      <c r="C34" s="124"/>
      <c r="D34" s="124"/>
      <c r="E34" s="124"/>
      <c r="F34" s="124"/>
      <c r="G34" s="124"/>
    </row>
    <row r="36" spans="1:8" ht="14.5" x14ac:dyDescent="0.35">
      <c r="B36" s="2" t="s">
        <v>0</v>
      </c>
      <c r="C36" s="96">
        <f>+C31+E31+F31+G31</f>
        <v>49350560</v>
      </c>
      <c r="D36" s="2"/>
    </row>
    <row r="37" spans="1:8" ht="14.5" x14ac:dyDescent="0.35">
      <c r="B37" s="2" t="s">
        <v>1</v>
      </c>
      <c r="C37" s="96">
        <f>+D31</f>
        <v>20923321</v>
      </c>
      <c r="D37" s="2"/>
    </row>
    <row r="38" spans="1:8" ht="15" thickBot="1" x14ac:dyDescent="0.4">
      <c r="B38" s="2"/>
      <c r="C38" s="97">
        <f>SUM(C36:C37)</f>
        <v>70273881</v>
      </c>
      <c r="D38" s="2"/>
    </row>
    <row r="39" spans="1:8" ht="15" thickTop="1" x14ac:dyDescent="0.35">
      <c r="B39" s="2"/>
      <c r="C39" s="98">
        <f>H31-C38</f>
        <v>0</v>
      </c>
      <c r="D39" s="47" t="s">
        <v>171</v>
      </c>
    </row>
  </sheetData>
  <pageMargins left="0.7" right="0.7" top="0.75" bottom="0.75" header="0.3" footer="0.3"/>
  <pageSetup scale="65" orientation="landscape" r:id="rId1"/>
  <headerFooter alignWithMargins="0">
    <oddFooter>&amp;L&amp;D &amp;T&amp;C&amp;A&amp;R&amp;8&amp;Z&amp;F</oddFooter>
  </headerFooter>
  <customProperties>
    <customPr name="_pios_id" r:id="rId2"/>
  </customPropertie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1" sqref="B31"/>
    </sheetView>
  </sheetViews>
  <sheetFormatPr defaultColWidth="9.08984375" defaultRowHeight="14.5" x14ac:dyDescent="0.35"/>
  <cols>
    <col min="1" max="16384" width="9.08984375" style="2"/>
  </cols>
  <sheetData/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="90" zoomScaleNormal="90" workbookViewId="0">
      <pane xSplit="2" ySplit="4" topLeftCell="C5" activePane="bottomRight" state="frozen"/>
      <selection activeCell="B31" sqref="B31"/>
      <selection pane="topRight" activeCell="B31" sqref="B31"/>
      <selection pane="bottomLeft" activeCell="B31" sqref="B31"/>
      <selection pane="bottomRight" activeCell="H15" sqref="H15:I15"/>
    </sheetView>
  </sheetViews>
  <sheetFormatPr defaultColWidth="9.08984375" defaultRowHeight="14.5" x14ac:dyDescent="0.35"/>
  <cols>
    <col min="1" max="1" width="5.08984375" style="150" customWidth="1"/>
    <col min="2" max="2" width="46.36328125" style="2" bestFit="1" customWidth="1"/>
    <col min="3" max="3" width="8.90625" style="33" bestFit="1" customWidth="1"/>
    <col min="4" max="4" width="14" style="2" bestFit="1" customWidth="1"/>
    <col min="5" max="6" width="13.36328125" style="2" bestFit="1" customWidth="1"/>
    <col min="7" max="7" width="3.6328125" style="2" customWidth="1"/>
    <col min="8" max="8" width="13.6328125" style="2" bestFit="1" customWidth="1"/>
    <col min="9" max="9" width="13.453125" style="2" bestFit="1" customWidth="1"/>
    <col min="10" max="10" width="14.54296875" style="2" bestFit="1" customWidth="1"/>
    <col min="11" max="16384" width="9.08984375" style="2"/>
  </cols>
  <sheetData>
    <row r="1" spans="1:10" ht="18.5" x14ac:dyDescent="0.45">
      <c r="A1" s="31" t="s">
        <v>173</v>
      </c>
      <c r="C1" s="32"/>
    </row>
    <row r="2" spans="1:10" ht="18.5" x14ac:dyDescent="0.45">
      <c r="B2" s="31"/>
      <c r="C2" s="32"/>
    </row>
    <row r="3" spans="1:10" x14ac:dyDescent="0.35">
      <c r="D3" s="34" t="s">
        <v>22</v>
      </c>
      <c r="E3" s="35"/>
      <c r="F3" s="36"/>
      <c r="H3" s="34" t="s">
        <v>23</v>
      </c>
      <c r="I3" s="36"/>
      <c r="J3" s="36"/>
    </row>
    <row r="4" spans="1:10" x14ac:dyDescent="0.35">
      <c r="D4" s="37" t="s">
        <v>0</v>
      </c>
      <c r="E4" s="37" t="s">
        <v>1</v>
      </c>
      <c r="F4" s="37" t="s">
        <v>2</v>
      </c>
      <c r="H4" s="37" t="s">
        <v>0</v>
      </c>
      <c r="I4" s="37" t="s">
        <v>1</v>
      </c>
      <c r="J4" s="37" t="s">
        <v>2</v>
      </c>
    </row>
    <row r="5" spans="1:10" x14ac:dyDescent="0.35">
      <c r="H5" s="2">
        <v>0.95111500000000004</v>
      </c>
      <c r="I5" s="2">
        <v>0.95455299999999998</v>
      </c>
    </row>
    <row r="6" spans="1:10" x14ac:dyDescent="0.35">
      <c r="A6" s="150">
        <v>1</v>
      </c>
      <c r="B6" s="2" t="s">
        <v>148</v>
      </c>
      <c r="C6" s="39"/>
      <c r="D6" s="13">
        <v>53428159.695488028</v>
      </c>
      <c r="E6" s="13">
        <v>20925693.974542998</v>
      </c>
      <c r="F6" s="13">
        <v>74353853.670031026</v>
      </c>
      <c r="H6" s="13">
        <v>56174237.285173744</v>
      </c>
      <c r="I6" s="13">
        <v>21921982.304327782</v>
      </c>
      <c r="J6" s="13">
        <v>78096219.58950153</v>
      </c>
    </row>
    <row r="8" spans="1:10" x14ac:dyDescent="0.35">
      <c r="A8" s="150">
        <v>2</v>
      </c>
      <c r="B8" s="2" t="s">
        <v>3</v>
      </c>
      <c r="E8" s="48"/>
    </row>
    <row r="9" spans="1:10" x14ac:dyDescent="0.35">
      <c r="A9" s="150">
        <v>3</v>
      </c>
      <c r="B9" s="38" t="s">
        <v>149</v>
      </c>
      <c r="C9" s="48"/>
      <c r="D9" s="3">
        <v>50194093</v>
      </c>
      <c r="E9" s="3">
        <v>20504150</v>
      </c>
      <c r="F9" s="3">
        <v>70698243</v>
      </c>
      <c r="H9" s="13">
        <v>52773947.419607513</v>
      </c>
      <c r="I9" s="13">
        <v>21480368.298041072</v>
      </c>
      <c r="J9" s="3">
        <v>74254315.717648581</v>
      </c>
    </row>
    <row r="10" spans="1:10" x14ac:dyDescent="0.35">
      <c r="A10" s="150">
        <v>4</v>
      </c>
      <c r="B10" s="38" t="s">
        <v>148</v>
      </c>
      <c r="C10" s="39" t="s">
        <v>24</v>
      </c>
      <c r="D10" s="3">
        <v>53428159.695488028</v>
      </c>
      <c r="E10" s="3">
        <v>20925693.974542998</v>
      </c>
      <c r="F10" s="3">
        <v>74353853.670031026</v>
      </c>
      <c r="H10" s="13">
        <v>56174237.285173744</v>
      </c>
      <c r="I10" s="13">
        <v>21921982.304327782</v>
      </c>
      <c r="J10" s="3">
        <v>78096219.58950153</v>
      </c>
    </row>
    <row r="11" spans="1:10" x14ac:dyDescent="0.35">
      <c r="A11" s="150">
        <v>5</v>
      </c>
      <c r="B11" s="2" t="s">
        <v>150</v>
      </c>
      <c r="D11" s="3">
        <v>-1800061.3179087457</v>
      </c>
      <c r="E11" s="3">
        <v>137451.57342060967</v>
      </c>
      <c r="F11" s="3">
        <v>-1662609.7444881361</v>
      </c>
      <c r="H11" s="13">
        <v>-1892580.0958966536</v>
      </c>
      <c r="I11" s="13">
        <v>143995.74818853397</v>
      </c>
      <c r="J11" s="3">
        <v>-1748584.3477081195</v>
      </c>
    </row>
    <row r="12" spans="1:10" x14ac:dyDescent="0.35">
      <c r="D12" s="14"/>
      <c r="E12" s="14"/>
      <c r="F12" s="14"/>
      <c r="H12" s="40">
        <v>0</v>
      </c>
      <c r="I12" s="40">
        <v>0</v>
      </c>
      <c r="J12" s="41" t="s">
        <v>117</v>
      </c>
    </row>
    <row r="13" spans="1:10" x14ac:dyDescent="0.35">
      <c r="A13" s="150">
        <v>6</v>
      </c>
      <c r="B13" s="2" t="s">
        <v>118</v>
      </c>
      <c r="C13" s="39" t="s">
        <v>26</v>
      </c>
      <c r="D13" s="3">
        <v>-5034128.0133967735</v>
      </c>
      <c r="E13" s="3">
        <v>-284092.40112238808</v>
      </c>
      <c r="F13" s="3">
        <v>-5318220.4145191619</v>
      </c>
      <c r="H13" s="3">
        <v>-5292869.9614628851</v>
      </c>
      <c r="I13" s="3">
        <v>-297618.25809817656</v>
      </c>
      <c r="J13" s="3">
        <v>-5590488.2195610618</v>
      </c>
    </row>
    <row r="14" spans="1:10" x14ac:dyDescent="0.35">
      <c r="D14" s="14"/>
      <c r="E14" s="14"/>
      <c r="F14" s="14"/>
      <c r="H14" s="14"/>
      <c r="I14" s="14"/>
      <c r="J14" s="14"/>
    </row>
    <row r="15" spans="1:10" ht="15" thickBot="1" x14ac:dyDescent="0.4">
      <c r="A15" s="150">
        <v>7</v>
      </c>
      <c r="B15" s="2" t="s">
        <v>21</v>
      </c>
      <c r="C15" s="39" t="s">
        <v>25</v>
      </c>
      <c r="D15" s="15">
        <v>48394031.682091251</v>
      </c>
      <c r="E15" s="15">
        <v>20641601.57342061</v>
      </c>
      <c r="F15" s="15">
        <v>69035633.255511865</v>
      </c>
      <c r="H15" s="15">
        <v>50881367.323710859</v>
      </c>
      <c r="I15" s="15">
        <v>21624364.046229605</v>
      </c>
      <c r="J15" s="15">
        <v>72505731.36994046</v>
      </c>
    </row>
    <row r="16" spans="1:10" ht="15" thickTop="1" x14ac:dyDescent="0.35"/>
    <row r="18" spans="1:10" x14ac:dyDescent="0.35">
      <c r="A18" s="150">
        <v>8</v>
      </c>
      <c r="B18" s="2" t="s">
        <v>4</v>
      </c>
      <c r="C18" s="39" t="s">
        <v>137</v>
      </c>
      <c r="D18" s="13">
        <v>35611910.166166753</v>
      </c>
      <c r="E18" s="13">
        <v>13770653.30201238</v>
      </c>
      <c r="F18" s="13">
        <v>49382563.468179137</v>
      </c>
      <c r="H18" s="13">
        <v>37442275.819608308</v>
      </c>
      <c r="I18" s="13">
        <v>14426284.661000885</v>
      </c>
      <c r="J18" s="13">
        <v>51868560.480609193</v>
      </c>
    </row>
    <row r="19" spans="1:10" x14ac:dyDescent="0.35">
      <c r="A19" s="150">
        <v>9</v>
      </c>
      <c r="B19" s="2" t="s">
        <v>5</v>
      </c>
      <c r="C19" s="48"/>
      <c r="D19" s="3">
        <v>12782121.5159245</v>
      </c>
      <c r="E19" s="3">
        <v>6870948.2714082301</v>
      </c>
      <c r="F19" s="3">
        <v>19653069.787332729</v>
      </c>
      <c r="H19" s="1">
        <v>13439091.504102552</v>
      </c>
      <c r="I19" s="1">
        <v>7198079.3852287196</v>
      </c>
      <c r="J19" s="3">
        <v>20637170.889331274</v>
      </c>
    </row>
    <row r="20" spans="1:10" x14ac:dyDescent="0.35">
      <c r="D20" s="14"/>
      <c r="E20" s="14"/>
      <c r="F20" s="14"/>
      <c r="H20" s="14"/>
      <c r="I20" s="14"/>
      <c r="J20" s="14"/>
    </row>
    <row r="21" spans="1:10" ht="15" thickBot="1" x14ac:dyDescent="0.4">
      <c r="A21" s="150">
        <v>10</v>
      </c>
      <c r="B21" s="2" t="s">
        <v>21</v>
      </c>
      <c r="C21" s="39" t="s">
        <v>27</v>
      </c>
      <c r="D21" s="15">
        <v>48394031.682091251</v>
      </c>
      <c r="E21" s="15">
        <v>20641601.57342061</v>
      </c>
      <c r="F21" s="15">
        <v>69035633.255511865</v>
      </c>
      <c r="H21" s="15">
        <v>50881367.323710859</v>
      </c>
      <c r="I21" s="15">
        <v>21624364.046229605</v>
      </c>
      <c r="J21" s="15">
        <v>72505731.36994046</v>
      </c>
    </row>
    <row r="22" spans="1:10" ht="15" thickTop="1" x14ac:dyDescent="0.35"/>
    <row r="23" spans="1:10" x14ac:dyDescent="0.35">
      <c r="D23" s="13"/>
      <c r="E23" s="13"/>
      <c r="F23" s="13"/>
    </row>
    <row r="24" spans="1:10" x14ac:dyDescent="0.35">
      <c r="A24" s="150">
        <v>11</v>
      </c>
      <c r="B24" s="2" t="s">
        <v>6</v>
      </c>
    </row>
    <row r="25" spans="1:10" x14ac:dyDescent="0.35">
      <c r="A25" s="150">
        <f>+A24+1</f>
        <v>12</v>
      </c>
      <c r="B25" s="38" t="s">
        <v>7</v>
      </c>
      <c r="D25" s="3">
        <v>-1195016.5</v>
      </c>
      <c r="E25" s="3">
        <v>1000008</v>
      </c>
      <c r="F25" s="3">
        <v>-195008.5</v>
      </c>
      <c r="H25" s="1">
        <v>-1256437.4444730657</v>
      </c>
      <c r="I25" s="1">
        <v>1047619.1473915016</v>
      </c>
      <c r="J25" s="3">
        <v>-208818.29708156409</v>
      </c>
    </row>
    <row r="26" spans="1:10" x14ac:dyDescent="0.35">
      <c r="A26" s="150">
        <f t="shared" ref="A26:A27" si="0">+A25+1</f>
        <v>13</v>
      </c>
      <c r="B26" s="38" t="s">
        <v>9</v>
      </c>
      <c r="D26" s="3">
        <v>-3839111.5133967767</v>
      </c>
      <c r="E26" s="3">
        <v>-1284100.4011223894</v>
      </c>
      <c r="F26" s="3">
        <v>-5123211.9145191666</v>
      </c>
      <c r="H26" s="1">
        <v>-4036432.5169898239</v>
      </c>
      <c r="I26" s="1">
        <v>-1345237.4054896787</v>
      </c>
      <c r="J26" s="3">
        <v>-5381669.9224795029</v>
      </c>
    </row>
    <row r="27" spans="1:10" ht="15" thickBot="1" x14ac:dyDescent="0.4">
      <c r="A27" s="150">
        <f t="shared" si="0"/>
        <v>14</v>
      </c>
      <c r="B27" s="2" t="s">
        <v>8</v>
      </c>
      <c r="D27" s="42">
        <v>-5034128.0133967772</v>
      </c>
      <c r="E27" s="42">
        <v>-284092.40112238936</v>
      </c>
      <c r="F27" s="42">
        <v>-5318220.4145191666</v>
      </c>
      <c r="H27" s="42">
        <v>-5292869.9614628898</v>
      </c>
      <c r="I27" s="42">
        <v>-297618.25809817715</v>
      </c>
      <c r="J27" s="42">
        <v>-5590488.2195610665</v>
      </c>
    </row>
    <row r="28" spans="1:10" ht="15" thickTop="1" x14ac:dyDescent="0.35">
      <c r="D28" s="16">
        <f>D27-D13</f>
        <v>0</v>
      </c>
      <c r="E28" s="16">
        <f>E27-E13</f>
        <v>-1.280568540096283E-9</v>
      </c>
      <c r="F28" s="16">
        <f>F27-F13</f>
        <v>0</v>
      </c>
      <c r="G28" s="43"/>
      <c r="H28" s="77">
        <f>H27-H13</f>
        <v>0</v>
      </c>
      <c r="I28" s="16">
        <f>I27-I13</f>
        <v>-5.8207660913467407E-10</v>
      </c>
      <c r="J28" s="16">
        <f>J27-J13</f>
        <v>0</v>
      </c>
    </row>
    <row r="29" spans="1:10" x14ac:dyDescent="0.35">
      <c r="D29" s="1"/>
      <c r="E29" s="1"/>
      <c r="H29" s="13"/>
      <c r="I29" s="13"/>
      <c r="J29" s="13"/>
    </row>
    <row r="30" spans="1:10" x14ac:dyDescent="0.35">
      <c r="A30" s="150">
        <f>+A27+1</f>
        <v>15</v>
      </c>
      <c r="B30" s="44" t="s">
        <v>70</v>
      </c>
      <c r="C30" s="39"/>
      <c r="H30" s="78">
        <f>H27/H6</f>
        <v>-9.4222373409239946E-2</v>
      </c>
      <c r="I30" s="78">
        <f>I27/I6</f>
        <v>-1.3576247529377035E-2</v>
      </c>
    </row>
    <row r="31" spans="1:10" x14ac:dyDescent="0.35">
      <c r="A31" s="150">
        <f>+A30+1</f>
        <v>16</v>
      </c>
      <c r="B31" s="44" t="s">
        <v>71</v>
      </c>
      <c r="H31" s="150" t="str">
        <f>IF(ABS(H30)&gt;1%,"yes","no")</f>
        <v>yes</v>
      </c>
      <c r="I31" s="150" t="str">
        <f>IF(ABS(I30)&gt;1%,"yes","no")</f>
        <v>yes</v>
      </c>
    </row>
    <row r="32" spans="1:10" x14ac:dyDescent="0.35">
      <c r="A32" s="150">
        <f t="shared" ref="A32:A33" si="1">+A31+1</f>
        <v>17</v>
      </c>
      <c r="B32" s="45" t="s">
        <v>28</v>
      </c>
    </row>
    <row r="33" spans="1:2" x14ac:dyDescent="0.35">
      <c r="A33" s="150">
        <f t="shared" si="1"/>
        <v>18</v>
      </c>
      <c r="B33" s="45" t="s">
        <v>29</v>
      </c>
    </row>
    <row r="35" spans="1:2" x14ac:dyDescent="0.35">
      <c r="B35" s="46"/>
    </row>
    <row r="36" spans="1:2" x14ac:dyDescent="0.35">
      <c r="B36" s="46"/>
    </row>
  </sheetData>
  <pageMargins left="0.7" right="0.7" top="0.75" bottom="0.75" header="0.3" footer="0.3"/>
  <pageSetup scale="86" orientation="landscape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5"/>
  <sheetViews>
    <sheetView workbookViewId="0">
      <selection activeCell="G20" sqref="G20"/>
    </sheetView>
  </sheetViews>
  <sheetFormatPr defaultColWidth="9.08984375" defaultRowHeight="14.5" x14ac:dyDescent="0.35"/>
  <cols>
    <col min="1" max="1" width="10.90625" style="152" bestFit="1" customWidth="1"/>
    <col min="2" max="2" width="14.36328125" style="152" bestFit="1" customWidth="1"/>
    <col min="3" max="3" width="13.6328125" style="152" bestFit="1" customWidth="1"/>
    <col min="4" max="5" width="13.453125" style="152" bestFit="1" customWidth="1"/>
    <col min="6" max="6" width="13.6328125" style="152" bestFit="1" customWidth="1"/>
    <col min="7" max="7" width="12.54296875" style="152" bestFit="1" customWidth="1"/>
    <col min="8" max="8" width="13.453125" style="152" bestFit="1" customWidth="1"/>
    <col min="9" max="11" width="12.54296875" style="152" customWidth="1"/>
    <col min="12" max="12" width="13.36328125" style="152" bestFit="1" customWidth="1"/>
    <col min="13" max="13" width="9.08984375" style="152"/>
    <col min="14" max="16" width="12.36328125" style="152" bestFit="1" customWidth="1"/>
    <col min="17" max="16384" width="9.08984375" style="152"/>
  </cols>
  <sheetData>
    <row r="1" spans="1:16" ht="15" thickBot="1" x14ac:dyDescent="0.4">
      <c r="A1" s="222" t="s">
        <v>0</v>
      </c>
      <c r="N1" s="221" t="s">
        <v>138</v>
      </c>
      <c r="P1" s="220"/>
    </row>
    <row r="2" spans="1:16" x14ac:dyDescent="0.35">
      <c r="N2" s="219" t="s">
        <v>139</v>
      </c>
      <c r="O2" s="218"/>
      <c r="P2" s="177"/>
    </row>
    <row r="3" spans="1:16" x14ac:dyDescent="0.35">
      <c r="C3" s="217" t="s">
        <v>72</v>
      </c>
      <c r="D3" s="214"/>
      <c r="E3" s="214"/>
      <c r="F3" s="214"/>
      <c r="G3" s="216"/>
      <c r="H3" s="215" t="s">
        <v>73</v>
      </c>
      <c r="I3" s="214"/>
      <c r="J3" s="214"/>
      <c r="K3" s="214"/>
      <c r="L3" s="213"/>
      <c r="N3" s="171"/>
      <c r="O3" s="178"/>
      <c r="P3" s="177"/>
    </row>
    <row r="4" spans="1:16" x14ac:dyDescent="0.35">
      <c r="B4" s="170" t="s">
        <v>74</v>
      </c>
      <c r="C4" s="212" t="s">
        <v>75</v>
      </c>
      <c r="D4" s="211" t="s">
        <v>76</v>
      </c>
      <c r="E4" s="211"/>
      <c r="F4" s="211" t="s">
        <v>75</v>
      </c>
      <c r="G4" s="210"/>
      <c r="H4" s="209"/>
      <c r="I4" s="209"/>
      <c r="J4" s="209"/>
      <c r="K4" s="209"/>
      <c r="L4" s="208"/>
      <c r="N4" s="176" t="s">
        <v>140</v>
      </c>
      <c r="O4" s="178"/>
      <c r="P4" s="177"/>
    </row>
    <row r="5" spans="1:16" x14ac:dyDescent="0.35">
      <c r="B5" s="170" t="s">
        <v>77</v>
      </c>
      <c r="C5" s="207" t="s">
        <v>78</v>
      </c>
      <c r="D5" s="170" t="s">
        <v>79</v>
      </c>
      <c r="E5" s="170"/>
      <c r="F5" s="170" t="s">
        <v>80</v>
      </c>
      <c r="G5" s="79" t="s">
        <v>81</v>
      </c>
      <c r="H5" s="178"/>
      <c r="I5" s="178"/>
      <c r="J5" s="178"/>
      <c r="K5" s="170" t="s">
        <v>82</v>
      </c>
      <c r="L5" s="80" t="s">
        <v>81</v>
      </c>
      <c r="N5" s="176" t="s">
        <v>86</v>
      </c>
      <c r="O5" s="178"/>
      <c r="P5" s="177"/>
    </row>
    <row r="6" spans="1:16" x14ac:dyDescent="0.35">
      <c r="A6" s="205" t="s">
        <v>83</v>
      </c>
      <c r="B6" s="205" t="s">
        <v>84</v>
      </c>
      <c r="C6" s="206" t="s">
        <v>85</v>
      </c>
      <c r="D6" s="205" t="s">
        <v>86</v>
      </c>
      <c r="E6" s="205" t="s">
        <v>87</v>
      </c>
      <c r="F6" s="205" t="s">
        <v>81</v>
      </c>
      <c r="G6" s="204" t="s">
        <v>13</v>
      </c>
      <c r="H6" s="81" t="s">
        <v>88</v>
      </c>
      <c r="I6" s="81" t="s">
        <v>89</v>
      </c>
      <c r="J6" s="81" t="s">
        <v>87</v>
      </c>
      <c r="K6" s="81" t="s">
        <v>68</v>
      </c>
      <c r="L6" s="203" t="s">
        <v>13</v>
      </c>
      <c r="N6" s="176" t="s">
        <v>76</v>
      </c>
      <c r="O6" s="178"/>
      <c r="P6" s="177"/>
    </row>
    <row r="7" spans="1:16" x14ac:dyDescent="0.35">
      <c r="A7" s="168" t="s">
        <v>141</v>
      </c>
      <c r="C7" s="82" t="s">
        <v>90</v>
      </c>
      <c r="D7" s="202"/>
      <c r="E7" s="178"/>
      <c r="F7" s="178"/>
      <c r="G7" s="181"/>
      <c r="H7" s="178"/>
      <c r="I7" s="178"/>
      <c r="J7" s="178"/>
      <c r="K7" s="178"/>
      <c r="L7" s="201"/>
      <c r="N7" s="171"/>
      <c r="O7" s="178"/>
      <c r="P7" s="177"/>
    </row>
    <row r="8" spans="1:16" x14ac:dyDescent="0.35">
      <c r="A8" s="152" t="s">
        <v>91</v>
      </c>
      <c r="C8" s="200"/>
      <c r="D8" s="178"/>
      <c r="E8" s="178"/>
      <c r="F8" s="178"/>
      <c r="G8" s="199">
        <v>12782117</v>
      </c>
      <c r="H8" s="178"/>
      <c r="I8" s="178"/>
      <c r="J8" s="178"/>
      <c r="K8" s="178"/>
      <c r="L8" s="198">
        <v>4709272</v>
      </c>
      <c r="N8" s="171"/>
      <c r="O8" s="178"/>
      <c r="P8" s="177"/>
    </row>
    <row r="9" spans="1:16" x14ac:dyDescent="0.35">
      <c r="A9" s="152" t="s">
        <v>92</v>
      </c>
      <c r="B9" s="164"/>
      <c r="C9" s="197">
        <f t="shared" ref="C9:C17" si="0">G29</f>
        <v>5865769</v>
      </c>
      <c r="D9" s="83">
        <f>+N9</f>
        <v>-6104992.2330100005</v>
      </c>
      <c r="E9" s="195"/>
      <c r="F9" s="195">
        <f t="shared" ref="F9:F20" si="1">SUM(C9:E9)</f>
        <v>-239223.23301000055</v>
      </c>
      <c r="G9" s="180">
        <f t="shared" ref="G9:G20" si="2">F9+G8</f>
        <v>12542893.766989999</v>
      </c>
      <c r="H9" s="196">
        <v>-1193977</v>
      </c>
      <c r="I9" s="195"/>
      <c r="J9" s="195"/>
      <c r="K9" s="195">
        <f t="shared" ref="K9:K20" si="3">SUM(H9:J9)</f>
        <v>-1193977</v>
      </c>
      <c r="L9" s="189">
        <f t="shared" ref="L9:L20" si="4">L8+K9</f>
        <v>3515295</v>
      </c>
      <c r="N9" s="163">
        <v>-6104992.2330100005</v>
      </c>
      <c r="O9" s="182" t="s">
        <v>196</v>
      </c>
      <c r="P9" s="188"/>
    </row>
    <row r="10" spans="1:16" x14ac:dyDescent="0.35">
      <c r="A10" s="152" t="s">
        <v>93</v>
      </c>
      <c r="B10" s="154"/>
      <c r="C10" s="192">
        <f t="shared" si="0"/>
        <v>5918318</v>
      </c>
      <c r="D10" s="84">
        <f>N10-SUM($D$9:D9)</f>
        <v>-5160950.6752650002</v>
      </c>
      <c r="E10" s="190"/>
      <c r="F10" s="190">
        <f t="shared" si="1"/>
        <v>757367.3247349998</v>
      </c>
      <c r="G10" s="180">
        <f t="shared" si="2"/>
        <v>13300261.091724999</v>
      </c>
      <c r="H10" s="191">
        <f>+H9</f>
        <v>-1193977</v>
      </c>
      <c r="I10" s="190"/>
      <c r="J10" s="190"/>
      <c r="K10" s="190">
        <f t="shared" si="3"/>
        <v>-1193977</v>
      </c>
      <c r="L10" s="189">
        <f t="shared" si="4"/>
        <v>2321318</v>
      </c>
      <c r="N10" s="161">
        <v>-11265942.908275001</v>
      </c>
      <c r="O10" s="182" t="s">
        <v>195</v>
      </c>
      <c r="P10" s="188"/>
    </row>
    <row r="11" spans="1:16" x14ac:dyDescent="0.35">
      <c r="A11" s="152" t="s">
        <v>94</v>
      </c>
      <c r="B11" s="154"/>
      <c r="C11" s="192">
        <f t="shared" si="0"/>
        <v>5915171</v>
      </c>
      <c r="D11" s="84">
        <f>N11-SUM($D$9:D10)</f>
        <v>-4893582.7376150005</v>
      </c>
      <c r="E11" s="190"/>
      <c r="F11" s="190">
        <f t="shared" si="1"/>
        <v>1021588.2623849995</v>
      </c>
      <c r="G11" s="180">
        <f t="shared" si="2"/>
        <v>14321849.354109999</v>
      </c>
      <c r="H11" s="191">
        <v>-1193976</v>
      </c>
      <c r="I11" s="85"/>
      <c r="J11" s="190"/>
      <c r="K11" s="190">
        <f t="shared" si="3"/>
        <v>-1193976</v>
      </c>
      <c r="L11" s="189">
        <f t="shared" si="4"/>
        <v>1127342</v>
      </c>
      <c r="N11" s="161">
        <v>-16159525.645890001</v>
      </c>
      <c r="O11" s="182" t="s">
        <v>194</v>
      </c>
      <c r="P11" s="188"/>
    </row>
    <row r="12" spans="1:16" x14ac:dyDescent="0.35">
      <c r="A12" s="152" t="s">
        <v>95</v>
      </c>
      <c r="B12" s="154"/>
      <c r="C12" s="192">
        <f t="shared" si="0"/>
        <v>4688855</v>
      </c>
      <c r="D12" s="84">
        <f>N12-SUM($D$9:D11)</f>
        <v>-4819243.5892149992</v>
      </c>
      <c r="E12" s="190"/>
      <c r="F12" s="190">
        <f t="shared" si="1"/>
        <v>-130388.58921499923</v>
      </c>
      <c r="G12" s="180">
        <f t="shared" si="2"/>
        <v>14191460.764895</v>
      </c>
      <c r="H12" s="191">
        <f>+H11</f>
        <v>-1193976</v>
      </c>
      <c r="I12" s="85">
        <v>-3983286</v>
      </c>
      <c r="J12" s="190"/>
      <c r="K12" s="190">
        <f t="shared" si="3"/>
        <v>-5177262</v>
      </c>
      <c r="L12" s="189">
        <f t="shared" si="4"/>
        <v>-4049920</v>
      </c>
      <c r="N12" s="161">
        <v>-20978769.235105</v>
      </c>
      <c r="O12" s="182" t="s">
        <v>193</v>
      </c>
      <c r="P12" s="188"/>
    </row>
    <row r="13" spans="1:16" x14ac:dyDescent="0.35">
      <c r="A13" s="152" t="s">
        <v>96</v>
      </c>
      <c r="B13" s="154"/>
      <c r="C13" s="192">
        <f t="shared" si="0"/>
        <v>5115553.28</v>
      </c>
      <c r="D13" s="84">
        <f>N13-SUM($D$9:D12)</f>
        <v>-3719298.8844181523</v>
      </c>
      <c r="E13" s="190">
        <f>-J13</f>
        <v>-12782117</v>
      </c>
      <c r="F13" s="84">
        <f t="shared" si="1"/>
        <v>-11385862.604418151</v>
      </c>
      <c r="G13" s="180">
        <f t="shared" si="2"/>
        <v>2805598.1604768485</v>
      </c>
      <c r="H13" s="191">
        <v>-727683</v>
      </c>
      <c r="I13" s="190"/>
      <c r="J13" s="190">
        <v>12782117</v>
      </c>
      <c r="K13" s="190">
        <f t="shared" si="3"/>
        <v>12054434</v>
      </c>
      <c r="L13" s="189">
        <f t="shared" si="4"/>
        <v>8004514</v>
      </c>
      <c r="N13" s="161">
        <v>-24698068.119523153</v>
      </c>
      <c r="O13" s="182" t="s">
        <v>192</v>
      </c>
      <c r="P13" s="188"/>
    </row>
    <row r="14" spans="1:16" x14ac:dyDescent="0.35">
      <c r="A14" s="86" t="s">
        <v>97</v>
      </c>
      <c r="B14" s="87"/>
      <c r="C14" s="88">
        <f t="shared" si="0"/>
        <v>5111754</v>
      </c>
      <c r="D14" s="84">
        <f>N14-SUM($D$9:D13)</f>
        <v>-3465979.0960299969</v>
      </c>
      <c r="E14" s="84"/>
      <c r="F14" s="84">
        <f t="shared" si="1"/>
        <v>1645774.9039700031</v>
      </c>
      <c r="G14" s="194">
        <f t="shared" si="2"/>
        <v>4451373.0644468516</v>
      </c>
      <c r="H14" s="191">
        <f>H13</f>
        <v>-727683</v>
      </c>
      <c r="I14" s="84"/>
      <c r="J14" s="84"/>
      <c r="K14" s="84">
        <f t="shared" si="3"/>
        <v>-727683</v>
      </c>
      <c r="L14" s="193">
        <f t="shared" si="4"/>
        <v>7276831</v>
      </c>
      <c r="N14" s="161">
        <v>-28164047.21555315</v>
      </c>
      <c r="O14" s="182" t="s">
        <v>191</v>
      </c>
      <c r="P14" s="188"/>
    </row>
    <row r="15" spans="1:16" x14ac:dyDescent="0.35">
      <c r="A15" s="152" t="s">
        <v>69</v>
      </c>
      <c r="B15" s="154"/>
      <c r="C15" s="192">
        <f t="shared" si="0"/>
        <v>5112345</v>
      </c>
      <c r="D15" s="84">
        <f>N15-SUM($D$9:D14)</f>
        <v>-3832700.5065800026</v>
      </c>
      <c r="E15" s="190"/>
      <c r="F15" s="190">
        <f t="shared" si="1"/>
        <v>1279644.4934199974</v>
      </c>
      <c r="G15" s="180">
        <f t="shared" si="2"/>
        <v>5731017.557866849</v>
      </c>
      <c r="H15" s="191">
        <f>H14</f>
        <v>-727683</v>
      </c>
      <c r="I15" s="190"/>
      <c r="J15" s="190"/>
      <c r="K15" s="190">
        <f t="shared" si="3"/>
        <v>-727683</v>
      </c>
      <c r="L15" s="189">
        <f t="shared" si="4"/>
        <v>6549148</v>
      </c>
      <c r="N15" s="161">
        <v>-31996747.722133152</v>
      </c>
      <c r="O15" s="182" t="s">
        <v>190</v>
      </c>
      <c r="P15" s="188"/>
    </row>
    <row r="16" spans="1:16" x14ac:dyDescent="0.35">
      <c r="A16" s="86" t="s">
        <v>98</v>
      </c>
      <c r="B16" s="87"/>
      <c r="C16" s="88">
        <f t="shared" si="0"/>
        <v>1857823</v>
      </c>
      <c r="D16" s="84">
        <f>N16-SUM($D$9:D15)</f>
        <v>-3986449.1974449977</v>
      </c>
      <c r="E16" s="84"/>
      <c r="F16" s="84">
        <f t="shared" si="1"/>
        <v>-2128626.1974449977</v>
      </c>
      <c r="G16" s="89">
        <f t="shared" si="2"/>
        <v>3602391.3604218513</v>
      </c>
      <c r="H16" s="191">
        <f>H15</f>
        <v>-727683</v>
      </c>
      <c r="I16" s="84"/>
      <c r="J16" s="84"/>
      <c r="K16" s="84">
        <f t="shared" si="3"/>
        <v>-727683</v>
      </c>
      <c r="L16" s="90">
        <f t="shared" si="4"/>
        <v>5821465</v>
      </c>
      <c r="N16" s="161">
        <v>-35983196.91957815</v>
      </c>
      <c r="O16" s="182" t="s">
        <v>189</v>
      </c>
      <c r="P16" s="188"/>
    </row>
    <row r="17" spans="1:16" x14ac:dyDescent="0.35">
      <c r="A17" s="86" t="s">
        <v>99</v>
      </c>
      <c r="B17" s="87"/>
      <c r="C17" s="88">
        <f t="shared" si="0"/>
        <v>4350810</v>
      </c>
      <c r="D17" s="84">
        <f>N17-SUM($D$9:D16)</f>
        <v>-3488129.6132650077</v>
      </c>
      <c r="E17" s="84"/>
      <c r="F17" s="84">
        <f t="shared" si="1"/>
        <v>862680.38673499227</v>
      </c>
      <c r="G17" s="89">
        <f t="shared" si="2"/>
        <v>4465071.7471568435</v>
      </c>
      <c r="H17" s="191">
        <f>+H14</f>
        <v>-727683</v>
      </c>
      <c r="I17" s="190"/>
      <c r="J17" s="190"/>
      <c r="K17" s="190">
        <f t="shared" si="3"/>
        <v>-727683</v>
      </c>
      <c r="L17" s="189">
        <f t="shared" si="4"/>
        <v>5093782</v>
      </c>
      <c r="N17" s="161">
        <v>-39471326.532843158</v>
      </c>
      <c r="O17" s="182" t="s">
        <v>188</v>
      </c>
      <c r="P17" s="188"/>
    </row>
    <row r="18" spans="1:16" x14ac:dyDescent="0.35">
      <c r="A18" s="152" t="s">
        <v>100</v>
      </c>
      <c r="B18" s="154"/>
      <c r="C18" s="192">
        <f>G38-15</f>
        <v>4665708</v>
      </c>
      <c r="D18" s="84">
        <f>N18-SUM($D$9:D17)</f>
        <v>-3737460.6060549915</v>
      </c>
      <c r="E18" s="190"/>
      <c r="F18" s="84">
        <f t="shared" si="1"/>
        <v>928247.39394500852</v>
      </c>
      <c r="G18" s="180">
        <f t="shared" si="2"/>
        <v>5393319.1411018521</v>
      </c>
      <c r="H18" s="191">
        <f>+H15</f>
        <v>-727683</v>
      </c>
      <c r="I18" s="190"/>
      <c r="J18" s="190"/>
      <c r="K18" s="190">
        <f t="shared" si="3"/>
        <v>-727683</v>
      </c>
      <c r="L18" s="189">
        <f t="shared" si="4"/>
        <v>4366099</v>
      </c>
      <c r="N18" s="161">
        <v>-43208787.138898149</v>
      </c>
      <c r="O18" s="182" t="s">
        <v>187</v>
      </c>
      <c r="P18" s="188"/>
    </row>
    <row r="19" spans="1:16" x14ac:dyDescent="0.35">
      <c r="A19" s="152" t="s">
        <v>101</v>
      </c>
      <c r="B19" s="154"/>
      <c r="C19" s="192">
        <f>G39+97</f>
        <v>4547115</v>
      </c>
      <c r="D19" s="84">
        <f>N19-SUM($D$9:D18)</f>
        <v>-4679089.1850450039</v>
      </c>
      <c r="E19" s="190"/>
      <c r="F19" s="84">
        <f t="shared" si="1"/>
        <v>-131974.18504500389</v>
      </c>
      <c r="G19" s="180">
        <f t="shared" si="2"/>
        <v>5261344.9560568482</v>
      </c>
      <c r="H19" s="191">
        <f>+H18</f>
        <v>-727683</v>
      </c>
      <c r="I19" s="190"/>
      <c r="J19" s="190"/>
      <c r="K19" s="190">
        <f t="shared" si="3"/>
        <v>-727683</v>
      </c>
      <c r="L19" s="189">
        <f t="shared" si="4"/>
        <v>3638416</v>
      </c>
      <c r="N19" s="161">
        <v>-47887876.323943153</v>
      </c>
      <c r="O19" s="182" t="s">
        <v>186</v>
      </c>
      <c r="P19" s="188"/>
    </row>
    <row r="20" spans="1:16" x14ac:dyDescent="0.35">
      <c r="A20" s="152" t="s">
        <v>102</v>
      </c>
      <c r="B20" s="154"/>
      <c r="C20" s="187">
        <f>G40-1</f>
        <v>4623958.1899999995</v>
      </c>
      <c r="D20" s="84">
        <f>N20-SUM($D$9:D19)</f>
        <v>-5454786.2411350012</v>
      </c>
      <c r="E20" s="91">
        <v>0</v>
      </c>
      <c r="F20" s="184">
        <f t="shared" si="1"/>
        <v>-830828.0511350017</v>
      </c>
      <c r="G20" s="186">
        <f t="shared" si="2"/>
        <v>4430516.9049218465</v>
      </c>
      <c r="H20" s="185">
        <f>+H19</f>
        <v>-727683</v>
      </c>
      <c r="I20" s="184"/>
      <c r="J20" s="184"/>
      <c r="K20" s="184">
        <f t="shared" si="3"/>
        <v>-727683</v>
      </c>
      <c r="L20" s="183">
        <f t="shared" si="4"/>
        <v>2910733</v>
      </c>
      <c r="N20" s="161">
        <v>-53342662.565078154</v>
      </c>
      <c r="O20" s="182" t="s">
        <v>185</v>
      </c>
      <c r="P20" s="177"/>
    </row>
    <row r="21" spans="1:16" x14ac:dyDescent="0.35">
      <c r="C21" s="154"/>
      <c r="D21" s="154"/>
      <c r="E21" s="154"/>
      <c r="F21" s="154"/>
      <c r="G21" s="181"/>
      <c r="H21" s="178"/>
      <c r="I21" s="178"/>
      <c r="J21" s="178"/>
      <c r="K21" s="178"/>
      <c r="N21" s="171"/>
      <c r="O21" s="178"/>
      <c r="P21" s="177"/>
    </row>
    <row r="22" spans="1:16" ht="15" thickBot="1" x14ac:dyDescent="0.4">
      <c r="C22" s="154"/>
      <c r="D22" s="154"/>
      <c r="E22" s="154"/>
      <c r="F22" s="154"/>
      <c r="G22" s="180"/>
      <c r="H22" s="179">
        <f>SUM(H9:H21)</f>
        <v>-10597370</v>
      </c>
      <c r="I22" s="179">
        <f>SUM(I9:I21)</f>
        <v>-3983286</v>
      </c>
      <c r="J22" s="179">
        <f>SUM(J9:J21)</f>
        <v>12782117</v>
      </c>
      <c r="K22" s="179">
        <f>SUM(K9:K21)</f>
        <v>-1798539</v>
      </c>
      <c r="N22" s="171"/>
      <c r="O22" s="178"/>
      <c r="P22" s="177"/>
    </row>
    <row r="23" spans="1:16" ht="15" thickTop="1" x14ac:dyDescent="0.35">
      <c r="C23" s="154"/>
      <c r="D23" s="154"/>
      <c r="E23" s="154"/>
      <c r="F23" s="154"/>
      <c r="G23" s="154"/>
      <c r="N23" s="171"/>
      <c r="O23" s="178"/>
      <c r="P23" s="177"/>
    </row>
    <row r="24" spans="1:16" x14ac:dyDescent="0.35">
      <c r="C24" s="154"/>
      <c r="D24" s="154"/>
      <c r="E24" s="154"/>
      <c r="F24" s="154"/>
      <c r="N24" s="171"/>
      <c r="O24" s="178"/>
      <c r="P24" s="177"/>
    </row>
    <row r="25" spans="1:16" x14ac:dyDescent="0.35">
      <c r="B25" s="175" t="s">
        <v>103</v>
      </c>
      <c r="C25" s="175"/>
      <c r="D25" s="174" t="s">
        <v>104</v>
      </c>
      <c r="E25" s="174" t="s">
        <v>105</v>
      </c>
      <c r="N25" s="176" t="s">
        <v>140</v>
      </c>
      <c r="O25" s="170" t="s">
        <v>140</v>
      </c>
      <c r="P25" s="169" t="s">
        <v>140</v>
      </c>
    </row>
    <row r="26" spans="1:16" x14ac:dyDescent="0.35">
      <c r="B26" s="175" t="s">
        <v>106</v>
      </c>
      <c r="C26" s="175"/>
      <c r="D26" s="174" t="s">
        <v>107</v>
      </c>
      <c r="E26" s="174" t="s">
        <v>108</v>
      </c>
      <c r="I26" s="173"/>
      <c r="N26" s="171">
        <v>23600201</v>
      </c>
      <c r="O26" s="170" t="s">
        <v>104</v>
      </c>
      <c r="P26" s="169" t="s">
        <v>105</v>
      </c>
    </row>
    <row r="27" spans="1:16" x14ac:dyDescent="0.35">
      <c r="B27" s="172" t="s">
        <v>109</v>
      </c>
      <c r="C27" s="172" t="s">
        <v>110</v>
      </c>
      <c r="D27" s="172" t="s">
        <v>111</v>
      </c>
      <c r="E27" s="172" t="s">
        <v>112</v>
      </c>
      <c r="F27" s="172" t="s">
        <v>88</v>
      </c>
      <c r="G27" s="172" t="s">
        <v>113</v>
      </c>
      <c r="N27" s="171">
        <v>23600211</v>
      </c>
      <c r="O27" s="170" t="s">
        <v>107</v>
      </c>
      <c r="P27" s="169" t="s">
        <v>108</v>
      </c>
    </row>
    <row r="28" spans="1:16" x14ac:dyDescent="0.35">
      <c r="A28" s="168" t="s">
        <v>141</v>
      </c>
      <c r="I28" s="154"/>
      <c r="J28" s="154"/>
      <c r="N28" s="167">
        <v>23600221</v>
      </c>
      <c r="O28" s="166" t="s">
        <v>111</v>
      </c>
      <c r="P28" s="165" t="s">
        <v>112</v>
      </c>
    </row>
    <row r="29" spans="1:16" x14ac:dyDescent="0.35">
      <c r="A29" s="152" t="s">
        <v>92</v>
      </c>
      <c r="B29" s="92">
        <f>N29/1*12</f>
        <v>55853400</v>
      </c>
      <c r="C29" s="93">
        <f>B29/12</f>
        <v>4654450</v>
      </c>
      <c r="D29" s="93">
        <f>+O29</f>
        <v>17342</v>
      </c>
      <c r="E29" s="93">
        <f>+P29</f>
        <v>0</v>
      </c>
      <c r="F29" s="154">
        <f t="shared" ref="F29:F40" si="5">-H9</f>
        <v>1193977</v>
      </c>
      <c r="G29" s="164">
        <f t="shared" ref="G29:G40" si="6">SUM(C29:F29)</f>
        <v>5865769</v>
      </c>
      <c r="I29" s="154"/>
      <c r="N29" s="163">
        <v>4654450</v>
      </c>
      <c r="O29" s="162">
        <v>17342</v>
      </c>
      <c r="P29" s="159">
        <v>0</v>
      </c>
    </row>
    <row r="30" spans="1:16" x14ac:dyDescent="0.35">
      <c r="A30" s="152" t="s">
        <v>93</v>
      </c>
      <c r="B30" s="92">
        <f>N30/2*12</f>
        <v>56180598</v>
      </c>
      <c r="C30" s="87">
        <f>B30/12*2-C29</f>
        <v>4708983</v>
      </c>
      <c r="D30" s="87">
        <f>+O30-SUM($D$29:D29)</f>
        <v>15442</v>
      </c>
      <c r="E30" s="87">
        <f>P30-SUM($E$29:E29)</f>
        <v>-84</v>
      </c>
      <c r="F30" s="154">
        <f t="shared" si="5"/>
        <v>1193977</v>
      </c>
      <c r="G30" s="154">
        <f t="shared" si="6"/>
        <v>5918318</v>
      </c>
      <c r="I30" s="154"/>
      <c r="N30" s="161">
        <v>9363433</v>
      </c>
      <c r="O30" s="160">
        <v>32784</v>
      </c>
      <c r="P30" s="159">
        <v>-84</v>
      </c>
    </row>
    <row r="31" spans="1:16" x14ac:dyDescent="0.35">
      <c r="A31" s="152" t="s">
        <v>94</v>
      </c>
      <c r="B31" s="92">
        <f>N31/3*12</f>
        <v>56180596</v>
      </c>
      <c r="C31" s="87">
        <f>B31/12*3-SUM($C$29:C30)</f>
        <v>4681716</v>
      </c>
      <c r="D31" s="87">
        <f>+O31-SUM($D$29:D30)</f>
        <v>40271</v>
      </c>
      <c r="E31" s="87">
        <f>P31-SUM($E$29:E30)</f>
        <v>-792</v>
      </c>
      <c r="F31" s="154">
        <f t="shared" si="5"/>
        <v>1193976</v>
      </c>
      <c r="G31" s="154">
        <f t="shared" si="6"/>
        <v>5915171</v>
      </c>
      <c r="N31" s="161">
        <v>14045149</v>
      </c>
      <c r="O31" s="160">
        <v>73055</v>
      </c>
      <c r="P31" s="159">
        <v>-876</v>
      </c>
    </row>
    <row r="32" spans="1:16" x14ac:dyDescent="0.35">
      <c r="A32" s="152" t="s">
        <v>95</v>
      </c>
      <c r="B32" s="92">
        <f>N32/4*12</f>
        <v>52608846</v>
      </c>
      <c r="C32" s="87">
        <f>B32/12*4-SUM($C$29:C31)</f>
        <v>3491133</v>
      </c>
      <c r="D32" s="87">
        <f>+O32-SUM($D$29:D31)</f>
        <v>3746</v>
      </c>
      <c r="E32" s="87">
        <f>P32-SUM($E$29:E31)</f>
        <v>0</v>
      </c>
      <c r="F32" s="154">
        <f t="shared" si="5"/>
        <v>1193976</v>
      </c>
      <c r="G32" s="154">
        <f t="shared" si="6"/>
        <v>4688855</v>
      </c>
      <c r="N32" s="161">
        <v>17536282</v>
      </c>
      <c r="O32" s="160">
        <v>76801</v>
      </c>
      <c r="P32" s="159">
        <v>-876</v>
      </c>
    </row>
    <row r="33" spans="1:19" x14ac:dyDescent="0.35">
      <c r="A33" s="152" t="s">
        <v>96</v>
      </c>
      <c r="B33" s="92">
        <f>N33/5*12</f>
        <v>52608847.199999996</v>
      </c>
      <c r="C33" s="87">
        <f>B33/12*5-SUM($C$29:C32)</f>
        <v>4384071</v>
      </c>
      <c r="D33" s="87">
        <f xml:space="preserve"> O33-SUM($D$29:D32)</f>
        <v>1873</v>
      </c>
      <c r="E33" s="87">
        <f>P33-SUM($E$29:E32)</f>
        <v>1926.28</v>
      </c>
      <c r="F33" s="154">
        <f t="shared" si="5"/>
        <v>727683</v>
      </c>
      <c r="G33" s="154">
        <f t="shared" si="6"/>
        <v>5115553.28</v>
      </c>
      <c r="N33" s="161">
        <v>21920353</v>
      </c>
      <c r="O33" s="160">
        <v>78674</v>
      </c>
      <c r="P33" s="159">
        <v>1050.28</v>
      </c>
    </row>
    <row r="34" spans="1:19" x14ac:dyDescent="0.35">
      <c r="A34" s="152" t="s">
        <v>97</v>
      </c>
      <c r="B34" s="92">
        <f>N34/6*12</f>
        <v>52608848</v>
      </c>
      <c r="C34" s="87">
        <f>B34/12*6-SUM($C$29:C33)</f>
        <v>4384071</v>
      </c>
      <c r="D34" s="87">
        <f>O34-SUM($D$29:D33)</f>
        <v>0</v>
      </c>
      <c r="E34" s="87">
        <f>P34-SUM($E$29:E33)</f>
        <v>0</v>
      </c>
      <c r="F34" s="154">
        <f t="shared" si="5"/>
        <v>727683</v>
      </c>
      <c r="G34" s="154">
        <f t="shared" si="6"/>
        <v>5111754</v>
      </c>
      <c r="N34" s="161">
        <v>26304424</v>
      </c>
      <c r="O34" s="160">
        <v>78674</v>
      </c>
      <c r="P34" s="159">
        <v>1050.28</v>
      </c>
    </row>
    <row r="35" spans="1:19" x14ac:dyDescent="0.35">
      <c r="A35" s="152" t="s">
        <v>69</v>
      </c>
      <c r="B35" s="92">
        <f>N35/7*12</f>
        <v>52608848.571428575</v>
      </c>
      <c r="C35" s="87">
        <f>B35/12*7-SUM($C$29:C34)</f>
        <v>4384071</v>
      </c>
      <c r="D35" s="87">
        <f>O35-SUM($D$29:D34)</f>
        <v>591</v>
      </c>
      <c r="E35" s="87">
        <f>P35-SUM($E$29:E34)</f>
        <v>0</v>
      </c>
      <c r="F35" s="154">
        <f t="shared" si="5"/>
        <v>727683</v>
      </c>
      <c r="G35" s="154">
        <f t="shared" si="6"/>
        <v>5112345</v>
      </c>
      <c r="N35" s="161">
        <v>30688495</v>
      </c>
      <c r="O35" s="160">
        <v>79265</v>
      </c>
      <c r="P35" s="159">
        <v>1050.28</v>
      </c>
    </row>
    <row r="36" spans="1:19" x14ac:dyDescent="0.35">
      <c r="A36" s="152" t="s">
        <v>98</v>
      </c>
      <c r="B36" s="92">
        <f>N36/8*12</f>
        <v>47728843.5</v>
      </c>
      <c r="C36" s="87">
        <f>B36/12*8-SUM($C$29:C35)</f>
        <v>1130734</v>
      </c>
      <c r="D36" s="87">
        <f>O36-SUM($D$29:D35)</f>
        <v>0</v>
      </c>
      <c r="E36" s="87">
        <f>P36-SUM($E$29:E35)</f>
        <v>-594</v>
      </c>
      <c r="F36" s="154">
        <f t="shared" si="5"/>
        <v>727683</v>
      </c>
      <c r="G36" s="154">
        <f t="shared" si="6"/>
        <v>1857823</v>
      </c>
      <c r="N36" s="161">
        <v>31819229</v>
      </c>
      <c r="O36" s="160">
        <v>79265</v>
      </c>
      <c r="P36" s="159">
        <v>456.28</v>
      </c>
    </row>
    <row r="37" spans="1:19" x14ac:dyDescent="0.35">
      <c r="A37" s="152" t="s">
        <v>99</v>
      </c>
      <c r="B37" s="92">
        <f>N37/9*12</f>
        <v>47256474.666666664</v>
      </c>
      <c r="C37" s="87">
        <f>B37/12*9-SUM($C$29:C36)</f>
        <v>3623127</v>
      </c>
      <c r="D37" s="87">
        <f>O37-SUM($D$29:D36)</f>
        <v>0</v>
      </c>
      <c r="E37" s="87">
        <f>P37-SUM($E$29:E36)</f>
        <v>0</v>
      </c>
      <c r="F37" s="154">
        <f t="shared" si="5"/>
        <v>727683</v>
      </c>
      <c r="G37" s="154">
        <f t="shared" si="6"/>
        <v>4350810</v>
      </c>
      <c r="N37" s="161">
        <v>35442356</v>
      </c>
      <c r="O37" s="160">
        <v>79265</v>
      </c>
      <c r="P37" s="159">
        <v>456.28</v>
      </c>
    </row>
    <row r="38" spans="1:19" x14ac:dyDescent="0.35">
      <c r="A38" s="152" t="s">
        <v>100</v>
      </c>
      <c r="B38" s="92">
        <f>N38/10*12</f>
        <v>47256475.200000003</v>
      </c>
      <c r="C38" s="87">
        <f>B38/12*10-SUM($C$29:C37)</f>
        <v>3938040</v>
      </c>
      <c r="D38" s="87">
        <f>O38-SUM($D$29:D37)</f>
        <v>0</v>
      </c>
      <c r="E38" s="87">
        <f>P38-SUM($E$29:E37)</f>
        <v>0</v>
      </c>
      <c r="F38" s="154">
        <f t="shared" si="5"/>
        <v>727683</v>
      </c>
      <c r="G38" s="154">
        <f t="shared" si="6"/>
        <v>4665723</v>
      </c>
      <c r="N38" s="161">
        <v>39380396</v>
      </c>
      <c r="O38" s="160">
        <v>79265</v>
      </c>
      <c r="P38" s="159">
        <v>456.28</v>
      </c>
      <c r="S38" s="155"/>
    </row>
    <row r="39" spans="1:19" x14ac:dyDescent="0.35">
      <c r="A39" s="152" t="s">
        <v>101</v>
      </c>
      <c r="B39" s="92">
        <f>N39/11*12</f>
        <v>47115399.272727273</v>
      </c>
      <c r="C39" s="87">
        <f>B39/12*11-SUM($C$29:C38)</f>
        <v>3808720</v>
      </c>
      <c r="D39" s="87">
        <f>O39-SUM($D$29:D38)</f>
        <v>10615</v>
      </c>
      <c r="E39" s="87">
        <f>P39-SUM($E$29:E38)</f>
        <v>0</v>
      </c>
      <c r="F39" s="154">
        <f t="shared" si="5"/>
        <v>727683</v>
      </c>
      <c r="G39" s="154">
        <f t="shared" si="6"/>
        <v>4547018</v>
      </c>
      <c r="I39" s="153"/>
      <c r="K39" s="153"/>
      <c r="N39" s="161">
        <v>43189116</v>
      </c>
      <c r="O39" s="160">
        <v>89880</v>
      </c>
      <c r="P39" s="159">
        <v>456.28</v>
      </c>
    </row>
    <row r="40" spans="1:19" ht="15" thickBot="1" x14ac:dyDescent="0.4">
      <c r="A40" s="152" t="s">
        <v>102</v>
      </c>
      <c r="B40" s="92">
        <f>N40</f>
        <v>47083296</v>
      </c>
      <c r="C40" s="87">
        <f>B40/12*12-SUM($C$29:C39)</f>
        <v>3894180</v>
      </c>
      <c r="D40" s="87">
        <f>O40-SUM($D$29:D39)</f>
        <v>3140.0100000000093</v>
      </c>
      <c r="E40" s="87">
        <f>P40-SUM($E$29:E39)</f>
        <v>-1043.8199999999997</v>
      </c>
      <c r="F40" s="154">
        <f t="shared" si="5"/>
        <v>727683</v>
      </c>
      <c r="G40" s="154">
        <f t="shared" si="6"/>
        <v>4623959.1899999995</v>
      </c>
      <c r="I40" s="153"/>
      <c r="K40" s="153"/>
      <c r="N40" s="158">
        <v>47083296</v>
      </c>
      <c r="O40" s="157">
        <v>93020.010000000009</v>
      </c>
      <c r="P40" s="156">
        <v>-587.53999999999974</v>
      </c>
      <c r="S40" s="155"/>
    </row>
    <row r="41" spans="1:19" x14ac:dyDescent="0.35">
      <c r="B41" s="86"/>
      <c r="C41" s="87"/>
      <c r="D41" s="87"/>
      <c r="E41" s="87"/>
      <c r="F41" s="154"/>
      <c r="I41" s="153"/>
      <c r="K41" s="153"/>
    </row>
    <row r="42" spans="1:19" x14ac:dyDescent="0.35">
      <c r="I42" s="153"/>
      <c r="K42" s="153"/>
    </row>
    <row r="43" spans="1:19" x14ac:dyDescent="0.35">
      <c r="I43" s="153"/>
      <c r="J43" s="153"/>
      <c r="K43" s="153"/>
    </row>
    <row r="44" spans="1:19" x14ac:dyDescent="0.35">
      <c r="I44" s="153"/>
      <c r="K44" s="153"/>
    </row>
    <row r="45" spans="1:19" x14ac:dyDescent="0.35">
      <c r="I45" s="153"/>
      <c r="K45" s="153"/>
    </row>
    <row r="46" spans="1:19" x14ac:dyDescent="0.35">
      <c r="I46" s="153"/>
      <c r="K46" s="153"/>
    </row>
    <row r="47" spans="1:19" x14ac:dyDescent="0.35">
      <c r="I47" s="153"/>
      <c r="K47" s="153"/>
    </row>
    <row r="48" spans="1:19" x14ac:dyDescent="0.35">
      <c r="I48" s="153"/>
      <c r="K48" s="153"/>
    </row>
    <row r="49" spans="9:12" x14ac:dyDescent="0.35">
      <c r="I49" s="153"/>
      <c r="K49" s="153"/>
    </row>
    <row r="50" spans="9:12" x14ac:dyDescent="0.35">
      <c r="I50" s="153"/>
      <c r="K50" s="153"/>
    </row>
    <row r="51" spans="9:12" x14ac:dyDescent="0.35">
      <c r="L51" s="153"/>
    </row>
    <row r="52" spans="9:12" x14ac:dyDescent="0.35">
      <c r="L52" s="153"/>
    </row>
    <row r="53" spans="9:12" x14ac:dyDescent="0.35">
      <c r="L53" s="153"/>
    </row>
    <row r="54" spans="9:12" x14ac:dyDescent="0.35">
      <c r="L54" s="153"/>
    </row>
    <row r="55" spans="9:12" x14ac:dyDescent="0.35">
      <c r="I55" s="153"/>
      <c r="J55" s="153"/>
      <c r="K55" s="153"/>
      <c r="L55" s="153"/>
    </row>
  </sheetData>
  <pageMargins left="0.7" right="0.7" top="0.75" bottom="0.75" header="0.3" footer="0.3"/>
  <pageSetup orientation="portrait" r:id="rId1"/>
  <customProperties>
    <customPr name="_pios_id" r:id="rId2"/>
  </customPropertie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I32" sqref="I32"/>
    </sheetView>
  </sheetViews>
  <sheetFormatPr defaultColWidth="9.08984375" defaultRowHeight="14.5" x14ac:dyDescent="0.35"/>
  <cols>
    <col min="1" max="1" width="10.90625" style="152" bestFit="1" customWidth="1"/>
    <col min="2" max="2" width="14.36328125" style="152" bestFit="1" customWidth="1"/>
    <col min="3" max="3" width="13.6328125" style="152" bestFit="1" customWidth="1"/>
    <col min="4" max="5" width="13.453125" style="152" bestFit="1" customWidth="1"/>
    <col min="6" max="6" width="13.6328125" style="152" bestFit="1" customWidth="1"/>
    <col min="7" max="7" width="11.54296875" style="152" bestFit="1" customWidth="1"/>
    <col min="8" max="8" width="13.453125" style="152" bestFit="1" customWidth="1"/>
    <col min="9" max="11" width="12.54296875" style="152" customWidth="1"/>
    <col min="12" max="12" width="13.36328125" style="152" bestFit="1" customWidth="1"/>
    <col min="13" max="13" width="9.08984375" style="152"/>
    <col min="14" max="16" width="12.36328125" style="152" bestFit="1" customWidth="1"/>
    <col min="17" max="16384" width="9.08984375" style="152"/>
  </cols>
  <sheetData>
    <row r="1" spans="1:16" ht="15" thickBot="1" x14ac:dyDescent="0.4">
      <c r="A1" s="222" t="s">
        <v>1</v>
      </c>
      <c r="N1" s="221" t="s">
        <v>138</v>
      </c>
      <c r="P1" s="220"/>
    </row>
    <row r="2" spans="1:16" x14ac:dyDescent="0.35">
      <c r="N2" s="219" t="s">
        <v>139</v>
      </c>
      <c r="O2" s="218"/>
      <c r="P2" s="177"/>
    </row>
    <row r="3" spans="1:16" x14ac:dyDescent="0.35">
      <c r="C3" s="217" t="s">
        <v>114</v>
      </c>
      <c r="D3" s="214"/>
      <c r="E3" s="214"/>
      <c r="F3" s="214"/>
      <c r="G3" s="216"/>
      <c r="H3" s="215" t="s">
        <v>115</v>
      </c>
      <c r="I3" s="214"/>
      <c r="J3" s="214"/>
      <c r="K3" s="214"/>
      <c r="L3" s="213"/>
      <c r="N3" s="171"/>
      <c r="O3" s="178"/>
      <c r="P3" s="177"/>
    </row>
    <row r="4" spans="1:16" x14ac:dyDescent="0.35">
      <c r="B4" s="170" t="s">
        <v>74</v>
      </c>
      <c r="C4" s="212" t="s">
        <v>75</v>
      </c>
      <c r="D4" s="211" t="s">
        <v>76</v>
      </c>
      <c r="E4" s="211"/>
      <c r="F4" s="211" t="s">
        <v>75</v>
      </c>
      <c r="G4" s="210"/>
      <c r="H4" s="209"/>
      <c r="I4" s="209"/>
      <c r="J4" s="209"/>
      <c r="K4" s="209"/>
      <c r="L4" s="208"/>
      <c r="N4" s="176" t="s">
        <v>140</v>
      </c>
      <c r="O4" s="178"/>
      <c r="P4" s="177"/>
    </row>
    <row r="5" spans="1:16" x14ac:dyDescent="0.35">
      <c r="B5" s="170" t="s">
        <v>77</v>
      </c>
      <c r="C5" s="207" t="s">
        <v>78</v>
      </c>
      <c r="D5" s="170" t="s">
        <v>79</v>
      </c>
      <c r="E5" s="170"/>
      <c r="F5" s="170" t="s">
        <v>80</v>
      </c>
      <c r="G5" s="79" t="s">
        <v>81</v>
      </c>
      <c r="H5" s="178"/>
      <c r="I5" s="178"/>
      <c r="J5" s="178"/>
      <c r="K5" s="170" t="s">
        <v>82</v>
      </c>
      <c r="L5" s="80" t="s">
        <v>81</v>
      </c>
      <c r="N5" s="176" t="s">
        <v>86</v>
      </c>
      <c r="O5" s="178"/>
      <c r="P5" s="177"/>
    </row>
    <row r="6" spans="1:16" x14ac:dyDescent="0.35">
      <c r="A6" s="205" t="s">
        <v>83</v>
      </c>
      <c r="B6" s="205" t="s">
        <v>84</v>
      </c>
      <c r="C6" s="206" t="s">
        <v>85</v>
      </c>
      <c r="D6" s="205" t="s">
        <v>86</v>
      </c>
      <c r="E6" s="205" t="s">
        <v>87</v>
      </c>
      <c r="F6" s="205" t="s">
        <v>81</v>
      </c>
      <c r="G6" s="204" t="s">
        <v>13</v>
      </c>
      <c r="H6" s="81" t="s">
        <v>88</v>
      </c>
      <c r="I6" s="81" t="s">
        <v>89</v>
      </c>
      <c r="J6" s="81" t="s">
        <v>87</v>
      </c>
      <c r="K6" s="81" t="s">
        <v>68</v>
      </c>
      <c r="L6" s="203" t="s">
        <v>13</v>
      </c>
      <c r="N6" s="176" t="s">
        <v>76</v>
      </c>
      <c r="O6" s="178"/>
      <c r="P6" s="177"/>
    </row>
    <row r="7" spans="1:16" x14ac:dyDescent="0.35">
      <c r="A7" s="168" t="s">
        <v>141</v>
      </c>
      <c r="C7" s="82" t="s">
        <v>90</v>
      </c>
      <c r="D7" s="202"/>
      <c r="E7" s="178"/>
      <c r="F7" s="178"/>
      <c r="G7" s="181"/>
      <c r="H7" s="178"/>
      <c r="I7" s="178"/>
      <c r="J7" s="178"/>
      <c r="K7" s="178"/>
      <c r="L7" s="201"/>
      <c r="N7" s="171"/>
      <c r="O7" s="178"/>
      <c r="P7" s="177"/>
    </row>
    <row r="8" spans="1:16" x14ac:dyDescent="0.35">
      <c r="A8" s="152" t="s">
        <v>91</v>
      </c>
      <c r="C8" s="200"/>
      <c r="D8" s="178"/>
      <c r="E8" s="178"/>
      <c r="F8" s="178"/>
      <c r="G8" s="199">
        <v>6870949</v>
      </c>
      <c r="H8" s="178"/>
      <c r="I8" s="178"/>
      <c r="J8" s="178"/>
      <c r="K8" s="178"/>
      <c r="L8" s="198">
        <v>1533338</v>
      </c>
      <c r="N8" s="171"/>
      <c r="O8" s="178"/>
      <c r="P8" s="177"/>
    </row>
    <row r="9" spans="1:16" x14ac:dyDescent="0.35">
      <c r="A9" s="152" t="s">
        <v>92</v>
      </c>
      <c r="B9" s="164"/>
      <c r="C9" s="197">
        <f t="shared" ref="C9:C20" si="0">G29</f>
        <v>2419994</v>
      </c>
      <c r="D9" s="83">
        <f>+N9</f>
        <v>-3234666.0690629999</v>
      </c>
      <c r="E9" s="195"/>
      <c r="F9" s="195">
        <f t="shared" ref="F9:F20" si="1">SUM(C9:E9)</f>
        <v>-814672.06906299992</v>
      </c>
      <c r="G9" s="180">
        <f>F9+G8</f>
        <v>6056276.9309369996</v>
      </c>
      <c r="H9" s="196">
        <v>-383203</v>
      </c>
      <c r="I9" s="195"/>
      <c r="J9" s="195"/>
      <c r="K9" s="195">
        <f>SUM(H9:J9)</f>
        <v>-383203</v>
      </c>
      <c r="L9" s="189">
        <f>L8+K9</f>
        <v>1150135</v>
      </c>
      <c r="N9" s="223">
        <v>-3234666.0690629999</v>
      </c>
      <c r="O9" s="178"/>
      <c r="P9" s="177"/>
    </row>
    <row r="10" spans="1:16" x14ac:dyDescent="0.35">
      <c r="A10" s="152" t="s">
        <v>93</v>
      </c>
      <c r="B10" s="154"/>
      <c r="C10" s="192">
        <f>G30</f>
        <v>2420108</v>
      </c>
      <c r="D10" s="84">
        <f>N10-SUM($D$9:D9)</f>
        <v>-2677902.031647</v>
      </c>
      <c r="E10" s="190"/>
      <c r="F10" s="190">
        <f t="shared" si="1"/>
        <v>-257794.031647</v>
      </c>
      <c r="G10" s="180">
        <f>F10+G9</f>
        <v>5798482.8992899992</v>
      </c>
      <c r="H10" s="191">
        <f>+H9</f>
        <v>-383203</v>
      </c>
      <c r="I10" s="190"/>
      <c r="J10" s="190"/>
      <c r="K10" s="190">
        <f t="shared" ref="K10:K20" si="2">SUM(H10:J10)</f>
        <v>-383203</v>
      </c>
      <c r="L10" s="189">
        <f t="shared" ref="L10:L20" si="3">L9+K10</f>
        <v>766932</v>
      </c>
      <c r="N10" s="161">
        <v>-5912568.1007099999</v>
      </c>
      <c r="O10" s="178"/>
      <c r="P10" s="177"/>
    </row>
    <row r="11" spans="1:16" x14ac:dyDescent="0.35">
      <c r="A11" s="152" t="s">
        <v>94</v>
      </c>
      <c r="B11" s="154"/>
      <c r="C11" s="192">
        <f t="shared" si="0"/>
        <v>2422284</v>
      </c>
      <c r="D11" s="84">
        <f>N11-SUM($D$9:D10)</f>
        <v>-2320473.4790089997</v>
      </c>
      <c r="E11" s="190"/>
      <c r="F11" s="190">
        <f t="shared" si="1"/>
        <v>101810.52099100035</v>
      </c>
      <c r="G11" s="180">
        <f t="shared" ref="G11:G20" si="4">F11+G10</f>
        <v>5900293.4202809995</v>
      </c>
      <c r="H11" s="191">
        <f>+H10</f>
        <v>-383203</v>
      </c>
      <c r="I11" s="84"/>
      <c r="J11" s="190"/>
      <c r="K11" s="190">
        <f t="shared" si="2"/>
        <v>-383203</v>
      </c>
      <c r="L11" s="189">
        <f t="shared" si="3"/>
        <v>383729</v>
      </c>
      <c r="N11" s="161">
        <v>-8233041.5797189996</v>
      </c>
      <c r="O11" s="178"/>
      <c r="P11" s="177"/>
    </row>
    <row r="12" spans="1:16" x14ac:dyDescent="0.35">
      <c r="A12" s="152" t="s">
        <v>95</v>
      </c>
      <c r="B12" s="154"/>
      <c r="C12" s="192">
        <f t="shared" si="0"/>
        <v>1838982</v>
      </c>
      <c r="D12" s="84">
        <f>N12-SUM($D$9:D11)</f>
        <v>-2047807.3236650005</v>
      </c>
      <c r="E12" s="190"/>
      <c r="F12" s="190">
        <f t="shared" si="1"/>
        <v>-208825.3236650005</v>
      </c>
      <c r="G12" s="180">
        <f>F12+G11</f>
        <v>5691468.096615999</v>
      </c>
      <c r="H12" s="191">
        <f>H11</f>
        <v>-383203</v>
      </c>
      <c r="I12" s="191">
        <v>-1745454</v>
      </c>
      <c r="J12" s="190"/>
      <c r="K12" s="190">
        <f t="shared" si="2"/>
        <v>-2128657</v>
      </c>
      <c r="L12" s="189">
        <f t="shared" si="3"/>
        <v>-1744928</v>
      </c>
      <c r="N12" s="161">
        <v>-10280848.903384</v>
      </c>
      <c r="O12" s="182"/>
      <c r="P12" s="177"/>
    </row>
    <row r="13" spans="1:16" x14ac:dyDescent="0.35">
      <c r="A13" s="152" t="s">
        <v>96</v>
      </c>
      <c r="B13" s="154"/>
      <c r="C13" s="192">
        <f t="shared" si="0"/>
        <v>2318750</v>
      </c>
      <c r="D13" s="84">
        <f>N13-SUM($D$9:D12)</f>
        <v>-1420812.3356398996</v>
      </c>
      <c r="E13" s="190">
        <f>-J13</f>
        <v>-6870949</v>
      </c>
      <c r="F13" s="84">
        <f t="shared" si="1"/>
        <v>-5973011.3356398996</v>
      </c>
      <c r="G13" s="180">
        <f>F13+G12</f>
        <v>-281543.23902390059</v>
      </c>
      <c r="H13" s="191">
        <v>-427169</v>
      </c>
      <c r="I13" s="190"/>
      <c r="J13" s="190">
        <v>6870949</v>
      </c>
      <c r="K13" s="190">
        <f t="shared" si="2"/>
        <v>6443780</v>
      </c>
      <c r="L13" s="189">
        <f t="shared" si="3"/>
        <v>4698852</v>
      </c>
      <c r="N13" s="161">
        <v>-11701661.2390239</v>
      </c>
      <c r="O13" s="182"/>
      <c r="P13" s="177"/>
    </row>
    <row r="14" spans="1:16" x14ac:dyDescent="0.35">
      <c r="A14" s="86" t="s">
        <v>97</v>
      </c>
      <c r="B14" s="87"/>
      <c r="C14" s="88">
        <f t="shared" si="0"/>
        <v>2317937</v>
      </c>
      <c r="D14" s="84">
        <f>N14-SUM($D$9:D13)</f>
        <v>-888813.88944300078</v>
      </c>
      <c r="E14" s="84"/>
      <c r="F14" s="84">
        <f t="shared" si="1"/>
        <v>1429123.1105569992</v>
      </c>
      <c r="G14" s="194">
        <f t="shared" si="4"/>
        <v>1147579.8715330986</v>
      </c>
      <c r="H14" s="191">
        <f>H13+1</f>
        <v>-427168</v>
      </c>
      <c r="I14" s="84"/>
      <c r="J14" s="84"/>
      <c r="K14" s="84">
        <f t="shared" si="2"/>
        <v>-427168</v>
      </c>
      <c r="L14" s="193">
        <f t="shared" si="3"/>
        <v>4271684</v>
      </c>
      <c r="N14" s="161">
        <v>-12590475.1284669</v>
      </c>
      <c r="O14" s="182"/>
      <c r="P14" s="177"/>
    </row>
    <row r="15" spans="1:16" x14ac:dyDescent="0.35">
      <c r="A15" s="152" t="s">
        <v>69</v>
      </c>
      <c r="B15" s="154"/>
      <c r="C15" s="192">
        <f t="shared" si="0"/>
        <v>2315670</v>
      </c>
      <c r="D15" s="84">
        <f>N15-SUM($D$9:D14)</f>
        <v>-633506.28040399961</v>
      </c>
      <c r="E15" s="190"/>
      <c r="F15" s="190">
        <f t="shared" si="1"/>
        <v>1682163.7195960004</v>
      </c>
      <c r="G15" s="180">
        <f t="shared" si="4"/>
        <v>2829743.591129099</v>
      </c>
      <c r="H15" s="191">
        <f>H14-1</f>
        <v>-427169</v>
      </c>
      <c r="I15" s="190"/>
      <c r="J15" s="190"/>
      <c r="K15" s="190">
        <f t="shared" si="2"/>
        <v>-427169</v>
      </c>
      <c r="L15" s="189">
        <f t="shared" si="3"/>
        <v>3844515</v>
      </c>
      <c r="N15" s="161">
        <v>-13223981.4088709</v>
      </c>
      <c r="O15" s="178"/>
      <c r="P15" s="177"/>
    </row>
    <row r="16" spans="1:16" x14ac:dyDescent="0.35">
      <c r="A16" s="86" t="s">
        <v>98</v>
      </c>
      <c r="B16" s="87"/>
      <c r="C16" s="88">
        <f t="shared" si="0"/>
        <v>450615</v>
      </c>
      <c r="D16" s="84">
        <f>N16-SUM($D$9:D15)</f>
        <v>-495743.28233799897</v>
      </c>
      <c r="E16" s="84"/>
      <c r="F16" s="84">
        <f t="shared" si="1"/>
        <v>-45128.282337998971</v>
      </c>
      <c r="G16" s="89">
        <f t="shared" si="4"/>
        <v>2784615.3087911</v>
      </c>
      <c r="H16" s="191">
        <f>H15+1</f>
        <v>-427168</v>
      </c>
      <c r="I16" s="84"/>
      <c r="J16" s="84"/>
      <c r="K16" s="84">
        <f t="shared" si="2"/>
        <v>-427168</v>
      </c>
      <c r="L16" s="90">
        <f t="shared" si="3"/>
        <v>3417347</v>
      </c>
      <c r="N16" s="161">
        <v>-13719724.691208899</v>
      </c>
      <c r="O16" s="178"/>
      <c r="P16" s="177"/>
    </row>
    <row r="17" spans="1:16" x14ac:dyDescent="0.35">
      <c r="A17" s="86" t="s">
        <v>99</v>
      </c>
      <c r="B17" s="87"/>
      <c r="C17" s="88">
        <f t="shared" si="0"/>
        <v>2085661.07</v>
      </c>
      <c r="D17" s="84">
        <f>N17-SUM($D$9:D16)</f>
        <v>-617060.28676700033</v>
      </c>
      <c r="E17" s="84"/>
      <c r="F17" s="84">
        <f t="shared" si="1"/>
        <v>1468600.7832329997</v>
      </c>
      <c r="G17" s="89">
        <f t="shared" si="4"/>
        <v>4253216.0920241</v>
      </c>
      <c r="H17" s="191">
        <f>+H14-1</f>
        <v>-427169</v>
      </c>
      <c r="I17" s="190"/>
      <c r="J17" s="190"/>
      <c r="K17" s="190">
        <f t="shared" si="2"/>
        <v>-427169</v>
      </c>
      <c r="L17" s="189">
        <f t="shared" si="3"/>
        <v>2990178</v>
      </c>
      <c r="N17" s="161">
        <v>-14336784.977975899</v>
      </c>
      <c r="O17" s="182"/>
      <c r="P17" s="177"/>
    </row>
    <row r="18" spans="1:16" x14ac:dyDescent="0.35">
      <c r="A18" s="152" t="s">
        <v>100</v>
      </c>
      <c r="B18" s="154"/>
      <c r="C18" s="192">
        <f t="shared" si="0"/>
        <v>2085161</v>
      </c>
      <c r="D18" s="84">
        <f>N18-SUM($D$9:D17)</f>
        <v>-1129975.0230220016</v>
      </c>
      <c r="E18" s="190"/>
      <c r="F18" s="190">
        <f t="shared" si="1"/>
        <v>955185.97697799839</v>
      </c>
      <c r="G18" s="180">
        <f t="shared" si="4"/>
        <v>5208402.0690020984</v>
      </c>
      <c r="H18" s="191">
        <f>+H15+1</f>
        <v>-427168</v>
      </c>
      <c r="I18" s="190"/>
      <c r="J18" s="190"/>
      <c r="K18" s="190">
        <f t="shared" si="2"/>
        <v>-427168</v>
      </c>
      <c r="L18" s="189">
        <f t="shared" si="3"/>
        <v>2563010</v>
      </c>
      <c r="N18" s="161">
        <v>-15466760.000997901</v>
      </c>
      <c r="O18" s="178"/>
      <c r="P18" s="177"/>
    </row>
    <row r="19" spans="1:16" x14ac:dyDescent="0.35">
      <c r="A19" s="152" t="s">
        <v>101</v>
      </c>
      <c r="B19" s="154"/>
      <c r="C19" s="192">
        <f t="shared" si="0"/>
        <v>2091016.23</v>
      </c>
      <c r="D19" s="84">
        <f>N19-SUM($D$9:D18)</f>
        <v>-2550165.6582929976</v>
      </c>
      <c r="E19" s="190"/>
      <c r="F19" s="190">
        <f t="shared" si="1"/>
        <v>-459149.42829299765</v>
      </c>
      <c r="G19" s="180">
        <f t="shared" si="4"/>
        <v>4749252.6407091003</v>
      </c>
      <c r="H19" s="191">
        <f>+H18</f>
        <v>-427168</v>
      </c>
      <c r="I19" s="190"/>
      <c r="J19" s="190"/>
      <c r="K19" s="190">
        <f t="shared" si="2"/>
        <v>-427168</v>
      </c>
      <c r="L19" s="189">
        <f t="shared" si="3"/>
        <v>2135842</v>
      </c>
      <c r="N19" s="161">
        <v>-18016925.659290899</v>
      </c>
      <c r="O19" s="178"/>
      <c r="P19" s="177"/>
    </row>
    <row r="20" spans="1:16" x14ac:dyDescent="0.35">
      <c r="A20" s="152" t="s">
        <v>102</v>
      </c>
      <c r="B20" s="154"/>
      <c r="C20" s="187">
        <f t="shared" si="0"/>
        <v>2034041</v>
      </c>
      <c r="D20" s="84">
        <f>N20-SUM($D$9:D19)</f>
        <v>-3435337.9280409999</v>
      </c>
      <c r="E20" s="91">
        <v>0</v>
      </c>
      <c r="F20" s="184">
        <f t="shared" si="1"/>
        <v>-1401296.9280409999</v>
      </c>
      <c r="G20" s="186">
        <f t="shared" si="4"/>
        <v>3347955.7126681004</v>
      </c>
      <c r="H20" s="185">
        <f>+H19</f>
        <v>-427168</v>
      </c>
      <c r="I20" s="184"/>
      <c r="J20" s="184"/>
      <c r="K20" s="184">
        <f t="shared" si="2"/>
        <v>-427168</v>
      </c>
      <c r="L20" s="183">
        <f t="shared" si="3"/>
        <v>1708674</v>
      </c>
      <c r="N20" s="161">
        <v>-21452263.587331899</v>
      </c>
      <c r="O20" s="178"/>
      <c r="P20" s="177"/>
    </row>
    <row r="21" spans="1:16" x14ac:dyDescent="0.35">
      <c r="C21" s="154"/>
      <c r="D21" s="154"/>
      <c r="E21" s="154"/>
      <c r="F21" s="154"/>
      <c r="G21" s="224"/>
      <c r="H21" s="178"/>
      <c r="I21" s="178"/>
      <c r="J21" s="178"/>
      <c r="K21" s="178"/>
      <c r="N21" s="171"/>
      <c r="O21" s="178"/>
      <c r="P21" s="177"/>
    </row>
    <row r="22" spans="1:16" ht="15" thickBot="1" x14ac:dyDescent="0.4">
      <c r="C22" s="154"/>
      <c r="D22" s="154"/>
      <c r="E22" s="154"/>
      <c r="F22" s="154"/>
      <c r="G22" s="224"/>
      <c r="H22" s="179">
        <f>SUM(H9:H21)</f>
        <v>-4950159</v>
      </c>
      <c r="I22" s="179">
        <f>SUM(I9:I21)</f>
        <v>-1745454</v>
      </c>
      <c r="J22" s="179">
        <f>SUM(J9:J21)</f>
        <v>6870949</v>
      </c>
      <c r="K22" s="179">
        <f>SUM(K9:K21)</f>
        <v>175336</v>
      </c>
      <c r="N22" s="171"/>
      <c r="O22" s="178"/>
      <c r="P22" s="177"/>
    </row>
    <row r="23" spans="1:16" ht="15" thickTop="1" x14ac:dyDescent="0.35">
      <c r="C23" s="154"/>
      <c r="D23" s="154"/>
      <c r="E23" s="154"/>
      <c r="F23" s="154"/>
      <c r="G23" s="154"/>
      <c r="N23" s="171"/>
      <c r="O23" s="178"/>
      <c r="P23" s="177"/>
    </row>
    <row r="24" spans="1:16" x14ac:dyDescent="0.35">
      <c r="C24" s="154"/>
      <c r="D24" s="154"/>
      <c r="E24" s="154"/>
      <c r="F24" s="154"/>
      <c r="N24" s="171"/>
      <c r="O24" s="178"/>
      <c r="P24" s="177"/>
    </row>
    <row r="25" spans="1:16" x14ac:dyDescent="0.35">
      <c r="B25" s="175" t="s">
        <v>103</v>
      </c>
      <c r="C25" s="175"/>
      <c r="D25" s="174" t="s">
        <v>104</v>
      </c>
      <c r="E25" s="174" t="s">
        <v>105</v>
      </c>
      <c r="N25" s="171"/>
      <c r="O25" s="170" t="s">
        <v>140</v>
      </c>
      <c r="P25" s="169" t="s">
        <v>140</v>
      </c>
    </row>
    <row r="26" spans="1:16" x14ac:dyDescent="0.35">
      <c r="B26" s="175" t="s">
        <v>106</v>
      </c>
      <c r="C26" s="175"/>
      <c r="D26" s="174" t="s">
        <v>107</v>
      </c>
      <c r="E26" s="174" t="s">
        <v>108</v>
      </c>
      <c r="N26" s="171"/>
      <c r="O26" s="170" t="s">
        <v>104</v>
      </c>
      <c r="P26" s="169" t="s">
        <v>105</v>
      </c>
    </row>
    <row r="27" spans="1:16" x14ac:dyDescent="0.35">
      <c r="B27" s="172" t="s">
        <v>109</v>
      </c>
      <c r="C27" s="172" t="s">
        <v>110</v>
      </c>
      <c r="D27" s="172" t="s">
        <v>111</v>
      </c>
      <c r="E27" s="172" t="s">
        <v>112</v>
      </c>
      <c r="F27" s="172" t="s">
        <v>88</v>
      </c>
      <c r="G27" s="172" t="s">
        <v>113</v>
      </c>
      <c r="N27" s="176" t="s">
        <v>140</v>
      </c>
      <c r="O27" s="170" t="s">
        <v>107</v>
      </c>
      <c r="P27" s="169" t="s">
        <v>108</v>
      </c>
    </row>
    <row r="28" spans="1:16" x14ac:dyDescent="0.35">
      <c r="A28" s="168" t="s">
        <v>141</v>
      </c>
      <c r="N28" s="225">
        <v>23600232</v>
      </c>
      <c r="O28" s="166" t="s">
        <v>111</v>
      </c>
      <c r="P28" s="165" t="s">
        <v>112</v>
      </c>
    </row>
    <row r="29" spans="1:16" x14ac:dyDescent="0.35">
      <c r="A29" s="152" t="s">
        <v>92</v>
      </c>
      <c r="B29" s="92">
        <f>N29/1*12</f>
        <v>24441492</v>
      </c>
      <c r="C29" s="93">
        <f>B29/12</f>
        <v>2036791</v>
      </c>
      <c r="D29" s="93">
        <f>+O29</f>
        <v>0</v>
      </c>
      <c r="E29" s="93">
        <f>+P29</f>
        <v>0</v>
      </c>
      <c r="F29" s="154">
        <f t="shared" ref="F29:F40" si="5">-H9</f>
        <v>383203</v>
      </c>
      <c r="G29" s="164">
        <f t="shared" ref="G29:G40" si="6">SUM(C29:F29)</f>
        <v>2419994</v>
      </c>
      <c r="N29" s="163">
        <v>2036791</v>
      </c>
      <c r="O29" s="162">
        <v>0</v>
      </c>
      <c r="P29" s="159">
        <v>0</v>
      </c>
    </row>
    <row r="30" spans="1:16" x14ac:dyDescent="0.35">
      <c r="A30" s="152" t="s">
        <v>93</v>
      </c>
      <c r="B30" s="92">
        <f>N30/2*12</f>
        <v>24442176</v>
      </c>
      <c r="C30" s="87">
        <f>B30/12*2-C29</f>
        <v>2036905</v>
      </c>
      <c r="D30" s="87">
        <f>+O30-SUM($D$29:D29)</f>
        <v>0</v>
      </c>
      <c r="E30" s="87">
        <f>P30-SUM($E$29:E29)</f>
        <v>0</v>
      </c>
      <c r="F30" s="154">
        <f t="shared" si="5"/>
        <v>383203</v>
      </c>
      <c r="G30" s="154">
        <f t="shared" si="6"/>
        <v>2420108</v>
      </c>
      <c r="N30" s="161">
        <v>4073696</v>
      </c>
      <c r="O30" s="160">
        <v>0</v>
      </c>
      <c r="P30" s="159">
        <v>0</v>
      </c>
    </row>
    <row r="31" spans="1:16" x14ac:dyDescent="0.35">
      <c r="A31" s="152" t="s">
        <v>94</v>
      </c>
      <c r="B31" s="92">
        <f>N31/3*12</f>
        <v>24442180</v>
      </c>
      <c r="C31" s="87">
        <f>B31/12*3-SUM($C$29:C30)</f>
        <v>2036849</v>
      </c>
      <c r="D31" s="87">
        <f>+O31-SUM($D$29:D30)</f>
        <v>2232</v>
      </c>
      <c r="E31" s="87">
        <f>P31-SUM($E$29:E30)</f>
        <v>0</v>
      </c>
      <c r="F31" s="154">
        <f t="shared" si="5"/>
        <v>383203</v>
      </c>
      <c r="G31" s="154">
        <f t="shared" si="6"/>
        <v>2422284</v>
      </c>
      <c r="N31" s="161">
        <v>6110545</v>
      </c>
      <c r="O31" s="160">
        <v>2232</v>
      </c>
      <c r="P31" s="159">
        <v>0</v>
      </c>
    </row>
    <row r="32" spans="1:16" x14ac:dyDescent="0.35">
      <c r="A32" s="152" t="s">
        <v>95</v>
      </c>
      <c r="B32" s="92">
        <f>N32/4*12</f>
        <v>22698972</v>
      </c>
      <c r="C32" s="87">
        <f>B32/12*4-SUM($C$29:C31)</f>
        <v>1455779</v>
      </c>
      <c r="D32" s="87">
        <f>+O32-SUM($D$29:D31)</f>
        <v>0</v>
      </c>
      <c r="E32" s="87">
        <f>P32-SUM($E$29:E31)</f>
        <v>0</v>
      </c>
      <c r="F32" s="154">
        <f t="shared" si="5"/>
        <v>383203</v>
      </c>
      <c r="G32" s="154">
        <f t="shared" si="6"/>
        <v>1838982</v>
      </c>
      <c r="N32" s="161">
        <v>7566324</v>
      </c>
      <c r="O32" s="160">
        <v>2232</v>
      </c>
      <c r="P32" s="159">
        <v>0</v>
      </c>
    </row>
    <row r="33" spans="1:16" x14ac:dyDescent="0.35">
      <c r="A33" s="152" t="s">
        <v>96</v>
      </c>
      <c r="B33" s="92">
        <f>N33/5*12</f>
        <v>22698972</v>
      </c>
      <c r="C33" s="87">
        <f>B33/12*5-SUM($C$29:C32)</f>
        <v>1891581</v>
      </c>
      <c r="D33" s="87">
        <f xml:space="preserve"> O33-SUM($D$29:D32)</f>
        <v>0</v>
      </c>
      <c r="E33" s="87">
        <f>P33-SUM($E$29:E32)</f>
        <v>0</v>
      </c>
      <c r="F33" s="154">
        <f t="shared" si="5"/>
        <v>427169</v>
      </c>
      <c r="G33" s="154">
        <f t="shared" si="6"/>
        <v>2318750</v>
      </c>
      <c r="N33" s="161">
        <v>9457905</v>
      </c>
      <c r="O33" s="160">
        <v>2232</v>
      </c>
      <c r="P33" s="159">
        <v>0</v>
      </c>
    </row>
    <row r="34" spans="1:16" x14ac:dyDescent="0.35">
      <c r="A34" s="152" t="s">
        <v>97</v>
      </c>
      <c r="B34" s="226">
        <f>N34/6*12</f>
        <v>22698974</v>
      </c>
      <c r="C34" s="87">
        <f>B34/12*6-SUM($C$29:C33)</f>
        <v>1891582</v>
      </c>
      <c r="D34" s="87">
        <f>O34-SUM($D$29:D33)</f>
        <v>0</v>
      </c>
      <c r="E34" s="87">
        <f>P34-SUM($E$29:E33)</f>
        <v>-813</v>
      </c>
      <c r="F34" s="154">
        <f t="shared" si="5"/>
        <v>427168</v>
      </c>
      <c r="G34" s="154">
        <f t="shared" si="6"/>
        <v>2317937</v>
      </c>
      <c r="N34" s="161">
        <v>11349487</v>
      </c>
      <c r="O34" s="160">
        <v>2232</v>
      </c>
      <c r="P34" s="159">
        <v>-813</v>
      </c>
    </row>
    <row r="35" spans="1:16" x14ac:dyDescent="0.35">
      <c r="A35" s="152" t="s">
        <v>69</v>
      </c>
      <c r="B35" s="92">
        <f>N35/7*12</f>
        <v>22698973.714285716</v>
      </c>
      <c r="C35" s="87">
        <f>B35/12*7-SUM($C$29:C34)</f>
        <v>1891581</v>
      </c>
      <c r="D35" s="87">
        <f>O35-SUM($D$29:D34)</f>
        <v>0</v>
      </c>
      <c r="E35" s="87">
        <f>P35-SUM($E$29:E34)</f>
        <v>-3080</v>
      </c>
      <c r="F35" s="154">
        <f t="shared" si="5"/>
        <v>427169</v>
      </c>
      <c r="G35" s="154">
        <f t="shared" si="6"/>
        <v>2315670</v>
      </c>
      <c r="N35" s="161">
        <v>13241068</v>
      </c>
      <c r="O35" s="160">
        <v>2232</v>
      </c>
      <c r="P35" s="159">
        <v>-3893</v>
      </c>
    </row>
    <row r="36" spans="1:16" x14ac:dyDescent="0.35">
      <c r="A36" s="152" t="s">
        <v>98</v>
      </c>
      <c r="B36" s="92">
        <f>N36/8*12</f>
        <v>19895917.5</v>
      </c>
      <c r="C36" s="87">
        <f>B36/12*8-SUM($C$29:C35)</f>
        <v>22877</v>
      </c>
      <c r="D36" s="87">
        <f>O36-SUM($D$29:D35)</f>
        <v>570</v>
      </c>
      <c r="E36" s="87">
        <f>P36-SUM($E$29:E35)</f>
        <v>0</v>
      </c>
      <c r="F36" s="154">
        <f t="shared" si="5"/>
        <v>427168</v>
      </c>
      <c r="G36" s="154">
        <f t="shared" si="6"/>
        <v>450615</v>
      </c>
      <c r="N36" s="161">
        <v>13263945</v>
      </c>
      <c r="O36" s="160">
        <v>2802</v>
      </c>
      <c r="P36" s="159">
        <v>-3893</v>
      </c>
    </row>
    <row r="37" spans="1:16" x14ac:dyDescent="0.35">
      <c r="A37" s="152" t="s">
        <v>99</v>
      </c>
      <c r="B37" s="92">
        <f>N37/9*12</f>
        <v>19895918.666666668</v>
      </c>
      <c r="C37" s="87">
        <f>B37/12*9-SUM($C$29:C36)</f>
        <v>1657994</v>
      </c>
      <c r="D37" s="87">
        <f>O37-SUM($D$29:D36)</f>
        <v>498.07000000000016</v>
      </c>
      <c r="E37" s="87">
        <f>P37-SUM($E$29:E36)</f>
        <v>0</v>
      </c>
      <c r="F37" s="154">
        <f t="shared" si="5"/>
        <v>427169</v>
      </c>
      <c r="G37" s="154">
        <f t="shared" si="6"/>
        <v>2085661.07</v>
      </c>
      <c r="N37" s="161">
        <v>14921939</v>
      </c>
      <c r="O37" s="160">
        <v>3300.07</v>
      </c>
      <c r="P37" s="159">
        <v>-3893</v>
      </c>
    </row>
    <row r="38" spans="1:16" x14ac:dyDescent="0.35">
      <c r="A38" s="152" t="s">
        <v>100</v>
      </c>
      <c r="B38" s="92">
        <f>N38/10*12</f>
        <v>19895918.399999999</v>
      </c>
      <c r="C38" s="87">
        <f>B38/12*10-SUM($C$29:C37)</f>
        <v>1657993</v>
      </c>
      <c r="D38" s="87">
        <f>O38-SUM($D$29:D37)</f>
        <v>0</v>
      </c>
      <c r="E38" s="87">
        <f>P38-SUM($E$29:E37)</f>
        <v>0</v>
      </c>
      <c r="F38" s="154">
        <f t="shared" si="5"/>
        <v>427168</v>
      </c>
      <c r="G38" s="154">
        <f t="shared" si="6"/>
        <v>2085161</v>
      </c>
      <c r="N38" s="161">
        <v>16579932</v>
      </c>
      <c r="O38" s="160">
        <v>3300.07</v>
      </c>
      <c r="P38" s="159">
        <v>-3893</v>
      </c>
    </row>
    <row r="39" spans="1:16" x14ac:dyDescent="0.35">
      <c r="A39" s="152" t="s">
        <v>101</v>
      </c>
      <c r="B39" s="92">
        <f>N39/11*12</f>
        <v>19895918.181818184</v>
      </c>
      <c r="C39" s="87">
        <f>B39/12*11-SUM($C$29:C38)</f>
        <v>1657993</v>
      </c>
      <c r="D39" s="87">
        <f>O39-SUM($D$29:D38)</f>
        <v>6033.23</v>
      </c>
      <c r="E39" s="87">
        <f>P39-SUM($E$29:E38)</f>
        <v>-178</v>
      </c>
      <c r="F39" s="154">
        <f t="shared" si="5"/>
        <v>427168</v>
      </c>
      <c r="G39" s="154">
        <f t="shared" si="6"/>
        <v>2091016.23</v>
      </c>
      <c r="I39" s="153"/>
      <c r="K39" s="153"/>
      <c r="N39" s="161">
        <v>18237925</v>
      </c>
      <c r="O39" s="160">
        <v>9333.2999999999993</v>
      </c>
      <c r="P39" s="159">
        <v>-4071</v>
      </c>
    </row>
    <row r="40" spans="1:16" ht="15" thickBot="1" x14ac:dyDescent="0.4">
      <c r="A40" s="152" t="s">
        <v>102</v>
      </c>
      <c r="B40" s="92">
        <f>N40</f>
        <v>19846999</v>
      </c>
      <c r="C40" s="87">
        <f>B40/12*12-SUM($C$29:C39)</f>
        <v>1609074</v>
      </c>
      <c r="D40" s="87">
        <f>O40-SUM($D$29:D39)</f>
        <v>126</v>
      </c>
      <c r="E40" s="87">
        <f>P40-SUM($E$29:E39)</f>
        <v>-2327</v>
      </c>
      <c r="F40" s="154">
        <f t="shared" si="5"/>
        <v>427168</v>
      </c>
      <c r="G40" s="154">
        <f t="shared" si="6"/>
        <v>2034041</v>
      </c>
      <c r="I40" s="153"/>
      <c r="K40" s="153"/>
      <c r="N40" s="158">
        <v>19846999</v>
      </c>
      <c r="O40" s="157">
        <v>9459.2999999999993</v>
      </c>
      <c r="P40" s="156">
        <v>-6398</v>
      </c>
    </row>
    <row r="41" spans="1:16" x14ac:dyDescent="0.35">
      <c r="B41" s="86"/>
      <c r="C41" s="87"/>
      <c r="D41" s="87"/>
      <c r="E41" s="87"/>
      <c r="F41" s="154"/>
      <c r="I41" s="153"/>
      <c r="K41" s="153"/>
    </row>
    <row r="42" spans="1:16" x14ac:dyDescent="0.35">
      <c r="C42" s="154"/>
      <c r="I42" s="153"/>
      <c r="K42" s="153"/>
    </row>
    <row r="43" spans="1:16" x14ac:dyDescent="0.35">
      <c r="I43" s="153"/>
      <c r="J43" s="153"/>
      <c r="K43" s="153"/>
    </row>
    <row r="44" spans="1:16" x14ac:dyDescent="0.35">
      <c r="I44" s="153"/>
      <c r="K44" s="153"/>
    </row>
    <row r="45" spans="1:16" x14ac:dyDescent="0.35">
      <c r="I45" s="153"/>
      <c r="K45" s="153"/>
    </row>
    <row r="46" spans="1:16" x14ac:dyDescent="0.35">
      <c r="I46" s="153"/>
      <c r="K46" s="153"/>
    </row>
    <row r="47" spans="1:16" x14ac:dyDescent="0.35">
      <c r="I47" s="153"/>
      <c r="K47" s="153"/>
    </row>
    <row r="48" spans="1:16" x14ac:dyDescent="0.35">
      <c r="I48" s="153"/>
      <c r="K48" s="153"/>
    </row>
    <row r="49" spans="9:12" x14ac:dyDescent="0.35">
      <c r="I49" s="153"/>
      <c r="K49" s="153"/>
    </row>
    <row r="50" spans="9:12" x14ac:dyDescent="0.35">
      <c r="I50" s="153"/>
      <c r="K50" s="153"/>
    </row>
    <row r="51" spans="9:12" x14ac:dyDescent="0.35">
      <c r="L51" s="153"/>
    </row>
    <row r="52" spans="9:12" x14ac:dyDescent="0.35">
      <c r="L52" s="153"/>
    </row>
    <row r="53" spans="9:12" x14ac:dyDescent="0.35">
      <c r="L53" s="153"/>
    </row>
    <row r="54" spans="9:12" x14ac:dyDescent="0.35">
      <c r="L54" s="153"/>
    </row>
    <row r="55" spans="9:12" x14ac:dyDescent="0.35">
      <c r="I55" s="153"/>
      <c r="J55" s="153"/>
      <c r="K55" s="153"/>
      <c r="L55" s="153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="80" zoomScaleNormal="80" workbookViewId="0">
      <pane xSplit="3" ySplit="6" topLeftCell="D23" activePane="bottomRight" state="frozen"/>
      <selection pane="topRight" activeCell="D1" sqref="D1"/>
      <selection pane="bottomLeft" activeCell="A7" sqref="A7"/>
      <selection pane="bottomRight" activeCell="L57" sqref="L57"/>
    </sheetView>
  </sheetViews>
  <sheetFormatPr defaultColWidth="5.54296875" defaultRowHeight="14.5" x14ac:dyDescent="0.35"/>
  <cols>
    <col min="1" max="1" width="4.36328125" bestFit="1" customWidth="1"/>
    <col min="2" max="2" width="33.36328125" bestFit="1" customWidth="1"/>
    <col min="3" max="3" width="11" bestFit="1" customWidth="1"/>
    <col min="4" max="4" width="17.08984375" bestFit="1" customWidth="1"/>
    <col min="5" max="5" width="17" bestFit="1" customWidth="1"/>
    <col min="6" max="6" width="14.36328125" bestFit="1" customWidth="1"/>
    <col min="7" max="7" width="13.6328125" bestFit="1" customWidth="1"/>
    <col min="8" max="8" width="13" bestFit="1" customWidth="1"/>
    <col min="10" max="10" width="17.90625" bestFit="1" customWidth="1"/>
    <col min="11" max="11" width="18" bestFit="1" customWidth="1"/>
    <col min="12" max="12" width="14.36328125" bestFit="1" customWidth="1"/>
    <col min="13" max="13" width="15.36328125" customWidth="1"/>
    <col min="14" max="14" width="13" bestFit="1" customWidth="1"/>
    <col min="16" max="16" width="13" bestFit="1" customWidth="1"/>
  </cols>
  <sheetData>
    <row r="1" spans="1:19" x14ac:dyDescent="0.35">
      <c r="A1" s="272" t="s">
        <v>40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</row>
    <row r="2" spans="1:19" x14ac:dyDescent="0.35">
      <c r="A2" s="273" t="s">
        <v>136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</row>
    <row r="3" spans="1:19" x14ac:dyDescent="0.35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"/>
      <c r="R3" s="2"/>
      <c r="S3" s="2"/>
    </row>
    <row r="4" spans="1:19" x14ac:dyDescent="0.35">
      <c r="E4" s="2"/>
      <c r="K4" s="30"/>
    </row>
    <row r="5" spans="1:19" ht="58" x14ac:dyDescent="0.35">
      <c r="A5" s="228" t="s">
        <v>39</v>
      </c>
      <c r="B5" s="228" t="s">
        <v>10</v>
      </c>
      <c r="C5" s="228" t="s">
        <v>38</v>
      </c>
      <c r="D5" s="12" t="s">
        <v>198</v>
      </c>
      <c r="E5" s="12" t="s">
        <v>199</v>
      </c>
      <c r="F5" s="49" t="s">
        <v>37</v>
      </c>
      <c r="G5" s="50" t="s">
        <v>200</v>
      </c>
      <c r="H5" s="229" t="s">
        <v>201</v>
      </c>
      <c r="I5" s="230"/>
      <c r="J5" s="231" t="s">
        <v>202</v>
      </c>
      <c r="K5" s="12" t="s">
        <v>203</v>
      </c>
      <c r="L5" s="230" t="s">
        <v>37</v>
      </c>
      <c r="M5" s="229" t="s">
        <v>204</v>
      </c>
      <c r="N5" s="229" t="s">
        <v>116</v>
      </c>
      <c r="O5" s="230"/>
      <c r="P5" s="230" t="s">
        <v>36</v>
      </c>
    </row>
    <row r="6" spans="1:19" x14ac:dyDescent="0.35">
      <c r="A6" s="232"/>
      <c r="B6" s="232"/>
      <c r="C6" s="232"/>
      <c r="D6" s="232" t="s">
        <v>34</v>
      </c>
      <c r="E6" s="151" t="s">
        <v>33</v>
      </c>
      <c r="F6" s="233" t="s">
        <v>35</v>
      </c>
      <c r="G6" s="234" t="s">
        <v>31</v>
      </c>
      <c r="H6" s="232" t="s">
        <v>30</v>
      </c>
      <c r="I6" s="232"/>
      <c r="J6" s="232" t="s">
        <v>34</v>
      </c>
      <c r="K6" s="151" t="s">
        <v>33</v>
      </c>
      <c r="L6" s="233" t="s">
        <v>32</v>
      </c>
      <c r="M6" s="234" t="s">
        <v>31</v>
      </c>
      <c r="N6" s="232" t="s">
        <v>30</v>
      </c>
      <c r="O6" s="232"/>
      <c r="P6" s="232"/>
      <c r="Q6" s="232"/>
      <c r="R6" s="232"/>
      <c r="S6" s="232"/>
    </row>
    <row r="7" spans="1:19" x14ac:dyDescent="0.35">
      <c r="A7" s="232"/>
      <c r="B7" s="232"/>
      <c r="C7" s="232"/>
      <c r="D7" s="232"/>
      <c r="E7" s="151"/>
      <c r="F7" s="233"/>
      <c r="G7" s="234"/>
      <c r="H7" s="232"/>
      <c r="I7" s="232"/>
      <c r="J7" s="232"/>
      <c r="K7" s="151"/>
      <c r="L7" s="233"/>
      <c r="M7" s="234"/>
      <c r="N7" s="232"/>
      <c r="O7" s="232"/>
      <c r="P7" s="232"/>
      <c r="Q7" s="232"/>
      <c r="R7" s="232"/>
      <c r="S7" s="232"/>
    </row>
    <row r="8" spans="1:19" x14ac:dyDescent="0.35">
      <c r="A8" s="232">
        <v>1</v>
      </c>
      <c r="B8" s="11" t="s">
        <v>45</v>
      </c>
      <c r="C8" s="10">
        <v>7</v>
      </c>
      <c r="D8" s="235">
        <v>4132786917</v>
      </c>
      <c r="E8" s="235">
        <v>4491465888.587863</v>
      </c>
      <c r="F8" s="18">
        <f>D8-E8</f>
        <v>-358678971.58786297</v>
      </c>
      <c r="G8" s="236">
        <v>3.0720000000000001E-3</v>
      </c>
      <c r="H8" s="20">
        <f>+G8*F8</f>
        <v>-1101861.8007179152</v>
      </c>
      <c r="I8" s="20"/>
      <c r="J8" s="237">
        <v>6612999547</v>
      </c>
      <c r="K8" s="237">
        <v>7259109896.8822651</v>
      </c>
      <c r="L8" s="18">
        <f>J8-K8</f>
        <v>-646110349.88226509</v>
      </c>
      <c r="M8" s="238">
        <v>2.7980000000000001E-3</v>
      </c>
      <c r="N8" s="20">
        <f>+M8*L8</f>
        <v>-1807816.7589705777</v>
      </c>
      <c r="O8" s="20"/>
      <c r="P8" s="20">
        <f>H8+N8</f>
        <v>-2909678.5596884927</v>
      </c>
      <c r="Q8" s="239"/>
      <c r="S8" s="240"/>
    </row>
    <row r="9" spans="1:19" x14ac:dyDescent="0.35">
      <c r="A9" s="232">
        <f t="shared" ref="A9:A35" si="0">+A8+1</f>
        <v>2</v>
      </c>
      <c r="B9" s="7" t="s">
        <v>47</v>
      </c>
      <c r="C9" s="6"/>
      <c r="D9" s="21">
        <f>SUM(D8:D8)</f>
        <v>4132786917</v>
      </c>
      <c r="E9" s="21">
        <f>SUM(E8:E8)</f>
        <v>4491465888.587863</v>
      </c>
      <c r="F9" s="21">
        <f>SUM(F8:F8)</f>
        <v>-358678971.58786297</v>
      </c>
      <c r="G9" s="19"/>
      <c r="H9" s="22">
        <f>SUM(H8:H8)</f>
        <v>-1101861.8007179152</v>
      </c>
      <c r="I9" s="23"/>
      <c r="J9" s="21">
        <f>SUM(J8:J8)</f>
        <v>6612999547</v>
      </c>
      <c r="K9" s="21">
        <f>SUM(K8:K8)</f>
        <v>7259109896.8822651</v>
      </c>
      <c r="L9" s="21">
        <f>SUM(L8:L8)</f>
        <v>-646110349.88226509</v>
      </c>
      <c r="M9" s="19"/>
      <c r="N9" s="22">
        <f>SUM(N8:N8)</f>
        <v>-1807816.7589705777</v>
      </c>
      <c r="O9" s="23"/>
      <c r="P9" s="22">
        <f>SUM(P8:P8)</f>
        <v>-2909678.5596884927</v>
      </c>
      <c r="Q9" s="239"/>
      <c r="S9" s="240"/>
    </row>
    <row r="10" spans="1:19" x14ac:dyDescent="0.35">
      <c r="A10" s="232">
        <f t="shared" si="0"/>
        <v>3</v>
      </c>
      <c r="B10" s="5"/>
      <c r="C10" s="6"/>
      <c r="D10" s="24"/>
      <c r="E10" s="24"/>
      <c r="F10" s="24"/>
      <c r="G10" s="19"/>
      <c r="H10" s="23"/>
      <c r="I10" s="23"/>
      <c r="J10" s="24"/>
      <c r="K10" s="24"/>
      <c r="L10" s="24"/>
      <c r="M10" s="19"/>
      <c r="N10" s="23"/>
      <c r="O10" s="23"/>
      <c r="P10" s="23"/>
      <c r="Q10" s="239"/>
      <c r="S10" s="240"/>
    </row>
    <row r="11" spans="1:19" x14ac:dyDescent="0.35">
      <c r="A11" s="232">
        <f t="shared" si="0"/>
        <v>4</v>
      </c>
      <c r="B11" s="4" t="s">
        <v>48</v>
      </c>
      <c r="C11" s="6"/>
      <c r="D11" s="24"/>
      <c r="E11" s="24"/>
      <c r="F11" s="24"/>
      <c r="G11" s="19"/>
      <c r="H11" s="23"/>
      <c r="I11" s="23"/>
      <c r="J11" s="24"/>
      <c r="K11" s="24"/>
      <c r="L11" s="24"/>
      <c r="M11" s="19"/>
      <c r="N11" s="23"/>
      <c r="O11" s="23"/>
      <c r="P11" s="23"/>
      <c r="Q11" s="239"/>
      <c r="S11" s="240"/>
    </row>
    <row r="12" spans="1:19" x14ac:dyDescent="0.35">
      <c r="A12" s="232">
        <f t="shared" si="0"/>
        <v>5</v>
      </c>
      <c r="B12" s="4" t="s">
        <v>49</v>
      </c>
      <c r="C12" s="6" t="s">
        <v>50</v>
      </c>
      <c r="D12" s="235">
        <v>931969392</v>
      </c>
      <c r="E12" s="241">
        <v>994891616.71870399</v>
      </c>
      <c r="F12" s="24">
        <f>D12-E12</f>
        <v>-62922224.718703985</v>
      </c>
      <c r="G12" s="236">
        <v>2.6389999999999999E-3</v>
      </c>
      <c r="H12" s="20">
        <f>+G12*F12</f>
        <v>-166051.75103265981</v>
      </c>
      <c r="I12" s="20"/>
      <c r="J12" s="237">
        <v>1763434839</v>
      </c>
      <c r="K12" s="237">
        <v>1817552230.7434499</v>
      </c>
      <c r="L12" s="24">
        <f>J12-K12</f>
        <v>-54117391.743449926</v>
      </c>
      <c r="M12" s="238">
        <v>2.3509999999999998E-3</v>
      </c>
      <c r="N12" s="20">
        <f>+M12*L12</f>
        <v>-127229.98798885077</v>
      </c>
      <c r="O12" s="20"/>
      <c r="P12" s="20">
        <f>H12+N12</f>
        <v>-293281.73902151058</v>
      </c>
      <c r="Q12" s="239"/>
      <c r="S12" s="240"/>
    </row>
    <row r="13" spans="1:19" x14ac:dyDescent="0.35">
      <c r="A13" s="232">
        <f t="shared" si="0"/>
        <v>6</v>
      </c>
      <c r="B13" s="9" t="s">
        <v>51</v>
      </c>
      <c r="C13" s="6" t="s">
        <v>52</v>
      </c>
      <c r="D13" s="235">
        <v>935083657</v>
      </c>
      <c r="E13" s="241">
        <v>1012901811.7611012</v>
      </c>
      <c r="F13" s="24">
        <f>D13-E13</f>
        <v>-77818154.761101246</v>
      </c>
      <c r="G13" s="236">
        <v>2.4289999999999997E-3</v>
      </c>
      <c r="H13" s="20">
        <f>+G13*F13</f>
        <v>-189020.2979147149</v>
      </c>
      <c r="I13" s="20"/>
      <c r="J13" s="237">
        <v>1922114600</v>
      </c>
      <c r="K13" s="237">
        <v>1991590148.7041106</v>
      </c>
      <c r="L13" s="24">
        <f>J13-K13</f>
        <v>-69475548.704110622</v>
      </c>
      <c r="M13" s="238">
        <v>2.163E-3</v>
      </c>
      <c r="N13" s="20">
        <f>+M13*L13</f>
        <v>-150275.61184699126</v>
      </c>
      <c r="O13" s="20"/>
      <c r="P13" s="20">
        <f>H13+N13</f>
        <v>-339295.90976170613</v>
      </c>
      <c r="Q13" s="239"/>
      <c r="S13" s="240"/>
    </row>
    <row r="14" spans="1:19" x14ac:dyDescent="0.35">
      <c r="A14" s="232">
        <f t="shared" si="0"/>
        <v>7</v>
      </c>
      <c r="B14" s="9" t="s">
        <v>53</v>
      </c>
      <c r="C14" s="6" t="s">
        <v>54</v>
      </c>
      <c r="D14" s="235">
        <v>525621622</v>
      </c>
      <c r="E14" s="241">
        <v>596954311.47233772</v>
      </c>
      <c r="F14" s="24">
        <f>D14-E14</f>
        <v>-71332689.472337723</v>
      </c>
      <c r="G14" s="236">
        <v>2.307E-3</v>
      </c>
      <c r="H14" s="20">
        <f>+G14*F14</f>
        <v>-164564.51461268312</v>
      </c>
      <c r="I14" s="20"/>
      <c r="J14" s="237">
        <v>1242268107</v>
      </c>
      <c r="K14" s="237">
        <v>1211591927.124295</v>
      </c>
      <c r="L14" s="24">
        <f>J14-K14</f>
        <v>30676179.875705004</v>
      </c>
      <c r="M14" s="238">
        <v>1.9169999999999999E-3</v>
      </c>
      <c r="N14" s="20">
        <f>+M14*L14</f>
        <v>58806.236821726488</v>
      </c>
      <c r="O14" s="20"/>
      <c r="P14" s="20">
        <f>H14+N14</f>
        <v>-105758.27779095664</v>
      </c>
      <c r="Q14" s="239"/>
      <c r="S14" s="240"/>
    </row>
    <row r="15" spans="1:19" x14ac:dyDescent="0.35">
      <c r="A15" s="232">
        <f t="shared" si="0"/>
        <v>8</v>
      </c>
      <c r="B15" s="9" t="s">
        <v>55</v>
      </c>
      <c r="C15" s="6">
        <v>29</v>
      </c>
      <c r="D15" s="235">
        <v>1173058</v>
      </c>
      <c r="E15" s="241">
        <v>1283673.4423265718</v>
      </c>
      <c r="F15" s="24">
        <f>D15-E15</f>
        <v>-110615.44232657179</v>
      </c>
      <c r="G15" s="236">
        <v>2.4289999999999997E-3</v>
      </c>
      <c r="H15" s="20">
        <f>+G15*F15</f>
        <v>-268.68490941124287</v>
      </c>
      <c r="I15" s="20"/>
      <c r="J15" s="237">
        <v>13999085</v>
      </c>
      <c r="K15" s="237">
        <v>12807308.562992858</v>
      </c>
      <c r="L15" s="24">
        <f>J15-K15</f>
        <v>1191776.4370071422</v>
      </c>
      <c r="M15" s="238">
        <v>2.163E-3</v>
      </c>
      <c r="N15" s="20">
        <f>+M15*L15</f>
        <v>2577.8124332464486</v>
      </c>
      <c r="O15" s="20"/>
      <c r="P15" s="20">
        <f>H15+N15</f>
        <v>2309.1275238352055</v>
      </c>
      <c r="Q15" s="239"/>
      <c r="S15" s="240"/>
    </row>
    <row r="16" spans="1:19" x14ac:dyDescent="0.35">
      <c r="A16" s="232">
        <f t="shared" si="0"/>
        <v>9</v>
      </c>
      <c r="B16" s="7" t="s">
        <v>56</v>
      </c>
      <c r="C16" s="6"/>
      <c r="D16" s="21">
        <f>SUM(D12:D15)</f>
        <v>2393847729</v>
      </c>
      <c r="E16" s="21">
        <f>SUM(E12:E15)</f>
        <v>2606031413.3944693</v>
      </c>
      <c r="F16" s="21">
        <f>SUM(F12:F15)</f>
        <v>-212183684.39446953</v>
      </c>
      <c r="G16" s="19"/>
      <c r="H16" s="22">
        <f>SUM(H12:H15)</f>
        <v>-519905.24846946902</v>
      </c>
      <c r="I16" s="23"/>
      <c r="J16" s="21">
        <f>SUM(J12:J15)</f>
        <v>4941816631</v>
      </c>
      <c r="K16" s="21">
        <f>SUM(K12:K15)</f>
        <v>5033541615.1348486</v>
      </c>
      <c r="L16" s="21">
        <f>SUM(L12:L15)</f>
        <v>-91724984.134848401</v>
      </c>
      <c r="M16" s="19"/>
      <c r="N16" s="22">
        <f>SUM(N12:N15)</f>
        <v>-216121.55058086911</v>
      </c>
      <c r="O16" s="23"/>
      <c r="P16" s="22">
        <f>SUM(P12:P15)</f>
        <v>-736026.79905033822</v>
      </c>
      <c r="Q16" s="239"/>
      <c r="S16" s="240"/>
    </row>
    <row r="17" spans="1:19" x14ac:dyDescent="0.35">
      <c r="A17" s="232">
        <f t="shared" si="0"/>
        <v>10</v>
      </c>
      <c r="B17" s="8"/>
      <c r="C17" s="6"/>
      <c r="D17" s="24"/>
      <c r="E17" s="24"/>
      <c r="F17" s="24"/>
      <c r="G17" s="19"/>
      <c r="H17" s="23"/>
      <c r="I17" s="23"/>
      <c r="J17" s="24"/>
      <c r="K17" s="24"/>
      <c r="L17" s="24"/>
      <c r="M17" s="19"/>
      <c r="N17" s="23"/>
      <c r="O17" s="23"/>
      <c r="P17" s="23"/>
      <c r="Q17" s="239"/>
      <c r="S17" s="240"/>
    </row>
    <row r="18" spans="1:19" x14ac:dyDescent="0.35">
      <c r="A18" s="232">
        <f t="shared" si="0"/>
        <v>11</v>
      </c>
      <c r="B18" s="4" t="s">
        <v>57</v>
      </c>
      <c r="C18" s="6"/>
      <c r="D18" s="24"/>
      <c r="E18" s="24"/>
      <c r="F18" s="24"/>
      <c r="G18" s="19"/>
      <c r="H18" s="23"/>
      <c r="I18" s="23"/>
      <c r="J18" s="24"/>
      <c r="K18" s="24"/>
      <c r="L18" s="24"/>
      <c r="M18" s="19"/>
      <c r="N18" s="23"/>
      <c r="O18" s="23"/>
      <c r="P18" s="23"/>
      <c r="Q18" s="239"/>
      <c r="S18" s="240"/>
    </row>
    <row r="19" spans="1:19" x14ac:dyDescent="0.35">
      <c r="A19" s="232">
        <f t="shared" si="0"/>
        <v>12</v>
      </c>
      <c r="B19" s="4" t="s">
        <v>58</v>
      </c>
      <c r="C19" s="6" t="s">
        <v>59</v>
      </c>
      <c r="D19" s="235">
        <v>412514046</v>
      </c>
      <c r="E19" s="241">
        <v>459272900.40020287</v>
      </c>
      <c r="F19" s="24">
        <f>D19-E19</f>
        <v>-46758854.40020287</v>
      </c>
      <c r="G19" s="236">
        <v>2.222E-3</v>
      </c>
      <c r="H19" s="20">
        <f>+G19*F19</f>
        <v>-103898.17447725078</v>
      </c>
      <c r="I19" s="20"/>
      <c r="J19" s="237">
        <v>896131153</v>
      </c>
      <c r="K19" s="237">
        <v>931369489.25995326</v>
      </c>
      <c r="L19" s="24">
        <f>J19-K19</f>
        <v>-35238336.25995326</v>
      </c>
      <c r="M19" s="238">
        <v>1.936E-3</v>
      </c>
      <c r="N19" s="20">
        <f>+M19*L19</f>
        <v>-68221.418999269517</v>
      </c>
      <c r="O19" s="20"/>
      <c r="P19" s="20">
        <f>H19+N19</f>
        <v>-172119.5934765203</v>
      </c>
      <c r="Q19" s="239"/>
      <c r="S19" s="240"/>
    </row>
    <row r="20" spans="1:19" x14ac:dyDescent="0.35">
      <c r="A20" s="232">
        <f t="shared" si="0"/>
        <v>13</v>
      </c>
      <c r="B20" s="9" t="s">
        <v>55</v>
      </c>
      <c r="C20" s="6">
        <v>35</v>
      </c>
      <c r="D20" s="235">
        <v>10619</v>
      </c>
      <c r="E20" s="241">
        <v>370200</v>
      </c>
      <c r="F20" s="24">
        <f>D20-E20</f>
        <v>-359581</v>
      </c>
      <c r="G20" s="236">
        <v>2.222E-3</v>
      </c>
      <c r="H20" s="20">
        <f>+G20*F20</f>
        <v>-798.98898199999996</v>
      </c>
      <c r="I20" s="20"/>
      <c r="J20" s="237">
        <v>4753345</v>
      </c>
      <c r="K20" s="237">
        <v>3880976.4</v>
      </c>
      <c r="L20" s="24">
        <f>J20-K20</f>
        <v>872368.60000000009</v>
      </c>
      <c r="M20" s="238">
        <v>1.936E-3</v>
      </c>
      <c r="N20" s="20">
        <f>+M20*L20</f>
        <v>1688.9056096000002</v>
      </c>
      <c r="O20" s="20"/>
      <c r="P20" s="20">
        <f>H20+N20</f>
        <v>889.9166276000002</v>
      </c>
      <c r="Q20" s="239"/>
      <c r="S20" s="240"/>
    </row>
    <row r="21" spans="1:19" x14ac:dyDescent="0.35">
      <c r="A21" s="232">
        <f t="shared" si="0"/>
        <v>14</v>
      </c>
      <c r="B21" s="7" t="s">
        <v>60</v>
      </c>
      <c r="C21" s="6">
        <v>43</v>
      </c>
      <c r="D21" s="235">
        <v>47377031</v>
      </c>
      <c r="E21" s="241">
        <v>54874231.946310684</v>
      </c>
      <c r="F21" s="24">
        <f>D21-E21</f>
        <v>-7497200.9463106841</v>
      </c>
      <c r="G21" s="236">
        <v>3.0560000000000001E-3</v>
      </c>
      <c r="H21" s="20">
        <f>+G21*F21</f>
        <v>-22911.446091925452</v>
      </c>
      <c r="I21" s="20"/>
      <c r="J21" s="237">
        <v>66867212</v>
      </c>
      <c r="K21" s="237">
        <v>74778841.687625483</v>
      </c>
      <c r="L21" s="24">
        <f>J21-K21</f>
        <v>-7911629.6876254827</v>
      </c>
      <c r="M21" s="238">
        <v>2.5479999999999999E-3</v>
      </c>
      <c r="N21" s="20">
        <f>+M21*L21</f>
        <v>-20158.832444069729</v>
      </c>
      <c r="O21" s="20"/>
      <c r="P21" s="20">
        <f>H21+N21</f>
        <v>-43070.278535995181</v>
      </c>
      <c r="Q21" s="239"/>
      <c r="S21" s="240"/>
    </row>
    <row r="22" spans="1:19" x14ac:dyDescent="0.35">
      <c r="A22" s="232">
        <f t="shared" si="0"/>
        <v>15</v>
      </c>
      <c r="B22" s="7" t="s">
        <v>61</v>
      </c>
      <c r="C22" s="6"/>
      <c r="D22" s="21">
        <f>SUM(D19:D21)</f>
        <v>459901696</v>
      </c>
      <c r="E22" s="21">
        <f>SUM(E19:E21)</f>
        <v>514517332.34651357</v>
      </c>
      <c r="F22" s="21">
        <f>SUM(F19:F21)</f>
        <v>-54615636.346513554</v>
      </c>
      <c r="G22" s="19"/>
      <c r="H22" s="22">
        <f>SUM(H19:H21)</f>
        <v>-127608.60955117623</v>
      </c>
      <c r="I22" s="23"/>
      <c r="J22" s="21">
        <f>SUM(J19:J21)</f>
        <v>967751710</v>
      </c>
      <c r="K22" s="21">
        <f>SUM(K19:K21)</f>
        <v>1010029307.3475788</v>
      </c>
      <c r="L22" s="21">
        <f>SUM(L19:L21)</f>
        <v>-42277597.347578742</v>
      </c>
      <c r="M22" s="19"/>
      <c r="N22" s="22">
        <f>SUM(N19:N21)</f>
        <v>-86691.345833739251</v>
      </c>
      <c r="O22" s="23"/>
      <c r="P22" s="22">
        <f>SUM(P19:P21)</f>
        <v>-214299.95538491546</v>
      </c>
      <c r="Q22" s="239"/>
      <c r="S22" s="240"/>
    </row>
    <row r="23" spans="1:19" x14ac:dyDescent="0.35">
      <c r="A23" s="232">
        <f t="shared" si="0"/>
        <v>16</v>
      </c>
      <c r="B23" s="5"/>
      <c r="C23" s="6"/>
      <c r="D23" s="25"/>
      <c r="E23" s="25"/>
      <c r="F23" s="25"/>
      <c r="G23" s="19"/>
      <c r="H23" s="26"/>
      <c r="I23" s="26"/>
      <c r="J23" s="25"/>
      <c r="K23" s="25"/>
      <c r="L23" s="25"/>
      <c r="M23" s="19"/>
      <c r="N23" s="26"/>
      <c r="O23" s="26"/>
      <c r="P23" s="26"/>
      <c r="Q23" s="239"/>
      <c r="S23" s="240"/>
    </row>
    <row r="24" spans="1:19" x14ac:dyDescent="0.35">
      <c r="A24" s="232">
        <f t="shared" si="0"/>
        <v>17</v>
      </c>
      <c r="B24" s="8" t="s">
        <v>205</v>
      </c>
      <c r="C24" s="76" t="s">
        <v>206</v>
      </c>
      <c r="D24" s="242">
        <v>162462046.28686121</v>
      </c>
      <c r="E24" s="242">
        <v>99140149.044999987</v>
      </c>
      <c r="F24" s="21">
        <f>D24-E24</f>
        <v>63321897.241861224</v>
      </c>
      <c r="G24" s="236">
        <v>4.8499999999999997E-4</v>
      </c>
      <c r="H24" s="20">
        <f>+G24*F24</f>
        <v>30711.120162302694</v>
      </c>
      <c r="I24" s="20"/>
      <c r="J24" s="243">
        <v>186833592.06600001</v>
      </c>
      <c r="K24" s="243">
        <v>209076598.73100001</v>
      </c>
      <c r="L24" s="21">
        <f>J24-K24</f>
        <v>-22243006.664999992</v>
      </c>
      <c r="M24" s="238">
        <v>7.3000000000000007E-4</v>
      </c>
      <c r="N24" s="20">
        <f>+M24*L24</f>
        <v>-16237.394865449996</v>
      </c>
      <c r="O24" s="20"/>
      <c r="P24" s="20">
        <f>H24+N24</f>
        <v>14473.725296852697</v>
      </c>
      <c r="Q24" s="239"/>
      <c r="S24" s="240"/>
    </row>
    <row r="25" spans="1:19" x14ac:dyDescent="0.35">
      <c r="A25" s="232">
        <f>+A24+1</f>
        <v>18</v>
      </c>
      <c r="B25" s="4"/>
      <c r="C25" s="6"/>
      <c r="D25" s="25"/>
      <c r="E25" s="25"/>
      <c r="F25" s="25"/>
      <c r="G25" s="19"/>
      <c r="H25" s="26"/>
      <c r="I25" s="26"/>
      <c r="J25" s="25"/>
      <c r="K25" s="25"/>
      <c r="L25" s="25"/>
      <c r="M25" s="19"/>
      <c r="N25" s="26"/>
      <c r="O25" s="26"/>
      <c r="P25" s="26"/>
      <c r="Q25" s="239"/>
      <c r="S25" s="240"/>
    </row>
    <row r="26" spans="1:19" x14ac:dyDescent="0.35">
      <c r="A26" s="232">
        <f t="shared" si="0"/>
        <v>19</v>
      </c>
      <c r="B26" s="4" t="s">
        <v>62</v>
      </c>
      <c r="C26" s="6"/>
      <c r="D26" s="24"/>
      <c r="E26" s="24"/>
      <c r="F26" s="24"/>
      <c r="G26" s="19"/>
      <c r="H26" s="23"/>
      <c r="I26" s="23"/>
      <c r="J26" s="24"/>
      <c r="K26" s="24"/>
      <c r="L26" s="24"/>
      <c r="M26" s="19"/>
      <c r="N26" s="23"/>
      <c r="O26" s="23"/>
      <c r="P26" s="23"/>
      <c r="Q26" s="239"/>
      <c r="S26" s="240"/>
    </row>
    <row r="27" spans="1:19" x14ac:dyDescent="0.35">
      <c r="A27" s="232">
        <f t="shared" si="0"/>
        <v>20</v>
      </c>
      <c r="B27" s="4" t="s">
        <v>46</v>
      </c>
      <c r="C27" s="6">
        <v>46</v>
      </c>
      <c r="D27" s="241">
        <v>21440523</v>
      </c>
      <c r="E27" s="241">
        <v>25312112.969999999</v>
      </c>
      <c r="F27" s="24">
        <f>D27-E27</f>
        <v>-3871589.9699999988</v>
      </c>
      <c r="G27" s="236">
        <v>1.668E-3</v>
      </c>
      <c r="H27" s="20">
        <f>+G27*F27</f>
        <v>-6457.8120699599976</v>
      </c>
      <c r="I27" s="20"/>
      <c r="J27" s="244">
        <v>63188608</v>
      </c>
      <c r="K27" s="244">
        <v>70089329.004999995</v>
      </c>
      <c r="L27" s="24">
        <f>J27-K27</f>
        <v>-6900721.0049999952</v>
      </c>
      <c r="M27" s="238">
        <v>1.4490000000000002E-3</v>
      </c>
      <c r="N27" s="20">
        <f>+M27*L27</f>
        <v>-9999.1447362449944</v>
      </c>
      <c r="O27" s="20"/>
      <c r="P27" s="20">
        <f>H27+N27</f>
        <v>-16456.956806204991</v>
      </c>
      <c r="Q27" s="239"/>
      <c r="S27" s="240"/>
    </row>
    <row r="28" spans="1:19" x14ac:dyDescent="0.35">
      <c r="A28" s="232">
        <f t="shared" si="0"/>
        <v>21</v>
      </c>
      <c r="B28" s="9" t="s">
        <v>58</v>
      </c>
      <c r="C28" s="6">
        <v>49</v>
      </c>
      <c r="D28" s="241">
        <v>158371942</v>
      </c>
      <c r="E28" s="241">
        <v>180331327.32699999</v>
      </c>
      <c r="F28" s="24">
        <f>D28-E28</f>
        <v>-21959385.326999992</v>
      </c>
      <c r="G28" s="236">
        <v>1.668E-3</v>
      </c>
      <c r="H28" s="20">
        <f>+G28*F28</f>
        <v>-36628.254725435989</v>
      </c>
      <c r="I28" s="20"/>
      <c r="J28" s="244">
        <v>348808693</v>
      </c>
      <c r="K28" s="244">
        <v>358524956.55199999</v>
      </c>
      <c r="L28" s="24">
        <f>J28-K28</f>
        <v>-9716263.5519999862</v>
      </c>
      <c r="M28" s="238">
        <v>1.4490000000000002E-3</v>
      </c>
      <c r="N28" s="20">
        <f>+M28*L28</f>
        <v>-14078.865886847982</v>
      </c>
      <c r="O28" s="20"/>
      <c r="P28" s="20">
        <f>H28+N28</f>
        <v>-50707.120612283972</v>
      </c>
      <c r="Q28" s="239"/>
      <c r="S28" s="240"/>
    </row>
    <row r="29" spans="1:19" x14ac:dyDescent="0.35">
      <c r="A29" s="232">
        <f t="shared" si="0"/>
        <v>22</v>
      </c>
      <c r="B29" s="9" t="s">
        <v>63</v>
      </c>
      <c r="C29" s="6"/>
      <c r="D29" s="21">
        <f>SUM(D27:D28)</f>
        <v>179812465</v>
      </c>
      <c r="E29" s="21">
        <f>SUM(E27:E28)</f>
        <v>205643440.29699999</v>
      </c>
      <c r="F29" s="21">
        <f>SUM(F27:F28)</f>
        <v>-25830975.296999991</v>
      </c>
      <c r="G29" s="19"/>
      <c r="H29" s="22">
        <f>SUM(H27:H28)</f>
        <v>-43086.066795395986</v>
      </c>
      <c r="I29" s="23"/>
      <c r="J29" s="21">
        <f>SUM(J27:J28)</f>
        <v>411997301</v>
      </c>
      <c r="K29" s="21">
        <f>SUM(K27:K28)</f>
        <v>428614285.55699998</v>
      </c>
      <c r="L29" s="21">
        <f>SUM(L27:L28)</f>
        <v>-16616984.556999981</v>
      </c>
      <c r="M29" s="19"/>
      <c r="N29" s="22">
        <f>SUM(N27:N28)</f>
        <v>-24078.010623092974</v>
      </c>
      <c r="O29" s="23"/>
      <c r="P29" s="22">
        <f>SUM(P27:P28)</f>
        <v>-67164.07741848896</v>
      </c>
      <c r="Q29" s="239"/>
      <c r="S29" s="240"/>
    </row>
    <row r="30" spans="1:19" x14ac:dyDescent="0.35">
      <c r="A30" s="232">
        <f t="shared" si="0"/>
        <v>23</v>
      </c>
      <c r="B30" s="8"/>
      <c r="C30" s="6"/>
      <c r="D30" s="25"/>
      <c r="E30" s="25"/>
      <c r="F30" s="25"/>
      <c r="G30" s="19"/>
      <c r="H30" s="26"/>
      <c r="I30" s="26"/>
      <c r="J30" s="25"/>
      <c r="K30" s="25"/>
      <c r="L30" s="25"/>
      <c r="M30" s="19"/>
      <c r="N30" s="26"/>
      <c r="O30" s="26"/>
      <c r="P30" s="26"/>
      <c r="Q30" s="239"/>
      <c r="S30" s="240"/>
    </row>
    <row r="31" spans="1:19" x14ac:dyDescent="0.35">
      <c r="A31" s="232">
        <f t="shared" si="0"/>
        <v>24</v>
      </c>
      <c r="B31" s="4" t="s">
        <v>64</v>
      </c>
      <c r="C31" s="6" t="s">
        <v>65</v>
      </c>
      <c r="D31" s="242">
        <v>19961192</v>
      </c>
      <c r="E31" s="242">
        <v>21707517.513999999</v>
      </c>
      <c r="F31" s="21">
        <f>D31-E31</f>
        <v>-1746325.5139999986</v>
      </c>
      <c r="G31" s="236">
        <v>9.2899999999999996E-3</v>
      </c>
      <c r="H31" s="20">
        <f>+G31*F31</f>
        <v>-16223.364025059986</v>
      </c>
      <c r="I31" s="20"/>
      <c r="J31" s="243">
        <v>42979623</v>
      </c>
      <c r="K31" s="243">
        <v>42754459.280500002</v>
      </c>
      <c r="L31" s="21">
        <f>J31-K31</f>
        <v>225163.71949999779</v>
      </c>
      <c r="M31" s="238">
        <v>8.2880000000000002E-3</v>
      </c>
      <c r="N31" s="20">
        <f>+M31*L31</f>
        <v>1866.1569072159818</v>
      </c>
      <c r="O31" s="20"/>
      <c r="P31" s="20">
        <f>H31+N31</f>
        <v>-14357.207117844004</v>
      </c>
      <c r="Q31" s="239"/>
      <c r="S31" s="240"/>
    </row>
    <row r="32" spans="1:19" x14ac:dyDescent="0.35">
      <c r="A32" s="232">
        <f t="shared" si="0"/>
        <v>25</v>
      </c>
      <c r="B32" s="4"/>
      <c r="C32" s="6"/>
      <c r="D32" s="25"/>
      <c r="E32" s="25"/>
      <c r="F32" s="25"/>
      <c r="G32" s="19"/>
      <c r="H32" s="26"/>
      <c r="I32" s="26"/>
      <c r="J32" s="25"/>
      <c r="K32" s="25"/>
      <c r="L32" s="25"/>
      <c r="M32" s="19"/>
      <c r="N32" s="26"/>
      <c r="O32" s="26"/>
      <c r="P32" s="26"/>
      <c r="Q32" s="239"/>
      <c r="S32" s="240"/>
    </row>
    <row r="33" spans="1:19" x14ac:dyDescent="0.35">
      <c r="A33" s="232">
        <f t="shared" si="0"/>
        <v>26</v>
      </c>
      <c r="B33" s="9" t="s">
        <v>66</v>
      </c>
      <c r="C33" s="76" t="s">
        <v>146</v>
      </c>
      <c r="D33" s="242">
        <v>651606000</v>
      </c>
      <c r="E33" s="242">
        <v>700747371.41600001</v>
      </c>
      <c r="F33" s="21">
        <f>D33-E33</f>
        <v>-49141371.416000009</v>
      </c>
      <c r="G33" s="236">
        <v>2.1999999999999999E-5</v>
      </c>
      <c r="H33" s="20">
        <f>+G33*F33</f>
        <v>-1081.1101711520002</v>
      </c>
      <c r="I33" s="20"/>
      <c r="J33" s="243">
        <v>1329965840</v>
      </c>
      <c r="K33" s="243">
        <v>1291747151.109</v>
      </c>
      <c r="L33" s="21">
        <f>J33-K33</f>
        <v>38218688.891000032</v>
      </c>
      <c r="M33" s="238">
        <v>1.9000000000000001E-5</v>
      </c>
      <c r="N33" s="20">
        <f>+M33*L33</f>
        <v>726.15508892900061</v>
      </c>
      <c r="O33" s="20"/>
      <c r="P33" s="20">
        <f>H33+N33</f>
        <v>-354.95508222299964</v>
      </c>
      <c r="Q33" s="239"/>
      <c r="S33" s="240"/>
    </row>
    <row r="34" spans="1:19" x14ac:dyDescent="0.35">
      <c r="A34" s="232">
        <f t="shared" si="0"/>
        <v>27</v>
      </c>
      <c r="B34" s="5"/>
      <c r="C34" s="4"/>
      <c r="D34" s="25"/>
      <c r="E34" s="25"/>
      <c r="F34" s="25"/>
      <c r="G34" s="19"/>
      <c r="H34" s="26"/>
      <c r="I34" s="26"/>
      <c r="J34" s="25"/>
      <c r="K34" s="25"/>
      <c r="L34" s="25"/>
      <c r="M34" s="19"/>
      <c r="N34" s="26"/>
      <c r="O34" s="26"/>
      <c r="P34" s="26"/>
      <c r="Q34" s="239"/>
      <c r="S34" s="240"/>
    </row>
    <row r="35" spans="1:19" ht="15" thickBot="1" x14ac:dyDescent="0.4">
      <c r="A35" s="232">
        <f t="shared" si="0"/>
        <v>28</v>
      </c>
      <c r="B35" s="4" t="s">
        <v>67</v>
      </c>
      <c r="C35" s="4"/>
      <c r="D35" s="27">
        <f>SUM(D9,D16,D22,D24,D29,D31,D33)</f>
        <v>8000378045.2868614</v>
      </c>
      <c r="E35" s="27">
        <f>SUM(E9,E16,E22,E24,E29,E31,E33)</f>
        <v>8639253112.6008453</v>
      </c>
      <c r="F35" s="27">
        <f>SUM(F9,F16,F22,F24,F29,F31,F33)</f>
        <v>-638875067.31398475</v>
      </c>
      <c r="G35" s="19"/>
      <c r="H35" s="28">
        <f>SUM(H9,H16,H22,H24,H29,H31,H33)</f>
        <v>-1779055.0795678657</v>
      </c>
      <c r="I35" s="23"/>
      <c r="J35" s="27">
        <f>SUM(J9,J16,J22,J24,J29,J31,J33)</f>
        <v>14494344244.066</v>
      </c>
      <c r="K35" s="27">
        <f>SUM(K9,K16,K22,K24,K29,K31,K33)</f>
        <v>15274873314.042191</v>
      </c>
      <c r="L35" s="27">
        <f>SUM(L9,L16,L22,L24,L29,L31,L33)</f>
        <v>-780529069.97619212</v>
      </c>
      <c r="M35" s="19"/>
      <c r="N35" s="28">
        <f>SUM(N9,N16,N22,N24,N29,N31,N33)</f>
        <v>-2148352.7488775835</v>
      </c>
      <c r="O35" s="23"/>
      <c r="P35" s="126">
        <f>SUM(P9,P16,P22,P24,P29,P31,P33)</f>
        <v>-3927407.828445449</v>
      </c>
      <c r="Q35" s="239"/>
      <c r="S35" s="240"/>
    </row>
    <row r="36" spans="1:19" ht="15" thickTop="1" x14ac:dyDescent="0.35">
      <c r="D36" s="240"/>
      <c r="E36" s="2"/>
      <c r="F36" s="20"/>
    </row>
    <row r="37" spans="1:19" x14ac:dyDescent="0.35">
      <c r="D37" s="245">
        <v>1</v>
      </c>
      <c r="E37" s="245">
        <v>0</v>
      </c>
      <c r="F37" s="246"/>
      <c r="J37" s="247">
        <v>0</v>
      </c>
      <c r="K37" s="248">
        <v>0</v>
      </c>
    </row>
    <row r="38" spans="1:19" x14ac:dyDescent="0.35">
      <c r="E38" s="2"/>
    </row>
    <row r="39" spans="1:19" x14ac:dyDescent="0.35">
      <c r="E39" s="2"/>
      <c r="F39" s="239"/>
    </row>
    <row r="40" spans="1:19" x14ac:dyDescent="0.35">
      <c r="E40" s="2"/>
      <c r="F40" s="239"/>
    </row>
    <row r="41" spans="1:19" x14ac:dyDescent="0.35">
      <c r="E41" s="2"/>
      <c r="F41" s="239"/>
    </row>
  </sheetData>
  <mergeCells count="3">
    <mergeCell ref="A1:P1"/>
    <mergeCell ref="A2:P2"/>
    <mergeCell ref="A3:P3"/>
  </mergeCells>
  <printOptions horizontalCentered="1"/>
  <pageMargins left="0.25" right="0.25" top="0.84" bottom="0.75" header="0.3" footer="0.3"/>
  <pageSetup paperSize="17" scale="75" orientation="landscape" cellComments="asDisplayed" r:id="rId1"/>
  <headerFooter alignWithMargins="0">
    <oddHeader>&amp;RAdvice No. 2015-xx
Electric Schedule 140 Rate Design Workpapers
Page &amp;P of &amp;N</oddHeader>
    <oddFooter>&amp;L&amp;F
&amp;A&amp;R&amp;D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zoomScale="80" zoomScaleNormal="80" workbookViewId="0">
      <selection activeCell="C24" sqref="C24"/>
    </sheetView>
  </sheetViews>
  <sheetFormatPr defaultColWidth="9.08984375" defaultRowHeight="14.15" customHeight="1" x14ac:dyDescent="0.35"/>
  <cols>
    <col min="1" max="1" width="9.90625" style="29" bestFit="1" customWidth="1"/>
    <col min="2" max="2" width="38" style="29" bestFit="1" customWidth="1"/>
    <col min="3" max="5" width="14.08984375" style="29" customWidth="1"/>
    <col min="6" max="6" width="14.36328125" style="29" customWidth="1"/>
    <col min="7" max="7" width="13.453125" style="29" customWidth="1"/>
    <col min="8" max="8" width="3" style="29" customWidth="1"/>
    <col min="9" max="9" width="15.453125" style="29" customWidth="1"/>
    <col min="10" max="10" width="15.6328125" style="29" customWidth="1"/>
    <col min="11" max="13" width="14.08984375" style="29" customWidth="1"/>
    <col min="14" max="14" width="2.90625" style="29" customWidth="1"/>
    <col min="15" max="15" width="14.08984375" style="29" customWidth="1"/>
    <col min="16" max="16384" width="9.08984375" style="29"/>
  </cols>
  <sheetData>
    <row r="1" spans="1:15" ht="14.5" x14ac:dyDescent="0.35">
      <c r="A1" s="275" t="s">
        <v>40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pans="1:15" ht="14.5" x14ac:dyDescent="0.35">
      <c r="A2" s="275" t="s">
        <v>142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</row>
    <row r="3" spans="1:15" ht="14.5" x14ac:dyDescent="0.35">
      <c r="A3" s="275" t="s">
        <v>143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</row>
    <row r="4" spans="1:15" ht="14.5" x14ac:dyDescent="0.35">
      <c r="A4" s="276" t="s">
        <v>229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</row>
    <row r="5" spans="1:15" ht="14.5" x14ac:dyDescent="0.35">
      <c r="C5" s="51"/>
      <c r="D5" s="51"/>
      <c r="E5" s="51"/>
    </row>
    <row r="6" spans="1:15" ht="58" x14ac:dyDescent="0.35">
      <c r="A6" s="52" t="s">
        <v>41</v>
      </c>
      <c r="B6" s="53" t="s">
        <v>10</v>
      </c>
      <c r="C6" s="54" t="s">
        <v>230</v>
      </c>
      <c r="D6" s="54" t="s">
        <v>231</v>
      </c>
      <c r="E6" s="55" t="s">
        <v>42</v>
      </c>
      <c r="F6" s="54" t="s">
        <v>147</v>
      </c>
      <c r="G6" s="55" t="s">
        <v>232</v>
      </c>
      <c r="I6" s="54" t="s">
        <v>233</v>
      </c>
      <c r="J6" s="54" t="s">
        <v>234</v>
      </c>
      <c r="K6" s="55" t="s">
        <v>42</v>
      </c>
      <c r="L6" s="54" t="s">
        <v>197</v>
      </c>
      <c r="M6" s="55" t="s">
        <v>235</v>
      </c>
      <c r="O6" s="54" t="s">
        <v>119</v>
      </c>
    </row>
    <row r="7" spans="1:15" ht="14.5" x14ac:dyDescent="0.35">
      <c r="A7" s="56" t="s">
        <v>144</v>
      </c>
      <c r="B7" s="29" t="s">
        <v>45</v>
      </c>
      <c r="C7" s="57">
        <v>313541528</v>
      </c>
      <c r="D7" s="57">
        <v>310146878.35967511</v>
      </c>
      <c r="E7" s="58">
        <f>C7-D7</f>
        <v>3394649.6403248906</v>
      </c>
      <c r="F7" s="59">
        <v>2.2749999999999999E-2</v>
      </c>
      <c r="G7" s="60">
        <f t="shared" ref="G7:G19" si="0">E7*F7</f>
        <v>77228.279317391265</v>
      </c>
      <c r="I7" s="57">
        <v>301057572</v>
      </c>
      <c r="J7" s="57">
        <v>321998153.93434983</v>
      </c>
      <c r="K7" s="58">
        <f t="shared" ref="K7:K19" si="1">I7-J7</f>
        <v>-20940581.934349835</v>
      </c>
      <c r="L7" s="59">
        <v>2.3620000000000002E-2</v>
      </c>
      <c r="M7" s="60">
        <f t="shared" ref="M7:M19" si="2">K7*L7</f>
        <v>-494616.54528934316</v>
      </c>
      <c r="O7" s="60">
        <f>G7+M7</f>
        <v>-417388.26597195189</v>
      </c>
    </row>
    <row r="8" spans="1:15" ht="14.5" x14ac:dyDescent="0.35">
      <c r="A8" s="56">
        <v>53</v>
      </c>
      <c r="B8" s="29" t="s">
        <v>120</v>
      </c>
      <c r="C8" s="57">
        <v>0</v>
      </c>
      <c r="D8" s="57">
        <v>0</v>
      </c>
      <c r="E8" s="58">
        <f t="shared" ref="E8:E19" si="3">C8-D8</f>
        <v>0</v>
      </c>
      <c r="F8" s="59">
        <v>2.2749999999999999E-2</v>
      </c>
      <c r="G8" s="60">
        <f t="shared" si="0"/>
        <v>0</v>
      </c>
      <c r="I8" s="57">
        <v>0</v>
      </c>
      <c r="J8" s="57">
        <v>0</v>
      </c>
      <c r="K8" s="58">
        <f t="shared" si="1"/>
        <v>0</v>
      </c>
      <c r="L8" s="59">
        <v>2.3620000000000002E-2</v>
      </c>
      <c r="M8" s="60">
        <f t="shared" si="2"/>
        <v>0</v>
      </c>
      <c r="O8" s="60">
        <f t="shared" ref="O8:O19" si="4">G8+M8</f>
        <v>0</v>
      </c>
    </row>
    <row r="9" spans="1:15" ht="14.5" x14ac:dyDescent="0.35">
      <c r="A9" s="56">
        <v>31</v>
      </c>
      <c r="B9" s="29" t="s">
        <v>121</v>
      </c>
      <c r="C9" s="57">
        <v>108405089</v>
      </c>
      <c r="D9" s="57">
        <v>115919691.03748669</v>
      </c>
      <c r="E9" s="58">
        <f t="shared" si="3"/>
        <v>-7514602.0374866873</v>
      </c>
      <c r="F9" s="59">
        <v>2.632E-2</v>
      </c>
      <c r="G9" s="60">
        <f t="shared" si="0"/>
        <v>-197784.3256266496</v>
      </c>
      <c r="I9" s="57">
        <v>135832582</v>
      </c>
      <c r="J9" s="57">
        <v>133347142.00551605</v>
      </c>
      <c r="K9" s="58">
        <f t="shared" si="1"/>
        <v>2485439.9944839478</v>
      </c>
      <c r="L9" s="59">
        <v>2.5350000000000001E-2</v>
      </c>
      <c r="M9" s="60">
        <f t="shared" si="2"/>
        <v>63005.90386016808</v>
      </c>
      <c r="O9" s="60">
        <f t="shared" si="4"/>
        <v>-134778.42176648154</v>
      </c>
    </row>
    <row r="10" spans="1:15" ht="14.5" x14ac:dyDescent="0.35">
      <c r="A10" s="56" t="s">
        <v>122</v>
      </c>
      <c r="B10" s="29" t="s">
        <v>123</v>
      </c>
      <c r="C10" s="57">
        <v>8690</v>
      </c>
      <c r="D10" s="57">
        <v>22633.35</v>
      </c>
      <c r="E10" s="58">
        <f t="shared" si="3"/>
        <v>-13943.349999999999</v>
      </c>
      <c r="F10" s="59">
        <v>2.632E-2</v>
      </c>
      <c r="G10" s="60">
        <f t="shared" si="0"/>
        <v>-366.98897199999993</v>
      </c>
      <c r="I10" s="57">
        <v>21372</v>
      </c>
      <c r="J10" s="57">
        <v>9056.5800000000017</v>
      </c>
      <c r="K10" s="58">
        <f t="shared" si="1"/>
        <v>12315.419999999998</v>
      </c>
      <c r="L10" s="59">
        <v>2.5350000000000001E-2</v>
      </c>
      <c r="M10" s="60">
        <f t="shared" si="2"/>
        <v>312.19589699999995</v>
      </c>
      <c r="O10" s="60">
        <f t="shared" si="4"/>
        <v>-54.793074999999988</v>
      </c>
    </row>
    <row r="11" spans="1:15" ht="14.5" x14ac:dyDescent="0.35">
      <c r="A11" s="56">
        <v>41</v>
      </c>
      <c r="B11" s="29" t="s">
        <v>124</v>
      </c>
      <c r="C11" s="57">
        <v>26832262</v>
      </c>
      <c r="D11" s="57">
        <v>30108531.393598642</v>
      </c>
      <c r="E11" s="58">
        <f t="shared" si="3"/>
        <v>-3276269.3935986422</v>
      </c>
      <c r="F11" s="59">
        <v>8.7899999999999992E-3</v>
      </c>
      <c r="G11" s="60">
        <f t="shared" si="0"/>
        <v>-28798.407969732063</v>
      </c>
      <c r="I11" s="57">
        <v>39287201</v>
      </c>
      <c r="J11" s="57">
        <v>38970509.305209711</v>
      </c>
      <c r="K11" s="58">
        <f t="shared" si="1"/>
        <v>316691.69479028881</v>
      </c>
      <c r="L11" s="59">
        <v>8.709999999999999E-3</v>
      </c>
      <c r="M11" s="60">
        <f t="shared" si="2"/>
        <v>2758.384661623415</v>
      </c>
      <c r="O11" s="60">
        <f t="shared" si="4"/>
        <v>-26040.023308108648</v>
      </c>
    </row>
    <row r="12" spans="1:15" ht="14.5" x14ac:dyDescent="0.35">
      <c r="A12" s="56" t="s">
        <v>125</v>
      </c>
      <c r="B12" s="29" t="s">
        <v>126</v>
      </c>
      <c r="C12" s="57">
        <v>8621042</v>
      </c>
      <c r="D12" s="57">
        <v>8076681.2999999998</v>
      </c>
      <c r="E12" s="58">
        <f t="shared" si="3"/>
        <v>544360.70000000019</v>
      </c>
      <c r="F12" s="59">
        <v>8.7899999999999992E-3</v>
      </c>
      <c r="G12" s="60">
        <f t="shared" si="0"/>
        <v>4784.9305530000011</v>
      </c>
      <c r="I12" s="57">
        <v>14517980</v>
      </c>
      <c r="J12" s="57">
        <v>13529857.610000003</v>
      </c>
      <c r="K12" s="58">
        <f t="shared" si="1"/>
        <v>988122.38999999687</v>
      </c>
      <c r="L12" s="59">
        <v>8.709999999999999E-3</v>
      </c>
      <c r="M12" s="60">
        <f t="shared" si="2"/>
        <v>8606.5460168999725</v>
      </c>
      <c r="O12" s="60">
        <f t="shared" si="4"/>
        <v>13391.476569899973</v>
      </c>
    </row>
    <row r="13" spans="1:15" ht="14.5" x14ac:dyDescent="0.35">
      <c r="A13" s="56">
        <v>85</v>
      </c>
      <c r="B13" s="29" t="s">
        <v>127</v>
      </c>
      <c r="C13" s="57">
        <v>4341021</v>
      </c>
      <c r="D13" s="57">
        <v>7035909.5786502799</v>
      </c>
      <c r="E13" s="58">
        <f t="shared" si="3"/>
        <v>-2694888.5786502799</v>
      </c>
      <c r="F13" s="59">
        <v>4.8500000000000001E-3</v>
      </c>
      <c r="G13" s="60">
        <f t="shared" si="0"/>
        <v>-13070.209606453858</v>
      </c>
      <c r="I13" s="57">
        <v>8197785</v>
      </c>
      <c r="J13" s="57">
        <v>14239996.53461184</v>
      </c>
      <c r="K13" s="58">
        <f t="shared" si="1"/>
        <v>-6042211.5346118398</v>
      </c>
      <c r="L13" s="59">
        <v>4.6800000000000001E-3</v>
      </c>
      <c r="M13" s="60">
        <f t="shared" si="2"/>
        <v>-28277.549981983411</v>
      </c>
      <c r="O13" s="60">
        <f t="shared" si="4"/>
        <v>-41347.759588437271</v>
      </c>
    </row>
    <row r="14" spans="1:15" ht="14.5" x14ac:dyDescent="0.35">
      <c r="A14" s="56" t="s">
        <v>128</v>
      </c>
      <c r="B14" s="29" t="s">
        <v>129</v>
      </c>
      <c r="C14" s="57">
        <v>24700369</v>
      </c>
      <c r="D14" s="57">
        <v>24271891.170000002</v>
      </c>
      <c r="E14" s="58">
        <f t="shared" si="3"/>
        <v>428477.82999999821</v>
      </c>
      <c r="F14" s="59">
        <v>4.8500000000000001E-3</v>
      </c>
      <c r="G14" s="60">
        <f t="shared" si="0"/>
        <v>2078.1174754999915</v>
      </c>
      <c r="I14" s="57">
        <v>46243391</v>
      </c>
      <c r="J14" s="57">
        <v>42730261.799999997</v>
      </c>
      <c r="K14" s="58">
        <f t="shared" si="1"/>
        <v>3513129.200000003</v>
      </c>
      <c r="L14" s="59">
        <v>4.6800000000000001E-3</v>
      </c>
      <c r="M14" s="60">
        <f t="shared" si="2"/>
        <v>16441.444656000014</v>
      </c>
      <c r="O14" s="60">
        <f t="shared" si="4"/>
        <v>18519.562131500006</v>
      </c>
    </row>
    <row r="15" spans="1:15" ht="14.5" x14ac:dyDescent="0.35">
      <c r="A15" s="56">
        <v>86</v>
      </c>
      <c r="B15" s="29" t="s">
        <v>130</v>
      </c>
      <c r="C15" s="57">
        <v>2226895</v>
      </c>
      <c r="D15" s="57">
        <v>2918496.8719309331</v>
      </c>
      <c r="E15" s="58">
        <f t="shared" si="3"/>
        <v>-691601.87193093309</v>
      </c>
      <c r="F15" s="59">
        <v>1.085E-2</v>
      </c>
      <c r="G15" s="60">
        <f t="shared" si="0"/>
        <v>-7503.8803104506242</v>
      </c>
      <c r="I15" s="57">
        <v>2999489</v>
      </c>
      <c r="J15" s="57">
        <v>3111909.3100425457</v>
      </c>
      <c r="K15" s="58">
        <f t="shared" si="1"/>
        <v>-112420.31004254567</v>
      </c>
      <c r="L15" s="59">
        <v>7.6500000000000005E-3</v>
      </c>
      <c r="M15" s="60">
        <f t="shared" si="2"/>
        <v>-860.0153718254744</v>
      </c>
      <c r="O15" s="60">
        <f t="shared" si="4"/>
        <v>-8363.8956822760993</v>
      </c>
    </row>
    <row r="16" spans="1:15" ht="14.5" x14ac:dyDescent="0.35">
      <c r="A16" s="56" t="s">
        <v>131</v>
      </c>
      <c r="B16" s="29" t="s">
        <v>132</v>
      </c>
      <c r="C16" s="57">
        <v>84524</v>
      </c>
      <c r="D16" s="57">
        <v>596207.22</v>
      </c>
      <c r="E16" s="58">
        <f t="shared" si="3"/>
        <v>-511683.22</v>
      </c>
      <c r="F16" s="59">
        <v>1.085E-2</v>
      </c>
      <c r="G16" s="60">
        <f t="shared" si="0"/>
        <v>-5551.7629369999995</v>
      </c>
      <c r="I16" s="57">
        <v>698252</v>
      </c>
      <c r="J16" s="57">
        <v>1398155.2600000002</v>
      </c>
      <c r="K16" s="58">
        <f t="shared" si="1"/>
        <v>-699903.26000000024</v>
      </c>
      <c r="L16" s="59">
        <v>7.6500000000000005E-3</v>
      </c>
      <c r="M16" s="60">
        <f t="shared" si="2"/>
        <v>-5354.2599390000023</v>
      </c>
      <c r="O16" s="60">
        <f t="shared" si="4"/>
        <v>-10906.022876000003</v>
      </c>
    </row>
    <row r="17" spans="1:15" ht="14.5" x14ac:dyDescent="0.35">
      <c r="A17" s="56">
        <v>87</v>
      </c>
      <c r="B17" s="29" t="s">
        <v>133</v>
      </c>
      <c r="C17" s="57">
        <v>5776022</v>
      </c>
      <c r="D17" s="57">
        <v>10856190.191</v>
      </c>
      <c r="E17" s="58">
        <f t="shared" si="3"/>
        <v>-5080168.1909999996</v>
      </c>
      <c r="F17" s="59">
        <v>2.64E-3</v>
      </c>
      <c r="G17" s="60">
        <f t="shared" si="0"/>
        <v>-13411.644024239999</v>
      </c>
      <c r="I17" s="57">
        <v>10436585</v>
      </c>
      <c r="J17" s="57">
        <v>11159954.528000001</v>
      </c>
      <c r="K17" s="58">
        <f t="shared" si="1"/>
        <v>-723369.52800000086</v>
      </c>
      <c r="L17" s="59">
        <v>2.4000000000000002E-3</v>
      </c>
      <c r="M17" s="60">
        <f t="shared" si="2"/>
        <v>-1736.0868672000022</v>
      </c>
      <c r="O17" s="60">
        <f t="shared" si="4"/>
        <v>-15147.73089144</v>
      </c>
    </row>
    <row r="18" spans="1:15" ht="14.5" x14ac:dyDescent="0.35">
      <c r="A18" s="56" t="s">
        <v>134</v>
      </c>
      <c r="B18" s="29" t="s">
        <v>135</v>
      </c>
      <c r="C18" s="57">
        <v>31092836</v>
      </c>
      <c r="D18" s="57">
        <v>33270546.809999999</v>
      </c>
      <c r="E18" s="58">
        <f t="shared" si="3"/>
        <v>-2177710.8099999987</v>
      </c>
      <c r="F18" s="59">
        <v>2.64E-3</v>
      </c>
      <c r="G18" s="60">
        <f t="shared" si="0"/>
        <v>-5749.1565383999969</v>
      </c>
      <c r="I18" s="57">
        <v>65561121</v>
      </c>
      <c r="J18" s="57">
        <v>62327431.129999995</v>
      </c>
      <c r="K18" s="58">
        <f t="shared" si="1"/>
        <v>3233689.8700000048</v>
      </c>
      <c r="L18" s="59">
        <v>2.4000000000000002E-3</v>
      </c>
      <c r="M18" s="60">
        <f t="shared" si="2"/>
        <v>7760.8556880000124</v>
      </c>
      <c r="O18" s="60">
        <f t="shared" si="4"/>
        <v>2011.6991496000155</v>
      </c>
    </row>
    <row r="19" spans="1:15" ht="14.5" x14ac:dyDescent="0.35">
      <c r="A19" s="61">
        <v>99</v>
      </c>
      <c r="B19" s="53" t="s">
        <v>43</v>
      </c>
      <c r="C19" s="57">
        <v>13314363</v>
      </c>
      <c r="D19" s="57">
        <v>13198665.588</v>
      </c>
      <c r="E19" s="58">
        <f t="shared" si="3"/>
        <v>115697.41200000048</v>
      </c>
      <c r="F19" s="62">
        <v>1.31E-3</v>
      </c>
      <c r="G19" s="60">
        <f t="shared" si="0"/>
        <v>151.56360972000061</v>
      </c>
      <c r="I19" s="57">
        <v>20640768</v>
      </c>
      <c r="J19" s="57">
        <v>19626763.061999999</v>
      </c>
      <c r="K19" s="58">
        <f t="shared" si="1"/>
        <v>1014004.938000001</v>
      </c>
      <c r="L19" s="62">
        <v>1.1800000000000001E-3</v>
      </c>
      <c r="M19" s="60">
        <f t="shared" si="2"/>
        <v>1196.5258268400012</v>
      </c>
      <c r="O19" s="63">
        <f t="shared" si="4"/>
        <v>1348.0894365600018</v>
      </c>
    </row>
    <row r="20" spans="1:15" ht="14.5" x14ac:dyDescent="0.35">
      <c r="A20" s="29" t="s">
        <v>44</v>
      </c>
      <c r="C20" s="64">
        <f>SUM(C7:C19)</f>
        <v>538944641</v>
      </c>
      <c r="D20" s="64">
        <f>SUM(D7:D19)</f>
        <v>556422322.87034178</v>
      </c>
      <c r="E20" s="64">
        <f>SUM(E7:E19)</f>
        <v>-17477681.870341651</v>
      </c>
      <c r="G20" s="65">
        <f>SUM(G7:G19)</f>
        <v>-187993.48502931488</v>
      </c>
      <c r="I20" s="64">
        <f>SUM(I7:I19)</f>
        <v>645494098</v>
      </c>
      <c r="J20" s="64">
        <f>SUM(J7:J19)</f>
        <v>662449191.05972993</v>
      </c>
      <c r="K20" s="64">
        <f>SUM(K7:K19)</f>
        <v>-16955093.059729978</v>
      </c>
      <c r="M20" s="65">
        <f>SUM(M7:M19)</f>
        <v>-430762.60084282054</v>
      </c>
      <c r="O20" s="60">
        <f>SUM(O7:O19)</f>
        <v>-618756.08587213559</v>
      </c>
    </row>
    <row r="21" spans="1:15" ht="14.5" x14ac:dyDescent="0.35">
      <c r="A21" s="66" t="s">
        <v>145</v>
      </c>
      <c r="C21" s="67">
        <v>0</v>
      </c>
      <c r="D21" s="58">
        <v>0</v>
      </c>
      <c r="E21" s="58"/>
      <c r="I21" s="68">
        <v>0</v>
      </c>
    </row>
  </sheetData>
  <mergeCells count="4">
    <mergeCell ref="A1:O1"/>
    <mergeCell ref="A2:O2"/>
    <mergeCell ref="A3:O3"/>
    <mergeCell ref="A4:O4"/>
  </mergeCells>
  <pageMargins left="0.5" right="0.5" top="0.72" bottom="0.51" header="0.5" footer="0.25"/>
  <pageSetup scale="60" fitToHeight="4" pageOrder="overThenDown" orientation="landscape" blackAndWhite="1" r:id="rId1"/>
  <headerFooter alignWithMargins="0">
    <oddFooter xml:space="preserve">&amp;L&amp;F 
&amp;A&amp;C&amp;P&amp;R&amp;D 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zoomScaleNormal="100" workbookViewId="0">
      <selection activeCell="B20" sqref="B20"/>
    </sheetView>
  </sheetViews>
  <sheetFormatPr defaultColWidth="9.08984375" defaultRowHeight="12.5" x14ac:dyDescent="0.25"/>
  <cols>
    <col min="1" max="1" width="5.453125" style="252" customWidth="1"/>
    <col min="2" max="2" width="63.08984375" style="252" customWidth="1"/>
    <col min="3" max="3" width="3.453125" style="252" customWidth="1"/>
    <col min="4" max="4" width="7.90625" style="252" customWidth="1"/>
    <col min="5" max="5" width="15.453125" style="252" customWidth="1"/>
    <col min="6" max="16384" width="9.08984375" style="252"/>
  </cols>
  <sheetData>
    <row r="2" spans="1:5" ht="14.5" x14ac:dyDescent="0.35">
      <c r="A2" s="263" t="s">
        <v>226</v>
      </c>
      <c r="B2" s="263" t="s">
        <v>225</v>
      </c>
      <c r="C2" s="263"/>
      <c r="D2" s="263"/>
      <c r="E2" s="263"/>
    </row>
    <row r="3" spans="1:5" ht="14.5" x14ac:dyDescent="0.35">
      <c r="A3" s="251"/>
      <c r="B3" s="264"/>
      <c r="C3" s="264"/>
      <c r="D3"/>
      <c r="E3"/>
    </row>
    <row r="4" spans="1:5" ht="13" x14ac:dyDescent="0.3">
      <c r="A4" s="261"/>
      <c r="B4" s="261" t="s">
        <v>221</v>
      </c>
      <c r="C4" s="261"/>
      <c r="D4" s="265"/>
      <c r="E4" s="265"/>
    </row>
    <row r="5" spans="1:5" ht="13" x14ac:dyDescent="0.3">
      <c r="A5" s="261"/>
      <c r="B5" s="261" t="s">
        <v>222</v>
      </c>
      <c r="C5" s="261"/>
      <c r="D5" s="265"/>
      <c r="E5" s="265"/>
    </row>
    <row r="6" spans="1:5" ht="13" x14ac:dyDescent="0.3">
      <c r="A6" s="261"/>
      <c r="B6" s="261" t="s">
        <v>211</v>
      </c>
      <c r="C6" s="261"/>
      <c r="D6" s="265"/>
      <c r="E6" s="265"/>
    </row>
    <row r="7" spans="1:5" ht="13" x14ac:dyDescent="0.3">
      <c r="A7" s="261"/>
      <c r="B7" s="261" t="s">
        <v>223</v>
      </c>
      <c r="C7" s="261"/>
      <c r="D7" s="265"/>
      <c r="E7" s="265"/>
    </row>
    <row r="8" spans="1:5" ht="13" x14ac:dyDescent="0.3">
      <c r="A8" s="261"/>
      <c r="B8" s="261" t="s">
        <v>224</v>
      </c>
      <c r="C8" s="261"/>
      <c r="D8" s="265"/>
      <c r="E8" s="265"/>
    </row>
    <row r="9" spans="1:5" ht="13" x14ac:dyDescent="0.3">
      <c r="A9" s="262"/>
      <c r="B9" s="262" t="s">
        <v>14</v>
      </c>
      <c r="C9" s="262"/>
      <c r="D9" s="262"/>
      <c r="E9" s="262"/>
    </row>
    <row r="10" spans="1:5" ht="13" x14ac:dyDescent="0.3">
      <c r="A10" s="251"/>
      <c r="B10" s="251"/>
      <c r="C10" s="251"/>
      <c r="D10" s="251"/>
      <c r="E10" s="251"/>
    </row>
    <row r="11" spans="1:5" ht="13" x14ac:dyDescent="0.3">
      <c r="A11" s="69" t="s">
        <v>15</v>
      </c>
      <c r="B11" s="69"/>
      <c r="C11" s="69"/>
      <c r="D11" s="69"/>
      <c r="E11" s="69"/>
    </row>
    <row r="12" spans="1:5" ht="13" x14ac:dyDescent="0.3">
      <c r="A12" s="70" t="s">
        <v>16</v>
      </c>
      <c r="B12" s="253" t="s">
        <v>17</v>
      </c>
      <c r="C12" s="70"/>
      <c r="D12" s="70" t="s">
        <v>212</v>
      </c>
      <c r="E12" s="70" t="s">
        <v>213</v>
      </c>
    </row>
    <row r="13" spans="1:5" ht="13" x14ac:dyDescent="0.3">
      <c r="A13" s="72"/>
      <c r="B13" s="72"/>
      <c r="C13" s="72"/>
      <c r="D13" s="72"/>
      <c r="E13" s="254"/>
    </row>
    <row r="14" spans="1:5" ht="13" x14ac:dyDescent="0.3">
      <c r="A14" s="254">
        <v>1</v>
      </c>
      <c r="B14" s="71" t="s">
        <v>18</v>
      </c>
      <c r="C14" s="72"/>
      <c r="D14" s="72"/>
      <c r="E14" s="73">
        <v>7.1970000000000003E-3</v>
      </c>
    </row>
    <row r="15" spans="1:5" ht="14.5" x14ac:dyDescent="0.35">
      <c r="A15" s="263">
        <v>2</v>
      </c>
      <c r="B15" s="266" t="s">
        <v>19</v>
      </c>
      <c r="C15" s="263"/>
      <c r="D15" s="263"/>
      <c r="E15" s="267">
        <v>4.0000000000000001E-3</v>
      </c>
    </row>
    <row r="16" spans="1:5" ht="13" x14ac:dyDescent="0.3">
      <c r="A16" s="254">
        <v>3</v>
      </c>
      <c r="B16" s="71" t="str">
        <f>"STATE UTILITY TAX - NET OF BAD DEBTS ( "&amp;D16*100&amp;"% - ( LINE 1 * "&amp;D16*100&amp;"%) )"</f>
        <v>STATE UTILITY TAX - NET OF BAD DEBTS ( 3.8734% - ( LINE 1 * 3.8734%) )</v>
      </c>
      <c r="C16" s="72"/>
      <c r="D16" s="255">
        <v>3.8733999999999998E-2</v>
      </c>
      <c r="E16" s="74">
        <f>ROUND(D16-(D16*E14),6)</f>
        <v>3.8455000000000003E-2</v>
      </c>
    </row>
    <row r="17" spans="1:5" ht="13" x14ac:dyDescent="0.3">
      <c r="A17" s="254">
        <v>4</v>
      </c>
      <c r="B17" s="71"/>
      <c r="C17" s="72"/>
      <c r="D17" s="254"/>
      <c r="E17" s="75"/>
    </row>
    <row r="18" spans="1:5" ht="13" x14ac:dyDescent="0.3">
      <c r="A18" s="254">
        <v>5</v>
      </c>
      <c r="B18" s="71" t="s">
        <v>20</v>
      </c>
      <c r="C18" s="72"/>
      <c r="D18" s="254"/>
      <c r="E18" s="73">
        <f>ROUND(SUM(E14:E16),6)</f>
        <v>4.9652000000000002E-2</v>
      </c>
    </row>
    <row r="19" spans="1:5" ht="13" x14ac:dyDescent="0.3">
      <c r="A19" s="254">
        <v>6</v>
      </c>
      <c r="B19" s="72"/>
      <c r="C19" s="72"/>
      <c r="D19" s="254"/>
      <c r="E19" s="73"/>
    </row>
    <row r="20" spans="1:5" ht="13" x14ac:dyDescent="0.3">
      <c r="A20" s="254">
        <v>7</v>
      </c>
      <c r="B20" s="72" t="s">
        <v>214</v>
      </c>
      <c r="C20" s="72"/>
      <c r="D20" s="254"/>
      <c r="E20" s="73">
        <f>ROUND(1-E18,6)</f>
        <v>0.95034799999999997</v>
      </c>
    </row>
    <row r="21" spans="1:5" ht="13" x14ac:dyDescent="0.3">
      <c r="A21" s="254">
        <v>8</v>
      </c>
      <c r="B21" s="71" t="s">
        <v>215</v>
      </c>
      <c r="C21" s="72"/>
      <c r="D21" s="256">
        <v>0.21</v>
      </c>
      <c r="E21" s="73">
        <f>ROUND((E20)*D21,6)</f>
        <v>0.199573</v>
      </c>
    </row>
    <row r="22" spans="1:5" ht="13" x14ac:dyDescent="0.3">
      <c r="A22" s="254">
        <v>9</v>
      </c>
      <c r="B22" s="71" t="s">
        <v>216</v>
      </c>
      <c r="C22" s="72"/>
      <c r="D22" s="72"/>
      <c r="E22" s="257">
        <f>ROUND(1-E21-E18,6)</f>
        <v>0.75077499999999997</v>
      </c>
    </row>
    <row r="23" spans="1:5" ht="13" x14ac:dyDescent="0.3">
      <c r="A23" s="72"/>
      <c r="B23" s="72"/>
      <c r="C23" s="72"/>
      <c r="D23" s="72"/>
      <c r="E23" s="254"/>
    </row>
    <row r="26" spans="1:5" x14ac:dyDescent="0.25">
      <c r="E26" s="258"/>
    </row>
  </sheetData>
  <printOptions horizontalCentered="1"/>
  <pageMargins left="0.68" right="0.56000000000000005" top="1" bottom="1" header="0.5" footer="0.5"/>
  <pageSetup scale="99" orientation="portrait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2023-03-31T07:00:00+00:00</OpenedDate>
    <SignificantOrder xmlns="dc463f71-b30c-4ab2-9473-d307f9d35888">false</SignificantOrder>
    <Date1 xmlns="dc463f71-b30c-4ab2-9473-d307f9d35888">2023-03-31T07:00:00+00:00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230219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6E9E77519CFD240AC15C1F07276AA5E" ma:contentTypeVersion="24" ma:contentTypeDescription="" ma:contentTypeScope="" ma:versionID="eee9e8bd988d9cda705db7b55ff21e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FA6530-20FC-425A-8827-24DE4AD994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5C9434-1F96-462C-83CC-2EC38FF82287}">
  <ds:schemaRefs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DC5984E-37FE-495F-8D8F-408A7B8084BA}"/>
</file>

<file path=customXml/itemProps4.xml><?xml version="1.0" encoding="utf-8"?>
<ds:datastoreItem xmlns:ds="http://schemas.openxmlformats.org/officeDocument/2006/customXml" ds:itemID="{B4416ADE-A8D9-4699-8E94-CBCF6F55E3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2023 FINAL Rev Req</vt:lpstr>
      <vt:lpstr>2023 Est Payment Due </vt:lpstr>
      <vt:lpstr>Support</vt:lpstr>
      <vt:lpstr>2022 FINAL Rev Req</vt:lpstr>
      <vt:lpstr>Electric summary </vt:lpstr>
      <vt:lpstr>Gas summary </vt:lpstr>
      <vt:lpstr>Elec Load Variance</vt:lpstr>
      <vt:lpstr>Gas Load Variance</vt:lpstr>
      <vt:lpstr>E Conversion Factor</vt:lpstr>
      <vt:lpstr>G Conversion Factor</vt:lpstr>
      <vt:lpstr>'2023 Est Payment Due '!Print_Area</vt:lpstr>
      <vt:lpstr>'Gas Load Variance'!Print_Area</vt:lpstr>
      <vt:lpstr>'2023 Est Payment Due 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2019-02-28T17:48:04Z</cp:lastPrinted>
  <dcterms:created xsi:type="dcterms:W3CDTF">2015-03-05T18:56:14Z</dcterms:created>
  <dcterms:modified xsi:type="dcterms:W3CDTF">2023-03-30T22:10:31Z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0x0101006E56B4D1795A2E4DB2F0B01679ED314A00F6E9E77519CFD240AC15C1F07276AA5E</vt:lpwstr>
  </property>
  <property fmtid="{D5CDD505-2E9C-101B-9397-08002B2CF9AE}" pid="3" name="CustomUiType">
    <vt:lpwstr>2</vt:lpwstr>
  </property>
  <property fmtid="{D5CDD505-2E9C-101B-9397-08002B2CF9AE}" pid="4" name="_docset_NoMedatataSyncRequired">
    <vt:lpwstr>False</vt:lpwstr>
  </property>
</Properties>
</file>